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АЙС_ЛИСТ" sheetId="1" r:id="rId5"/>
    <sheet state="visible" name="БД_МОЙ СКЛАД" sheetId="2" r:id="rId6"/>
    <sheet state="visible" name="БД_УСЛУГИ_РО" sheetId="3" r:id="rId7"/>
    <sheet state="visible" name="БД_УСЛУГИ_МС" sheetId="4" r:id="rId8"/>
    <sheet state="visible" name="МАТРИЦА_СТОИМОСТИ_РАБОТ" sheetId="5" r:id="rId9"/>
    <sheet state="visible" name="РЕМОНТ_ЯБЛОК" sheetId="6" r:id="rId10"/>
    <sheet state="visible" name="БД_ЗАПЧАСТИ" sheetId="7" r:id="rId11"/>
    <sheet state="visible" name="Лист19" sheetId="8" r:id="rId12"/>
    <sheet state="visible" name="ДЛЯ МАКСИМА А." sheetId="9" r:id="rId13"/>
    <sheet state="hidden" name="НАИМЕНОВАНИЯ" sheetId="10" r:id="rId14"/>
  </sheets>
  <definedNames>
    <definedName hidden="1" localSheetId="0" name="_xlnm._FilterDatabase">'ПРАЙС_ЛИСТ'!$B$2:$G$1486</definedName>
    <definedName hidden="1" localSheetId="1" name="_xlnm._FilterDatabase">'БД_МОЙ СКЛАД'!$B$2:$E$1258</definedName>
    <definedName hidden="1" localSheetId="2" name="_xlnm._FilterDatabase">'БД_УСЛУГИ_РО'!$B$2:$B$1312</definedName>
    <definedName hidden="1" localSheetId="3" name="_xlnm._FilterDatabase">'БД_УСЛУГИ_МС'!$B$2:$F$59</definedName>
    <definedName hidden="1" localSheetId="5" name="_xlnm._FilterDatabase">'РЕМОНТ_ЯБЛОК'!$B$1:$B$1000</definedName>
    <definedName hidden="1" localSheetId="6" name="_xlnm._FilterDatabase">'БД_ЗАПЧАСТИ'!$E$4:$F$920</definedName>
  </definedNames>
  <calcPr/>
</workbook>
</file>

<file path=xl/sharedStrings.xml><?xml version="1.0" encoding="utf-8"?>
<sst xmlns="http://schemas.openxmlformats.org/spreadsheetml/2006/main" count="42705" uniqueCount="9675">
  <si>
    <t>МОДЕЛЬ</t>
  </si>
  <si>
    <t>КОД УСЛУГИ</t>
  </si>
  <si>
    <t>ГАРАНТИЯ, дн.</t>
  </si>
  <si>
    <t>УСЛУГА</t>
  </si>
  <si>
    <t>РОЗНИЧНАЯ ЦЕНА</t>
  </si>
  <si>
    <t>ДИАПОЗОН ЦЕНЫ</t>
  </si>
  <si>
    <t>iPhone</t>
  </si>
  <si>
    <t>Данные - резервная копия / перенос (1 - 128 ГБ) | *цена за фактический объем данных</t>
  </si>
  <si>
    <t>1000 - цена "от" | *требуется диагностика</t>
  </si>
  <si>
    <t>Данные - резервная копия / перенос (128 - 256 ГБ) | *цена за фактический объем данных</t>
  </si>
  <si>
    <t>1000 - фиксированная цена</t>
  </si>
  <si>
    <t>Данные - резервная копия / перенос (256 - 512 ГБ) | *цена за фактический объем данных</t>
  </si>
  <si>
    <t>1000 - цена "за работу" - уточнить запчасть .. стоимость .. наличие .. доступность заказа!</t>
  </si>
  <si>
    <t>Данные - резервная копия / перенос (512 ГБ - 1 ТБ) | *цена за фактический объем данных</t>
  </si>
  <si>
    <t>есть дорогой закуп запчасти - предложить "вилку" из наличия / под заказ</t>
  </si>
  <si>
    <t>Данные - резервная копия / перенос (1 - 2 ТБ) | *цена за фактический объем данных</t>
  </si>
  <si>
    <t>Приложения - установка | *цена за 1шт.</t>
  </si>
  <si>
    <t>Прошивка / программные работы - БЕЗ РЕЗЕРВНОЙ копии</t>
  </si>
  <si>
    <t>Диагностика (без пайки компонентов)</t>
  </si>
  <si>
    <t>Диагностика - составление и печать акта</t>
  </si>
  <si>
    <t>МИН. ЦЕНА УСЛУГИ</t>
  </si>
  <si>
    <t>РЕМОНТ ЯБЛОК</t>
  </si>
  <si>
    <t/>
  </si>
  <si>
    <t>iPhone ШАБЛОН</t>
  </si>
  <si>
    <t>Диагностика (с пайкой компонентов) | *бесплатно при дальнейшем ремонте</t>
  </si>
  <si>
    <t>-</t>
  </si>
  <si>
    <t>Пылевлагозащита - восстановление</t>
  </si>
  <si>
    <t>Чистка сеток динамиков и разъема зарядки БЕЗ РАЗБОРА</t>
  </si>
  <si>
    <t>Чистка сеток динамиков и разъема зарядки С РАЗБОРОМ</t>
  </si>
  <si>
    <t>Аккумулятор - замена на СЕРВИСНЫЙ ОРИГИНАЛ (подлинное)</t>
  </si>
  <si>
    <t>Аккумулятор - замена на СНЯТЫЙ ОРИГИНАЛ (бу)</t>
  </si>
  <si>
    <t>Аккумулятор - замена на АНАЛОГ</t>
  </si>
  <si>
    <t>Аккумулятор - замена на АНАЛОГ (подлинное)</t>
  </si>
  <si>
    <t>Аккумулятор - замена на АНАЛОГ (бу)</t>
  </si>
  <si>
    <t>Аккумулятор - замена на АНАЛОГ (неизвестная деталь)</t>
  </si>
  <si>
    <t>Аккумулятор - замена с устранением уведомления | *цена под ключ</t>
  </si>
  <si>
    <t>Разъем зарядки - замена</t>
  </si>
  <si>
    <t>Дисплей - замена на СЕРВИСНЫЙ ОРИГИНАЛ (подлинное)</t>
  </si>
  <si>
    <t>Дисплей - замена на СНЯТЫЙ ОРИГИНАЛ</t>
  </si>
  <si>
    <t>Дисплей - замена на СНЯТЫЙ ОРИГИНАЛ (бу)</t>
  </si>
  <si>
    <t>Дисплей - замена на СНЯТЫЙ ОРИГИНАЛ (неизвестная деталь)</t>
  </si>
  <si>
    <t>Дисплей - замена на ВОССТАНОВЛЕННЫЙ ОРИГИНАЛ</t>
  </si>
  <si>
    <t>Дисплей - замена на ВОССТАНОВЛЕННЫЙ ОРИГИНАЛ (бу)</t>
  </si>
  <si>
    <t>Дисплей - замена на ВОССТАНОВЛЕННЫЙ ОРИГИНАЛ (неизвестная деталь)</t>
  </si>
  <si>
    <t>Дисплей - замена на АНАЛОГ</t>
  </si>
  <si>
    <t>Дисплей - замена на АНАЛОГ (бу)</t>
  </si>
  <si>
    <t>Дисплей - замена на АНАЛОГ (неизвестная деталь)</t>
  </si>
  <si>
    <t>Дисплей - устранение уведомления о замене</t>
  </si>
  <si>
    <t>Дисплей - замена (переклей) разбитого стекла</t>
  </si>
  <si>
    <t>Дисплей - замена (переклей) разбитого стекла с тачскрином</t>
  </si>
  <si>
    <t>Камера основная - замена</t>
  </si>
  <si>
    <t>Камера фронтальная - замена</t>
  </si>
  <si>
    <t>Камера - замена разбитого стекла | *цена за 1шт.</t>
  </si>
  <si>
    <t>Face ID - восстановление | *цена от, требуется диагностика</t>
  </si>
  <si>
    <t>Крышка (заднее стекло) - замена на СНЯТЫЙ ОРИГИНАЛ</t>
  </si>
  <si>
    <t>Крышка (заднее стекло) - замена на АНАЛОГ</t>
  </si>
  <si>
    <t>Корпус - замена</t>
  </si>
  <si>
    <t>Корпус (средняя часть) - замена</t>
  </si>
  <si>
    <t>Кнопка HOME - восстановление / замена</t>
  </si>
  <si>
    <t>Кнопки - восстановление / замена | *цена от, требуется диагностика</t>
  </si>
  <si>
    <t>Динамик полифонический (нижний, громкая связь) - замена</t>
  </si>
  <si>
    <t>Динамик разговорный (верхний, слуховой) - замена</t>
  </si>
  <si>
    <t>Микрофон - замена (один из..) | *требуется диагностика</t>
  </si>
  <si>
    <t>Ремонт платы - восстановление / замена | *цена от, требуется диагностика</t>
  </si>
  <si>
    <t>Профилактика после воды - восстановление | *цена от, требуется диагностика</t>
  </si>
  <si>
    <t>Модем - восстановление GSM сети | *цена от, требуется диагностика</t>
  </si>
  <si>
    <t>WiFi / Bluetooth - восстановление беспроводных сетей | *цена от, требуется диагностика</t>
  </si>
  <si>
    <t>iPhone 5</t>
  </si>
  <si>
    <t>iPhone 5С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</si>
  <si>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</si>
  <si>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</si>
  <si>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5S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</si>
  <si>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</si>
  <si>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</si>
  <si>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</si>
  <si>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</si>
  <si>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</si>
  <si>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SE 2016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</si>
  <si>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</si>
  <si>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</si>
  <si>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</si>
  <si>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</si>
  <si>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</si>
  <si>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6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</si>
  <si>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</si>
  <si>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</si>
  <si>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</si>
  <si>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</si>
  <si>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</si>
  <si>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</si>
  <si>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6 Plus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</si>
  <si>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</si>
  <si>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</si>
  <si>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</si>
  <si>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</si>
  <si>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</si>
  <si>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</si>
  <si>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6S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</si>
  <si>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</si>
  <si>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</si>
  <si>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</si>
  <si>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</si>
  <si>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</si>
  <si>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</si>
  <si>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6S Plus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</si>
  <si>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</si>
  <si>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</si>
  <si>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</si>
  <si>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</si>
  <si>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</si>
  <si>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</si>
  <si>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7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</si>
  <si>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</si>
  <si>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</si>
  <si>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</si>
  <si>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</si>
  <si>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</si>
  <si>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</si>
  <si>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7 Plus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</si>
  <si>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</si>
  <si>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</si>
  <si>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</si>
  <si>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</si>
  <si>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</si>
  <si>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</si>
  <si>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8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</si>
  <si>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</si>
  <si>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</si>
  <si>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</si>
  <si>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</si>
  <si>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</si>
  <si>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</si>
  <si>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8 Plus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</si>
  <si>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</si>
  <si>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</si>
  <si>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</si>
  <si>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</si>
  <si>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</si>
  <si>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</si>
  <si>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SE 2020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</si>
  <si>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</si>
  <si>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</si>
  <si>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</si>
  <si>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</si>
  <si>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</si>
  <si>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</si>
  <si>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SE 2022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</si>
  <si>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</si>
  <si>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</si>
  <si>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</si>
  <si>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</si>
  <si>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</si>
  <si>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</si>
  <si>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XR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</si>
  <si>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</si>
  <si>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</si>
  <si>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</si>
  <si>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</si>
  <si>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</si>
  <si>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X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</si>
  <si>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</si>
  <si>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</si>
  <si>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 с тачскрином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</si>
  <si>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</si>
  <si>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</si>
  <si>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</si>
  <si>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</si>
  <si>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XS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</si>
  <si>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</si>
  <si>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</si>
  <si>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 с тачскрином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</si>
  <si>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</si>
  <si>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</si>
  <si>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</si>
  <si>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</si>
  <si>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XS Max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</si>
  <si>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</si>
  <si>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</si>
  <si>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 с тачскрином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</si>
  <si>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</si>
  <si>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</si>
  <si>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</si>
  <si>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</si>
  <si>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11</t>
  </si>
  <si>
    <t>Дисплей - замена разбитого стекла</t>
  </si>
  <si>
    <t>iPhone 11 Pro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</si>
  <si>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</si>
  <si>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</si>
  <si>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 с тачскрином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</si>
  <si>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</si>
  <si>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</si>
  <si>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</si>
  <si>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</si>
  <si>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11 Pro Max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</si>
  <si>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</si>
  <si>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</si>
  <si>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 с тачскрином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</si>
  <si>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</si>
  <si>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</si>
  <si>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</si>
  <si>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</si>
  <si>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12</t>
  </si>
  <si>
    <t>Аккумулятор - замена на СЕРВИСНЫЙ ОРИГИНАЛ</t>
  </si>
  <si>
    <t>Аккумулятор - замена на СНЯТЫЙ ОРИГИНАЛ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</si>
  <si>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</si>
  <si>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t>Дисплей - замена на СЕРВИСНЫЙ ОРИГИНАЛ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</si>
  <si>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</si>
  <si>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 с тачскрином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</si>
  <si>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</si>
  <si>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</si>
  <si>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</si>
  <si>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</si>
  <si>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12 Mini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</si>
  <si>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</si>
  <si>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</si>
  <si>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 с тачскрином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</si>
  <si>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</si>
  <si>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</si>
  <si>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</si>
  <si>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</si>
  <si>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12 Pro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</si>
  <si>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</si>
  <si>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</si>
  <si>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 с тачскрином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</si>
  <si>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</si>
  <si>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</si>
  <si>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</si>
  <si>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</si>
  <si>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12 Pro Max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</si>
  <si>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</si>
  <si>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</si>
  <si>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 с тачскрином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</si>
  <si>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</si>
  <si>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</si>
  <si>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</si>
  <si>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</si>
  <si>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13</t>
  </si>
  <si>
    <t>Дисплей - замена разбитого стекла с тачскрином</t>
  </si>
  <si>
    <t>iPhone 13 Mini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</si>
  <si>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</si>
  <si>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</si>
  <si>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 с тачскрином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</si>
  <si>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</si>
  <si>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</si>
  <si>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</si>
  <si>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</si>
  <si>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13 Pro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</si>
  <si>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</si>
  <si>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</si>
  <si>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 с тачскрином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</si>
  <si>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</si>
  <si>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</si>
  <si>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</si>
  <si>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</si>
  <si>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13 Pro Max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</si>
  <si>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</si>
  <si>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</si>
  <si>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 с тачскрином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</si>
  <si>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</si>
  <si>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</si>
  <si>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</si>
  <si>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</si>
  <si>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14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</si>
  <si>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</si>
  <si>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</si>
  <si>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</si>
  <si>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</si>
  <si>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</si>
  <si>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</si>
  <si>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14 Plus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</si>
  <si>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</si>
  <si>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</si>
  <si>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</si>
  <si>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</si>
  <si>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</si>
  <si>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</si>
  <si>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14 Pro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</si>
  <si>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</si>
  <si>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</si>
  <si>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</si>
  <si>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</si>
  <si>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</si>
  <si>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</si>
  <si>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14 Pro Max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</si>
  <si>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</si>
  <si>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</si>
  <si>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</si>
  <si>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</si>
  <si>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</si>
  <si>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</si>
  <si>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15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</si>
  <si>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</si>
  <si>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</si>
  <si>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</si>
  <si>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</si>
  <si>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</si>
  <si>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</si>
  <si>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15 Plus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</si>
  <si>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</si>
  <si>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</si>
  <si>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</si>
  <si>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</si>
  <si>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</si>
  <si>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</si>
  <si>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15 Pro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</si>
  <si>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</si>
  <si>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</si>
  <si>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</si>
  <si>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</si>
  <si>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</si>
  <si>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</si>
  <si>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15 Pro Max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</si>
  <si>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</si>
  <si>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</si>
  <si>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</si>
  <si>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</si>
  <si>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</si>
  <si>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</si>
  <si>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16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</si>
  <si>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</si>
  <si>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</si>
  <si>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</si>
  <si>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</si>
  <si>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</si>
  <si>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</si>
  <si>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16E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</si>
  <si>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</si>
  <si>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</si>
  <si>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</si>
  <si>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</si>
  <si>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</si>
  <si>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</si>
  <si>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16 Plus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</si>
  <si>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</si>
  <si>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</si>
  <si>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</si>
  <si>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</si>
  <si>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</si>
  <si>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</si>
  <si>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16 Pro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</si>
  <si>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</si>
  <si>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</si>
  <si>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</si>
  <si>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</si>
  <si>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</si>
  <si>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</si>
  <si>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16 Pro Max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</si>
  <si>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</si>
  <si>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</si>
  <si>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</si>
  <si>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</si>
  <si>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</si>
  <si>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</si>
  <si>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17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</si>
  <si>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</si>
  <si>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</si>
  <si>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</si>
  <si>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</si>
  <si>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</si>
  <si>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</si>
  <si>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17 Air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</si>
  <si>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</si>
  <si>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</si>
  <si>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</si>
  <si>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</si>
  <si>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</si>
  <si>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</si>
  <si>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17 Pro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</si>
  <si>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</si>
  <si>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</si>
  <si>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</si>
  <si>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</si>
  <si>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</si>
  <si>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</si>
  <si>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iPhone 17 Pro Max</t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</si>
  <si>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Разъем зарядки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</si>
  <si>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Дисплей</t>
    </r>
    <r>
      <rPr>
        <rFont val="Comfortaa"/>
        <color theme="1"/>
        <sz val="8.0"/>
      </rPr>
      <t xml:space="preserve"> - замена разбитого стекла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</si>
  <si>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основная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</si>
  <si>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Камера фронтальная</t>
    </r>
    <r>
      <rPr>
        <rFont val="Comfortaa"/>
        <color theme="1"/>
        <sz val="8.0"/>
      </rPr>
      <t xml:space="preserve">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</si>
  <si>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полифонический</t>
    </r>
    <r>
      <rPr>
        <rFont val="Comfortaa"/>
        <color theme="1"/>
        <sz val="8.0"/>
      </rPr>
      <t xml:space="preserve"> (нижний, громкая связь) - замена</t>
    </r>
  </si>
  <si>
    <r>
      <rPr>
        <rFont val="Comfortaa"/>
        <color theme="1"/>
        <sz val="8.0"/>
      </rPr>
      <t/>
    </r>
    <r>
      <rPr>
        <rFont val="Comfortaa"/>
        <color theme="1"/>
        <sz val="8.0"/>
      </rPr>
      <t>Динамик разговор</t>
    </r>
    <r>
      <rPr>
        <rFont val="Comfortaa"/>
        <color theme="1"/>
        <sz val="8.0"/>
      </rPr>
      <t>ный (верхний, слуховой) - замена</t>
    </r>
  </si>
  <si>
    <t>КОД</t>
  </si>
  <si>
    <t>ЦЕНА</t>
  </si>
  <si>
    <t>Услуга</t>
  </si>
  <si>
    <t>Время</t>
  </si>
  <si>
    <t>Цена "ОТ"</t>
  </si>
  <si>
    <t>Гарантия</t>
  </si>
  <si>
    <t>Ссылка</t>
  </si>
  <si>
    <t>Описание</t>
  </si>
  <si>
    <t>ЗАВИСИМОСТЬ</t>
  </si>
  <si>
    <t>782129785272454612</t>
  </si>
  <si>
    <t>Замена стекла</t>
  </si>
  <si>
    <t>30 мин</t>
  </si>
  <si>
    <t>90 дней</t>
  </si>
  <si>
    <t>https://maxmobiles.ru/zamena-stekla-iphone-17-pro-max/</t>
  </si>
  <si>
    <t>При поломке только стекла на Вашем аппарате, без ущерба для дисплея и сенсора, возможна замена только стекла. Мы выполняем эту процедуру с использованием профессионального оборудования, обеспечивая сохранение оригинального экрана</t>
  </si>
  <si>
    <t>7821297852724555125</t>
  </si>
  <si>
    <t>Замена дисплея (копия)</t>
  </si>
  <si>
    <t>уточняйте</t>
  </si>
  <si>
    <t>https://maxmobiles.ru/zamena-displeya-iphone-17-pro-max-kopiya/</t>
  </si>
  <si>
    <t>У нас есть несколько вариантов копий на любой кошелек! Разница заключается в цветопередаче и возможности использования функции True Tone</t>
  </si>
  <si>
    <t>782129785272454591</t>
  </si>
  <si>
    <t>Замена дисплея (оригинал)</t>
  </si>
  <si>
    <t>цена от</t>
  </si>
  <si>
    <t>https://maxmobiles.ru/zamena-displeya-iphone-17-pro-max/</t>
  </si>
  <si>
    <t>Хотите, чтобы всё работало как по-старому? Тогда оригинальный дисплей — ваш выбор. Сохранится цветопередача, Face ID и True Tone</t>
  </si>
  <si>
    <t xml:space="preserve">типа запчасти </t>
  </si>
  <si>
    <t>782129785272454630</t>
  </si>
  <si>
    <t>Замена заднего стекла</t>
  </si>
  <si>
    <t>120 мин</t>
  </si>
  <si>
    <t>180 дней</t>
  </si>
  <si>
    <t>https://maxmobiles.ru/zamena-zadney-kryshki-stekla-iphone-17-pro-max/</t>
  </si>
  <si>
    <t>Повреждённая задняя панель не только ухудшает внешний вид смартфона, но и может стать источником микроскопических осколков. В Макмобайлс мы применяем лазерную технологию для замены стекла, что обеспечивает безопасность и сохранность аппарата</t>
  </si>
  <si>
    <t>типа запчасти</t>
  </si>
  <si>
    <t>782129785272454633</t>
  </si>
  <si>
    <t>Чистка после попадания воды</t>
  </si>
  <si>
    <t>https://maxmobiles.ru/profilaktika-posle-vody-iphone-17-pro-max/</t>
  </si>
  <si>
    <t>Apple заявляет, что их гаджеты надёжно защищены от воды, но это не так. При этом не сохраняется официальная гарантия. Протрите, отключите телефон и бегом в сервис!</t>
  </si>
  <si>
    <t>повреждения</t>
  </si>
  <si>
    <t>782129785272454566</t>
  </si>
  <si>
    <t>Замена аккумулятора</t>
  </si>
  <si>
    <t>35 мин</t>
  </si>
  <si>
    <t>https://maxmobiles.ru/zamena-akkumulyatora-iphone-17-pro-max/</t>
  </si>
  <si>
    <t>Аккумулятор нетрудно заменить, однако проблема может быть не в нём. Приходите на диагностику, и мы разберёмся, что нужно менять: АКБ, контроллер питания или разъём зарядки</t>
  </si>
  <si>
    <t>782129785272454590</t>
  </si>
  <si>
    <t>Замена разъема зарядки</t>
  </si>
  <si>
    <t>https://maxmobiles.ru/zamena-razema-zaryadki-iphone-17-pro-max/</t>
  </si>
  <si>
    <t>Почему iPhone не заряжается? Это может быть как проблема с батареей, контроллером питания или разъёмом зарядки. Если причина неочевидна, определить её поможет диагностика</t>
  </si>
  <si>
    <t>782129785272454629</t>
  </si>
  <si>
    <t>Замена микрофона</t>
  </si>
  <si>
    <t>https://maxmobiles.ru/zamena-mikrofona-iphone-17-pro-max/</t>
  </si>
  <si>
    <t>Эту поломку легко обнаружить при разговоре или записи, но устранить её сможет только квалифицированный мастер, ведь нужно разбирать устройство и менять шлейфы</t>
  </si>
  <si>
    <t>782129785272454621</t>
  </si>
  <si>
    <t>Замена динамика</t>
  </si>
  <si>
    <t>https://maxmobiles.ru/zamena-dinamika-gromkoy-svyazi-iphone-17-pro-max/</t>
  </si>
  <si>
    <t>Динамик iPhone хрипит? Это могло произойти из-за воды, грязи или механического повреждения. Не рискуйте техникой — обращайтесь в наш сервис</t>
  </si>
  <si>
    <t>782129785272454572</t>
  </si>
  <si>
    <t>Замена слухового динамика</t>
  </si>
  <si>
    <t>https://maxmobiles.ru/zamena-dinamika-iphone-17-pro-max/</t>
  </si>
  <si>
    <t>На замену верхнего динамика, как и нижнего, предоставляется гарантия 90 дней. Процедура нужна, если Вы не слышите собеседника, звук верхнего динамика отсутствует</t>
  </si>
  <si>
    <t>782129785272454594</t>
  </si>
  <si>
    <t>Замена камеры</t>
  </si>
  <si>
    <t>40 мин</t>
  </si>
  <si>
    <t>https://maxmobiles.ru/zamena-osnovnoy-kamery-iphone-17-pro-max/</t>
  </si>
  <si>
    <t>Не работает камера iPhone? Приходите в сервис на диагностику. Выявим все неполадки и устраним в кратчайшие сроки</t>
  </si>
  <si>
    <t>782129785272454597</t>
  </si>
  <si>
    <t>Замена фронтальной камеры</t>
  </si>
  <si>
    <t>https://maxmobiles.ru/zamena-frontalnoy-kamery-iphone-17-pro-max/</t>
  </si>
  <si>
    <t>Почему камера на Айфоне не работает? Проблема может быть в сбое ПО, механических повреждениях, замыкании</t>
  </si>
  <si>
    <t>782129785272454615</t>
  </si>
  <si>
    <t>Замена стекла камеры</t>
  </si>
  <si>
    <t>https://maxmobiles.ru/zamena-stekla-kamery-iphone-17-pro-max/</t>
  </si>
  <si>
    <t>Повреждения камеры, проявляющиеся в виде отказа макросъемки и проблем с фокусировкой, обычно связаны с загрязнением подвижного объектива мелкими частицами. Если в камеру попала пыль или осколки стекла, это может нарушить её нормальную работу</t>
  </si>
  <si>
    <t>782129785272454603</t>
  </si>
  <si>
    <t>Замена корпуса</t>
  </si>
  <si>
    <t>60 мин</t>
  </si>
  <si>
    <t>https://maxmobiles.ru/zamena-korpusa-iphone-17-pro-max/</t>
  </si>
  <si>
    <t>Для замены корпуса потребуется полная разборка аппарата. Не стоит поручать столь ответственную процедуру дилетантам. Сертифицированные инженеры Максмобайлс быстро и качественно выполнят все ремонтные работы и Ваш гаджет будет как новый</t>
  </si>
  <si>
    <t>782129785272454628</t>
  </si>
  <si>
    <t>Ремонт кнопок</t>
  </si>
  <si>
    <t>https://maxmobiles.ru/zamena-knopok-iphone-17-pro-max/</t>
  </si>
  <si>
    <t>Регулировка громкости связана с другими элементами — кнопкой блокировки, переключателем вибро-режима, датчиком приближения и вспышкой. Эти детали объединяются верхним шлейфом, из-за чего при его повреждении может понадобиться комплексный ремонт</t>
  </si>
  <si>
    <t>78212978527245362</t>
  </si>
  <si>
    <t>Прошивка</t>
  </si>
  <si>
    <t>https://maxmobiles.ru/proshivka-bez-rezervnoy-kopii-iphone-11/</t>
  </si>
  <si>
    <t>Только после оценки состояния Вашего девайса и выявления всех неполадок наш специалист сможет определить, нужна ли восстановительная прошивка или полная замена системного ПО</t>
  </si>
  <si>
    <t>782129785272455011</t>
  </si>
  <si>
    <t>Ремонт материнской платы</t>
  </si>
  <si>
    <t>180 мин</t>
  </si>
  <si>
    <t>https://maxmobiles.ru/remont-platy-iphone-17-pro-max/</t>
  </si>
  <si>
    <t>Инженеры Максмобайлс проведут комплексную диагностику вашего iPhone, чтобы точно определить проблему. Мы используем современное оборудование для выявления неисправностей и восстановления работоспособности платы</t>
  </si>
  <si>
    <t>782129785272454583</t>
  </si>
  <si>
    <t>Ремонт Face ID</t>
  </si>
  <si>
    <t>https://maxmobiles.ru/remont-face-id-iphone-17-pro-max/</t>
  </si>
  <si>
    <t>Если повредилась камера TrueDepth, распознавание лица не происходит либо вовсе невозможно, требуется замена Face ID</t>
  </si>
  <si>
    <t>782129785272454577</t>
  </si>
  <si>
    <t>https://maxmobiles.ru/zamena-stekla-iphone-17-pro/</t>
  </si>
  <si>
    <t>7821297852724555129</t>
  </si>
  <si>
    <t>https://maxmobiles.ru/zamena-displeya-iphone-17-pro-kopiya/</t>
  </si>
  <si>
    <t>782129785272454639</t>
  </si>
  <si>
    <t>https://maxmobiles.ru/zamena-displeya-iphone-17-pro/</t>
  </si>
  <si>
    <t>782129785272454635</t>
  </si>
  <si>
    <t>https://maxmobiles.ru/zamena-zadney-kryshki-stekla-iphone-17-pro/</t>
  </si>
  <si>
    <t>782129785272454647</t>
  </si>
  <si>
    <t>https://maxmobiles.ru/profilaktika-posle-vody-iphone-17-pro/</t>
  </si>
  <si>
    <t>782129785272454579</t>
  </si>
  <si>
    <t>https://maxmobiles.ru/zamena-akkumulyatora-iphone-17-pro/</t>
  </si>
  <si>
    <t>782129785272454642</t>
  </si>
  <si>
    <t>https://maxmobiles.ru/zamena-razema-zaryadki-iphone-17-pro/</t>
  </si>
  <si>
    <t>782129785272454645</t>
  </si>
  <si>
    <t>https://maxmobiles.ru/zamena-mikrofona-iphone-17-pro/</t>
  </si>
  <si>
    <t>782129785272454585</t>
  </si>
  <si>
    <t>https://maxmobiles.ru/zamena-dinamika-gromkoy-svyazi-iphone-17-pro/</t>
  </si>
  <si>
    <t>782129785272454620</t>
  </si>
  <si>
    <t>https://maxmobiles.ru/zamena-dinamika-iphone-17-pro/</t>
  </si>
  <si>
    <t>782129785272454623</t>
  </si>
  <si>
    <t>https://maxmobiles.ru/zamena-osnovnoy-kamery-iphone-17-pro/</t>
  </si>
  <si>
    <t>782129785272454626</t>
  </si>
  <si>
    <t>https://maxmobiles.ru/zamena-frontalnoy-kamery-iphone-17-pro/</t>
  </si>
  <si>
    <t>782129785272454605</t>
  </si>
  <si>
    <t>https://maxmobiles.ru/zamena-stekla-kamery-iphone-17-pro/</t>
  </si>
  <si>
    <t>782129785272454617</t>
  </si>
  <si>
    <t>https://maxmobiles.ru/zamena-korpusa-iphone-17-pro/</t>
  </si>
  <si>
    <t>782129785272454614</t>
  </si>
  <si>
    <t>https://maxmobiles.ru/zamena-knopok-iphone-17-pro/</t>
  </si>
  <si>
    <t>782129785272455010</t>
  </si>
  <si>
    <t>https://maxmobiles.ru/remont-platy-iphone-17-pro/</t>
  </si>
  <si>
    <t>782129785272454588</t>
  </si>
  <si>
    <t>https://maxmobiles.ru/remont-face-id-iphone-17-pro/</t>
  </si>
  <si>
    <t>782129785272454571</t>
  </si>
  <si>
    <t>https://maxmobiles.ru/zamena-stekla-iphone-air/</t>
  </si>
  <si>
    <t>7821297852724555130</t>
  </si>
  <si>
    <t>https://maxmobiles.ru/zamena-displeya-iphone-air-kopiya/</t>
  </si>
  <si>
    <t>782129785272454604</t>
  </si>
  <si>
    <t>https://maxmobiles.ru/zamena-displeya-iphone-air/</t>
  </si>
  <si>
    <t>782129785272454584</t>
  </si>
  <si>
    <t>https://maxmobiles.ru/zamena-zadney-kryshki-stekla-iphone-air/</t>
  </si>
  <si>
    <t>782129785272454602</t>
  </si>
  <si>
    <t>https://maxmobiles.ru/profilaktika-posle-vody-iphone-air/</t>
  </si>
  <si>
    <t>782129785272454613</t>
  </si>
  <si>
    <t>https://maxmobiles.ru/zamena-akkumulyatora-iphone-air/</t>
  </si>
  <si>
    <t>782129785272454568</t>
  </si>
  <si>
    <t>https://maxmobiles.ru/zamena-razema-zaryadki-iphone-air/</t>
  </si>
  <si>
    <t>782129785272454576</t>
  </si>
  <si>
    <t>https://maxmobiles.ru/zamena-mikrofona-iphone-air/</t>
  </si>
  <si>
    <t>782129785272454573</t>
  </si>
  <si>
    <t>https://maxmobiles.ru/zamena-dinamika-gromkoy-svyazi-iphone-air/</t>
  </si>
  <si>
    <t>782129785272454586</t>
  </si>
  <si>
    <t>https://maxmobiles.ru/zamena-dinamika-iphone-air/</t>
  </si>
  <si>
    <t>782129785272454644</t>
  </si>
  <si>
    <t>https://maxmobiles.ru/zamena-osnovnoy-kamery-iphone-air/</t>
  </si>
  <si>
    <t>782129785272454570</t>
  </si>
  <si>
    <t>https://maxmobiles.ru/zamena-frontalnoy-kamery-iphone-air/</t>
  </si>
  <si>
    <t>782129785272454581</t>
  </si>
  <si>
    <t>https://maxmobiles.ru/zamena-stekla-kamery-iphone-air/</t>
  </si>
  <si>
    <t>782129785272454563</t>
  </si>
  <si>
    <t>https://maxmobiles.ru/zamena-korpusa-iphone-air/</t>
  </si>
  <si>
    <t>782129785272454561</t>
  </si>
  <si>
    <t>https://maxmobiles.ru/zamena-knopok-iphone-air/</t>
  </si>
  <si>
    <t>782129785272455012</t>
  </si>
  <si>
    <t>https://maxmobiles.ru/remont-platy-iphone-air/</t>
  </si>
  <si>
    <t>782129785272454569</t>
  </si>
  <si>
    <t>https://maxmobiles.ru/remont-face-id-iphone-air/</t>
  </si>
  <si>
    <t>782129785272454557</t>
  </si>
  <si>
    <t>https://maxmobiles.ru/zamena-stekla-iphone-17/</t>
  </si>
  <si>
    <t>7821297852724555128</t>
  </si>
  <si>
    <t>https://maxmobiles.ru/zamena-displeya-iphone-17-kopiya/</t>
  </si>
  <si>
    <t>782129785272454631</t>
  </si>
  <si>
    <t>https://maxmobiles.ru/zamena-displeya-iphone-17/</t>
  </si>
  <si>
    <t>782129785272454593</t>
  </si>
  <si>
    <t>https://maxmobiles.ru/zamena-zadney-kryshki-stekla-iphone-17/</t>
  </si>
  <si>
    <t>782129785272454552</t>
  </si>
  <si>
    <t>https://maxmobiles.ru/profilaktika-posle-vody-iphone-17/</t>
  </si>
  <si>
    <t>782129785272454589</t>
  </si>
  <si>
    <t>https://maxmobiles.ru/zamena-akkumulyatora-iphone-17/</t>
  </si>
  <si>
    <t>782129785272454558</t>
  </si>
  <si>
    <t>https://maxmobiles.ru/zamena-razema-zaryadki-iphone-17/</t>
  </si>
  <si>
    <t>782129785272454560</t>
  </si>
  <si>
    <t>https://maxmobiles.ru/zamena-mikrofona-iphone-17/</t>
  </si>
  <si>
    <t>782129785272454625</t>
  </si>
  <si>
    <t>https://maxmobiles.ru/zamena-dinamika-gromkoy-svyazi-iphone-17/</t>
  </si>
  <si>
    <t>782129785272454606</t>
  </si>
  <si>
    <t>https://maxmobiles.ru/zamena-dinamika-iphone-17/</t>
  </si>
  <si>
    <t>782129785272454559</t>
  </si>
  <si>
    <t>https://maxmobiles.ru/zamena-osnovnoy-kamery-iphone-17/</t>
  </si>
  <si>
    <t>782129785272454555</t>
  </si>
  <si>
    <t>https://maxmobiles.ru/zamena-frontalnoy-kamery-iphone-17/</t>
  </si>
  <si>
    <t>782129785272454556</t>
  </si>
  <si>
    <t>https://maxmobiles.ru/zamena-stekla-kamery-iphone-17/</t>
  </si>
  <si>
    <t>782129785272454611</t>
  </si>
  <si>
    <t>https://maxmobiles.ru/zamena-korpusa-iphone-17/</t>
  </si>
  <si>
    <t>782129785272454627</t>
  </si>
  <si>
    <t>https://maxmobiles.ru/zamena-knopok-iphone-17/</t>
  </si>
  <si>
    <t>782129785272455009</t>
  </si>
  <si>
    <t>https://maxmobiles.ru/remont-platy-iphone-17/</t>
  </si>
  <si>
    <t>782129785272454553</t>
  </si>
  <si>
    <t>https://maxmobiles.ru/remont-face-id-iphone-17/</t>
  </si>
  <si>
    <t>782129785272454051</t>
  </si>
  <si>
    <t>https://maxmobiles.ru/displey-zamena-razbitogo-stekla-iphone-16-pro-max/</t>
  </si>
  <si>
    <t>782129785272454074</t>
  </si>
  <si>
    <t>https://maxmobiles.ru/displey-kopiya-vysochayshego-kachestva-zamena-iphone-16-pro-max/</t>
  </si>
  <si>
    <t>782129785272454216</t>
  </si>
  <si>
    <t>https://maxmobiles.ru/displey-snyatyy-original-bez-privyazki-zamena-iphone-16-pro-max/</t>
  </si>
  <si>
    <t>782129785272454185</t>
  </si>
  <si>
    <t>https://maxmobiles.ru/zadnyaya-kryshka-kopiya-vysochayshego-kachestva-zamena-stekla-iphone-16-pro-max/</t>
  </si>
  <si>
    <t>782129785272454068</t>
  </si>
  <si>
    <t>https://maxmobiles.ru/profilaktika-posle-vody-vosstanovlenie-cena-ot-trebuetsya-diagnostika-iphone-16-pro-max/</t>
  </si>
  <si>
    <t>782129785272454058</t>
  </si>
  <si>
    <t>https://maxmobiles.ru/akkumulyator-original-zamena-iphone-16-pro-max/</t>
  </si>
  <si>
    <t>782129785272454060</t>
  </si>
  <si>
    <t>https://maxmobiles.ru/razem-zaryadki-zamena-iphone-16-pro-max/</t>
  </si>
  <si>
    <t>782129785272454154</t>
  </si>
  <si>
    <t>https://maxmobiles.ru/mikrofon-zamena-odin-iz-iphone-16-pro-max/</t>
  </si>
  <si>
    <t>782129785272454106</t>
  </si>
  <si>
    <t>https://maxmobiles.ru/dinamik-polifonicheskiy-nizhniy-gromkaya-svyaz-zamena-iphone-16-pro-max/</t>
  </si>
  <si>
    <t>782129785272454198</t>
  </si>
  <si>
    <t>https://maxmobiles.ru/dinamik-razgovornyy-verhniy-sluhovoy-zamena-iphone-16-pro-max/</t>
  </si>
  <si>
    <t>782129785272454108</t>
  </si>
  <si>
    <t>https://maxmobiles.ru/kamera-osnovnaya-zadnyaya-zamena-iphone-16-pro-max/</t>
  </si>
  <si>
    <t>782129785272454173</t>
  </si>
  <si>
    <t>https://maxmobiles.ru/kamera-frontalnaya-perednyaya-zamena-iphone-16-pro-max/</t>
  </si>
  <si>
    <t>782129785272454123</t>
  </si>
  <si>
    <t>https://maxmobiles.ru/kamera-zamena-razbitogo-stekla-odno-iz-iphone-16-pro-max/</t>
  </si>
  <si>
    <t>782129785272454048</t>
  </si>
  <si>
    <t>https://maxmobiles.ru/korpus-kopiya-vysochayshego-kachestva-zamena-iphone-16-pro-max/</t>
  </si>
  <si>
    <t>782129785272454215</t>
  </si>
  <si>
    <t>https://maxmobiles.ru/knopka-vklyucheniya-gromkosti-deystviya-vosstanovlenie-zamena-iphone-16-pro-max/</t>
  </si>
  <si>
    <t>782129785272455008</t>
  </si>
  <si>
    <t>https://maxmobiles.ru/remont-platy-iphone-16-pro-max/</t>
  </si>
  <si>
    <t>782129785272454111</t>
  </si>
  <si>
    <t>https://maxmobiles.ru/face-id-vosstanovlenie-zamena-cena-ot-trebuetsya-diagnostika-iphone-16-pro-max/</t>
  </si>
  <si>
    <t>782129785272454125</t>
  </si>
  <si>
    <t>https://maxmobiles.ru/displey-zamena-razbitogo-stekla-iphone-16-pro/</t>
  </si>
  <si>
    <t>782129785272454160</t>
  </si>
  <si>
    <t>https://maxmobiles.ru/displey-kopiya-vysochayshego-kachestva-zamena-iphone-16-pro/</t>
  </si>
  <si>
    <t>782129785272454105</t>
  </si>
  <si>
    <t>https://maxmobiles.ru/displey-snyatyy-original-bez-privyazki-zamena-iphone-16-pro/</t>
  </si>
  <si>
    <t>782129785272454176</t>
  </si>
  <si>
    <t>https://maxmobiles.ru/zadnyaya-kryshka-kopiya-vysochayshego-kachestva-zamena-stekla-iphone-16-pro/</t>
  </si>
  <si>
    <t>782129785272454067</t>
  </si>
  <si>
    <t>https://maxmobiles.ru/profilaktika-posle-vody-vosstanovlenie-cena-ot-trebuetsya-diagnostika-iphone-16-pro/</t>
  </si>
  <si>
    <t>782129785272454100</t>
  </si>
  <si>
    <t>https://maxmobiles.ru/akkumulyator-original-zamena-iphone-16-pro/</t>
  </si>
  <si>
    <t>782129785272454083</t>
  </si>
  <si>
    <t>https://maxmobiles.ru/razem-zaryadki-zamena-iphone-16-pro/</t>
  </si>
  <si>
    <t>782129785272454195</t>
  </si>
  <si>
    <t>https://maxmobiles.ru/mikrofon-zamena-odin-iz-iphone-16-pro/</t>
  </si>
  <si>
    <t>782129785272454172</t>
  </si>
  <si>
    <t>https://maxmobiles.ru/dinamik-polifonicheskiy-nizhniy-gromkaya-svyaz-zamena-iphone-16-pro/</t>
  </si>
  <si>
    <t>782129785272454135</t>
  </si>
  <si>
    <t>https://maxmobiles.ru/dinamik-razgovornyy-verhniy-sluhovoy-zamena-iphone-16-pro/</t>
  </si>
  <si>
    <t>782129785272454098</t>
  </si>
  <si>
    <t>https://maxmobiles.ru/kamera-osnovnaya-zadnyaya-zamena-iphone-16-pro/</t>
  </si>
  <si>
    <t>782129785272454148</t>
  </si>
  <si>
    <t>https://maxmobiles.ru/kamera-frontalnaya-perednyaya-zamena-iphone-16-pro/</t>
  </si>
  <si>
    <t>782129785272454052</t>
  </si>
  <si>
    <t>https://maxmobiles.ru/kamera-zamena-razbitogo-stekla-odno-iz-iphone-16-pro/</t>
  </si>
  <si>
    <t>782129785272454145</t>
  </si>
  <si>
    <t>https://maxmobiles.ru/korpus-kopiya-vysochayshego-kachestva-zamena-iphone-16-pro/</t>
  </si>
  <si>
    <t>782129785272454139</t>
  </si>
  <si>
    <t>https://maxmobiles.ru/knopka-vklyucheniya-gromkosti-deystviya-vosstanovlenie-zamena-iphone-16-pro/</t>
  </si>
  <si>
    <t>782129785272455007</t>
  </si>
  <si>
    <t>https://maxmobiles.ru/remont-platy-iphone-16-pro/</t>
  </si>
  <si>
    <t>782129785272454130</t>
  </si>
  <si>
    <t>https://maxmobiles.ru/face-id-vosstanovlenie-zamena-cena-ot-trebuetsya-diagnostika-iphone-16-pro/</t>
  </si>
  <si>
    <t>782129785272454069</t>
  </si>
  <si>
    <t>https://maxmobiles.ru/displey-zamena-razbitogo-stekla-iphone-16-plus/</t>
  </si>
  <si>
    <t>782129785272454168</t>
  </si>
  <si>
    <t>https://maxmobiles.ru/displey-kopiya-vysochayshego-kachestva-zamena-iphone-16-plus/</t>
  </si>
  <si>
    <t>782129785272454166</t>
  </si>
  <si>
    <t>https://maxmobiles.ru/displey-snyatyy-original-bez-privyazki-zamena-iphone-16-plus/</t>
  </si>
  <si>
    <t>782129785272454202</t>
  </si>
  <si>
    <t>https://maxmobiles.ru/zadnyaya-kryshka-kopiya-vysochayshego-kachestva-zamena-stekla-iphone-16-plus/</t>
  </si>
  <si>
    <t>782129785272454097</t>
  </si>
  <si>
    <t>https://maxmobiles.ru/profilaktika-posle-vody-vosstanovlenie-cena-ot-trebuetsya-diagnostika-iphone-16-plus/</t>
  </si>
  <si>
    <t>782129785272454211</t>
  </si>
  <si>
    <t>https://maxmobiles.ru/akkumulyator-original-zamena-iphone-16-plus/</t>
  </si>
  <si>
    <t>782129785272454150</t>
  </si>
  <si>
    <t>https://maxmobiles.ru/razem-zaryadki-zamena-iphone-16-plus/</t>
  </si>
  <si>
    <t>782129785272454116</t>
  </si>
  <si>
    <t>https://maxmobiles.ru/mikrofon-zamena-odin-iz-iphone-16-plus/</t>
  </si>
  <si>
    <t>782129785272454199</t>
  </si>
  <si>
    <t>https://maxmobiles.ru/dinamik-polifonicheskiy-nizhniy-gromkaya-svyaz-zamena-iphone-16-plus/</t>
  </si>
  <si>
    <t>782129785272454132</t>
  </si>
  <si>
    <t>https://maxmobiles.ru/dinamik-razgovornyy-verhniy-sluhovoy-zamena-iphone-16-plus/</t>
  </si>
  <si>
    <t>782129785272454179</t>
  </si>
  <si>
    <t>https://maxmobiles.ru/kamera-osnovnaya-zadnyaya-zamena-iphone-16-plus/</t>
  </si>
  <si>
    <t>782129785272454209</t>
  </si>
  <si>
    <t>https://maxmobiles.ru/kamera-frontalnaya-perednyaya-zamena-iphone-16-plus/</t>
  </si>
  <si>
    <t>782129785272454124</t>
  </si>
  <si>
    <t>https://maxmobiles.ru/kamera-zamena-razbitogo-stekla-odno-iz-iphone-16-plus/</t>
  </si>
  <si>
    <t>782129785272454212</t>
  </si>
  <si>
    <t>https://maxmobiles.ru/korpus-kopiya-vysochayshego-kachestva-zamena-iphone-16-plus/</t>
  </si>
  <si>
    <t>782129785272454127</t>
  </si>
  <si>
    <t>https://maxmobiles.ru/knopka-vklyucheniya-gromkosti-deystviya-vosstanovlenie-zamena-iphone-16-plus/</t>
  </si>
  <si>
    <t>782129785272455006</t>
  </si>
  <si>
    <t>https://maxmobiles.ru/remont-platy-iphone-16-plus/</t>
  </si>
  <si>
    <t>782129785272454193</t>
  </si>
  <si>
    <t>https://maxmobiles.ru/face-id-vosstanovlenie-zamena-cena-ot-trebuetsya-diagnostika-iphone-16-plus/</t>
  </si>
  <si>
    <t>782129785272454183</t>
  </si>
  <si>
    <t>https://maxmobiles.ru/displey-zamena-razbitogo-stekla-iphone-16e/</t>
  </si>
  <si>
    <t>782129785272454122</t>
  </si>
  <si>
    <t>https://maxmobiles.ru/displey-kopiya-vysochayshego-kachestva-zamena-iphone-16e/</t>
  </si>
  <si>
    <t>782129785272454095</t>
  </si>
  <si>
    <t>https://maxmobiles.ru/displey-snyatyy-original-bez-privyazki-zamena-iphone-16e/</t>
  </si>
  <si>
    <t>782129785272454155</t>
  </si>
  <si>
    <t>https://maxmobiles.ru/zadnyaya-kryshka-kopiya-vysochayshego-kachestva-zamena-stekla-iphone-16e/</t>
  </si>
  <si>
    <t>782129785272454082</t>
  </si>
  <si>
    <t>https://maxmobiles.ru/profilaktika-posle-vody-vosstanovlenie-cena-ot-trebuetsya-diagnostika-iphone-16e/</t>
  </si>
  <si>
    <t>782129785272454187</t>
  </si>
  <si>
    <t>https://maxmobiles.ru/akkumulyator-original-zamena-iphone-16e/</t>
  </si>
  <si>
    <t>782129785272454177</t>
  </si>
  <si>
    <t>https://maxmobiles.ru/razem-zaryadki-zamena-iphone-16e/</t>
  </si>
  <si>
    <t>782129785272454161</t>
  </si>
  <si>
    <t>https://maxmobiles.ru/mikrofon-zamena-odin-iz-iphone-16e/</t>
  </si>
  <si>
    <t>782129785272454205</t>
  </si>
  <si>
    <t>https://maxmobiles.ru/dinamik-polifonicheskiy-nizhniy-gromkaya-svyaz-zamena-iphone-16e/</t>
  </si>
  <si>
    <t>782129785272454079</t>
  </si>
  <si>
    <t>https://maxmobiles.ru/dinamik-razgovornyy-verhniy-sluhovoy-zamena-iphone-16e/</t>
  </si>
  <si>
    <t>782129785272454115</t>
  </si>
  <si>
    <t>https://maxmobiles.ru/kamera-osnovnaya-zadnyaya-zamena-iphone-16e/</t>
  </si>
  <si>
    <t>782129785272454169</t>
  </si>
  <si>
    <t>https://maxmobiles.ru/kamera-frontalnaya-perednyaya-zamena-iphone-16e/</t>
  </si>
  <si>
    <t>782129785272454218</t>
  </si>
  <si>
    <t>https://maxmobiles.ru/kamera-zamena-razbitogo-stekla-odno-iz-iphone-16e/</t>
  </si>
  <si>
    <t>782129785272454200</t>
  </si>
  <si>
    <t>https://maxmobiles.ru/korpus-kopiya-vysochayshego-kachestva-zamena-iphone-16e/</t>
  </si>
  <si>
    <t>782129785272454134</t>
  </si>
  <si>
    <t>https://maxmobiles.ru/knopka-vklyucheniya-gromkosti-deystviya-vosstanovlenie-zamena-iphone-16e/</t>
  </si>
  <si>
    <t>782129785272455005</t>
  </si>
  <si>
    <t>https://maxmobiles.ru/remont-platy-iphone-16e/</t>
  </si>
  <si>
    <t>782129785272454072</t>
  </si>
  <si>
    <t>https://maxmobiles.ru/face-id-vosstanovlenie-zamena-cena-ot-trebuetsya-diagnostika-iphone-16e/</t>
  </si>
  <si>
    <t>782129785272454149</t>
  </si>
  <si>
    <t>https://maxmobiles.ru/displey-zamena-razbitogo-stekla-iphone-16/</t>
  </si>
  <si>
    <t>782129785272454091</t>
  </si>
  <si>
    <t>https://maxmobiles.ru/displey-kopiya-vysochayshego-kachestva-zamena-iphone-16/</t>
  </si>
  <si>
    <t>782129785272454110</t>
  </si>
  <si>
    <t>https://maxmobiles.ru/displey-snyatyy-original-bez-privyazki-zamena-iphone-16/</t>
  </si>
  <si>
    <t>782129785272454188</t>
  </si>
  <si>
    <t>https://maxmobiles.ru/zadnyaya-kryshka-kopiya-vysochayshego-kachestva-zamena-stekla-iphone-16/</t>
  </si>
  <si>
    <t>782129785272454138</t>
  </si>
  <si>
    <t>https://maxmobiles.ru/profilaktika-posle-vody-vosstanovlenie-cena-ot-trebuetsya-diagnostika-iphone-16/</t>
  </si>
  <si>
    <t>782129785272454186</t>
  </si>
  <si>
    <t>https://maxmobiles.ru/akkumulyator-original-zamena-iphone-16/</t>
  </si>
  <si>
    <t>782129785272454171</t>
  </si>
  <si>
    <t>https://maxmobiles.ru/razem-zaryadki-zamena-iphone-16/</t>
  </si>
  <si>
    <t>782129785272454117</t>
  </si>
  <si>
    <t>https://maxmobiles.ru/mikrofon-zamena-odin-iz-iphone-16/</t>
  </si>
  <si>
    <t>782129785272454144</t>
  </si>
  <si>
    <t>https://maxmobiles.ru/dinamik-polifonicheskiy-nizhniy-gromkaya-svyaz-zamena-iphone-16/</t>
  </si>
  <si>
    <t>782129785272454066</t>
  </si>
  <si>
    <t>https://maxmobiles.ru/dinamik-razgovornyy-verhniy-sluhovoy-zamena-iphone-16/</t>
  </si>
  <si>
    <t>782129785272454114</t>
  </si>
  <si>
    <t>https://maxmobiles.ru/kamera-osnovnaya-zadnyaya-zamena-iphone-16/</t>
  </si>
  <si>
    <t>782129785272454089</t>
  </si>
  <si>
    <t>https://maxmobiles.ru/kamera-frontalnaya-perednyaya-zamena-iphone-16/</t>
  </si>
  <si>
    <t>782129785272454086</t>
  </si>
  <si>
    <t>https://maxmobiles.ru/kamera-zamena-razbitogo-stekla-odno-iz-iphone-16/</t>
  </si>
  <si>
    <t>782129785272454213</t>
  </si>
  <si>
    <t>https://maxmobiles.ru/korpus-kopiya-vysochayshego-kachestva-zamena-iphone-16/</t>
  </si>
  <si>
    <t>782129785272454151</t>
  </si>
  <si>
    <t>https://maxmobiles.ru/knopka-vklyucheniya-gromkosti-deystviya-vosstanovlenie-zamena-iphone-16/</t>
  </si>
  <si>
    <t>782129785272455004</t>
  </si>
  <si>
    <t>https://maxmobiles.ru/remont-platy-iphone-16/</t>
  </si>
  <si>
    <t>782129785272454093</t>
  </si>
  <si>
    <t>https://maxmobiles.ru/face-id-vosstanovlenie-zamena-cena-ot-trebuetsya-diagnostika-iphone-16/</t>
  </si>
  <si>
    <t>782129785272453962</t>
  </si>
  <si>
    <t>https://maxmobiles.ru/displey-zamena-razbitogo-stekla-iphone-15-pro-max/</t>
  </si>
  <si>
    <t>7821297852724555131</t>
  </si>
  <si>
    <t>https://maxmobiles.ru/zamena-displeya-iphone-15-pro-max-kopiya/</t>
  </si>
  <si>
    <t>78212978527243035</t>
  </si>
  <si>
    <t>https://maxmobiles.ru/displey-original-zamena-iphone-15-pro-max/</t>
  </si>
  <si>
    <t>78212978527243041</t>
  </si>
  <si>
    <t>https://maxmobiles.ru/zadnyaya-kryshka-v-sbore-so-vspyshkoy-i-besprovodnoy-zaryadkoy-zamena-iphone-15-pro-max/</t>
  </si>
  <si>
    <t>78212978527243044</t>
  </si>
  <si>
    <t>https://maxmobiles.ru/profilaktika-posle-vody-cena-ot-iphone-15-pro-max/</t>
  </si>
  <si>
    <t>78212978527243028</t>
  </si>
  <si>
    <t>https://maxmobiles.ru/akkumulyator-zamena-iphone-15-pro-max/</t>
  </si>
  <si>
    <t>78212978527243045</t>
  </si>
  <si>
    <t>https://maxmobiles.ru/razem-zaryadki-zamena-iphone-15-pro-max/</t>
  </si>
  <si>
    <t>78212978527243034</t>
  </si>
  <si>
    <t>https://maxmobiles.ru/mikrofon-odin-iz-zamena-iphone-15-pro-max/</t>
  </si>
  <si>
    <t>78212978527243032</t>
  </si>
  <si>
    <t>https://maxmobiles.ru/dinamik-vyzova-zvonok-gromkaya-svyaz-zamena-iphone-15-pro-max/</t>
  </si>
  <si>
    <t>78212978527243033</t>
  </si>
  <si>
    <t>https://maxmobiles.ru/dinamik-razgovornyy-verhniy-iphone-15-pro-max/</t>
  </si>
  <si>
    <t>78212978527243037</t>
  </si>
  <si>
    <t>https://maxmobiles.ru/kamera-osnovnaya-zamena-iphone-15-pro-max/</t>
  </si>
  <si>
    <t>78212978527243039</t>
  </si>
  <si>
    <t>https://maxmobiles.ru/kamera-frontalnaya-perednyaya-zamena-iphone-15-pro-max/</t>
  </si>
  <si>
    <t>78212978527243036</t>
  </si>
  <si>
    <t>https://maxmobiles.ru/kamera-zamena-razbitogo-stekla-1-sht-iphone-15-pro-max/</t>
  </si>
  <si>
    <t>78212978527243040</t>
  </si>
  <si>
    <t>https://maxmobiles.ru/korpus-replika-snyatyy-zamena-iphone-15-pro-max/</t>
  </si>
  <si>
    <t>78212978527243051</t>
  </si>
  <si>
    <t>https://maxmobiles.ru/knopka-vklyucheniya-zamena-remont-iphone-15-pro-max/</t>
  </si>
  <si>
    <t>782129785272455003</t>
  </si>
  <si>
    <t>https://maxmobiles.ru/remont-platy-iphone-15-pro-max/</t>
  </si>
  <si>
    <t>78212978527243047</t>
  </si>
  <si>
    <t>https://maxmobiles.ru/face-id-remont-vostanovlenie-zamena-iphone-15-pro-max/</t>
  </si>
  <si>
    <t>782129785272453949</t>
  </si>
  <si>
    <t>https://maxmobiles.ru/displey-zamena-razbitogo-stekla-iphone-15-pro/</t>
  </si>
  <si>
    <t>7821297852724555132</t>
  </si>
  <si>
    <t>https://maxmobiles.ru/zamena-displeya-iphone-15-pro-kopiya/</t>
  </si>
  <si>
    <t>78212978527243062</t>
  </si>
  <si>
    <t>https://maxmobiles.ru/displey-original-zamena-iphone-15-pro/</t>
  </si>
  <si>
    <t>78212978527243068</t>
  </si>
  <si>
    <t>https://maxmobiles.ru/zadnyaya-kryshka-v-sbore-so-vspyshkoy-i-besprovodnoy-zaryadkoy-zamena-iphone-15-pro/</t>
  </si>
  <si>
    <t>78212978527243071</t>
  </si>
  <si>
    <t>https://maxmobiles.ru/profilaktika-posle-vody-cena-ot-iphone-15-pro/</t>
  </si>
  <si>
    <t>78212978527243055</t>
  </si>
  <si>
    <t>https://maxmobiles.ru/akkumulyator-zamena-iphone-15-pro/</t>
  </si>
  <si>
    <t>78212978527243072</t>
  </si>
  <si>
    <t>https://maxmobiles.ru/razem-zaryadki-zamena-iphone-15-pro/</t>
  </si>
  <si>
    <t>78212978527243061</t>
  </si>
  <si>
    <t>https://maxmobiles.ru/mikrofon-odin-iz-zamena-iphone-15-pro/</t>
  </si>
  <si>
    <t>78212978527243059</t>
  </si>
  <si>
    <t>https://maxmobiles.ru/dinamik-nizhniy-zvonok-gromkaya-svyaz-zamena-iphone-15-pro/</t>
  </si>
  <si>
    <t>78212978527243060</t>
  </si>
  <si>
    <t>https://maxmobiles.ru/dinamik-razgovornyy-verhniy-iphone-15-pro/</t>
  </si>
  <si>
    <t>78212978527243064</t>
  </si>
  <si>
    <t>https://maxmobiles.ru/kamera-osnovnaya-zamena-iphone-15-pro/</t>
  </si>
  <si>
    <t>78212978527243066</t>
  </si>
  <si>
    <t>https://maxmobiles.ru/kamera-frontalnaya-perednyaya-zamena-iphone-15-pro/</t>
  </si>
  <si>
    <t>78212978527243063</t>
  </si>
  <si>
    <t>https://maxmobiles.ru/kamera-zamena-razbitogo-stekla-1-sht-iphone-15-pro/</t>
  </si>
  <si>
    <t>78212978527243067</t>
  </si>
  <si>
    <t>https://maxmobiles.ru/korpus-replika-snyatyy-zamena-iphone-15-pro/</t>
  </si>
  <si>
    <t>78212978527243078</t>
  </si>
  <si>
    <t>https://maxmobiles.ru/knopka-vklyucheniya-zamena-remont-iphone-15-pro/</t>
  </si>
  <si>
    <t>782129785272455002</t>
  </si>
  <si>
    <t>https://maxmobiles.ru/remont-platy-iphone-15-pro/</t>
  </si>
  <si>
    <t>78212978527243074</t>
  </si>
  <si>
    <t>https://maxmobiles.ru/face-id-remont-vostanovlenie-zamena-iphone-15-pro/</t>
  </si>
  <si>
    <t>782129785272453975</t>
  </si>
  <si>
    <t>https://maxmobiles.ru/displey-zamena-razbitogo-stekla-iphone-15-plus/</t>
  </si>
  <si>
    <t>7821297852724555133</t>
  </si>
  <si>
    <t>https://maxmobiles.ru/zamena-displeya-iphone-15-plus-kopiya/</t>
  </si>
  <si>
    <t>78212978527243090</t>
  </si>
  <si>
    <t>https://maxmobiles.ru/displey-original-zamena-iphone-15-plus/</t>
  </si>
  <si>
    <t>782129785272453978</t>
  </si>
  <si>
    <t>https://maxmobiles.ru/zadnyaya-kryshka-kopiya-vysochayshego-kachestva-zamena-stekla-iphone-15-plus/</t>
  </si>
  <si>
    <t>78212978527243095</t>
  </si>
  <si>
    <t>https://maxmobiles.ru/profilaktika-posle-vody-cena-ot-iphone-15-plus/</t>
  </si>
  <si>
    <t>78212978527243083</t>
  </si>
  <si>
    <t>https://maxmobiles.ru/akkumulyator-zamena-iphone-15-plus/</t>
  </si>
  <si>
    <t>78212978527243096</t>
  </si>
  <si>
    <t>https://maxmobiles.ru/razem-zaryadki-zamena-iphone-15-plus/</t>
  </si>
  <si>
    <t>78212978527243089</t>
  </si>
  <si>
    <t>https://maxmobiles.ru/mikrofon-odin-iz-zamena-iphone-15-plus/</t>
  </si>
  <si>
    <t>78212978527243087</t>
  </si>
  <si>
    <t>https://maxmobiles.ru/dinamik-vyzova-zvonok-gromkaya-svyaz-zamena-iphone-15-plus/</t>
  </si>
  <si>
    <t>78212978527243088</t>
  </si>
  <si>
    <t>https://maxmobiles.ru/dinamik-razgovornyy-verhniy-iphone-15-plus/</t>
  </si>
  <si>
    <t>78212978527243092</t>
  </si>
  <si>
    <t>https://maxmobiles.ru/kamera-osnovnaya-zamena-iphone-15-plus/</t>
  </si>
  <si>
    <t>78212978527243093</t>
  </si>
  <si>
    <t>https://maxmobiles.ru/kamera-frontalnaya-perednyaya-zamena-iphone-15-plus/</t>
  </si>
  <si>
    <t>78212978527243091</t>
  </si>
  <si>
    <t>https://maxmobiles.ru/kamera-zamena-razbitogo-stekla-1-sht-iphone-15-plus/</t>
  </si>
  <si>
    <t>78212978527243094</t>
  </si>
  <si>
    <t>https://maxmobiles.ru/korpus-replika-snyatyy-zamena-iphone-15-plus/</t>
  </si>
  <si>
    <t>78212978527243102</t>
  </si>
  <si>
    <t>https://maxmobiles.ru/knopka-vklyucheniya-zamena-remont-iphone-15-plus/</t>
  </si>
  <si>
    <t>782129785272455001</t>
  </si>
  <si>
    <t>https://maxmobiles.ru/remont-platy-iphone-15-plus/</t>
  </si>
  <si>
    <t>78212978527243098</t>
  </si>
  <si>
    <t>https://maxmobiles.ru/face-id-remont-vostanovlenie-zamena-iphone-15-plus/</t>
  </si>
  <si>
    <t>782129785272453936</t>
  </si>
  <si>
    <t>https://maxmobiles.ru/displey-zamena-razbitogo-stekla-iphone-15/</t>
  </si>
  <si>
    <t>7821297852724555134</t>
  </si>
  <si>
    <t>https://maxmobiles.ru/zamena-displeya-iphone-15-kopiya/</t>
  </si>
  <si>
    <t>78212978527243113</t>
  </si>
  <si>
    <t>https://maxmobiles.ru/displey-original-zamena-iphone-15/</t>
  </si>
  <si>
    <t>78212978527243118</t>
  </si>
  <si>
    <t>https://maxmobiles.ru/zadnyaya-kryshka-zamena-stekla-iphone-15/</t>
  </si>
  <si>
    <t>78212978527243119</t>
  </si>
  <si>
    <t>https://maxmobiles.ru/profilaktika-posle-vody-cena-ot-iphone-15/</t>
  </si>
  <si>
    <t>78212978527243105</t>
  </si>
  <si>
    <t>https://maxmobiles.ru/akkumulyator-zamena-iphone-15/</t>
  </si>
  <si>
    <t>78212978527243120</t>
  </si>
  <si>
    <t>https://maxmobiles.ru/razem-zaryadki-zamena-iphone-15/</t>
  </si>
  <si>
    <t>78212978527243112</t>
  </si>
  <si>
    <t>https://maxmobiles.ru/mikrofon-odin-iz-zamena-iphone-15/</t>
  </si>
  <si>
    <t>78212978527243110</t>
  </si>
  <si>
    <t>https://maxmobiles.ru/dinamik-vyzova-zvonok-gromkaya-svyaz-zamena-iphone-15/</t>
  </si>
  <si>
    <t>78212978527243111</t>
  </si>
  <si>
    <t>https://maxmobiles.ru/dinamik-razgovornyy-verhniy-iphone-15/</t>
  </si>
  <si>
    <t>78212978527243115</t>
  </si>
  <si>
    <t>https://maxmobiles.ru/kamera-osnovnaya-zamena-iphone-15/</t>
  </si>
  <si>
    <t>78212978527243116</t>
  </si>
  <si>
    <t>https://maxmobiles.ru/kamera-frontalnaya-perednyaya-zamena-iphone-15/</t>
  </si>
  <si>
    <t>78212978527243114</t>
  </si>
  <si>
    <t>https://maxmobiles.ru/kamera-zamena-razbitogo-stekla-1-sht-iphone-15/</t>
  </si>
  <si>
    <t>78212978527243117</t>
  </si>
  <si>
    <t>https://maxmobiles.ru/korpus-replika-snyatyy-zamena-iphone-15/</t>
  </si>
  <si>
    <t>78212978527243126</t>
  </si>
  <si>
    <t>https://maxmobiles.ru/knopka-vklyucheniya-zamena-remont-iphone-15/</t>
  </si>
  <si>
    <t>782129785272455000</t>
  </si>
  <si>
    <t>https://maxmobiles.ru/remont-platy-iphone-15/</t>
  </si>
  <si>
    <t>78212978527243122</t>
  </si>
  <si>
    <t>https://maxmobiles.ru/face-id-remont-vostanovlenie-zamena-iphone-15/</t>
  </si>
  <si>
    <t>https://maxmobiles.ru/displey-zamena-razbitogo-stekla-vosstanovlenie-iphone-14-pro-max/</t>
  </si>
  <si>
    <t>https://maxmobiles.ru/displey-kopiya-aaa-zamena-iphone-14-pro-max/</t>
  </si>
  <si>
    <t>https://maxmobiles.ru/displey-original-zamena-iphone-14-pro-max/</t>
  </si>
  <si>
    <t>https://maxmobiles.ru/zadnyaya-kryshka-zamena-stekla-iphone-14-pro-max/</t>
  </si>
  <si>
    <t>https://maxmobiles.ru/profilaktika-posle-vody-cena-ot-iphone-14-pro-max/</t>
  </si>
  <si>
    <t>https://maxmobiles.ru/akkumulyator-zamena-iphone-14-pro-max/</t>
  </si>
  <si>
    <t>https://maxmobiles.ru/razem-zaryadki-zamena-iphone-14-pro-max/</t>
  </si>
  <si>
    <t>https://maxmobiles.ru/mikrofon-odin-iz-zamena-iphone-14-pro-max/</t>
  </si>
  <si>
    <t>https://maxmobiles.ru/dinamik-vyzova-zvonok-gromkaya-svyaz-zamena-iphone-14-pro-max/</t>
  </si>
  <si>
    <t>https://maxmobiles.ru/dinamik-razgovornyy-verhniy-iphone-14-pro-max/</t>
  </si>
  <si>
    <t>https://maxmobiles.ru/kamera-osnovnaya-zamena-iphone-14-pro-max/</t>
  </si>
  <si>
    <t>https://maxmobiles.ru/kamera-frontalnaya-perednyaya-zamena-iphone-14-pro-max/</t>
  </si>
  <si>
    <t>https://maxmobiles.ru/kamera-zamena-razbitogo-stekla-1sht-iphone-14-pro-max/</t>
  </si>
  <si>
    <t>https://maxmobiles.ru/korpus-kopiya-vysokoe-kachestvo-zamena-iphone-14-pro-max/</t>
  </si>
  <si>
    <t>https://maxmobiles.ru/knopka-vkl-power-zamena-remont-iphone-14-pro-max/</t>
  </si>
  <si>
    <t>782129785272454999</t>
  </si>
  <si>
    <t>https://maxmobiles.ru/remont-platy-iphone-14-pro-max/</t>
  </si>
  <si>
    <t>https://maxmobiles.ru/face-id-remont-vosstanovlenie-zamena-iphone-14-pro-max/</t>
  </si>
  <si>
    <t>https://maxmobiles.ru/displey-zamena-razbitogo-stekla-vosstanovlenie-iphone-14-pro/</t>
  </si>
  <si>
    <t>https://maxmobiles.ru/displey-kopiya-aaa-zamena-iphone-14-pro/</t>
  </si>
  <si>
    <t>https://maxmobiles.ru/displey-original-zamena-iphone-14-pro/</t>
  </si>
  <si>
    <t>https://maxmobiles.ru/zadnyaya-kryshka-zamena-stekla-iphone-14-pro/</t>
  </si>
  <si>
    <t>https://maxmobiles.ru/profilaktika-posle-vody-cena-ot-iphone-14-pro/</t>
  </si>
  <si>
    <t>https://maxmobiles.ru/akkumulyator-zamena-iphone-14-pro/</t>
  </si>
  <si>
    <t>https://maxmobiles.ru/razem-zaryadki-zamena-iphone-14-pro/</t>
  </si>
  <si>
    <t>https://maxmobiles.ru/mikrofon-odin-iz-zamena-iphone-14-pro/</t>
  </si>
  <si>
    <t>https://maxmobiles.ru/dinamik-nizhniy-zvonok-gromkaya-svyaz-zamena-iphone-14-pro/</t>
  </si>
  <si>
    <t>https://maxmobiles.ru/dinamik-razgovornyy-verhniy-iphone-14-pro/</t>
  </si>
  <si>
    <t>https://maxmobiles.ru/kamera-osnovnaya-zamena-iphone-14-pro/</t>
  </si>
  <si>
    <t>https://maxmobiles.ru/kamera-frontalnaya-perednyaya-zamena-iphone-14-pro/</t>
  </si>
  <si>
    <t>https://maxmobiles.ru/kamera-zamena-razbitogo-stekla-1sht-iphone-14-pro/</t>
  </si>
  <si>
    <t>https://maxmobiles.ru/korpus-kopiya-vysokoe-kachestvo-zamena-iphone-14-pro/</t>
  </si>
  <si>
    <t>https://maxmobiles.ru/knopka-vkl-power-zamena-remont-iphone-14-pro/</t>
  </si>
  <si>
    <t>782129785272454998</t>
  </si>
  <si>
    <t>https://maxmobiles.ru/remont-platy-iphone-14-pro/</t>
  </si>
  <si>
    <t>https://maxmobiles.ru/face-id-remont-vosstanovlenie-zamena-iphone-14-pro/</t>
  </si>
  <si>
    <t>https://maxmobiles.ru/displey-zamena-razbitogo-stekla-vosstanovlenie-iphone-14-plus/</t>
  </si>
  <si>
    <t>https://maxmobiles.ru/zamena-displeya-iphone-14-plus-kopiya-vysochayshego-kachestva/</t>
  </si>
  <si>
    <t>https://maxmobiles.ru/displey-original-zamena-iphone-14-plus/</t>
  </si>
  <si>
    <t>https://maxmobiles.ru/qwerty-ru-73/</t>
  </si>
  <si>
    <t>https://maxmobiles.ru/profilaktika-posle-vody-cena-ot-iphone-14-plus/</t>
  </si>
  <si>
    <t>https://maxmobiles.ru/akkumulyator-zamena-iphone-14-plus/</t>
  </si>
  <si>
    <t>https://maxmobiles.ru/razem-zaryadki-zamena-iphone-14-plus/</t>
  </si>
  <si>
    <t>https://maxmobiles.ru/qwerty-ru-72/</t>
  </si>
  <si>
    <t>https://maxmobiles.ru/dinamik-vyzova-zvonok-gromkaya-svyaz-zamena-iphone-14-plus/</t>
  </si>
  <si>
    <t>https://maxmobiles.ru/dinamik-razgovornyy-verhniy-iphone-14-plus/</t>
  </si>
  <si>
    <t>https://maxmobiles.ru/kamera-osnovnaya-zamena-iphone-14-plus/</t>
  </si>
  <si>
    <t>https://maxmobiles.ru/qwerty-ru-78/</t>
  </si>
  <si>
    <t>https://maxmobiles.ru/kamera-zamena-razbitogo-stekla-1sht-iphone-14-plus/</t>
  </si>
  <si>
    <t>https://maxmobiles.ru/qwerty-ru-79/</t>
  </si>
  <si>
    <t>https://maxmobiles.ru/knopka-vkl-power-zamena-remont-iphone-14-plus/</t>
  </si>
  <si>
    <t>782129785272454997</t>
  </si>
  <si>
    <t>https://maxmobiles.ru/remont-platy-iphone-14-plus/</t>
  </si>
  <si>
    <t>https://maxmobiles.ru/qwerty-ru-82/</t>
  </si>
  <si>
    <t>https://maxmobiles.ru/zamena-stekla-iphone-14/</t>
  </si>
  <si>
    <t>https://maxmobiles.ru/zamena-displeya-iphone-14-kopiya-vysochayshego-kachestva/</t>
  </si>
  <si>
    <t>https://maxmobiles.ru/displey-original-zamena-iphone-14/</t>
  </si>
  <si>
    <t>https://maxmobiles.ru/zadnyaya-kryshka-zamena-stekla-iphone-14/</t>
  </si>
  <si>
    <t>https://maxmobiles.ru/profilaktika-posle-vody-cena-ot-iphone-14/</t>
  </si>
  <si>
    <t>https://maxmobiles.ru/akkumulyator-zamena-iphone-14/</t>
  </si>
  <si>
    <t>https://maxmobiles.ru/razem-zaryadki-zamena-iphone-14/</t>
  </si>
  <si>
    <t>https://maxmobiles.ru/qwerty-ru-30/</t>
  </si>
  <si>
    <t>https://maxmobiles.ru/dinamik-vyzova-zvonok-gromkaya-svyaz-zamena-iphone-14/</t>
  </si>
  <si>
    <t>https://maxmobiles.ru/dinamik-razgovornyy-verhniy-iphone-14/</t>
  </si>
  <si>
    <t>https://maxmobiles.ru/kamera-osnovnaya-zamena-iphone-14/</t>
  </si>
  <si>
    <t>https://maxmobiles.ru/qwerty-ru-116/</t>
  </si>
  <si>
    <t>https://maxmobiles.ru/kamera-zamena-razbitogo-stekla-1sht-iphone-14/</t>
  </si>
  <si>
    <t>https://maxmobiles.ru/qwerty-ru-117/</t>
  </si>
  <si>
    <t>https://maxmobiles.ru/knopka-vkl-power-zamena-remont-iphone-14/</t>
  </si>
  <si>
    <t>782129785272454996</t>
  </si>
  <si>
    <t>https://maxmobiles.ru/remont-platy-iphone-14/</t>
  </si>
  <si>
    <t>https://maxmobiles.ru/qewrty/</t>
  </si>
  <si>
    <t>https://maxmobiles.ru/displey-zamena-razbitogo-stekla-vosstanovlenie-iphone-13-pro-max/</t>
  </si>
  <si>
    <t>https://maxmobiles.ru/displey-kopiya-aaa-zamena-iphone-13-pro-max/</t>
  </si>
  <si>
    <t>https://maxmobiles.ru/displey-original-zamena-iphone-13-pro-max/</t>
  </si>
  <si>
    <t>https://maxmobiles.ru/zadnyaya-kryshka-zamena-stekla-iphone-13-pro-max/</t>
  </si>
  <si>
    <t>https://maxmobiles.ru/profilaktika-posle-vody-cena-ot-iphone-13-pro-max/</t>
  </si>
  <si>
    <t>https://maxmobiles.ru/akkumulyator-zamena-iphone-13-pro-max/</t>
  </si>
  <si>
    <t>https://maxmobiles.ru/razem-zaryadki-zamena-iphone-13-pro-max/</t>
  </si>
  <si>
    <t>https://maxmobiles.ru/mikrofon-odin-iz-zamena-iphone-13-pro-max/</t>
  </si>
  <si>
    <t>https://maxmobiles.ru/dinamik-vyzova-zvonok-gromkaya-svyaz-zamena-iphone-13-pro-max/</t>
  </si>
  <si>
    <t>https://maxmobiles.ru/dinamik-razgovornyy-verhniy-iphone-13-pro-max/</t>
  </si>
  <si>
    <t>https://maxmobiles.ru/kamera-osnovnaya-zamena-iphone-13-pro-max/</t>
  </si>
  <si>
    <t>https://maxmobiles.ru/qwerty-ru-142/</t>
  </si>
  <si>
    <t>https://maxmobiles.ru/kamera-zamena-razbitogo-stekla-1sht-iphone-13-pro-max/</t>
  </si>
  <si>
    <t>https://maxmobiles.ru/korpus-kopiya-vysokoe-kachestvo-zamena-iphone-13-pro-max/</t>
  </si>
  <si>
    <t>https://maxmobiles.ru/knopka-vkl-power-zamena-remont-iphone-13-pro-max/</t>
  </si>
  <si>
    <t>782129785272454995</t>
  </si>
  <si>
    <t>https://maxmobiles.ru/remont-platy-iphone-13-pro-max/</t>
  </si>
  <si>
    <t>https://maxmobiles.ru/face-id-remont-vosstanovlenie-zamena-iphone-13-pro-max/</t>
  </si>
  <si>
    <t>https://maxmobiles.ru/displey-zamena-razbitogo-stekla-vosstanovlenie-iphone-13-pro/</t>
  </si>
  <si>
    <t>https://maxmobiles.ru/displey-kopiya-aaa-zamena-iphone-13-pro/</t>
  </si>
  <si>
    <t>https://maxmobiles.ru/displey-original-zamena-iphone-13-pro/</t>
  </si>
  <si>
    <t>https://maxmobiles.ru/zadnyaya-kryshka-zamena-stekla-iphone-13-pro/</t>
  </si>
  <si>
    <t>https://maxmobiles.ru/profilaktika-posle-vody-cena-ot-iphone-13-pro/</t>
  </si>
  <si>
    <t>https://maxmobiles.ru/akkumulyator-zamena-iphone-13-pro/</t>
  </si>
  <si>
    <t>https://maxmobiles.ru/razem-zaryadki-zamena-iphone-13-pro/</t>
  </si>
  <si>
    <t>https://maxmobiles.ru/mikrofon-odin-iz-zamena-iphone-13-pro/</t>
  </si>
  <si>
    <t>https://maxmobiles.ru/dinamik-nizhniy-zvonok-gromkaya-svyaz-zamena-iphone-13-pro/</t>
  </si>
  <si>
    <t>https://maxmobiles.ru/dinamik-razgovornyy-verhniy-iphone-13-pro/</t>
  </si>
  <si>
    <t>https://maxmobiles.ru/kamera-osnovnaya-zamena-iphone-13-pro/</t>
  </si>
  <si>
    <t>https://maxmobiles.ru/qwerty-ru-174/</t>
  </si>
  <si>
    <t>https://maxmobiles.ru/kamera-zamena-razbitogo-stekla-1sht-iphone-13-pro/</t>
  </si>
  <si>
    <t>https://maxmobiles.ru/korpus-kopiya-vysokoe-kachestvo-zamena-iphone-13-pro/</t>
  </si>
  <si>
    <t>https://maxmobiles.ru/knopka-vkl-power-zamena-remont-iphone-13-pro/</t>
  </si>
  <si>
    <t>782129785272454994</t>
  </si>
  <si>
    <t>https://maxmobiles.ru/remont-platy-iphone-13-pro/</t>
  </si>
  <si>
    <t>https://maxmobiles.ru/face-id-remont-vosstanovlenie-zamena-iphone-13-pro/</t>
  </si>
  <si>
    <t>iPhone 13 mini</t>
  </si>
  <si>
    <t>https://maxmobiles.ru/zamena-stekla-iphone-13-mini/</t>
  </si>
  <si>
    <t>https://maxmobiles.ru/displey-kopiya-aaa-zamena-iphone-13-mini/</t>
  </si>
  <si>
    <t>https://maxmobiles.ru/displey-original-zamena-iphone-13-mini/</t>
  </si>
  <si>
    <t>https://maxmobiles.ru/zadnyaya-kryshka-zamena-stekla-iphone-13-mini/</t>
  </si>
  <si>
    <t>https://maxmobiles.ru/profilaktika-posle-vody-cena-ot-iphone-13-mini/</t>
  </si>
  <si>
    <t>https://maxmobiles.ru/akkumulyator-zamena-iphone-13-mini/</t>
  </si>
  <si>
    <t>https://maxmobiles.ru/razem-zaryadki-zamena-iphone-13-mini/</t>
  </si>
  <si>
    <t>https://maxmobiles.ru/qwerty-ru-204/</t>
  </si>
  <si>
    <t>https://maxmobiles.ru/dinamik-vyzova-zvonok-gromkaya-svyaz-zamena-iphone-13-mini/</t>
  </si>
  <si>
    <t>https://maxmobiles.ru/dinamik-razgovornyy-verhniy-iphone-13-mini/</t>
  </si>
  <si>
    <t>https://maxmobiles.ru/kamera-osnovnaya-zamena-iphone-13-mini/</t>
  </si>
  <si>
    <t>https://maxmobiles.ru/kamera-frontalnaya-perednyaya-zamena-iphone-13-mini/</t>
  </si>
  <si>
    <t>https://maxmobiles.ru/kamera-zamena-razbitogo-stekla-1sht-iphone-13-mini/</t>
  </si>
  <si>
    <t>https://maxmobiles.ru/korpus-kopiya-vysokoe-kachestvo-zamena-iphone-13-mini/</t>
  </si>
  <si>
    <t>https://maxmobiles.ru/knopka-vkl-power-zamena-remont-iphone-13-mini/</t>
  </si>
  <si>
    <t>782129785272454993</t>
  </si>
  <si>
    <t>https://maxmobiles.ru/remont-platy-iphone-13-mini/</t>
  </si>
  <si>
    <t>https://maxmobiles.ru/face-id-remont-vosstanovlenie-zamena-iphone-13-mini/</t>
  </si>
  <si>
    <t>https://maxmobiles.ru/displey-zamena-razbitogo-stekla-vosstanovlenie-iphone-13/</t>
  </si>
  <si>
    <t>https://maxmobiles.ru/displey-kopiya-aaa-zamena-iphone-13/</t>
  </si>
  <si>
    <t>https://maxmobiles.ru/displey-original-zamena-iphone-13/</t>
  </si>
  <si>
    <t>https://maxmobiles.ru/qwerty-ru-292/</t>
  </si>
  <si>
    <t>https://maxmobiles.ru/profilaktika-posle-vody-cena-ot-iphone-13/</t>
  </si>
  <si>
    <t>https://maxmobiles.ru/akkumulyator-zamena-iphone-13/</t>
  </si>
  <si>
    <t>https://maxmobiles.ru/razem-zaryadki-zamena-iphone-13/</t>
  </si>
  <si>
    <t>https://maxmobiles.ru/qwerty-ru-301/</t>
  </si>
  <si>
    <t>https://maxmobiles.ru/dinamik-vyzova-zvonok-gromkaya-svyaz-zamena-iphone-13/</t>
  </si>
  <si>
    <t>https://maxmobiles.ru/dinamik-razgovornyy-verhniy-iphone-13/</t>
  </si>
  <si>
    <t>https://maxmobiles.ru/kamera-osnovnaya-zamena-iphone-13/</t>
  </si>
  <si>
    <t>https://maxmobiles.ru/qwerty-ru-213/</t>
  </si>
  <si>
    <t>https://maxmobiles.ru/kamera-zamena-razbitogo-stekla-1sht-iphone-13/</t>
  </si>
  <si>
    <t>https://maxmobiles.ru/qwerty-ru-214/</t>
  </si>
  <si>
    <t>https://maxmobiles.ru/knopka-vkl-power-zamena-remont-iphone-13/</t>
  </si>
  <si>
    <t>782129785272454992</t>
  </si>
  <si>
    <t>https://maxmobiles.ru/remont-platy-iphone-13/</t>
  </si>
  <si>
    <t>https://maxmobiles.ru/qwerty-ru-298/</t>
  </si>
  <si>
    <t>https://maxmobiles.ru/displey-zamena-razbitogo-stekla-vosstanovlenie-iphone-12-pro-max/</t>
  </si>
  <si>
    <t>https://maxmobiles.ru/displey-kopiya-aaa-zamena-iphone-12-pro-max/</t>
  </si>
  <si>
    <t>https://maxmobiles.ru/displey-original-zamena-iphone-12-pro-max/</t>
  </si>
  <si>
    <t>https://maxmobiles.ru/zadnyaya-kryshka-zamena-stekla-iphone-12-pro-max/</t>
  </si>
  <si>
    <t>https://maxmobiles.ru/profilaktika-posle-vody-cena-ot-iphone-12-pro-max/</t>
  </si>
  <si>
    <t>https://maxmobiles.ru/akkumulyator-zamena-iphone-12-pro-max/</t>
  </si>
  <si>
    <t>https://maxmobiles.ru/razem-zaryadki-zamena-iphone-12-pro-max/</t>
  </si>
  <si>
    <t>https://maxmobiles.ru/mikrofon-odin-iz-zamena-iphone-12-pro-max/</t>
  </si>
  <si>
    <t>https://maxmobiles.ru/dinamik-vyzova-zvonok-gromkaya-svyaz-zamena-iphone-12-pro-max/</t>
  </si>
  <si>
    <t>https://maxmobiles.ru/dinamik-razgovornyy-verhniy-iphone-12-pro-max/</t>
  </si>
  <si>
    <t>https://maxmobiles.ru/kamera-osnovnaya-zamena-iphone-12-pro-max/</t>
  </si>
  <si>
    <t>https://maxmobiles.ru/kamera-frontalnaya-perednyaya-zamena-iphone-12-pro-max/</t>
  </si>
  <si>
    <t>https://maxmobiles.ru/kamera-zamena-razbitogo-stekla-1sht-iphone-12-pro-max/</t>
  </si>
  <si>
    <t>https://maxmobiles.ru/korpus-kopiya-vysokoe-kachestvo-zamena-iphone-12-pro-max/</t>
  </si>
  <si>
    <t>https://maxmobiles.ru/knopka-vkl-power-zamena-remont-iphone-12-pro-max/</t>
  </si>
  <si>
    <t>782129785272454991</t>
  </si>
  <si>
    <t>https://maxmobiles.ru/remont-platy-iphone-12-pro-max/</t>
  </si>
  <si>
    <t>https://maxmobiles.ru/face-id-remont-vosstanovlenie-zamena-iphone-12-pro-max/</t>
  </si>
  <si>
    <t>https://maxmobiles.ru/displey-zamena-razbitogo-stekla-vosstanovlenie-iphone-12-pro/</t>
  </si>
  <si>
    <t>https://maxmobiles.ru/displey-kopiya-aaa-zamena-iphone-12-pro/</t>
  </si>
  <si>
    <t>https://maxmobiles.ru/displey-original-zamena-iphone-12-pro/</t>
  </si>
  <si>
    <t>https://maxmobiles.ru/zadnyaya-kryshka-zamena-stekla-iphone-12-pro/</t>
  </si>
  <si>
    <t>https://maxmobiles.ru/profilaktika-posle-vody-cena-ot-iphone-12-pro/</t>
  </si>
  <si>
    <t>https://maxmobiles.ru/akkumulyator-zamena-iphone-12-pro/</t>
  </si>
  <si>
    <t>https://maxmobiles.ru/razem-zaryadki-zamena-iphone-12-pro/</t>
  </si>
  <si>
    <t>https://maxmobiles.ru/mikrofon-odin-iz-zamena-iphone-12-pro/</t>
  </si>
  <si>
    <t>https://maxmobiles.ru/dinamik-vyzova-zvonok-gromkaya-svyaz-zamena-iphone-12-pro/</t>
  </si>
  <si>
    <t>https://maxmobiles.ru/dinamik-razgovornyy-verhniy-iphone-12-pro/</t>
  </si>
  <si>
    <t>https://maxmobiles.ru/kamera-osnovnaya-zamena-iphone-12-pro/</t>
  </si>
  <si>
    <t>https://maxmobiles.ru/kamera-frontalnaya-perednyaya-zamena-iphone-12-pro/</t>
  </si>
  <si>
    <t>https://maxmobiles.ru/kamera-zamena-razbitogo-stekla-1sht-iphone-12-pro/</t>
  </si>
  <si>
    <t>https://maxmobiles.ru/korpus-kopiya-vysokoe-kachestvo-zamena-iphone-12-pro/</t>
  </si>
  <si>
    <t>https://maxmobiles.ru/knopka-vkl-power-zamena-remont-iphone-12-pro/</t>
  </si>
  <si>
    <t>782129785272454990</t>
  </si>
  <si>
    <t>https://maxmobiles.ru/remont-platy-iphone-12-pro/</t>
  </si>
  <si>
    <t>https://maxmobiles.ru/face-id-remont-vosstanovlenie-zamena-iphone-12-pro/</t>
  </si>
  <si>
    <t>iPhone 12 mini</t>
  </si>
  <si>
    <t>https://maxmobiles.ru/displey-zamena-razbitogo-stekla-vosstanovlenie-iphone-12-mini/</t>
  </si>
  <si>
    <t>https://maxmobiles.ru/displey-kopiya-aaa-zamena-iphone-12-mini/</t>
  </si>
  <si>
    <t>https://maxmobiles.ru/displey-original-zamena-iphone-12-mini/</t>
  </si>
  <si>
    <t>https://maxmobiles.ru/zadnyaya-kryshka-zamena-stekla-iphone-12-mini/</t>
  </si>
  <si>
    <t>https://maxmobiles.ru/profilaktika-posle-vody-cena-ot-iphone-12-mini/</t>
  </si>
  <si>
    <t>https://maxmobiles.ru/akkumulyator-zamena-iphone-12-mini/</t>
  </si>
  <si>
    <t>https://maxmobiles.ru/razem-zaryadki-zamena-iphone-12-mini/</t>
  </si>
  <si>
    <t>https://maxmobiles.ru/mikrofon-odin-iz-zamena-iphone-12-mini/</t>
  </si>
  <si>
    <t>https://maxmobiles.ru/dinamik-vyzova-zvonok-gromkaya-svyaz-zamena-iphone-12-mini/</t>
  </si>
  <si>
    <t>https://maxmobiles.ru/dinamik-razgovornyy-verhniy-iphone-12-mini/</t>
  </si>
  <si>
    <t>https://maxmobiles.ru/kamera-osnovnaya-zamena-iphone-12-mini/</t>
  </si>
  <si>
    <t>https://maxmobiles.ru/kamera-frontalnaya-perednyaya-zamena-iphone-12-mini/</t>
  </si>
  <si>
    <t>https://maxmobiles.ru/kamera-zamena-razbitogo-stekla-1sht-iphone-12-mini/</t>
  </si>
  <si>
    <t>https://maxmobiles.ru/korpus-kopiya-vysokoe-kachestvo-zamena-iphone-12-mini/</t>
  </si>
  <si>
    <t>https://maxmobiles.ru/knopka-vkl-power-zamena-remont-iphone-12-mini/</t>
  </si>
  <si>
    <t>782129785272454989</t>
  </si>
  <si>
    <t>https://maxmobiles.ru/remont-platy-iphone-12-mini/</t>
  </si>
  <si>
    <t>https://maxmobiles.ru/face-id-remont-vosstanovlenie-zamena-iphone-12-mini/</t>
  </si>
  <si>
    <t>https://maxmobiles.ru/displey-zamena-razbitogo-stekla-vosstanovlenie-iphone-12/</t>
  </si>
  <si>
    <t>https://maxmobiles.ru/displey-kopiya-aaa-zamena-iphone-12/</t>
  </si>
  <si>
    <t>https://maxmobiles.ru/displey-original-zamena-iphone-12/</t>
  </si>
  <si>
    <t>https://maxmobiles.ru/zadnyaya-kryshka-zamena-stekla-iphone-12/</t>
  </si>
  <si>
    <t>https://maxmobiles.ru/profilaktika-posle-vody-cena-ot-iphone-12/</t>
  </si>
  <si>
    <t>https://maxmobiles.ru/akkumulyator-zamena-iphone-12/</t>
  </si>
  <si>
    <t>https://maxmobiles.ru/razem-zaryadki-zamena-iphone-12/</t>
  </si>
  <si>
    <t>https://maxmobiles.ru/mikrofon-odin-iz-zamena-iphone-12/</t>
  </si>
  <si>
    <t>https://maxmobiles.ru/dinamik-vyzova-zvonok-gromkaya-svyaz-zamena-iphone-12/</t>
  </si>
  <si>
    <t>https://maxmobiles.ru/dinamik-razgovornyy-verhniy-iphone-12/</t>
  </si>
  <si>
    <t>https://maxmobiles.ru/kamera-osnovnaya-zamena-iphone-12/</t>
  </si>
  <si>
    <t>https://maxmobiles.ru/kamera-frontalnaya-perednyaya-zamena-iphone-12/</t>
  </si>
  <si>
    <t>https://maxmobiles.ru/kamera-zamena-razbitogo-stekla-1sht-iphone-12/</t>
  </si>
  <si>
    <t>https://maxmobiles.ru/korpus-kopiya-vysokoe-kachestvo-zamena-iphone-12/</t>
  </si>
  <si>
    <t>https://maxmobiles.ru/knopka-vkl-power-zamena-remont-iphone-12/</t>
  </si>
  <si>
    <t>782129785272454988</t>
  </si>
  <si>
    <t>https://maxmobiles.ru/remont-platy-iphone-12/</t>
  </si>
  <si>
    <t>https://maxmobiles.ru/face-id-remont-vosstanovlenie-zamena-iphone-12/</t>
  </si>
  <si>
    <t>https://maxmobiles.ru/displey-zamena-razbitogo-stekla-vosstanovlenie-iphone-11-pro-max/</t>
  </si>
  <si>
    <t>https://maxmobiles.ru/displey-kopiya-aaa-zamena-iphone-11-pro-max/</t>
  </si>
  <si>
    <t>https://maxmobiles.ru/displey-original-zamena-iphone-11-pro-max/</t>
  </si>
  <si>
    <t>https://maxmobiles.ru/zadnyaya-kryshka-zamena-stekla-iphone-11-pro-max/</t>
  </si>
  <si>
    <t>https://maxmobiles.ru/profilaktika-posle-vody-cena-ot-iphone-11-pro-max/</t>
  </si>
  <si>
    <t>https://maxmobiles.ru/akkumulyator-zamena-iphone-11-pro-max/</t>
  </si>
  <si>
    <t>https://maxmobiles.ru/razem-zaryadki-zamena-iphone-11-pro-max/</t>
  </si>
  <si>
    <t>https://maxmobiles.ru/mikrofon-odin-iz-zamena-iphone-11-pro-max/</t>
  </si>
  <si>
    <t>https://maxmobiles.ru/dinamik-vyzova-zvonok-gromkaya-svyaz-zamena-iphone-11-pro-max/</t>
  </si>
  <si>
    <t>https://maxmobiles.ru/dinamik-razgovornyy-verhniy-iphone-11-pro-max/</t>
  </si>
  <si>
    <t>https://maxmobiles.ru/kamera-osnovnaya-zamena-iphone-11-pro-max/</t>
  </si>
  <si>
    <t>https://maxmobiles.ru/kamera-frontalnaya-perednyaya-zamena-iphone-11-pro-max/</t>
  </si>
  <si>
    <t>https://maxmobiles.ru/kamera-zamena-razbitogo-stekla-1sht-iphone-11-pro-max/</t>
  </si>
  <si>
    <t>https://maxmobiles.ru/korpus-kopiya-vysokoe-kachestvo-zamena-iphone-11-pro-max/</t>
  </si>
  <si>
    <t>https://maxmobiles.ru/knopka-vkl-power-zamena-remont-iphone-11-pro-max/</t>
  </si>
  <si>
    <t>782129785272454987</t>
  </si>
  <si>
    <t>https://maxmobiles.ru/remont-platy-iphone-11-pro-max/</t>
  </si>
  <si>
    <t>https://maxmobiles.ru/face-id-remont-vosstanovlenie-zamena-iphone-11-pro-max/</t>
  </si>
  <si>
    <t>https://maxmobiles.ru/displey-zamena-razbitogo-stekla-vosstanovlenie-iphone-11-pro/</t>
  </si>
  <si>
    <t>https://maxmobiles.ru/displey-kopiya-aaa-zamena-iphone-11-pro/</t>
  </si>
  <si>
    <t>https://maxmobiles.ru/displey-original-zamena-iphone-11-pro/</t>
  </si>
  <si>
    <t>https://maxmobiles.ru/zadnyaya-kryshka-zamena-stekla-iphone-11-pro/</t>
  </si>
  <si>
    <t>https://maxmobiles.ru/profilaktika-posle-vody-cena-ot-iphone-11-pro/</t>
  </si>
  <si>
    <t>https://maxmobiles.ru/akkumulyator-zamena-iphone-11-pro/</t>
  </si>
  <si>
    <t>https://maxmobiles.ru/razem-zaryadki-zamena-iphone-11-pro/</t>
  </si>
  <si>
    <t>https://maxmobiles.ru/mikrofon-odin-iz-zamena-iphone-11-pro/</t>
  </si>
  <si>
    <t>https://maxmobiles.ru/dinamik-vyzova-zvonok-gromkaya-svyaz-zamena-iphone-11-pro/</t>
  </si>
  <si>
    <t>https://maxmobiles.ru/dinamik-razgovornyy-verhniy-iphone-11-pro/</t>
  </si>
  <si>
    <t>https://maxmobiles.ru/kamera-osnovnaya-zamena-iphone-11-pro/</t>
  </si>
  <si>
    <t>https://maxmobiles.ru/kamera-frontalnaya-perednyaya-zamena-iphone-11-pro/</t>
  </si>
  <si>
    <t>https://maxmobiles.ru/kamera-zamena-razbitogo-stekla-1sht-iphone-11-pro/</t>
  </si>
  <si>
    <t>https://maxmobiles.ru/korpus-kopiya-vysokoe-kachestvo-zamena-iphone-11-pro/</t>
  </si>
  <si>
    <t>https://maxmobiles.ru/knopka-vkl-power-zamena-remont-iphone-11-pro/</t>
  </si>
  <si>
    <t>782129785272454986</t>
  </si>
  <si>
    <t>https://maxmobiles.ru/remont-platy-iphone-11-pro/</t>
  </si>
  <si>
    <t>https://maxmobiles.ru/face-id-remont-vosstanovlenie-zamena-iphone-11-pro/</t>
  </si>
  <si>
    <t>https://maxmobiles.ru/displey-zamena-razbitogo-stekla-vosstanovlenie-iphone-11/</t>
  </si>
  <si>
    <t>https://maxmobiles.ru/displey-kopiya-aaa-zamena-iphone-11/</t>
  </si>
  <si>
    <t>78212978527245353</t>
  </si>
  <si>
    <t>https://maxmobiles.ru/displey-original-zamena-iphone-11/</t>
  </si>
  <si>
    <t>https://maxmobiles.ru/zadnyaya-kryshka-zamena-stekla-iphone-11/</t>
  </si>
  <si>
    <t>https://maxmobiles.ru/profilaktika-posle-vody-cena-ot-iphone-11/</t>
  </si>
  <si>
    <t>https://maxmobiles.ru/akkumulyator-zamena-iphone-11/</t>
  </si>
  <si>
    <t>https://maxmobiles.ru/razem-zaryadki-zamena-iphone-11/</t>
  </si>
  <si>
    <t>https://maxmobiles.ru/mikrofon-odin-iz-zamena-iphone-11/</t>
  </si>
  <si>
    <t>https://maxmobiles.ru/dinamik-vyzova-zvonok-gromkaya-svyaz-zamena-iphone-11/</t>
  </si>
  <si>
    <t>https://maxmobiles.ru/dinamik-razgovornyy-verhniy-iphone-11/</t>
  </si>
  <si>
    <t>https://maxmobiles.ru/kamera-osnovnaya-zamena-iphone-11/</t>
  </si>
  <si>
    <t>https://maxmobiles.ru/kamera-frontalnaya-perednyaya-zamena-iphone-11/</t>
  </si>
  <si>
    <t>https://maxmobiles.ru/kamera-zamena-razbitogo-stekla-1sht-iphone-11/</t>
  </si>
  <si>
    <t>https://maxmobiles.ru/korpus-kopiya-vysokoe-kachestvo-zamena-iphone-11/</t>
  </si>
  <si>
    <t>https://maxmobiles.ru/knopka-vkl-power-zamena-remont-iphone-11/</t>
  </si>
  <si>
    <t>782129785272454985</t>
  </si>
  <si>
    <t>https://maxmobiles.ru/remont-platy-iphone-11/</t>
  </si>
  <si>
    <t>https://maxmobiles.ru/face-id-remont-vosstanovlenie-zamena-iphone-11/</t>
  </si>
  <si>
    <t>https://maxmobiles.ru/displey-zamena-razbitogo-stekla-vosstanovlenie-iphone-xs-max/</t>
  </si>
  <si>
    <t>https://maxmobiles.ru/displey-kopiya-aaa-zamena-iphone-xs-max/</t>
  </si>
  <si>
    <t>https://maxmobiles.ru/displey-original-zamena-iphone-xs-max/</t>
  </si>
  <si>
    <t>https://maxmobiles.ru/zadnyaya-kryshka-zamena-stekla-iphone-xs-max/</t>
  </si>
  <si>
    <t>https://maxmobiles.ru/profilaktika-posle-vody-cena-ot-iphone-xs-max/</t>
  </si>
  <si>
    <t>https://maxmobiles.ru/akkumulyator-zamena-iphone-xs-max/</t>
  </si>
  <si>
    <t>https://maxmobiles.ru/razem-zaryadki-zamena-iphone-xs-max/</t>
  </si>
  <si>
    <t>https://maxmobiles.ru/mikrofon-odin-iz-zamena-iphone-xs-max/</t>
  </si>
  <si>
    <t>https://maxmobiles.ru/dinamik-vyzova-zvonok-gromkaya-svyaz-zamena-iphone-xs-max/</t>
  </si>
  <si>
    <t>https://maxmobiles.ru/dinamik-razgovornyy-verhniy-iphone-xs-max/</t>
  </si>
  <si>
    <t>https://maxmobiles.ru/kamera-osnovnaya-zamena-iphone-xs-max/</t>
  </si>
  <si>
    <t>https://maxmobiles.ru/kamera-frontalnaya-perednyaya-zamena-iphone-xs-max/</t>
  </si>
  <si>
    <t>https://maxmobiles.ru/kamera-zamena-razbitogo-stekla-1sht-iphone-xs-max/</t>
  </si>
  <si>
    <t>https://maxmobiles.ru/korpus-kopiya-vysokoe-kachestvo-zamena-iphone-xs-max/</t>
  </si>
  <si>
    <t>https://maxmobiles.ru/knopka-vkl-power-zamena-remont-iphone-xs-max/</t>
  </si>
  <si>
    <t>782129785272455025</t>
  </si>
  <si>
    <t>https://maxmobiles.ru/remont-platy-iphone-xs-max/</t>
  </si>
  <si>
    <t>https://maxmobiles.ru/face-id-remont-vosstanovlenie-zamena-iphone-xs-max/</t>
  </si>
  <si>
    <t>https://maxmobiles.ru/displey-zamena-razbitogo-stekla-vosstanovlenie-iphone-xs/</t>
  </si>
  <si>
    <t>https://maxmobiles.ru/displey-kopiya-aaa-zamena-iphone-xs/</t>
  </si>
  <si>
    <t>https://maxmobiles.ru/displey-original-zamena-iphone-xs/</t>
  </si>
  <si>
    <t>https://maxmobiles.ru/zadnyaya-kryshka-zamena-stekla-iphone-xs/</t>
  </si>
  <si>
    <t>https://maxmobiles.ru/profilaktika-posle-vody-cena-ot-iphone-xs/</t>
  </si>
  <si>
    <t>https://maxmobiles.ru/akkumulyator-zamena-iphone-xs/</t>
  </si>
  <si>
    <t>https://maxmobiles.ru/razem-zaryadki-zamena-iphone-xs/</t>
  </si>
  <si>
    <t>https://maxmobiles.ru/mikrofon-odin-iz-zamena-iphone-xs/</t>
  </si>
  <si>
    <t>https://maxmobiles.ru/dinamik-vyzova-zvonok-gromkaya-svyaz-zamena-iphone-xs/</t>
  </si>
  <si>
    <t>https://maxmobiles.ru/dinamik-razgovornyy-verhniy-iphone-xs/</t>
  </si>
  <si>
    <t>https://maxmobiles.ru/kamera-osnovnaya-zamena-iphone-xs/</t>
  </si>
  <si>
    <t>https://maxmobiles.ru/kamera-frontalnaya-perednyaya-zamena-iphone-xs/</t>
  </si>
  <si>
    <t>https://maxmobiles.ru/kamera-zamena-razbitogo-stekla-1sht-iphone-xs/</t>
  </si>
  <si>
    <t>https://maxmobiles.ru/korpus-kopiya-vysokoe-kachestvo-zamena-iphone-xs/</t>
  </si>
  <si>
    <t>https://maxmobiles.ru/knopka-vkl-power-zamena-remont-iphone-xs/</t>
  </si>
  <si>
    <t>782129785272455024</t>
  </si>
  <si>
    <t>https://maxmobiles.ru/remont-platy-iphone-xs/</t>
  </si>
  <si>
    <t>https://maxmobiles.ru/face-id-remont-vosstanovlenie-zamena-iphone-xs/</t>
  </si>
  <si>
    <t>https://maxmobiles.ru/displey-zamena-razbitogo-stekla-vosstanovlenie-iphone-x/</t>
  </si>
  <si>
    <t>https://maxmobiles.ru/displey-kopiya-aaa-zamena-iphone-x/</t>
  </si>
  <si>
    <t>https://maxmobiles.ru/displey-original-zamena-iphone-x/</t>
  </si>
  <si>
    <t>https://maxmobiles.ru/zadnyaya-kryshka-zamena-stekla-iphone-x/</t>
  </si>
  <si>
    <t>https://maxmobiles.ru/profilaktika-posle-vody-cena-ot-iphone-x/</t>
  </si>
  <si>
    <t>https://maxmobiles.ru/akkumulyator-zamena-iphone-x/</t>
  </si>
  <si>
    <t>https://maxmobiles.ru/razem-zaryadki-zamena-iphone-x/</t>
  </si>
  <si>
    <t>https://maxmobiles.ru/mikrofon-odin-iz-zamena-iphone-x/</t>
  </si>
  <si>
    <t>https://maxmobiles.ru/dinamik-vyzova-zvonok-gromkaya-svyaz-zamena-iphone-x/</t>
  </si>
  <si>
    <t>https://maxmobiles.ru/dinamik-razgovornyy-verhniy-iphone-x/</t>
  </si>
  <si>
    <t>https://maxmobiles.ru/kamera-osnovnaya-zamena-iphone-x/</t>
  </si>
  <si>
    <t>https://maxmobiles.ru/kamera-frontalnaya-perednyaya-zamena-iphone-x/</t>
  </si>
  <si>
    <t>https://maxmobiles.ru/kamera-zamena-razbitogo-stekla-1sht-iphone-x/</t>
  </si>
  <si>
    <t>https://maxmobiles.ru/qwerty-ru-574/</t>
  </si>
  <si>
    <t>https://maxmobiles.ru/knopka-vkl-power-zamena-remont-iphone-x/</t>
  </si>
  <si>
    <t>782129785272455022</t>
  </si>
  <si>
    <t>https://maxmobiles.ru/remont-platy-iphone-x/</t>
  </si>
  <si>
    <t>https://maxmobiles.ru/face-id-remont-vosstanovlenie-zamena-iphone-x/</t>
  </si>
  <si>
    <t>https://maxmobiles.ru/displey-kopiya-aaa-zamena-iphone-xr/</t>
  </si>
  <si>
    <t>https://maxmobiles.ru/displey-original-zamena-iphone-xr/</t>
  </si>
  <si>
    <t>https://maxmobiles.ru/zadnyaya-kryshka-zamena-stekla-iphone-xr/</t>
  </si>
  <si>
    <t>https://maxmobiles.ru/profilaktika-posle-vody-cena-ot-iphone-xr/</t>
  </si>
  <si>
    <t>https://maxmobiles.ru/akkumulyator-zamena-iphone-xr/</t>
  </si>
  <si>
    <t>https://maxmobiles.ru/razem-zaryadki-zamena-iphone-xr/</t>
  </si>
  <si>
    <t>https://maxmobiles.ru/mikrofon-odin-iz-zamena-iphone-xr/</t>
  </si>
  <si>
    <t>https://maxmobiles.ru/dinamik-vyzova-zvonok-gromkaya-svyaz-zamena-iphone-xr/</t>
  </si>
  <si>
    <t>https://maxmobiles.ru/dinamik-razgovornyy-verhniy-iphone-xr/</t>
  </si>
  <si>
    <t>https://maxmobiles.ru/kamera-osnovnaya-zamena-iphone-xr/</t>
  </si>
  <si>
    <t>https://maxmobiles.ru/kamera-frontalnaya-perednyaya-zamena-iphone-xr/</t>
  </si>
  <si>
    <t>https://maxmobiles.ru/kamera-zamena-razbitogo-stekla-1sht-iphone-xr/</t>
  </si>
  <si>
    <t>https://maxmobiles.ru/korpus-kopiya-vysokoe-kachestvo-zamena-iphone-xr/</t>
  </si>
  <si>
    <t>https://maxmobiles.ru/knopka-vkl-power-zamena-remont-iphone-xr/</t>
  </si>
  <si>
    <t>782129785272455023</t>
  </si>
  <si>
    <t>https://maxmobiles.ru/remont-platy-iphone-xr/</t>
  </si>
  <si>
    <t>https://maxmobiles.ru/face-id-remont-vosstanovlenie-zamena-iphone-xr/</t>
  </si>
  <si>
    <t>7821297852724555127</t>
  </si>
  <si>
    <t>https://maxmobiles.ru/zamena-stekla-iphone-se-2022/</t>
  </si>
  <si>
    <t>7821297852724555135</t>
  </si>
  <si>
    <t>https://maxmobiles.ru/zamena-displeya-iphone-se-2022-kopiya/</t>
  </si>
  <si>
    <t>7821297852724555007</t>
  </si>
  <si>
    <t>https://maxmobiles.ru/zamena-displeya-iphone-se-2022/</t>
  </si>
  <si>
    <t>7821297852724555142</t>
  </si>
  <si>
    <t>https://maxmobiles.ru/zamena-zadney-kryshki-stekla-iphone-se-2022/</t>
  </si>
  <si>
    <t>7821297852724555019</t>
  </si>
  <si>
    <t>https://maxmobiles.ru/profilaktika-posle-vody-iphone-se-2022/</t>
  </si>
  <si>
    <t>7821297852724555006</t>
  </si>
  <si>
    <t>https://maxmobiles.ru/zamena-akkumulyatora-iphone-se-2022/</t>
  </si>
  <si>
    <t>7821297852724554982</t>
  </si>
  <si>
    <t>https://maxmobiles.ru/zamena-razema-zaryadki-iphone-se-2022/</t>
  </si>
  <si>
    <t>7821297852724555024</t>
  </si>
  <si>
    <t>https://maxmobiles.ru/zamena-mikrofona-iphone-se-2022/</t>
  </si>
  <si>
    <t>7821297852724555000</t>
  </si>
  <si>
    <t>https://maxmobiles.ru/zamena-dinamika-gromkoy-svyazi-iphone-se-2022/</t>
  </si>
  <si>
    <t>7821297852724555034</t>
  </si>
  <si>
    <t>https://maxmobiles.ru/zamena-dinamika-iphone-se-2022/</t>
  </si>
  <si>
    <t>7821297852724555037</t>
  </si>
  <si>
    <t>https://maxmobiles.ru/zamena-osnovnoy-kamery-iphone-se-2022/</t>
  </si>
  <si>
    <t>7821297852724555011</t>
  </si>
  <si>
    <t>https://maxmobiles.ru/zamena-frontalnoy-kamery-iphone-se-2022/</t>
  </si>
  <si>
    <t>7821297852724554984</t>
  </si>
  <si>
    <t>https://maxmobiles.ru/zamena-stekla-kamery-iphone-se-2022/</t>
  </si>
  <si>
    <t>7821297852724554990</t>
  </si>
  <si>
    <t>https://maxmobiles.ru/zamena-korpusa-iphone-se-2022/</t>
  </si>
  <si>
    <t>7821297852724555036</t>
  </si>
  <si>
    <t>https://maxmobiles.ru/zamena-knopok-iphone-se-2022/</t>
  </si>
  <si>
    <t>7821297852724555027</t>
  </si>
  <si>
    <t>https://maxmobiles.ru/remont-platy-iphone-se-2022/</t>
  </si>
  <si>
    <t>7821297852724555126</t>
  </si>
  <si>
    <t>https://maxmobiles.ru/zamena-stekla-iphone-se-2020/</t>
  </si>
  <si>
    <t>7821297852724555136</t>
  </si>
  <si>
    <t>https://maxmobiles.ru/zamena-displeya-iphone-se-2020-kopiya/</t>
  </si>
  <si>
    <t>7821297852724554989</t>
  </si>
  <si>
    <t>https://maxmobiles.ru/zamena-displeya-iphone-se-2020/</t>
  </si>
  <si>
    <t>7821297852724555141</t>
  </si>
  <si>
    <t>https://maxmobiles.ru/zamena-zadney-kryshki-stekla-iphone-se-2020/</t>
  </si>
  <si>
    <t>7821297852724554988</t>
  </si>
  <si>
    <t>https://maxmobiles.ru/profilaktika-posle-vody-iphone-se-2020/</t>
  </si>
  <si>
    <t>7821297852724555002</t>
  </si>
  <si>
    <t>https://maxmobiles.ru/zamena-akkumulyatora-iphone-se-2020/</t>
  </si>
  <si>
    <t>7821297852724554998</t>
  </si>
  <si>
    <t>https://maxmobiles.ru/zamena-razema-zaryadki-iphone-se-2020/</t>
  </si>
  <si>
    <t>7821297852724555020</t>
  </si>
  <si>
    <t>https://maxmobiles.ru/zamena-mikrofona-iphone-se-2020/</t>
  </si>
  <si>
    <t>7821297852724555026</t>
  </si>
  <si>
    <t>https://maxmobiles.ru/zamena-dinamika-gromkoy-svyazi-iphone-se-2020/</t>
  </si>
  <si>
    <t>7821297852724555010</t>
  </si>
  <si>
    <t>https://maxmobiles.ru/zamena-dinamika-iphone-se-2020/</t>
  </si>
  <si>
    <t>7821297852724555017</t>
  </si>
  <si>
    <t>https://maxmobiles.ru/zamena-osnovnoy-kamery-iphone-se-2020/</t>
  </si>
  <si>
    <t>7821297852724554983</t>
  </si>
  <si>
    <t>https://maxmobiles.ru/zamena-frontalnoy-kamery-iphone-se-2020/</t>
  </si>
  <si>
    <t>7821297852724554981</t>
  </si>
  <si>
    <t>https://maxmobiles.ru/zamena-stekla-kamery-iphone-se-2020/</t>
  </si>
  <si>
    <t>7821297852724555031</t>
  </si>
  <si>
    <t>https://maxmobiles.ru/zamena-korpusa-iphone-se-2020/</t>
  </si>
  <si>
    <t>7821297852724555013</t>
  </si>
  <si>
    <t>https://maxmobiles.ru/zamena-knopok-iphone-se-2020/</t>
  </si>
  <si>
    <t>7821297852724554985</t>
  </si>
  <si>
    <t>https://maxmobiles.ru/remont-platy-iphone-se-2020/</t>
  </si>
  <si>
    <t>https://maxmobiles.ru/displey-zamena-razbitogo-stekla-vosstanovlenie-iphone-8-plus/</t>
  </si>
  <si>
    <t>https://maxmobiles.ru/displey-kopiya-aaa-zamena-iphone-8-plus/</t>
  </si>
  <si>
    <t>https://maxmobiles.ru/displey-original-zamena-iphone-8-plus/</t>
  </si>
  <si>
    <t>https://maxmobiles.ru/zadnyaya-kryshka-zamena-stekla-iphone-8-plus/</t>
  </si>
  <si>
    <t>https://maxmobiles.ru/profilaktika-posle-vody-cena-ot-iphone-8-plus/</t>
  </si>
  <si>
    <t>https://maxmobiles.ru/akkumulyator-zamena-iphone-8-plus/</t>
  </si>
  <si>
    <t>https://maxmobiles.ru/razem-zaryadki-zamena-iphone-8-plus/</t>
  </si>
  <si>
    <t>https://maxmobiles.ru/mikrofon-odin-iz-zamena-iphone-8-plus/</t>
  </si>
  <si>
    <t>https://maxmobiles.ru/dinamik-vyzova-zvonok-gromkaya-svyaz-zamena-iphone-xr-ru/</t>
  </si>
  <si>
    <t>https://maxmobiles.ru/dinamik-razgovornyy-verhniy-iphone-8-plus/</t>
  </si>
  <si>
    <t>https://maxmobiles.ru/kamera-osnovnaya-zamena-iphone-8-plus/</t>
  </si>
  <si>
    <t>https://maxmobiles.ru/kamera-frontalnaya-perednyaya-zamena-iphone-8-plus/</t>
  </si>
  <si>
    <t>https://maxmobiles.ru/kamera-zamena-razbitogo-stekla-1sht-iphone-8-plus/</t>
  </si>
  <si>
    <t>https://maxmobiles.ru/korpus-kopiya-vysokoe-kachestvo-zamena-iphone-8-plus/</t>
  </si>
  <si>
    <t>https://maxmobiles.ru/knopka-vkl-power-zamena-remont-iphone-8-plus/</t>
  </si>
  <si>
    <t>782129785272455020</t>
  </si>
  <si>
    <t>https://maxmobiles.ru/remont-platy-iphone-8-plus/</t>
  </si>
  <si>
    <t>https://maxmobiles.ru/displey-zamena-razbitogo-stekla-vosstanovlenie-iphone-8-se20/</t>
  </si>
  <si>
    <t>https://maxmobiles.ru/displey-kopiya-aaa-zamena-iphone-8-se20/</t>
  </si>
  <si>
    <t>https://maxmobiles.ru/displey-original-zamena-iphone-8-se20/</t>
  </si>
  <si>
    <t>https://maxmobiles.ru/zadnyaya-kryshka-zamena-stekla-iphone-8-se20/</t>
  </si>
  <si>
    <t>https://maxmobiles.ru/profilaktika-posle-vody-cena-ot-iphone-8-se20/</t>
  </si>
  <si>
    <t>https://maxmobiles.ru/akkumulyator-zamena-iphone-8-se20/</t>
  </si>
  <si>
    <t>https://maxmobiles.ru/razem-zaryadki-zamena-iphone-8-se20/</t>
  </si>
  <si>
    <t>https://maxmobiles.ru/mikrofon-odin-iz-zamena-iphone-8-se20/</t>
  </si>
  <si>
    <t>https://maxmobiles.ru/dinamik-vyzova-zvonok-gromkaya-svyaz-zamena-iphone-8-se20/</t>
  </si>
  <si>
    <t>https://maxmobiles.ru/dinamik-razgovornyy-verhniy-iphone-8-se20/</t>
  </si>
  <si>
    <t>https://maxmobiles.ru/kamera-osnovnaya-zamena-iphone-8-se20/</t>
  </si>
  <si>
    <t>https://maxmobiles.ru/kamera-frontalnaya-perednyaya-zamena-iphone-8-se20/</t>
  </si>
  <si>
    <t>https://maxmobiles.ru/kamera-zamena-razbitogo-stekla-1sht-iphone-8-se20/</t>
  </si>
  <si>
    <t>https://maxmobiles.ru/korpus-kopiya-vysokoe-kachestvo-zamena-iphone-8-se20/</t>
  </si>
  <si>
    <t>https://maxmobiles.ru/knopka-vkl-power-zamena-remont-iphone-8-se20/</t>
  </si>
  <si>
    <t>782129785272455021</t>
  </si>
  <si>
    <t>https://maxmobiles.ru/remont-platy-iphone-8-se2020/</t>
  </si>
  <si>
    <t>https://maxmobiles.ru/displey-zamena-razbitogo-stekla-vosstanovlenie-iphone-7-plus/</t>
  </si>
  <si>
    <t>https://maxmobiles.ru/displey-kopiya-aaa-zamena-iphone-7-plus/</t>
  </si>
  <si>
    <t>https://maxmobiles.ru/displey-original-zamena-iphone-7-plus/</t>
  </si>
  <si>
    <t>https://maxmobiles.ru/profilaktika-posle-vody-cena-ot-iphone-7-plus/</t>
  </si>
  <si>
    <t>https://maxmobiles.ru/akkumulyator-zamena-iphone-7-plus/</t>
  </si>
  <si>
    <t>https://maxmobiles.ru/razem-zaryadki-zamena-iphone-7-plus/</t>
  </si>
  <si>
    <t>https://maxmobiles.ru/mikrofon-odin-iz-zamena-iphone-7-plus/</t>
  </si>
  <si>
    <t>https://maxmobiles.ru/dinamik-vyzova-zvonok-gromkaya-svyaz-zamena-iphone-7-plus/</t>
  </si>
  <si>
    <t>https://maxmobiles.ru/dinamik-razgovornyy-verhniy-iphone-7-plus/</t>
  </si>
  <si>
    <t>https://maxmobiles.ru/kamera-osnovnaya-zamena-iphone-7-plus/</t>
  </si>
  <si>
    <t>https://maxmobiles.ru/kamera-frontalnaya-perednyaya-zamena-iphone-7-plus/</t>
  </si>
  <si>
    <t>https://maxmobiles.ru/kamera-zamena-razbitogo-stekla-1sht-iphone-7-plus/</t>
  </si>
  <si>
    <t>https://maxmobiles.ru/korpus-kopiya-vysokoe-kachestvo-zamena-iphone-7-plus/</t>
  </si>
  <si>
    <t>https://maxmobiles.ru/knopka-vkl-power-zamena-remont-iphone-7-plus/</t>
  </si>
  <si>
    <t>782129785272455019</t>
  </si>
  <si>
    <t>https://maxmobiles.ru/remont-platy-iphone-7-plus/</t>
  </si>
  <si>
    <t>https://maxmobiles.ru/displey-zamena-razbitogo-stekla-vosstanovlenie-iphone-7/</t>
  </si>
  <si>
    <t>https://maxmobiles.ru/displey-kopiya-aaa-zamena-iphone-7/</t>
  </si>
  <si>
    <t>https://maxmobiles.ru/displey-original-zamena-iphone-7/</t>
  </si>
  <si>
    <t>https://maxmobiles.ru/profilaktika-posle-vody-cena-ot-iphone-7/</t>
  </si>
  <si>
    <t>https://maxmobiles.ru/akkumulyator-zamena-iphone-7/</t>
  </si>
  <si>
    <t>https://maxmobiles.ru/razem-zaryadki-zamena-iphone-7/</t>
  </si>
  <si>
    <t>https://maxmobiles.ru/mikrofon-odin-iz-zamena-iphone-7/</t>
  </si>
  <si>
    <t>https://maxmobiles.ru/dinamik-vyzova-zvonok-gromkaya-svyaz-zamena-iphone-7/</t>
  </si>
  <si>
    <t>https://maxmobiles.ru/dinamik-razgovornyy-verhniy-iphone-7/</t>
  </si>
  <si>
    <t>https://maxmobiles.ru/kamera-osnovnaya-zamena-iphone-7/</t>
  </si>
  <si>
    <t>https://maxmobiles.ru/kamera-frontalnaya-perednyaya-zamena-iphone-7/</t>
  </si>
  <si>
    <t>https://maxmobiles.ru/kamera-zamena-razbitogo-stekla-1sht-iphone-7/</t>
  </si>
  <si>
    <t>https://maxmobiles.ru/korpus-kopiya-vysokoe-kachestvo-zamena-iphone-7/</t>
  </si>
  <si>
    <t>https://maxmobiles.ru/knopka-vkl-power-zamena-remont-iphone-7/</t>
  </si>
  <si>
    <t>782129785272455018</t>
  </si>
  <si>
    <t>https://maxmobiles.ru/remont-platy-iphone-7/</t>
  </si>
  <si>
    <t>https://maxmobiles.ru/displey-zamena-razbitogo-stekla-vosstanovlenie-iphone-6s-plus/</t>
  </si>
  <si>
    <t>https://maxmobiles.ru/displey-kopiya-aaa-zamena-iphone-6s-plus/</t>
  </si>
  <si>
    <t>https://maxmobiles.ru/displey-original-zamena-iphone-6s-plus/</t>
  </si>
  <si>
    <t>https://maxmobiles.ru/profilaktika-posle-vody-cena-ot-iphone-6s-plus/</t>
  </si>
  <si>
    <t>https://maxmobiles.ru/akkumulyator-zamena-iphone-6s-plus/</t>
  </si>
  <si>
    <t>https://maxmobiles.ru/razem-zaryadki-zamena-iphone-6s-plus/</t>
  </si>
  <si>
    <t>https://maxmobiles.ru/mikrofon-odin-iz-zamena-iphone-6s-plus/</t>
  </si>
  <si>
    <t>https://maxmobiles.ru/dinamik-vyzova-zvonok-gromkaya-svyaz-zamena-iphone-6s-plus/</t>
  </si>
  <si>
    <t>https://maxmobiles.ru/dinamik-razgovornyy-verhniy-iphone-6s-plus/</t>
  </si>
  <si>
    <t>https://maxmobiles.ru/kamera-osnovnaya-zamena-iphone-6s-plus/</t>
  </si>
  <si>
    <t>https://maxmobiles.ru/kamera-frontalnaya-perednyaya-zamena-iphone-6s-plus/</t>
  </si>
  <si>
    <t>https://maxmobiles.ru/kamera-zamena-razbitogo-stekla-1sht-iphone-6s-plus/</t>
  </si>
  <si>
    <t>782129785272454046</t>
  </si>
  <si>
    <t>https://maxmobiles.ru/korpus-kopiya-vysochayshego-kachestva-zamena-iphone-6s-plus/</t>
  </si>
  <si>
    <t>https://maxmobiles.ru/knopka-vkl-power-zamena-remont-iphone-6s-plus/</t>
  </si>
  <si>
    <t>782129785272455017</t>
  </si>
  <si>
    <t>https://maxmobiles.ru/remont-platy-iphone-6s-plus/</t>
  </si>
  <si>
    <t>https://maxmobiles.ru/displey-zamena-razbitogo-stekla-vosstanovlenie-iphone-6s/</t>
  </si>
  <si>
    <t>https://maxmobiles.ru/displey-kopiya-aaa-zamena-iphone-6s/</t>
  </si>
  <si>
    <t>https://maxmobiles.ru/displey-original-zamena-iphone-6s/</t>
  </si>
  <si>
    <t>https://maxmobiles.ru/profilaktika-posle-vody-cena-ot-iphone-6s/</t>
  </si>
  <si>
    <t>https://maxmobiles.ru/akkumulyator-zamena-iphone-6s/</t>
  </si>
  <si>
    <t>https://maxmobiles.ru/razem-zaryadki-zamena-iphone-6s/</t>
  </si>
  <si>
    <t>https://maxmobiles.ru/mikrofon-odin-iz-zamena-iphone-6s/</t>
  </si>
  <si>
    <t>https://maxmobiles.ru/dinamik-vyzova-zvonok-gromkaya-svyaz-zamena-iphone-6s/</t>
  </si>
  <si>
    <t>https://maxmobiles.ru/dinamik-razgovornyy-verhniy-iphone-6s/</t>
  </si>
  <si>
    <t>https://maxmobiles.ru/kamera-osnovnaya-zamena-iphone-6s/</t>
  </si>
  <si>
    <t>https://maxmobiles.ru/kamera-frontalnaya-perednyaya-zamena-iphone-6s/</t>
  </si>
  <si>
    <t>https://maxmobiles.ru/kamera-zamena-razbitogo-stekla-1sht-iphone-6s/</t>
  </si>
  <si>
    <t>782129785272454045</t>
  </si>
  <si>
    <t>https://maxmobiles.ru/korpus-kopiya-vysochayshego-kachestva-zamena-iphone-6s/</t>
  </si>
  <si>
    <t>https://maxmobiles.ru/knopka-vkl-power-zamena-remont-iphone-6s/</t>
  </si>
  <si>
    <t>782129785272455016</t>
  </si>
  <si>
    <t>https://maxmobiles.ru/remont-platy-iphone-6s/</t>
  </si>
  <si>
    <t>https://maxmobiles.ru/displey-zamena-razbitogo-stekla-vosstanovlenie-iphone-6-plus/</t>
  </si>
  <si>
    <t>https://maxmobiles.ru/displey-kopiya-aaa-zamena-iphone-6-plus/</t>
  </si>
  <si>
    <t>https://maxmobiles.ru/displey-original-zamena-iphone-6-plus/</t>
  </si>
  <si>
    <t>https://maxmobiles.ru/profilaktika-posle-vody-cena-ot-iphone-6-plus/</t>
  </si>
  <si>
    <t>https://maxmobiles.ru/akkumulyator-zamena-iphone-6-plus/</t>
  </si>
  <si>
    <t>https://maxmobiles.ru/razem-zaryadki-zamena-iphone-6-plus/</t>
  </si>
  <si>
    <t>https://maxmobiles.ru/mikrofon-odin-iz-zamena-iphone-6-plus/</t>
  </si>
  <si>
    <t>https://maxmobiles.ru/dinamik-vyzova-zvonok-gromkaya-svyaz-zamena-iphone-6-plus/</t>
  </si>
  <si>
    <t>https://maxmobiles.ru/dinamik-razgovornyy-verhniy-iphone-6-plus/</t>
  </si>
  <si>
    <t>https://maxmobiles.ru/kamera-osnovnaya-zamena-iphone-6-plus/</t>
  </si>
  <si>
    <t>https://maxmobiles.ru/kamera-frontalnaya-perednyaya-zamena-iphone-6-plus/</t>
  </si>
  <si>
    <t>https://maxmobiles.ru/kamera-zamena-razbitogo-stekla-1sht-iphone-6-plus/</t>
  </si>
  <si>
    <t>782129785272454044</t>
  </si>
  <si>
    <t>https://maxmobiles.ru/korpus-kopiya-vysochayshego-kachestva-zamena-iphone-6-plus/</t>
  </si>
  <si>
    <t>https://maxmobiles.ru/knopka-vkl-power-zamena-remont-iphone-6-plus/</t>
  </si>
  <si>
    <t>782129785272455015</t>
  </si>
  <si>
    <t>https://maxmobiles.ru/remont-platy-iphone-6-plus/</t>
  </si>
  <si>
    <t>https://maxmobiles.ru/displey-zamena-razbitogo-stekla-vosstanovlenie-iphone-6/</t>
  </si>
  <si>
    <t>https://maxmobiles.ru/displey-kopiya-aaa-zamena-iphone-6/</t>
  </si>
  <si>
    <t>https://maxmobiles.ru/displey-original-zamena-iphone-6/</t>
  </si>
  <si>
    <t>https://maxmobiles.ru/profilaktika-posle-vody-cena-ot-iphone-6/</t>
  </si>
  <si>
    <t>https://maxmobiles.ru/akkumulyator-zamena-iphone-6/</t>
  </si>
  <si>
    <t>https://maxmobiles.ru/razem-zaryadki-zamena-iphone-6/</t>
  </si>
  <si>
    <t>https://maxmobiles.ru/mikrofon-odin-iz-zamena-iphone-6/</t>
  </si>
  <si>
    <t>https://maxmobiles.ru/dinamik-vyzova-zvonok-gromkaya-svyaz-zamena-iphone-6/</t>
  </si>
  <si>
    <t>https://maxmobiles.ru/dinamik-razgovornyy-verhniy-iphone-6/</t>
  </si>
  <si>
    <t>https://maxmobiles.ru/kamera-osnovnaya-zamena-iphone-6/</t>
  </si>
  <si>
    <t>https://maxmobiles.ru/kamera-frontalnaya-perednyaya-zamena-iphone-6/</t>
  </si>
  <si>
    <t>https://maxmobiles.ru/kamera-zamena-razbitogo-stekla-1sht-iphone-6/</t>
  </si>
  <si>
    <t>782129785272454043</t>
  </si>
  <si>
    <t>https://maxmobiles.ru/korpus-kopiya-vysochayshego-kachestva-zamena-iphone-6/</t>
  </si>
  <si>
    <t>https://maxmobiles.ru/knopka-vkl-power-zamena-remont-iphone-6/</t>
  </si>
  <si>
    <t>782129785272455014</t>
  </si>
  <si>
    <t>https://maxmobiles.ru/remont-platy-iphone-6/</t>
  </si>
  <si>
    <t>7821297852724555137</t>
  </si>
  <si>
    <t>https://maxmobiles.ru/zamena-displeya-iphone-se-2016-kopiya/</t>
  </si>
  <si>
    <t>7821297852724555003</t>
  </si>
  <si>
    <t>https://maxmobiles.ru/zamena-displeya-iphone-se-2016/</t>
  </si>
  <si>
    <t>7821297852724555039</t>
  </si>
  <si>
    <t>https://maxmobiles.ru/profilaktika-posle-vody-iphone-se-2016/</t>
  </si>
  <si>
    <t>7821297852724554995</t>
  </si>
  <si>
    <t>https://maxmobiles.ru/zamena-akkumulyatora-iphone-se-2016/</t>
  </si>
  <si>
    <t>7821297852724554993</t>
  </si>
  <si>
    <t>https://maxmobiles.ru/zamena-razema-zaryadki-iphone-se-2016/</t>
  </si>
  <si>
    <t>7821297852724555022</t>
  </si>
  <si>
    <t>https://maxmobiles.ru/zamena-mikrofona-iphone-se-2016/</t>
  </si>
  <si>
    <t>7821297852724554978</t>
  </si>
  <si>
    <t>https://maxmobiles.ru/zamena-dinamika-gromkoy-svyazi-iphone-se-2016/</t>
  </si>
  <si>
    <t>7821297852724555043</t>
  </si>
  <si>
    <t>https://maxmobiles.ru/zamena-dinamika-iphone-se-2016/</t>
  </si>
  <si>
    <t>7821297852724555038</t>
  </si>
  <si>
    <t>https://maxmobiles.ru/zamena-osnovnoy-kamery-iphone-se-2016/</t>
  </si>
  <si>
    <t>7821297852724555016</t>
  </si>
  <si>
    <t>https://maxmobiles.ru/zamena-frontalnoy-kamery-iphone-se-2016/</t>
  </si>
  <si>
    <t>7821297852724554996</t>
  </si>
  <si>
    <t>https://maxmobiles.ru/zamena-stekla-kamery-iphone-se-2016/</t>
  </si>
  <si>
    <t>7821297852724554997</t>
  </si>
  <si>
    <t>https://maxmobiles.ru/zamena-korpusa-iphone-se-2016/</t>
  </si>
  <si>
    <t>7821297852724554987</t>
  </si>
  <si>
    <t>https://maxmobiles.ru/zamena-knopok-iphone-se-2016/</t>
  </si>
  <si>
    <t>7821297852724555030</t>
  </si>
  <si>
    <t>https://maxmobiles.ru/remont-platy-iphone-se-2016/</t>
  </si>
  <si>
    <t>7821297852724555138</t>
  </si>
  <si>
    <t>https://maxmobiles.ru/zamena-displeya-iphone-5s-kopiya/</t>
  </si>
  <si>
    <t>7821297852724555040</t>
  </si>
  <si>
    <t>https://maxmobiles.ru/zamena-displeya-iphone-5s-ru/</t>
  </si>
  <si>
    <t>7821297852724555041</t>
  </si>
  <si>
    <t>https://maxmobiles.ru/profilaktika-posle-vody-iphone-5s-ru/</t>
  </si>
  <si>
    <t>7821297852724554979</t>
  </si>
  <si>
    <t>https://maxmobiles.ru/zamena-akkumulyatora-iphone-5s-ru/</t>
  </si>
  <si>
    <t>7821297852724554980</t>
  </si>
  <si>
    <t>https://maxmobiles.ru/zamena-razema-zaryadki-iphone-5s-ru/</t>
  </si>
  <si>
    <t>7821297852724555001</t>
  </si>
  <si>
    <t>https://maxmobiles.ru/zamena-mikrofona-iphone-5s-ru/</t>
  </si>
  <si>
    <t>7821297852724554977</t>
  </si>
  <si>
    <t>https://maxmobiles.ru/zamena-dinamika-gromkoy-svyazi-iphone-5s-ru/</t>
  </si>
  <si>
    <t>7821297852724555025</t>
  </si>
  <si>
    <t>https://maxmobiles.ru/zamena-dinamika-iphone-5s-ru/</t>
  </si>
  <si>
    <t>7821297852724555014</t>
  </si>
  <si>
    <t>https://maxmobiles.ru/zamena-osnovnoy-kamery-iphone-5s-ru/</t>
  </si>
  <si>
    <t>7821297852724555021</t>
  </si>
  <si>
    <t>https://maxmobiles.ru/zamena-frontalnoy-kamery-iphone-5s-ru/</t>
  </si>
  <si>
    <t>7821297852724555035</t>
  </si>
  <si>
    <t>https://maxmobiles.ru/zamena-stekla-kamery-iphone-5s-ru/</t>
  </si>
  <si>
    <t>7821297852724555008</t>
  </si>
  <si>
    <t>https://maxmobiles.ru/zamena-korpusa-iphone-5s-ru/</t>
  </si>
  <si>
    <t>7821297852724555015</t>
  </si>
  <si>
    <t>https://maxmobiles.ru/zamena-knopok-iphone-5s-ru/</t>
  </si>
  <si>
    <t>7821297852724555009</t>
  </si>
  <si>
    <t>https://maxmobiles.ru/remont-platy-iphone-5s-ru/</t>
  </si>
  <si>
    <t>iPhone 5C</t>
  </si>
  <si>
    <t>7821297852724555139</t>
  </si>
  <si>
    <t>https://maxmobiles.ru/zamena-displeya-iphone-5c-kopiya/</t>
  </si>
  <si>
    <t>7821297852724554971</t>
  </si>
  <si>
    <t>https://maxmobiles.ru/zamena-displeya-iphone-5s/</t>
  </si>
  <si>
    <t>7821297852724554972</t>
  </si>
  <si>
    <t>https://maxmobiles.ru/profilaktika-posle-vody-iphone-5s/</t>
  </si>
  <si>
    <t>7821297852724554968</t>
  </si>
  <si>
    <t>https://maxmobiles.ru/zamena-akkumulyatora-iphone-5s/</t>
  </si>
  <si>
    <t>7821297852724554967</t>
  </si>
  <si>
    <t>https://maxmobiles.ru/zamena-razema-zaryadki-iphone-5s/</t>
  </si>
  <si>
    <t>7821297852724554975</t>
  </si>
  <si>
    <t>https://maxmobiles.ru/zamena-mikrofona-iphone-5s/</t>
  </si>
  <si>
    <t>7821297852724554976</t>
  </si>
  <si>
    <t>https://maxmobiles.ru/zamena-dinamika-gromkoy-svyazi-iphone-5s/</t>
  </si>
  <si>
    <t>7821297852724554963</t>
  </si>
  <si>
    <t>https://maxmobiles.ru/zamena-dinamika-iphone-5s/</t>
  </si>
  <si>
    <t>7821297852724554960</t>
  </si>
  <si>
    <t>https://maxmobiles.ru/zamena-osnovnoy-kamery-iphone-5s/</t>
  </si>
  <si>
    <t>7821297852724554974</t>
  </si>
  <si>
    <t>https://maxmobiles.ru/zamena-frontalnoy-kamery-iphone-5s/</t>
  </si>
  <si>
    <t>7821297852724554962</t>
  </si>
  <si>
    <t>https://maxmobiles.ru/zamena-stekla-kamery-iphone-5s/</t>
  </si>
  <si>
    <t>7821297852724554961</t>
  </si>
  <si>
    <t>https://maxmobiles.ru/zamena-korpusa-iphone-5s/</t>
  </si>
  <si>
    <t>7821297852724554964</t>
  </si>
  <si>
    <t>https://maxmobiles.ru/zamena-knopok-iphone-5s/</t>
  </si>
  <si>
    <t>7821297852724554969</t>
  </si>
  <si>
    <t>https://maxmobiles.ru/remont-platy-iphone-5s/</t>
  </si>
  <si>
    <t>https://maxmobiles.ru/displey-kopiya-aaa-zamena-iphone-5s-5c-se/</t>
  </si>
  <si>
    <t>https://maxmobiles.ru/displey-original-zamena-iphone-5s-5c-se/</t>
  </si>
  <si>
    <t>https://maxmobiles.ru/profilaktika-posle-vody-cena-ot-iphone-5s-5c-se/</t>
  </si>
  <si>
    <t>https://maxmobiles.ru/akkumulyator-zamena-iphone-5s-5c-se/</t>
  </si>
  <si>
    <t>https://maxmobiles.ru/razem-zaryadki-zamena-iphone-5s-5c-se/</t>
  </si>
  <si>
    <t>https://maxmobiles.ru/mikrofon-odin-iz-zamena-iphone-5s-5c-se/</t>
  </si>
  <si>
    <t>https://maxmobiles.ru/dinamik-vyzova-zvonok-gromkaya-svyaz-zamena-iphone-5s-5c-se/</t>
  </si>
  <si>
    <t>https://maxmobiles.ru/dinamik-razgovornyy-verhniy-iphone-5s-5c-se/</t>
  </si>
  <si>
    <t>https://maxmobiles.ru/kamera-osnovnaya-zamena-iphone-5s-5c-se/</t>
  </si>
  <si>
    <t>https://maxmobiles.ru/kamera-frontalnaya-perednyaya-zamena-iphone-5s-5c-se/</t>
  </si>
  <si>
    <t>https://maxmobiles.ru/kamera-zamena-razbitogo-stekla-1sht-iphone-5s-5c-se/</t>
  </si>
  <si>
    <t>https://maxmobiles.ru/korpus-kopiya-vysokoe-kachestvo-zamena-iphone-5s-5c-se/</t>
  </si>
  <si>
    <t>https://maxmobiles.ru/knopka-vkl-power-zamena-remont-iphone-5s-5c-se/</t>
  </si>
  <si>
    <t>782129785272455013</t>
  </si>
  <si>
    <t>https://maxmobiles.ru/remont-platy-iphone-5-5s-5c-se2016/</t>
  </si>
  <si>
    <t>ШТРИХКОД</t>
  </si>
  <si>
    <t>ТИП</t>
  </si>
  <si>
    <t>НАИМЕНОВАНИЕ УСЛУГИ</t>
  </si>
  <si>
    <t>ОПИСАНИЕ</t>
  </si>
  <si>
    <t>ЕДИНИЦА ИЗМЕРЕНИЯ</t>
  </si>
  <si>
    <t>ГРУППА</t>
  </si>
  <si>
    <t>ГАРАНТИЯ</t>
  </si>
  <si>
    <t>ГАРАНТИЯ ПЕРИОД</t>
  </si>
  <si>
    <t>ДЛИТЕЛЬНОСТЬ</t>
  </si>
  <si>
    <t>СЕБЕСТОИМОСТЬ</t>
  </si>
  <si>
    <t>СУММА ВОЗНАГРАЖДЕНИЯ</t>
  </si>
  <si>
    <t>% ВОЗНАГРАЖДЕНИЯ</t>
  </si>
  <si>
    <t>УСЛОВИЕ ВОЗНАГРАЖДЕНИЯ</t>
  </si>
  <si>
    <t>СТОИМОСТЬ УСЛУГИ</t>
  </si>
  <si>
    <t>РЕМОНТ APPLE "ОБЩИЙ НАБОР УСЛУГ"</t>
  </si>
  <si>
    <t>?</t>
  </si>
  <si>
    <t>Программное обеспечение - установка до 3х программ</t>
  </si>
  <si>
    <t>Программное обеспечение - установка более 3х программ</t>
  </si>
  <si>
    <t>Mac OS - установка</t>
  </si>
  <si>
    <t>Windows OS - установка</t>
  </si>
  <si>
    <t>Microsoft Office - установка</t>
  </si>
  <si>
    <t>Сопровождение - ремонт устройства **</t>
  </si>
  <si>
    <t>Сопровождение - обмен устройства **</t>
  </si>
  <si>
    <t>Схематическая работа **</t>
  </si>
  <si>
    <t>Компонентный ремонт **</t>
  </si>
  <si>
    <t>Модульный ремонт **</t>
  </si>
  <si>
    <t>Корпус - правка / установка недостающих элементов **</t>
  </si>
  <si>
    <t>[i___-DGN] iPhone ___ Диагностика (с пайкой компонентов) | *бесплатно при дальнейшем ремонте</t>
  </si>
  <si>
    <t>[i___-WTR1] iPhone ___ Пылевлагозащита (этап 1) - восстановление</t>
  </si>
  <si>
    <t>приб.</t>
  </si>
  <si>
    <t>[i___-WTR2] iPhone ___ Пылевлагозащита (этап 2) - восстановление</t>
  </si>
  <si>
    <t>[i___-CLNB] iPhone ___ Чистка сеток динамиков и разъема зарядки БЕЗ РАЗБОРА</t>
  </si>
  <si>
    <t>[i___-CLN] iPhone ___ Чистка сеток динамиков и разъема зарядки С РАЗБОРОМ</t>
  </si>
  <si>
    <t>[i___-BAT] iPhone ___ Аккумулятор - замена</t>
  </si>
  <si>
    <t>[i___-BATE] iPhone ___ Аккумулятор - устранение уведомления о замене</t>
  </si>
  <si>
    <t>[i___-CHG] iPhone ___ Разъем зарядки - замена</t>
  </si>
  <si>
    <t>[i___-DIS] iPhone ___ Дисплей - замена</t>
  </si>
  <si>
    <t>[i___-DISE] iPhone ___ Дисплей - устранение уведомления о замене</t>
  </si>
  <si>
    <t>[i___-DGL] iPhone ___ Дисплей - замена (переклей) разбитого стекла</t>
  </si>
  <si>
    <t>[i___-DGT] iPhone ___ Дисплей - замена (переклей) разбитого стекла с тачскрином</t>
  </si>
  <si>
    <t>[i___-CAMR] iPhone ___ Камера основная - замена</t>
  </si>
  <si>
    <t>[i___-CAMF] iPhone ___ Камера фронтальная - замена</t>
  </si>
  <si>
    <t>[i___-CGL] iPhone ___ Камера - замена разбитого стекла | *цена за 1шт.</t>
  </si>
  <si>
    <t>[i___-FID] iPhone ___ Face ID - восстановление | *требуется диагностика</t>
  </si>
  <si>
    <t>[i___-BGL] iPhone ___ Крышка (заднее стекло) - замена</t>
  </si>
  <si>
    <t>[i___-HSG] iPhone ___ Корпус - замена</t>
  </si>
  <si>
    <t>[i___-MID] iPhone ___ Корпус (средняя часть) - замена</t>
  </si>
  <si>
    <t>[i___-HOM] iPhone ___ Кнопка Home - восстановление / замена</t>
  </si>
  <si>
    <t>[i___-BTN] iPhone ___ Кнопки - восстановление / замена | *требуется диагностика</t>
  </si>
  <si>
    <t>[i___-SPK] iPhone ___ Динамик полифонический (нижний, громкая связь) - замена</t>
  </si>
  <si>
    <t>[i___-EAR] iPhone ___ Динамик разговорный (верхний, слуховой) - замена</t>
  </si>
  <si>
    <t>[i___-MIC] iPhone ___ Микрофон - замена (один из..) | *требуется диагностика</t>
  </si>
  <si>
    <t>[i___-BRD] iPhone ___ Ремонт платы - восстановление / замена | *требуется диагностика</t>
  </si>
  <si>
    <t>[i___-BRDS] iPhone ___ Ремонт платы - распайка половинок</t>
  </si>
  <si>
    <t>[i___-LIQ] iPhone ___ Профилактика после воды - восстановление | *требуется диагностика</t>
  </si>
  <si>
    <t>[i___-MDM] iPhone ___ Модем - восстановление GSM сети | *требуется диагностика</t>
  </si>
  <si>
    <t>[i___-WFB] iPhone ___ WiFi / Bluetooth - восстановление беспроводных сетей | *требуется диагностика</t>
  </si>
  <si>
    <t>pcs</t>
  </si>
  <si>
    <t>Прочие работы и услуги</t>
  </si>
  <si>
    <t>iPhone 5 / 5C / 5S / SE 2016</t>
  </si>
  <si>
    <t>i5/5C/5S/SE1-DGN</t>
  </si>
  <si>
    <t>Работа</t>
  </si>
  <si>
    <t>[i5/5C/5S/SE1-DGN] iPhone 5 / 5C / 5S / SE1 Диагностика (с пайкой компонентов) | *бесплатно при дальнейшем ремонте</t>
  </si>
  <si>
    <t>Ремонт iPhone &gt; iPhone 5 / 5C / 5S / SE 2016</t>
  </si>
  <si>
    <t>дн</t>
  </si>
  <si>
    <t>i5/5C/5S/SE1-CLNB</t>
  </si>
  <si>
    <t>[i5/5C/5S/SE1-CLNB] iPhone 5 / 5C / 5S / SE1 Чистка сеток динамиков и разъема зарядки БЕЗ РАЗБОРА</t>
  </si>
  <si>
    <t>i5/5C/5S/SE1-CLN</t>
  </si>
  <si>
    <t>[i5/5C/5S/SE1-CLN] iPhone 5 / 5C / 5S / SE1 Чистка сеток динамиков и разъема зарядки С РАЗБОРОМ</t>
  </si>
  <si>
    <t>i5/5C/5S/SE1-BAT</t>
  </si>
  <si>
    <t>[i5/5C/5S/SE1-BAT] iPhone 5 / 5C / 5S / SE1 Аккумулятор - замена</t>
  </si>
  <si>
    <t>i5/5C/5S/SE1-CHG</t>
  </si>
  <si>
    <t>[i5/5C/5S/SE1-CHG] iPhone 5 / 5C / 5S / SE1 Разъем зарядки - замена</t>
  </si>
  <si>
    <t>i5/5C/5S/SE1-DIS</t>
  </si>
  <si>
    <t>[i5/5C/5S/SE1-DIS] iPhone 5 / 5C / 5S / SE1 Дисплей - замена</t>
  </si>
  <si>
    <t>i5/5C/5S/SE1-CAMR</t>
  </si>
  <si>
    <t>[i5/5C/5S/SE1-CAMR] iPhone 5 / 5C / 5S / SE1 Камера основная - замена</t>
  </si>
  <si>
    <t>i5/5C/5S/SE1-CAMF</t>
  </si>
  <si>
    <t>[i5/5C/5S/SE1-CAMF] iPhone 5 / 5C / 5S / SE1 Камера фронтальная - замена</t>
  </si>
  <si>
    <t>i5/5C/5S/SE1-CGL</t>
  </si>
  <si>
    <t>[i5/5C/5S/SE1-CGL] iPhone 5 / 5C / 5S / SE1 Камера - замена разбитого стекла | *цена за 1шт.</t>
  </si>
  <si>
    <t>i5/5C/5S/SE1-HSG</t>
  </si>
  <si>
    <t>[i5/5C/5S/SE1-HSG] iPhone 5 / 5C / 5S / SE1 Корпус - замена</t>
  </si>
  <si>
    <t>i5/5C/5S/SE1-HOM</t>
  </si>
  <si>
    <t>[i5/5C/5S/SE1-HOM] iPhone 5 / 5C / 5S / SE1 Кнопка Home - восстановление / замена</t>
  </si>
  <si>
    <t>i5/5C/5S/SE1-BTN</t>
  </si>
  <si>
    <t>[i5/5C/5S/SE1-BTN] iPhone 5 / 5C / 5S / SE1 Кнопки - восстановление / замена | *требуется диагностика</t>
  </si>
  <si>
    <t>i5/5C/5S/SE1-SPK</t>
  </si>
  <si>
    <t>[i5/5C/5S/SE1-SPK] iPhone 5 / 5C / 5S / SE1 Динамик полифонический (нижний, громкая связь) - замена</t>
  </si>
  <si>
    <t>i5/5C/5S/SE1-EAR</t>
  </si>
  <si>
    <t>[i5/5C/5S/SE1-EAR] iPhone 5 / 5C / 5S / SE1 Динамик разговорный (верхний, слуховой) - замена</t>
  </si>
  <si>
    <t>i5/5C/5S/SE1-MIC</t>
  </si>
  <si>
    <t>[i5/5C/5S/SE1-MIC] iPhone 5 / 5C / 5S / SE1 Микрофон - замена (один из..) | *требуется диагностика</t>
  </si>
  <si>
    <t>i5/5C/5S/SE1-BRD</t>
  </si>
  <si>
    <t>[i5/5C/5S/SE1-BRD] iPhone 5 / 5C / 5S / SE1 Ремонт платы - восстановление / замена | *требуется диагностика</t>
  </si>
  <si>
    <t>i5/5C/5S/SE1-LIQ</t>
  </si>
  <si>
    <t>[i5/5C/5S/SE1-LIQ] iPhone 5 / 5C / 5S / SE1 Профилактика после воды - восстановление | *требуется диагностика</t>
  </si>
  <si>
    <t>i5/5C/5S/SE1-MDM</t>
  </si>
  <si>
    <t>[i5/5C/5S/SE1-MDM] iPhone 5 / 5C / 5S / SE1 Модем - восстановление GSM сети | *требуется диагностика</t>
  </si>
  <si>
    <t>i5/5C/5S/SE1-WFB</t>
  </si>
  <si>
    <t>[i5/5C/5S/SE1-WFB] iPhone 5 / 5C / 5S / SE1 WiFi / Bluetooth - восстановление беспроводных сетей | *требуется диагностика</t>
  </si>
  <si>
    <t>i6-DGN</t>
  </si>
  <si>
    <t>[i6-DGN] iPhone 6 Диагностика (с пайкой компонентов) | *бесплатно при дальнейшем ремонте</t>
  </si>
  <si>
    <t>Ремонт iPhone &gt; iPhone 6</t>
  </si>
  <si>
    <t>i6-CLNB</t>
  </si>
  <si>
    <t>[i6-CLNB] iPhone 6 Чистка сеток динамиков и разъема зарядки БЕЗ РАЗБОРА</t>
  </si>
  <si>
    <t>i6-CLN</t>
  </si>
  <si>
    <t>[i6-CLN] iPhone 6 Чистка сеток динамиков и разъема зарядки С РАЗБОРОМ</t>
  </si>
  <si>
    <t>i6-BAT</t>
  </si>
  <si>
    <t>[i6-BAT] iPhone 6 Аккумулятор - замена</t>
  </si>
  <si>
    <t>i6-CHG</t>
  </si>
  <si>
    <t>[i6-CHG] iPhone 6 Разъем зарядки - замена</t>
  </si>
  <si>
    <t>i6-DIS</t>
  </si>
  <si>
    <t>[i6-DIS] iPhone 6 Дисплей - замена</t>
  </si>
  <si>
    <t>i6-DGL</t>
  </si>
  <si>
    <t>[i6-DGL] iPhone 6 Дисплей - замена (переклей) разбитого стекла</t>
  </si>
  <si>
    <t>i6-CAMR</t>
  </si>
  <si>
    <t>[i6-CAMR] iPhone 6 Камера основная - замена</t>
  </si>
  <si>
    <t>i6-CAMF</t>
  </si>
  <si>
    <t>[i6-CAMF] iPhone 6 Камера фронтальная - замена</t>
  </si>
  <si>
    <t>i6-CGL</t>
  </si>
  <si>
    <t>[i6-CGL] iPhone 6 Камера - замена разбитого стекла | *цена за 1шт.</t>
  </si>
  <si>
    <t>i6-HSG</t>
  </si>
  <si>
    <t>[i6-HSG] iPhone 6 Корпус - замена</t>
  </si>
  <si>
    <t>i6-HOM</t>
  </si>
  <si>
    <t>[i6-HOM] iPhone 6 Кнопка Home - восстановление / замена</t>
  </si>
  <si>
    <t>i6-BTN</t>
  </si>
  <si>
    <t>[i6-BTN] iPhone 6 Кнопки - восстановление / замена | *требуется диагностика</t>
  </si>
  <si>
    <t>i6-SPK</t>
  </si>
  <si>
    <t>[i6-SPK] iPhone 6 Динамик полифонический (нижний, громкая связь) - замена</t>
  </si>
  <si>
    <t>i6-EAR</t>
  </si>
  <si>
    <t>[i6-EAR] iPhone 6 Динамик разговорный (верхний, слуховой) - замена</t>
  </si>
  <si>
    <t>i6-MIC</t>
  </si>
  <si>
    <t>[i6-MIC] iPhone 6 Микрофон - замена (один из..) | *требуется диагностика</t>
  </si>
  <si>
    <t>i6-BRD</t>
  </si>
  <si>
    <t>[i6-BRD] iPhone 6 Ремонт платы - восстановление / замена | *требуется диагностика</t>
  </si>
  <si>
    <t>i6-LIQ</t>
  </si>
  <si>
    <t>[i6-LIQ] iPhone 6 Профилактика после воды - восстановление | *требуется диагностика</t>
  </si>
  <si>
    <t>i6-MDM</t>
  </si>
  <si>
    <t>[i6-MDM] iPhone 6 Модем - восстановление GSM сети | *требуется диагностика</t>
  </si>
  <si>
    <t>i6-WFB</t>
  </si>
  <si>
    <t>[i6-WFB] iPhone 6 WiFi / Bluetooth - восстановление беспроводных сетей | *требуется диагностика</t>
  </si>
  <si>
    <t>i6PL-DGN</t>
  </si>
  <si>
    <t>[i6PL-DGN] iPhone 6 Plus Диагностика (с пайкой компонентов) | *бесплатно при дальнейшем ремонте</t>
  </si>
  <si>
    <t>Ремонт iPhone &gt; iPhone 6 Plus</t>
  </si>
  <si>
    <t>i6PL-CLNB</t>
  </si>
  <si>
    <t>[i6PL-CLNB] iPhone 6 Plus Чистка сеток динамиков и разъема зарядки БЕЗ РАЗБОРА</t>
  </si>
  <si>
    <t>i6PL-CLN</t>
  </si>
  <si>
    <t>[i6PL-CLN] iPhone 6 Plus Чистка сеток динамиков и разъема зарядки С РАЗБОРОМ</t>
  </si>
  <si>
    <t>i6PL-BAT</t>
  </si>
  <si>
    <t>[i6PL-BAT] iPhone 6 Plus Аккумулятор - замена</t>
  </si>
  <si>
    <t>i6PL-CHG</t>
  </si>
  <si>
    <t>[i6PL-CHG] iPhone 6 Plus Разъем зарядки - замена</t>
  </si>
  <si>
    <t>i6PL-DIS</t>
  </si>
  <si>
    <t>[i6PL-DIS] iPhone 6 Plus Дисплей - замена</t>
  </si>
  <si>
    <t>i6PL-DGL</t>
  </si>
  <si>
    <t>[i6PL-DGL] iPhone 6 Plus Дисплей - замена (переклей) разбитого стекла</t>
  </si>
  <si>
    <t>i6PL-CAMR</t>
  </si>
  <si>
    <t>[i6PL-CAMR] iPhone 6 Plus Камера основная - замена</t>
  </si>
  <si>
    <t>i6PL-CAMF</t>
  </si>
  <si>
    <t>[i6PL-CAMF] iPhone 6 Plus Камера фронтальная - замена</t>
  </si>
  <si>
    <t>i6PL-CGL</t>
  </si>
  <si>
    <t>[i6PL-CGL] iPhone 6 Plus Камера - замена разбитого стекла | *цена за 1шт.</t>
  </si>
  <si>
    <t>i6PL-HSG</t>
  </si>
  <si>
    <t>[i6PL-HSG] iPhone 6 Plus Корпус - замена</t>
  </si>
  <si>
    <t>i6PL-HOM</t>
  </si>
  <si>
    <t>[i6PL-HOM] iPhone 6 Plus Кнопка Home - восстановление / замена</t>
  </si>
  <si>
    <t>i6PL-BTN</t>
  </si>
  <si>
    <t>[i6PL-BTN] iPhone 6 Plus Кнопки - восстановление / замена | *требуется диагностика</t>
  </si>
  <si>
    <t>i6PL-SPK</t>
  </si>
  <si>
    <t>[i6PL-SPK] iPhone 6 Plus Динамик полифонический (нижний, громкая связь) - замена</t>
  </si>
  <si>
    <t>i6PL-EAR</t>
  </si>
  <si>
    <t>[i6PL-EAR] iPhone 6 Plus Динамик разговорный (верхний, слуховой) - замена</t>
  </si>
  <si>
    <t>i6PL-MIC</t>
  </si>
  <si>
    <t>[i6PL-MIC] iPhone 6 Plus Микрофон - замена (один из..) | *требуется диагностика</t>
  </si>
  <si>
    <t>i6PL-BRD</t>
  </si>
  <si>
    <t>[i6PL-BRD] iPhone 6 Plus Ремонт платы - восстановление / замена | *требуется диагностика</t>
  </si>
  <si>
    <t>i6PL-LIQ</t>
  </si>
  <si>
    <t>[i6PL-LIQ] iPhone 6 Plus Профилактика после воды - восстановление | *требуется диагностика</t>
  </si>
  <si>
    <t>i6PL-MDM</t>
  </si>
  <si>
    <t>[i6PL-MDM] iPhone 6 Plus Модем - восстановление GSM сети | *требуется диагностика</t>
  </si>
  <si>
    <t>i6PL-WFB</t>
  </si>
  <si>
    <t>[i6PL-WFB] iPhone 6 Plus WiFi / Bluetooth - восстановление беспроводных сетей | *требуется диагностика</t>
  </si>
  <si>
    <t>i6S-DGN</t>
  </si>
  <si>
    <t>[i6S-DGN] iPhone 6S Диагностика (с пайкой компонентов) | *бесплатно при дальнейшем ремонте</t>
  </si>
  <si>
    <t>Ремонт iPhone &gt; iPhone 6S</t>
  </si>
  <si>
    <t>i6S-WTR1</t>
  </si>
  <si>
    <t>[i6S-WTR1] iPhone 6S Пылевлагозащита (этап 1) - восстановление</t>
  </si>
  <si>
    <t>i6S-WTR2</t>
  </si>
  <si>
    <t>[i6S-WTR2] iPhone 6S Пылевлагозащита (этап 2) - восстановление</t>
  </si>
  <si>
    <t>i6S-CLNB</t>
  </si>
  <si>
    <t>[i6S-CLNB] iPhone 6S Чистка сеток динамиков и разъема зарядки БЕЗ РАЗБОРА</t>
  </si>
  <si>
    <t>i6S-CLN</t>
  </si>
  <si>
    <t>[i6S-CLN] iPhone 6S Чистка сеток динамиков и разъема зарядки С РАЗБОРОМ</t>
  </si>
  <si>
    <t>i6S-BAT</t>
  </si>
  <si>
    <t>[i6S-BAT] iPhone 6S Аккумулятор - замена</t>
  </si>
  <si>
    <t>i6S-CHG</t>
  </si>
  <si>
    <t>[i6S-CHG] iPhone 6S Разъем зарядки - замена</t>
  </si>
  <si>
    <t>i6S-DIS</t>
  </si>
  <si>
    <t>[i6S-DIS] iPhone 6S Дисплей - замена</t>
  </si>
  <si>
    <t>i6S-DGL</t>
  </si>
  <si>
    <t>[i6S-DGL] iPhone 6S Дисплей - замена (переклей) разбитого стекла</t>
  </si>
  <si>
    <t>i6S-CAMR</t>
  </si>
  <si>
    <t>[i6S-CAMR] iPhone 6S Камера основная - замена</t>
  </si>
  <si>
    <t>i6S-CAMF</t>
  </si>
  <si>
    <t>[i6S-CAMF] iPhone 6S Камера фронтальная - замена</t>
  </si>
  <si>
    <t>i6S-CGL</t>
  </si>
  <si>
    <t>[i6S-CGL] iPhone 6S Камера - замена разбитого стекла | *цена за 1шт.</t>
  </si>
  <si>
    <t>i6S-HSG</t>
  </si>
  <si>
    <t>[i6S-HSG] iPhone 6S Корпус - замена</t>
  </si>
  <si>
    <t>i6S-HOM</t>
  </si>
  <si>
    <t>[i6S-HOM] iPhone 6S Кнопка Home - восстановление / замена</t>
  </si>
  <si>
    <t>i6S-BTN</t>
  </si>
  <si>
    <t>[i6S-BTN] iPhone 6S Кнопки - восстановление / замена | *требуется диагностика</t>
  </si>
  <si>
    <t>i6S-SPK</t>
  </si>
  <si>
    <t>[i6S-SPK] iPhone 6S Динамик полифонический (нижний, громкая связь) - замена</t>
  </si>
  <si>
    <t>i6S-EAR</t>
  </si>
  <si>
    <t>[i6S-EAR] iPhone 6S Динамик разговорный (верхний, слуховой) - замена</t>
  </si>
  <si>
    <t>i6S-MIC</t>
  </si>
  <si>
    <t>[i6S-MIC] iPhone 6S Микрофон - замена (один из..) | *требуется диагностика</t>
  </si>
  <si>
    <t>i6S-BRD</t>
  </si>
  <si>
    <t>[i6S-BRD] iPhone 6S Ремонт платы - восстановление / замена | *требуется диагностика</t>
  </si>
  <si>
    <t>i6S-LIQ</t>
  </si>
  <si>
    <t>[i6S-LIQ] iPhone 6S Профилактика после воды - восстановление | *требуется диагностика</t>
  </si>
  <si>
    <t>i6S-MDM</t>
  </si>
  <si>
    <t>[i6S-MDM] iPhone 6S Модем - восстановление GSM сети | *требуется диагностика</t>
  </si>
  <si>
    <t>i6S-WFB</t>
  </si>
  <si>
    <t>[i6S-WFB] iPhone 6S WiFi / Bluetooth - восстановление беспроводных сетей | *требуется диагностика</t>
  </si>
  <si>
    <t>i6SPL-DGN</t>
  </si>
  <si>
    <t>[i6SPL-DGN] iPhone 6S Plus Диагностика (с пайкой компонентов) | *бесплатно при дальнейшем ремонте</t>
  </si>
  <si>
    <t>Ремонт iPhone &gt; iPhone 6S Plus</t>
  </si>
  <si>
    <t>i6SPL-WTR1</t>
  </si>
  <si>
    <t>[i6SPL-WTR1] iPhone 6S Plus Пылевлагозащита (этап 1) - восстановление</t>
  </si>
  <si>
    <t>i6SPL-WTR2</t>
  </si>
  <si>
    <t>[i6SPL-WTR2] iPhone 6S Plus Пылевлагозащита (этап 2) - восстановление</t>
  </si>
  <si>
    <t>i6SPL-CLNB</t>
  </si>
  <si>
    <t>[i6SPL-CLNB] iPhone 6S Plus Чистка сеток динамиков и разъема зарядки БЕЗ РАЗБОРА</t>
  </si>
  <si>
    <t>i6SPL-CLN</t>
  </si>
  <si>
    <t>[i6SPL-CLN] iPhone 6S Plus Чистка сеток динамиков и разъема зарядки С РАЗБОРОМ</t>
  </si>
  <si>
    <t>i6SPL-BAT</t>
  </si>
  <si>
    <t>[i6SPL-BAT] iPhone 6S Plus Аккумулятор - замена</t>
  </si>
  <si>
    <t>i6SPL-CHG</t>
  </si>
  <si>
    <t>[i6SPL-CHG] iPhone 6S Plus Разъем зарядки - замена</t>
  </si>
  <si>
    <t>i6SPL-DIS</t>
  </si>
  <si>
    <t>[i6SPL-DIS] iPhone 6S Plus Дисплей - замена</t>
  </si>
  <si>
    <t>i6SPL-DGL</t>
  </si>
  <si>
    <t>[i6SPL-DGL] iPhone 6S Plus Дисплей - замена (переклей) разбитого стекла</t>
  </si>
  <si>
    <t>i6SPL-CAMR</t>
  </si>
  <si>
    <t>[i6SPL-CAMR] iPhone 6S Plus Камера основная - замена</t>
  </si>
  <si>
    <t>i6SPL-CAMF</t>
  </si>
  <si>
    <t>[i6SPL-CAMF] iPhone 6S Plus Камера фронтальная - замена</t>
  </si>
  <si>
    <t>i6SPL-CGL</t>
  </si>
  <si>
    <t>[i6SPL-CGL] iPhone 6S Plus Камера - замена разбитого стекла | *цена за 1шт.</t>
  </si>
  <si>
    <t>i6SPL-HSG</t>
  </si>
  <si>
    <t>[i6SPL-HSG] iPhone 6S Plus Корпус - замена</t>
  </si>
  <si>
    <t>i6SPL-HOM</t>
  </si>
  <si>
    <t>[i6S-HOM] iPhone 6S Plus Кнопка Home - восстановление / замена</t>
  </si>
  <si>
    <t>i6SPL-BTN</t>
  </si>
  <si>
    <t>[i6SPL-BTN] iPhone 6S Plus Кнопки - восстановление / замена | *требуется диагностика</t>
  </si>
  <si>
    <t>i6SPL-SPK</t>
  </si>
  <si>
    <t>[i6SPL-SPK] iPhone 6S Plus Динамик полифонический (нижний, громкая связь) - замена</t>
  </si>
  <si>
    <t>i6SPL-EAR</t>
  </si>
  <si>
    <t>[i6SPL-EAR] iPhone 6S Plus Динамик разговорный (верхний, слуховой) - замена</t>
  </si>
  <si>
    <t>i6SPL-MIC</t>
  </si>
  <si>
    <t>[i6SPL-MIC] iPhone 6S Plus Микрофон - замена (один из..) | *требуется диагностика</t>
  </si>
  <si>
    <t>i6SPL-BRD</t>
  </si>
  <si>
    <t>[i6SPL-BRD] iPhone 6S Plus Ремонт платы - восстановление / замена | *требуется диагностика</t>
  </si>
  <si>
    <t>i6SPL-LIQ</t>
  </si>
  <si>
    <t>[i6SPL-LIQ] iPhone 6S Plus Профилактика после воды - восстановление | *требуется диагностика</t>
  </si>
  <si>
    <t>i6SPL-MDM</t>
  </si>
  <si>
    <t>[i6SPL-MDM] iPhone 6S Plus Модем - восстановление GSM сети | *требуется диагностика</t>
  </si>
  <si>
    <t>i6SPL-WFB</t>
  </si>
  <si>
    <t>[i6SPL-WFB] iPhone 6S Plus WiFi / Bluetooth - восстановление беспроводных сетей | *требуется диагностика</t>
  </si>
  <si>
    <t>i7-DGN</t>
  </si>
  <si>
    <t>[i7-DGN] iPhone 7 Диагностика (с пайкой компонентов) | *бесплатно при дальнейшем ремонте</t>
  </si>
  <si>
    <t>Ремонт iPhone &gt; iPhone 7</t>
  </si>
  <si>
    <t>i7-WTR1</t>
  </si>
  <si>
    <t>[i7-WTR1] iPhone 7 Пылевлагозащита (этап 1) - восстановление</t>
  </si>
  <si>
    <t>i7-WTR2</t>
  </si>
  <si>
    <t>[i7-WTR2] iPhone 7 Пылевлагозащита (этап 2) - восстановление</t>
  </si>
  <si>
    <t>i7-CLNB</t>
  </si>
  <si>
    <t>[i7-CLNB] iPhone 7 Чистка сеток динамиков и разъема зарядки БЕЗ РАЗБОРА</t>
  </si>
  <si>
    <t>i7-CLN</t>
  </si>
  <si>
    <t>[i7-CLN] iPhone 7 Чистка сеток динамиков и разъема зарядки С РАЗБОРОМ</t>
  </si>
  <si>
    <t>i7-BAT</t>
  </si>
  <si>
    <t>[i7-BAT] iPhone 7 Аккумулятор - замена</t>
  </si>
  <si>
    <t>i7-CHG</t>
  </si>
  <si>
    <t>[i7-CHG] iPhone 7 Разъем зарядки - замена</t>
  </si>
  <si>
    <t>i7-DIS</t>
  </si>
  <si>
    <t>[i7-DIS] iPhone 7 Дисплей - замена</t>
  </si>
  <si>
    <t>i7-DGL</t>
  </si>
  <si>
    <t>[i7-DGL] iPhone 7 Дисплей - замена (переклей) разбитого стекла</t>
  </si>
  <si>
    <t>i7-CAMR</t>
  </si>
  <si>
    <t>[i7-CAMR] iPhone 7 Камера основная - замена</t>
  </si>
  <si>
    <t>i7-CAMF</t>
  </si>
  <si>
    <t>[i7-CAMF] iPhone 7 Камера фронтальная - замена</t>
  </si>
  <si>
    <t>i7-CGL</t>
  </si>
  <si>
    <t>[i7-CGL] iPhone 7 Камера - замена разбитого стекла | *цена за 1шт.</t>
  </si>
  <si>
    <t>i7-HSG</t>
  </si>
  <si>
    <t>[i7-HSG] iPhone 7 Корпус - замена</t>
  </si>
  <si>
    <t>i7-HOM</t>
  </si>
  <si>
    <t>[i7-HOM] iPhone 7 Кнопка Home - восстановление / замена</t>
  </si>
  <si>
    <t>i7-BTN</t>
  </si>
  <si>
    <t>[i7-BTN] iPhone 7 Кнопки - восстановление / замена | *требуется диагностика</t>
  </si>
  <si>
    <t>i7-SPK</t>
  </si>
  <si>
    <t>[i7-SPK] iPhone 7 Динамик полифонический (нижний, громкая связь) - замена</t>
  </si>
  <si>
    <t>i7-EAR</t>
  </si>
  <si>
    <t>[i7-EAR] iPhone 7 Динамик разговорный (верхний, слуховой) - замена</t>
  </si>
  <si>
    <t>i7-MIC</t>
  </si>
  <si>
    <t>[i7-MIC] iPhone 7 Микрофон - замена (один из..) | *требуется диагностика</t>
  </si>
  <si>
    <t>i7-BRD</t>
  </si>
  <si>
    <t>[i7-BRD] iPhone 7 Ремонт платы - восстановление / замена | *требуется диагностика</t>
  </si>
  <si>
    <t>i7-LIQ</t>
  </si>
  <si>
    <t>[i7-LIQ] iPhone 7 Профилактика после воды - восстановление | *требуется диагностика</t>
  </si>
  <si>
    <t>i7-MDM</t>
  </si>
  <si>
    <t>[i7-MDM] iPhone 7 Модем - восстановление GSM сети | *требуется диагностика</t>
  </si>
  <si>
    <t>i7-WFB</t>
  </si>
  <si>
    <t>[i7-WFB] iPhone 7 WiFi / Bluetooth - восстановление беспроводных сетей | *требуется диагностика</t>
  </si>
  <si>
    <t>i7PL-DGN</t>
  </si>
  <si>
    <t>[i7PL-DGN] iPhone 7 Plus Диагностика (с пайкой компонентов) | *бесплатно при дальнейшем ремонте</t>
  </si>
  <si>
    <t>Ремонт iPhone &gt; iPhone 7 Plus</t>
  </si>
  <si>
    <t>i7PL-WTR1</t>
  </si>
  <si>
    <t>[i7PL-WTR1] iPhone 7 Plus Пылевлагозащита (этап 1) - восстановление</t>
  </si>
  <si>
    <t>i7PL-WTR2</t>
  </si>
  <si>
    <t>[i7PL-WTR2] iPhone 7 Plus Пылевлагозащита (этап 2) - восстановление</t>
  </si>
  <si>
    <t>i7PL-CLNB</t>
  </si>
  <si>
    <t>[i7PL-CLNB] iPhone 7 Plus Чистка сеток динамиков и разъема зарядки БЕЗ РАЗБОРА</t>
  </si>
  <si>
    <t>i7PL-CLN</t>
  </si>
  <si>
    <t>[i7PL-CLN] iPhone 7 Plus Чистка сеток динамиков и разъема зарядки С РАЗБОРОМ</t>
  </si>
  <si>
    <t>i7PL-BAT</t>
  </si>
  <si>
    <t>[i7PL-BAT] iPhone 7 Plus Аккумулятор - замена</t>
  </si>
  <si>
    <t>i7PL-CHG</t>
  </si>
  <si>
    <t>[i7PL-CHG] iPhone 7 Plus Разъем зарядки - замена</t>
  </si>
  <si>
    <t>i7PL-DIS</t>
  </si>
  <si>
    <t>[i7PL-DIS] iPhone 7 Plus Дисплей - замена</t>
  </si>
  <si>
    <t>i7PL-DGL</t>
  </si>
  <si>
    <t>[i7PL-DGL] iPhone 7 Plus Дисплей - замена (переклей) разбитого стекла</t>
  </si>
  <si>
    <t>i7PL-CAMR</t>
  </si>
  <si>
    <t>[i7PL-CAMR] iPhone 7 Plus Камера основная - замена</t>
  </si>
  <si>
    <t>i7PL-CAMF</t>
  </si>
  <si>
    <t>[i7PL-CAMF] iPhone 7 Plus Камера фронтальная - замена</t>
  </si>
  <si>
    <t>i7PL-CGL</t>
  </si>
  <si>
    <t>[i7PL-CGL] iPhone 7 Plus Камера - замена разбитого стекла | *цена за 1шт.</t>
  </si>
  <si>
    <t>i7PL-HSG</t>
  </si>
  <si>
    <t>[i7PL-HSG] iPhone 7 Plus Корпус - замена</t>
  </si>
  <si>
    <t>i7PL-HOM</t>
  </si>
  <si>
    <t>[i7PL-HOM] iPhone 7 Plus Кнопка Home - восстановление / замена</t>
  </si>
  <si>
    <t>i7PL-BTN</t>
  </si>
  <si>
    <t>[i7PL-BTN] iPhone 7 Plus Кнопки - восстановление / замена | *требуется диагностика</t>
  </si>
  <si>
    <t>i7PL-SPK</t>
  </si>
  <si>
    <t>[i7PL-SPK] iPhone 7 Plus Динамик полифонический (нижний, громкая связь) - замена</t>
  </si>
  <si>
    <t>i7PL-EAR</t>
  </si>
  <si>
    <t>[i7PL-EAR] iPhone 7 Plus Динамик разговорный (верхний, слуховой) - замена</t>
  </si>
  <si>
    <t>i7PL-MIC</t>
  </si>
  <si>
    <t>[i7PL-MIC] iPhone 7 Plus Микрофон - замена (один из..) | *требуется диагностика</t>
  </si>
  <si>
    <t>i7PL-BRD</t>
  </si>
  <si>
    <t>[i7PL-BRD] iPhone 7 Plus Ремонт платы - восстановление / замена | *требуется диагностика</t>
  </si>
  <si>
    <t>i7PL-LIQ</t>
  </si>
  <si>
    <t>[i7PL-LIQ] iPhone 7 Plus Профилактика после воды - восстановление | *требуется диагностика</t>
  </si>
  <si>
    <t>i7PL-MDM</t>
  </si>
  <si>
    <t>[i7PL-MDM] iPhone 7 Plus Модем - восстановление GSM сети | *требуется диагностика</t>
  </si>
  <si>
    <t>i7PL-WFB</t>
  </si>
  <si>
    <t>[i7PL-WFB] iPhone 7 Plus WiFi / Bluetooth - восстановление беспроводных сетей | *требуется диагностика</t>
  </si>
  <si>
    <t>i8-DGN</t>
  </si>
  <si>
    <t>[i8-DGN] iPhone 8 Диагностика (с пайкой компонентов) | *бесплатно при дальнейшем ремонте</t>
  </si>
  <si>
    <t>Ремонт iPhone &gt; iPhone 8</t>
  </si>
  <si>
    <t>i8-WTR1</t>
  </si>
  <si>
    <t>[i8-WTR1] iPhone 8 Пылевлагозащита (этап 1) - восстановление</t>
  </si>
  <si>
    <t>i8-WTR2</t>
  </si>
  <si>
    <t>[i8-WTR2] iPhone 8 Пылевлагозащита (этап 2) - восстановление</t>
  </si>
  <si>
    <t>i8-CLNB</t>
  </si>
  <si>
    <t>[i8-CLNB] iPhone 8 Чистка сеток динамиков и разъема зарядки БЕЗ РАЗБОРА</t>
  </si>
  <si>
    <t>i8-CLN</t>
  </si>
  <si>
    <t>[i8-CLN] iPhone 8 Чистка сеток динамиков и разъема зарядки С РАЗБОРОМ</t>
  </si>
  <si>
    <t>i8-BAT</t>
  </si>
  <si>
    <t>[i8-BAT] iPhone 8 Аккумулятор - замена</t>
  </si>
  <si>
    <t>i8-CHG</t>
  </si>
  <si>
    <t>[i8-CHG] iPhone 8 Разъем зарядки - замена</t>
  </si>
  <si>
    <t>i8-DIS</t>
  </si>
  <si>
    <t>[i8-DIS] iPhone 8 Дисплей - замена</t>
  </si>
  <si>
    <t>i8-DGL</t>
  </si>
  <si>
    <t>[i8-DGL] iPhone 8 Дисплей - замена (переклей) разбитого стекла</t>
  </si>
  <si>
    <t>i8-CAMR</t>
  </si>
  <si>
    <t>[i8-CAMR] iPhone 8 Камера основная - замена</t>
  </si>
  <si>
    <t>i8-CAMF</t>
  </si>
  <si>
    <t>[i8-CAMF] iPhone 8 Камера фронтальная - замена</t>
  </si>
  <si>
    <t>i8-CGL</t>
  </si>
  <si>
    <t>[i8-CGL] iPhone 8 Камера - замена разбитого стекла | *цена за 1шт.</t>
  </si>
  <si>
    <t>i8-BGL</t>
  </si>
  <si>
    <t>[i8-BGL] iPhone 8 Крышка (заднее стекло) - замена</t>
  </si>
  <si>
    <t>i8-HSG</t>
  </si>
  <si>
    <t>[i8-HSG] iPhone 8 Корпус - замена</t>
  </si>
  <si>
    <t>i8-HOM</t>
  </si>
  <si>
    <t>[i8-HOM] iPhone 8 Кнопка Home - восстановление / замена</t>
  </si>
  <si>
    <t>i8-BTN</t>
  </si>
  <si>
    <t>[i8-BTN] iPhone 8 Кнопки - восстановление / замена | *требуется диагностика</t>
  </si>
  <si>
    <t>i8-SPK</t>
  </si>
  <si>
    <t>[i8-SPK] iPhone 8 Динамик полифонический (нижний, громкая связь) - замена</t>
  </si>
  <si>
    <t>i8-EAR</t>
  </si>
  <si>
    <t>[i8-EAR] iPhone 8 Динамик разговорный (верхний, слуховой) - замена</t>
  </si>
  <si>
    <t>i8-MIC</t>
  </si>
  <si>
    <t>[i8-MIC] iPhone 8 Микрофон - замена (один из..) | *требуется диагностика</t>
  </si>
  <si>
    <t>i8-BRD</t>
  </si>
  <si>
    <t>[i8-BRD] iPhone 8 Ремонт платы - восстановление / замена | *требуется диагностика</t>
  </si>
  <si>
    <t>i8-LIQ</t>
  </si>
  <si>
    <t>[i8-LIQ] iPhone 8 Профилактика после воды - восстановление | *требуется диагностика</t>
  </si>
  <si>
    <t>i8-MDM</t>
  </si>
  <si>
    <t>[i8-MDM] iPhone 8 Модем - восстановление GSM сети | *требуется диагностика</t>
  </si>
  <si>
    <t>i8-WFB</t>
  </si>
  <si>
    <t>[i8-WFB] iPhone 8 WiFi / Bluetooth - восстановление беспроводных сетей | *требуется диагностика</t>
  </si>
  <si>
    <t>i8PL-DGN</t>
  </si>
  <si>
    <t>[i8PL-DGN] iPhone 8 Plus Диагностика (с пайкой компонентов) | *бесплатно при дальнейшем ремонте</t>
  </si>
  <si>
    <t>Ремонт iPhone &gt; iPhone 8 Plus</t>
  </si>
  <si>
    <t>i8PL-WTR1</t>
  </si>
  <si>
    <t>[i8PL-WTR1] iPhone 8 Plus Пылевлагозащита (этап 1) - восстановление</t>
  </si>
  <si>
    <t>i8PL-WTR2</t>
  </si>
  <si>
    <t>[i8PL-WTR2] iPhone 8 Plus Пылевлагозащита (этап 2) - восстановление</t>
  </si>
  <si>
    <t>i8PL-CLNB</t>
  </si>
  <si>
    <t>[i8PL-CLNB] iPhone 8 Plus Чистка сеток динамиков и разъема зарядки БЕЗ РАЗБОРА</t>
  </si>
  <si>
    <t>i8PL-CLN</t>
  </si>
  <si>
    <t>[i8PL-CLN] iPhone 8 Plus Чистка сеток динамиков и разъема зарядки С РАЗБОРОМ</t>
  </si>
  <si>
    <t>i8PL-BAT</t>
  </si>
  <si>
    <t>[i8PL-BAT] iPhone 8 Plus Аккумулятор - замена</t>
  </si>
  <si>
    <t>i8PL-CHG</t>
  </si>
  <si>
    <t>[i8PL-CHG] iPhone 8 Plus Разъем зарядки - замена</t>
  </si>
  <si>
    <t>i8PL-DIS</t>
  </si>
  <si>
    <t>[i8PL-DIS] iPhone 8 Plus Дисплей - замена</t>
  </si>
  <si>
    <t>i8PL-DGL</t>
  </si>
  <si>
    <t>[i8PL-DGL] iPhone 8 Plus Дисплей - замена (переклей) разбитого стекла</t>
  </si>
  <si>
    <t>i8PL-CAMR</t>
  </si>
  <si>
    <t>[i8PL-CAMR] iPhone 8 Plus Камера основная - замена</t>
  </si>
  <si>
    <t>i8PL-CAMF</t>
  </si>
  <si>
    <t>[i8PL-CAMF] iPhone 8 Plus Камера фронтальная - замена</t>
  </si>
  <si>
    <t>i8PL-CGL</t>
  </si>
  <si>
    <t>[i8PL-CGL] iPhone 8 Plus Камера - замена разбитого стекла | *цена за 1шт.</t>
  </si>
  <si>
    <t>i8PL-BGL</t>
  </si>
  <si>
    <t>[i8PL-BGL] iPhone 8 Plus Крышка (заднее стекло) - замена</t>
  </si>
  <si>
    <t>i8PL-HSG</t>
  </si>
  <si>
    <t>[i8PL-HSG] iPhone 8 Plus Корпус - замена</t>
  </si>
  <si>
    <t>i8PL-HOM</t>
  </si>
  <si>
    <t>[i8PL-HOM] iPhone 8 Plus Кнопка Home - восстановление / замена</t>
  </si>
  <si>
    <t>i8PL-BTN</t>
  </si>
  <si>
    <t>[i8PL-BTN] iPhone 8 Plus Кнопки - восстановление / замена | *требуется диагностика</t>
  </si>
  <si>
    <t>i8PL-SPK</t>
  </si>
  <si>
    <t>[i8PL-SPK] iPhone 8 Plus Динамик полифонический (нижний, громкая связь) - замена</t>
  </si>
  <si>
    <t>i8PL-EAR</t>
  </si>
  <si>
    <t>[i8PL-EAR] iPhone 8 Plus Динамик разговорный (верхний, слуховой) - замена</t>
  </si>
  <si>
    <t>i8PL-MIC</t>
  </si>
  <si>
    <t>[i8PL-MIC] iPhone 8 Plus Микрофон - замена (один из..) | *требуется диагностика</t>
  </si>
  <si>
    <t>i8PL-BRD</t>
  </si>
  <si>
    <t>[i8PL-BRD] iPhone 8 Plus Ремонт платы - восстановление / замена | *требуется диагностика</t>
  </si>
  <si>
    <t>i8PL-LIQ</t>
  </si>
  <si>
    <t>[i8PL-LIQ] iPhone 8 Plus Профилактика после воды - восстановление | *требуется диагностика</t>
  </si>
  <si>
    <t>i8PL-MDM</t>
  </si>
  <si>
    <t>[i8PL-MDM] iPhone 8 Plus Модем - восстановление GSM сети | *требуется диагностика</t>
  </si>
  <si>
    <t>i8PL-WFB</t>
  </si>
  <si>
    <t>[i8PL-WFB] iPhone 8 Plus WiFi / Bluetooth - восстановление беспроводных сетей | *требуется диагностика</t>
  </si>
  <si>
    <t>iSE2-DGN</t>
  </si>
  <si>
    <t>[iSE2-DGN] iPhone SE 2020 Диагностика (с пайкой компонентов) | *бесплатно при дальнейшем ремонте</t>
  </si>
  <si>
    <t>Ремонт iPhone &gt; iPhone SE 2020</t>
  </si>
  <si>
    <t>iSE2-WTR1</t>
  </si>
  <si>
    <t>[iSE2-WTR1] iPhone SE 2020 Пылевлагозащита (этап 1) - восстановление</t>
  </si>
  <si>
    <t>iSE2-WTR2</t>
  </si>
  <si>
    <t>[iSE2-WTR2] iPhone SE 2020 Пылевлагозащита (этап 2) - восстановление</t>
  </si>
  <si>
    <t>iSE2-CLNB</t>
  </si>
  <si>
    <t>[iSE2-CLNB] iPhone SE 2020 Чистка сеток динамиков и разъема зарядки БЕЗ РАЗБОРА</t>
  </si>
  <si>
    <t>iSE2-CLN</t>
  </si>
  <si>
    <t>[iSE2-CLN] iPhone SE 2020 Чистка сеток динамиков и разъема зарядки С РАЗБОРОМ</t>
  </si>
  <si>
    <t>iSE2-BAT</t>
  </si>
  <si>
    <t>[iSE2-BAT] iPhone SE 2020 Аккумулятор - замена</t>
  </si>
  <si>
    <t>iSE2-BATE</t>
  </si>
  <si>
    <t>[iSE2-BATE] iPhone SE 2020 Аккумулятор - устранение уведомления о замене</t>
  </si>
  <si>
    <t>iSE2-CHG</t>
  </si>
  <si>
    <t>[iSE2-CHG] iPhone SE 2020 Разъем зарядки - замена</t>
  </si>
  <si>
    <t>iSE2-DIS</t>
  </si>
  <si>
    <t>[iSE2-DIS] iPhone SE 2020 Дисплей - замена</t>
  </si>
  <si>
    <t>iSE2-DGL</t>
  </si>
  <si>
    <t>[iSE2-DGL] iPhone SE 2020 Дисплей - замена (переклей) разбитого стекла</t>
  </si>
  <si>
    <t>iSE2-CAMR</t>
  </si>
  <si>
    <t>[iSE2-CAMR] iPhone SE 2020 Камера основная - замена</t>
  </si>
  <si>
    <t>iSE2-CAMF</t>
  </si>
  <si>
    <t>[iSE2-CAMF] iPhone SE 2020 Камера фронтальная - замена</t>
  </si>
  <si>
    <t>iSE2-CGL</t>
  </si>
  <si>
    <t>[iSE2-CGL] iPhone SE 2020 Камера - замена разбитого стекла | *цена за 1шт.</t>
  </si>
  <si>
    <t>iSE2-BGL</t>
  </si>
  <si>
    <t>[iSE2-BGL] iPhone SE 2020 Крышка (заднее стекло) - замена</t>
  </si>
  <si>
    <t>iSE2-HSG</t>
  </si>
  <si>
    <t>[iSE2-HSG] iPhone SE 2020 Корпус - замена</t>
  </si>
  <si>
    <t>iSE2-HOM</t>
  </si>
  <si>
    <t>[iSE2-HOM] iPhone SE 2020 Кнопка Home - восстановление / замена</t>
  </si>
  <si>
    <t>iSE2-BTN</t>
  </si>
  <si>
    <t>[iSE2-BTN] iPhone SE 2020 Кнопки - восстановление / замена | *требуется диагностика</t>
  </si>
  <si>
    <t>iSE2-SPK</t>
  </si>
  <si>
    <t>[iSE2-SPK] iPhone SE 2020 Динамик полифонический (нижний, громкая связь) - замена</t>
  </si>
  <si>
    <t>iSE2-EAR</t>
  </si>
  <si>
    <t>[iSE2-EAR] iPhone SE 2020 Динамик разговорный (верхний, слуховой) - замена</t>
  </si>
  <si>
    <t>iSE2-MIC</t>
  </si>
  <si>
    <t>[iSE2-MIC] iPhone SE 2020 Микрофон - замена (один из..) | *требуется диагностика</t>
  </si>
  <si>
    <t>iSE2-BRD</t>
  </si>
  <si>
    <t>[iSE2-BRD] iPhone SE 2020 Ремонт платы - восстановление / замена | *требуется диагностика</t>
  </si>
  <si>
    <t>iSE2-LIQ</t>
  </si>
  <si>
    <t>[iSE2-LIQ] iPhone SE 2020 Профилактика после воды - восстановление | *требуется диагностика</t>
  </si>
  <si>
    <t>iSE2-MDM</t>
  </si>
  <si>
    <t>[iSE2-MDM] iPhone SE 2020 Модем - восстановление GSM сети | *требуется диагностика</t>
  </si>
  <si>
    <t>iSE2-WFB</t>
  </si>
  <si>
    <t>[iSE2-WFB] iPhone SE 2020 WiFi / Bluetooth - восстановление беспроводных сетей | *требуется диагностика</t>
  </si>
  <si>
    <t>iSE3-DGN</t>
  </si>
  <si>
    <t>[iSE3-DGN] iPhone SE 2022 Диагностика (с пайкой компонентов) | *бесплатно при дальнейшем ремонте</t>
  </si>
  <si>
    <t>Ремонт iPhone &gt; iPhone SE 2022</t>
  </si>
  <si>
    <t>iSE3-WTR1</t>
  </si>
  <si>
    <t>[iSE3-WTR1] iPhone SE 2022 Пылевлагозащита (этап 1) - восстановление</t>
  </si>
  <si>
    <t>iSE3-WTR2</t>
  </si>
  <si>
    <t>[iSE3-WTR2] iPhone SE 2022 Пылевлагозащита (этап 2) - восстановление</t>
  </si>
  <si>
    <t>iSE3-CLNB</t>
  </si>
  <si>
    <t>[iSE3-CLNB] iPhone SE 2022 Чистка сеток динамиков и разъема зарядки БЕЗ РАЗБОРА</t>
  </si>
  <si>
    <t>iSE3-CLN</t>
  </si>
  <si>
    <t>[iSE3-CLN] iPhone SE 2022 Чистка сеток динамиков и разъема зарядки С РАЗБОРОМ</t>
  </si>
  <si>
    <t>iSE3-BAT</t>
  </si>
  <si>
    <t>[iSE3-BAT] iPhone SE 2022 Аккумулятор - замена</t>
  </si>
  <si>
    <t>iSE3-BATE</t>
  </si>
  <si>
    <t>[iSE3-BATE] iPhone SE 2022 Аккумулятор - устранение уведомления о замене</t>
  </si>
  <si>
    <t>iSE3-CHG</t>
  </si>
  <si>
    <t>[iSE3-CHG] iPhone SE 2022 Разъем зарядки - замена</t>
  </si>
  <si>
    <t>iSE3-DIS</t>
  </si>
  <si>
    <t>[iSE3-DIS] iPhone SE 2022 Дисплей - замена</t>
  </si>
  <si>
    <t>iSE3-DGL</t>
  </si>
  <si>
    <t>[iSE3-DGL] iPhone SE 2022 Дисплей - замена (переклей) разбитого стекла</t>
  </si>
  <si>
    <t>iSE3-CAMR</t>
  </si>
  <si>
    <t>[iSE3-CAMR] iPhone SE 2022 Камера основная - замена</t>
  </si>
  <si>
    <t>iSE3-CAMF</t>
  </si>
  <si>
    <t>[iSE3-CAMF] iPhone SE 2022 Камера фронтальная - замена</t>
  </si>
  <si>
    <t>iSE3-CGL</t>
  </si>
  <si>
    <t>[iSE3-CGL] iPhone SE 2022 Камера - замена разбитого стекла | *цена за 1шт.</t>
  </si>
  <si>
    <t>iSE3-BGL</t>
  </si>
  <si>
    <t>[iSE3-BGL] iPhone SE 2022 Крышка (заднее стекло) - замена</t>
  </si>
  <si>
    <t>iSE3-HSG</t>
  </si>
  <si>
    <t>[iSE3-HSG] iPhone SE 2022 Корпус - замена</t>
  </si>
  <si>
    <t>iSE3-HOM</t>
  </si>
  <si>
    <t>[iSE3-HOM] iPhone SE 2022 Кнопка Home - восстановление / замена</t>
  </si>
  <si>
    <t>iSE3-BTN</t>
  </si>
  <si>
    <t>[iSE3-BTN] iPhone SE 2022 Кнопки - восстановление / замена | *требуется диагностика</t>
  </si>
  <si>
    <t>iSE3-SPK</t>
  </si>
  <si>
    <t>[iSE3-SPK] iPhone SE 2022 Динамик полифонический (нижний, громкая связь) - замена</t>
  </si>
  <si>
    <t>iSE3-EAR</t>
  </si>
  <si>
    <t>[iSE3-EAR] iPhone SE 2022 Динамик разговорный (верхний, слуховой) - замена</t>
  </si>
  <si>
    <t>iSE3-MIC</t>
  </si>
  <si>
    <t>[iSE3-MIC] iPhone SE 2022 Микрофон - замена (один из..) | *требуется диагностика</t>
  </si>
  <si>
    <t>iSE3-BRD</t>
  </si>
  <si>
    <t>[iSE3-BRD] iPhone SE 2022 Ремонт платы - восстановление / замена | *требуется диагностика</t>
  </si>
  <si>
    <t>iSE3-LIQ</t>
  </si>
  <si>
    <t>[iSE3-LIQ] iPhone SE 2022 Профилактика после воды - восстановление | *требуется диагностика</t>
  </si>
  <si>
    <t>iSE3-MDM</t>
  </si>
  <si>
    <t>[iSE3-MDM] iPhone SE 2022 Модем - восстановление GSM сети | *требуется диагностика</t>
  </si>
  <si>
    <t>iSE3-WFB</t>
  </si>
  <si>
    <t>[iSE3-WFB] iPhone SE 2022 WiFi / Bluetooth - восстановление беспроводных сетей | *требуется диагностика</t>
  </si>
  <si>
    <t>iX-DGN</t>
  </si>
  <si>
    <t>[iX-DGN] iPhone X Диагностика (с пайкой компонентов) | *бесплатно при дальнейшем ремонте</t>
  </si>
  <si>
    <t>Ремонт iPhone &gt; iPhone X</t>
  </si>
  <si>
    <t>iX-WTR1</t>
  </si>
  <si>
    <t>[iX-WTR1] iPhone X Пылевлагозащита (этап 1) - восстановление</t>
  </si>
  <si>
    <t>iX-WTR2</t>
  </si>
  <si>
    <t>[iX-WTR2] iPhone X Пылевлагозащита (этап 2) - восстановление</t>
  </si>
  <si>
    <t>iX-CLNB</t>
  </si>
  <si>
    <t>[iX-CLNB] iPhone X Чистка сеток динамиков и разъема зарядки БЕЗ РАЗБОРА</t>
  </si>
  <si>
    <t>iX-CLN</t>
  </si>
  <si>
    <t>[iX-CLN] iPhone X Чистка сеток динамиков и разъема зарядки С РАЗБОРОМ</t>
  </si>
  <si>
    <t>iX-BAT</t>
  </si>
  <si>
    <t>[iX-BAT] iPhone X Аккумулятор - замена</t>
  </si>
  <si>
    <t>iX-CHG</t>
  </si>
  <si>
    <t>[iX-CHG] iPhone X Разъем зарядки - замена</t>
  </si>
  <si>
    <t>iX-DIS</t>
  </si>
  <si>
    <t>[iX-DIS] iPhone X Дисплей - замена</t>
  </si>
  <si>
    <t>iX-DGL</t>
  </si>
  <si>
    <t>[iX-DGL] iPhone X Дисплей - замена (переклей) разбитого стекла</t>
  </si>
  <si>
    <t>iX-DGT</t>
  </si>
  <si>
    <t>[iX-DGT] iPhone X Дисплей - замена (переклей) разбитого стекла с тачскрином</t>
  </si>
  <si>
    <t>iX-CAMR</t>
  </si>
  <si>
    <t>[iX-CAMR] iPhone X Камера основная - замена</t>
  </si>
  <si>
    <t>iX-CAMF</t>
  </si>
  <si>
    <t>[iX-CAMF] iPhone X Камера фронтальная - замена</t>
  </si>
  <si>
    <t>iX-CGL</t>
  </si>
  <si>
    <t>[iX-CGL] iPhone X Камера - замена разбитого стекла | *цена за 1шт.</t>
  </si>
  <si>
    <t>iX-FID</t>
  </si>
  <si>
    <t>[iX-FID] iPhone X Face ID - восстановление | *требуется диагностика</t>
  </si>
  <si>
    <t>iX-BGL</t>
  </si>
  <si>
    <t>[iX-BGL] iPhone X Крышка (заднее стекло) - замена</t>
  </si>
  <si>
    <t>iX-HSG</t>
  </si>
  <si>
    <t>[iX-HSG] iPhone X Корпус - замена</t>
  </si>
  <si>
    <t>iX-BTN</t>
  </si>
  <si>
    <t>[iX-BTN] iPhone X Кнопки - восстановление / замена | *требуется диагностика</t>
  </si>
  <si>
    <t>iX-SPK</t>
  </si>
  <si>
    <t>[iX-SPK] iPhone X Динамик полифонический (нижний, громкая связь) - замена</t>
  </si>
  <si>
    <t>iX-EAR</t>
  </si>
  <si>
    <t>[iX-EAR] iPhone X Динамик разговорный (верхний, слуховой) - замена</t>
  </si>
  <si>
    <t>iX-MIC</t>
  </si>
  <si>
    <t>[iX-MIC] iPhone X Микрофон - замена (один из..) | *требуется диагностика</t>
  </si>
  <si>
    <t>iX-BRD</t>
  </si>
  <si>
    <t>[iX-BRD] iPhone X Ремонт платы - восстановление / замена | *требуется диагностика</t>
  </si>
  <si>
    <t>iX-BRDS</t>
  </si>
  <si>
    <t>[iX-BRDS] iPhone X Ремонт платы - распайка половинок</t>
  </si>
  <si>
    <t>iX-LIQ</t>
  </si>
  <si>
    <t>[iX-LIQ] iPhone X Профилактика после воды - восстановление | *требуется диагностика</t>
  </si>
  <si>
    <t>iX-MDM</t>
  </si>
  <si>
    <t>[iX-MDM] iPhone X Модем - восстановление GSM сети | *требуется диагностика</t>
  </si>
  <si>
    <t>iX-WFB</t>
  </si>
  <si>
    <t>[iX-WFB] iPhone X WiFi / Bluetooth - восстановление беспроводных сетей | *требуется диагностика</t>
  </si>
  <si>
    <t>iXR-DGN</t>
  </si>
  <si>
    <t>[iXR-DGN] iPhone XR Диагностика (с пайкой компонентов) | *бесплатно при дальнейшем ремонте</t>
  </si>
  <si>
    <t>Ремонт iPhone &gt; iPhone XR</t>
  </si>
  <si>
    <t>iXR-WTR1</t>
  </si>
  <si>
    <t>[iXR-WTR1] iPhone XR Пылевлагозащита (этап 1) - восстановление</t>
  </si>
  <si>
    <t>iXR-WTR2</t>
  </si>
  <si>
    <t>[iXR-WTR2] iPhone XR Пылевлагозащита (этап 2) - восстановление</t>
  </si>
  <si>
    <t>iXR-CLNB</t>
  </si>
  <si>
    <t>[iXR-CLNB] iPhone XR Чистка сеток динамиков и разъема зарядки БЕЗ РАЗБОРА</t>
  </si>
  <si>
    <t>iXR-CLN</t>
  </si>
  <si>
    <t>[iXR-CLN] iPhone XR Чистка сеток динамиков и разъема зарядки С РАЗБОРОМ</t>
  </si>
  <si>
    <t>iXR-BAT</t>
  </si>
  <si>
    <t>[iXR-BAT] iPhone XR Аккумулятор - замена</t>
  </si>
  <si>
    <t>iXR-BATE</t>
  </si>
  <si>
    <t>[iXR-BATE] iPhone XR Аккумулятор - устранение уведомления о замене</t>
  </si>
  <si>
    <t>iXR-CHG</t>
  </si>
  <si>
    <t>[iXR-CHG] iPhone XR Разъем зарядки - замена</t>
  </si>
  <si>
    <t>iXR-DIS</t>
  </si>
  <si>
    <t>[iXR-DIS] iPhone XR Дисплей - замена</t>
  </si>
  <si>
    <t>iXR-CAMR</t>
  </si>
  <si>
    <t>[iXR-CAMR] iPhone XR Камера основная - замена</t>
  </si>
  <si>
    <t>iXR-CAMF</t>
  </si>
  <si>
    <t>[iXR-CAMF] iPhone XR Камера фронтальная - замена</t>
  </si>
  <si>
    <t>iXR-CGL</t>
  </si>
  <si>
    <t>[iXR-CGL] iPhone XR Камера - замена разбитого стекла | *цена за 1шт.</t>
  </si>
  <si>
    <t>iXR-FID</t>
  </si>
  <si>
    <t>[iXR-FID] iPhone XR Face ID - восстановление | *требуется диагностика</t>
  </si>
  <si>
    <t>iXR-BGL</t>
  </si>
  <si>
    <t>[iXR-BGL] iPhone XR Крышка (заднее стекло) - замена</t>
  </si>
  <si>
    <t>iXR-HSG</t>
  </si>
  <si>
    <t>[iXR-HSG] iPhone XR Корпус - замена</t>
  </si>
  <si>
    <t>iXR-BTN</t>
  </si>
  <si>
    <t>[iXR-BTN] iPhone XR Кнопки - восстановление / замена | *требуется диагностика</t>
  </si>
  <si>
    <t>iXR-SPK</t>
  </si>
  <si>
    <t>[iXR-SPK] iPhone XR Динамик полифонический (нижний, громкая связь) - замена</t>
  </si>
  <si>
    <t>iXR-EAR</t>
  </si>
  <si>
    <t>[iXR-EAR] iPhone XR Динамик разговорный (верхний, слуховой) - замена</t>
  </si>
  <si>
    <t>iXR-MIC</t>
  </si>
  <si>
    <t>[iXR-MIC] iPhone XR Микрофон - замена (один из..) | *требуется диагностика</t>
  </si>
  <si>
    <t>iXR-BRD</t>
  </si>
  <si>
    <t>[iXR-BRD] iPhone XR Ремонт платы - восстановление / замена | *требуется диагностика</t>
  </si>
  <si>
    <t>iXR-LIQ</t>
  </si>
  <si>
    <t>[iXR-LIQ] iPhone XR Профилактика после воды - восстановление | *требуется диагностика</t>
  </si>
  <si>
    <t>iXR-MDM</t>
  </si>
  <si>
    <t>[iXR-MDM] iPhone XR Модем - восстановление GSM сети | *требуется диагностика</t>
  </si>
  <si>
    <t>iXR-WFB</t>
  </si>
  <si>
    <t>[iXR-WFB] iPhone XR WiFi / Bluetooth - восстановление беспроводных сетей | *требуется диагностика</t>
  </si>
  <si>
    <t>iXS-DGN</t>
  </si>
  <si>
    <t>[iXS-DGN] iPhone XS Диагностика (с пайкой компонентов) | *бесплатно при дальнейшем ремонте</t>
  </si>
  <si>
    <t>Ремонт iPhone &gt; iPhone XS</t>
  </si>
  <si>
    <t>iXS-WTR1</t>
  </si>
  <si>
    <t>[iXS-WTR1] iPhone XS Пылевлагозащита (этап 1) - восстановление</t>
  </si>
  <si>
    <t>iXS-WTR2</t>
  </si>
  <si>
    <t>[iXS-WTR2] iPhone XS Пылевлагозащита (этап 2) - восстановление</t>
  </si>
  <si>
    <t>iXS-CLNB</t>
  </si>
  <si>
    <t>[iXS-CLNB] iPhone XS Чистка сеток динамиков и разъема зарядки БЕЗ РАЗБОРА</t>
  </si>
  <si>
    <t>iXS-CLN</t>
  </si>
  <si>
    <t>[iXS-CLN] iPhone XS Чистка сеток динамиков и разъема зарядки С РАЗБОРОМ</t>
  </si>
  <si>
    <t>iXS-BAT</t>
  </si>
  <si>
    <t>[iXS-BAT] iPhone XS Аккумулятор - замена</t>
  </si>
  <si>
    <t>iXS-BATE</t>
  </si>
  <si>
    <t>[iXS-BATE] iPhone XS Аккумулятор - устранение уведомления о замене</t>
  </si>
  <si>
    <t>iXS-CHG</t>
  </si>
  <si>
    <t>[iXS-CHG] iPhone XS Разъем зарядки - замена</t>
  </si>
  <si>
    <t>iXS-DIS</t>
  </si>
  <si>
    <t>[iXS-DIS] iPhone XS Дисплей - замена</t>
  </si>
  <si>
    <t>iXS-DGL</t>
  </si>
  <si>
    <t>[iXS-DGL] iPhone XS Дисплей - замена (переклей) разбитого стекла</t>
  </si>
  <si>
    <t>iXS-DGT</t>
  </si>
  <si>
    <t>[iXS-DGT] iPhone XS Дисплей - замена (переклей) разбитого стекла с тачскрином</t>
  </si>
  <si>
    <t>iXS-CAMR</t>
  </si>
  <si>
    <t>[iXS-CAMR] iPhone XS Камера основная - замена</t>
  </si>
  <si>
    <t>iXS-CAMF</t>
  </si>
  <si>
    <t>[iXS-CAMF] iPhone XS Камера фронтальная - замена</t>
  </si>
  <si>
    <t>iXS-CGL</t>
  </si>
  <si>
    <t>[iXS-CGL] iPhone XS Камера - замена разбитого стекла | *цена за 1шт.</t>
  </si>
  <si>
    <t>iXS-FID</t>
  </si>
  <si>
    <t>[iXS-FID] iPhone XS Face ID - восстановление | *требуется диагностика</t>
  </si>
  <si>
    <t>iXS-BGL</t>
  </si>
  <si>
    <t>[iXS-BGL] iPhone XS Крышка (заднее стекло) - замена</t>
  </si>
  <si>
    <t>iXS-HSG</t>
  </si>
  <si>
    <t>[iXS-HSG] iPhone XS Корпус - замена</t>
  </si>
  <si>
    <t>iXS-BTN</t>
  </si>
  <si>
    <t>[iXS-BTN] iPhone XS Кнопки - восстановление / замена | *требуется диагностика</t>
  </si>
  <si>
    <t>iXS-SPK</t>
  </si>
  <si>
    <t>[iXS-SPK] iPhone XS Динамик полифонический (нижний, громкая связь) - замена</t>
  </si>
  <si>
    <t>iXS-EAR</t>
  </si>
  <si>
    <t>[iXS-EAR] iPhone XS Динамик разговорный (верхний, слуховой) - замена</t>
  </si>
  <si>
    <t>iXS-MIC</t>
  </si>
  <si>
    <t>[iXS-MIC] iPhone XS Микрофон - замена (один из..) | *требуется диагностика</t>
  </si>
  <si>
    <t>iXS-BRD</t>
  </si>
  <si>
    <t>[iXS-BRD] iPhone XS Ремонт платы - восстановление / замена | *требуется диагностика</t>
  </si>
  <si>
    <t>iXS-BRDS</t>
  </si>
  <si>
    <t>[iXS-BRDS] iPhone XS Ремонт платы - распайка половинок</t>
  </si>
  <si>
    <t>iXS-LIQ</t>
  </si>
  <si>
    <t>[iXS-LIQ] iPhone XS Профилактика после воды - восстановление | *требуется диагностика</t>
  </si>
  <si>
    <t>iXS-MDM</t>
  </si>
  <si>
    <t>[iXS-MDM] iPhone XS Модем - восстановление GSM сети | *требуется диагностика</t>
  </si>
  <si>
    <t>iXS-WFB</t>
  </si>
  <si>
    <t>[iXS-WFB] iPhone XS WiFi / Bluetooth - восстановление беспроводных сетей | *требуется диагностика</t>
  </si>
  <si>
    <t>iXSM-DGN</t>
  </si>
  <si>
    <t>[iXSM-DGN] iPhone XS Max Диагностика (с пайкой компонентов) | *бесплатно при дальнейшем ремонте</t>
  </si>
  <si>
    <t>Ремонт iPhone &gt; iPhone XS Max</t>
  </si>
  <si>
    <t>iXSM-WTR1</t>
  </si>
  <si>
    <t>[iXSM-WTR1] iPhone XS Max Пылевлагозащита (этап 1) - восстановление</t>
  </si>
  <si>
    <t>iXSM-WTR2</t>
  </si>
  <si>
    <t>[iXSM-WTR2] iPhone XS Max Пылевлагозащита (этап 2) - восстановление</t>
  </si>
  <si>
    <t>iXSM-CLNB</t>
  </si>
  <si>
    <t>[iXSM-CLNB] iPhone XS Max Чистка сеток динамиков и разъема зарядки БЕЗ РАЗБОРА</t>
  </si>
  <si>
    <t>iXSM-CLN</t>
  </si>
  <si>
    <t>[iXSM-CLN] iPhone XS Max Чистка сеток динамиков и разъема зарядки С РАЗБОРОМ</t>
  </si>
  <si>
    <t>iXSM-BAT</t>
  </si>
  <si>
    <t>[iXSM-BAT] iPhone XS Max Аккумулятор - замена</t>
  </si>
  <si>
    <t>iXSM-BATE</t>
  </si>
  <si>
    <t>[iXSM-BATE] iPhone XS Max Аккумулятор - устранение уведомления о замене</t>
  </si>
  <si>
    <t>iXSM-CHG</t>
  </si>
  <si>
    <t>[iXSM-CHG] iPhone XS Max Разъем зарядки - замена</t>
  </si>
  <si>
    <t>iXSM-DIS</t>
  </si>
  <si>
    <t>[iXSM-DIS] iPhone XS Max Дисплей - замена</t>
  </si>
  <si>
    <t>iXSM-DGL</t>
  </si>
  <si>
    <t>[iXSM-DGL] iPhone XS Max Дисплей - замена (переклей) разбитого стекла</t>
  </si>
  <si>
    <t>iXSM-DGT</t>
  </si>
  <si>
    <t>[iXSM-DGT] iPhone XS Max Дисплей - замена (переклей) разбитого стекла с тачскрином</t>
  </si>
  <si>
    <t>iXSM-CAMR</t>
  </si>
  <si>
    <t>[iXSM-CAMR] iPhone XS Max Камера основная - замена</t>
  </si>
  <si>
    <t>iXSM-CAMF</t>
  </si>
  <si>
    <t>[iXSM-CAMF] iPhone XS Max Камера фронтальная - замена</t>
  </si>
  <si>
    <t>iXSM-CGL</t>
  </si>
  <si>
    <t>[iXSM-CGL] iPhone XS Max Камера - замена разбитого стекла | *цена за 1шт.</t>
  </si>
  <si>
    <t>iXSM-FID</t>
  </si>
  <si>
    <t>[iXSM-FID] iPhone XS Max Face ID - восстановление | *требуется диагностика</t>
  </si>
  <si>
    <t>iXSM-BGL</t>
  </si>
  <si>
    <t>[iXSM-BGL] iPhone XS Max Крышка (заднее стекло) - замена</t>
  </si>
  <si>
    <t>iXSM-HSG</t>
  </si>
  <si>
    <t>[iXSM-HSG] iPhone XS Max Корпус - замена</t>
  </si>
  <si>
    <t>iXSM-BTN</t>
  </si>
  <si>
    <t>[iXSM-BTN] iPhone XS Max Кнопки - восстановление / замена | *требуется диагностика</t>
  </si>
  <si>
    <t>iXSM-SPK</t>
  </si>
  <si>
    <t>[iXSM-SPK] iPhone XS Max Динамик полифонический (нижний, громкая связь) - замена</t>
  </si>
  <si>
    <t>iXSM-EAR</t>
  </si>
  <si>
    <t>[iXSM-EAR] iPhone XS Max Динамик разговорный (верхний, слуховой) - замена</t>
  </si>
  <si>
    <t>iXSM-MIC</t>
  </si>
  <si>
    <t>[iXSM-MIC] iPhone XS Max Микрофон - замена (один из..) | *требуется диагностика</t>
  </si>
  <si>
    <t>iXSM-BRD</t>
  </si>
  <si>
    <t>[iXSM-BRD] iPhone XS Max Ремонт платы - восстановление / замена | *требуется диагностика</t>
  </si>
  <si>
    <t>iXSM-BRDS</t>
  </si>
  <si>
    <t>[iXSM-BRDS] iPhone XS Max Ремонт платы - распайка половинок</t>
  </si>
  <si>
    <t>iXSM-LIQ</t>
  </si>
  <si>
    <t>[iXSM-LIQ] iPhone XS Max Профилактика после воды - восстановление | *требуется диагностика</t>
  </si>
  <si>
    <t>iXSM-MDM</t>
  </si>
  <si>
    <t>[iXSM-MDM] iPhone XS Max Модем - восстановление GSM сети | *требуется диагностика</t>
  </si>
  <si>
    <t>iXSM-WFB</t>
  </si>
  <si>
    <t>[iXSM-WFB] iPhone XS Max WiFi / Bluetooth - восстановление беспроводных сетей | *требуется диагностика</t>
  </si>
  <si>
    <t>i11-DGN</t>
  </si>
  <si>
    <t>[i11-DGN] iPhone 11 Диагностика (с пайкой компонентов) | *бесплатно при дальнейшем ремонте</t>
  </si>
  <si>
    <t>Ремонт iPhone &gt; iPhone 11</t>
  </si>
  <si>
    <t>i11-WTR1</t>
  </si>
  <si>
    <t>[i11-WTR1] iPhone 11 Пылевлагозащита (этап 1) - восстановление</t>
  </si>
  <si>
    <t>i11-WTR2</t>
  </si>
  <si>
    <t>[i11-WTR2] iPhone 11 Пылевлагозащита (этап 2) - восстановление</t>
  </si>
  <si>
    <t>i11-CLNB</t>
  </si>
  <si>
    <t>[i11-CLNB] iPhone 11 Чистка сеток динамиков и разъема зарядки БЕЗ РАЗБОРА</t>
  </si>
  <si>
    <t>i11-CLN</t>
  </si>
  <si>
    <t>[i11-CLN] iPhone 11 Чистка сеток динамиков и разъема зарядки С РАЗБОРОМ</t>
  </si>
  <si>
    <t>i11-BAT</t>
  </si>
  <si>
    <t>[i11-BAT] iPhone 11 Аккумулятор - замена</t>
  </si>
  <si>
    <t>i11-BATE</t>
  </si>
  <si>
    <t>[i11-BATE] iPhone 11 Аккумулятор - устранение уведомления о замене</t>
  </si>
  <si>
    <t>i11-CHG</t>
  </si>
  <si>
    <t>[i11-CHG] iPhone 11 Разъем зарядки - замена</t>
  </si>
  <si>
    <t>i11-DIS</t>
  </si>
  <si>
    <t>[i11-DIS] iPhone 11 Дисплей - замена</t>
  </si>
  <si>
    <t>i11-DISE</t>
  </si>
  <si>
    <t>[i11-DISE] iPhone 11 Дисплей - устранение уведомления о замене</t>
  </si>
  <si>
    <t>i11-DGL</t>
  </si>
  <si>
    <t>[i11-DGL] iPhone 11 Дисплей - замена (переклей) разбитого стекла</t>
  </si>
  <si>
    <t>i11-DGT</t>
  </si>
  <si>
    <t>[i11-DGT] iPhone 11 Дисплей - замена (переклей) разбитого стекла с тачскрином</t>
  </si>
  <si>
    <t>i11-CAMR</t>
  </si>
  <si>
    <t>[i11-CAMR] iPhone 11 Камера основная - замена</t>
  </si>
  <si>
    <t>i11-CAMF</t>
  </si>
  <si>
    <t>[i11-CAMF] iPhone 11 Камера фронтальная - замена</t>
  </si>
  <si>
    <t>i11-CGL</t>
  </si>
  <si>
    <t>[i11-CGL] iPhone 11 Камера - замена разбитого стекла | *цена за 1шт.</t>
  </si>
  <si>
    <t>i11-FID</t>
  </si>
  <si>
    <t>[i11-FID] iPhone 11 Face ID - восстановление | *требуется диагностика</t>
  </si>
  <si>
    <t>i11-BGL</t>
  </si>
  <si>
    <t>[i11-BGL] iPhone 11 Крышка (заднее стекло) - замена</t>
  </si>
  <si>
    <t>i11-HSG</t>
  </si>
  <si>
    <t>[i11-HSG] iPhone 11 Корпус - замена</t>
  </si>
  <si>
    <t>i11-BTN</t>
  </si>
  <si>
    <t>[i11-BTN] iPhone 11 Кнопки - восстановление / замена | *требуется диагностика</t>
  </si>
  <si>
    <t>i11-SPK</t>
  </si>
  <si>
    <t>[i11-SPK] iPhone 11 Динамик полифонический (нижний, громкая связь) - замена</t>
  </si>
  <si>
    <t>i11-EAR</t>
  </si>
  <si>
    <t>[i11-EAR] iPhone 11 Динамик разговорный (верхний, слуховой) - замена</t>
  </si>
  <si>
    <t>i11-MIC</t>
  </si>
  <si>
    <t>[i11-MIC] iPhone 11 Микрофон - замена (один из..) | *требуется диагностика</t>
  </si>
  <si>
    <t>i11-BRD</t>
  </si>
  <si>
    <t>[i11-BRD] iPhone 11 Ремонт платы - восстановление / замена | *требуется диагностика</t>
  </si>
  <si>
    <t>i11-BRDS</t>
  </si>
  <si>
    <t>[i11-BRDS] iPhone 11 Ремонт платы - распайка половинок</t>
  </si>
  <si>
    <t>i11-LIQ</t>
  </si>
  <si>
    <t>[i11-LIQ] iPhone 11 Профилактика после воды - восстановление | *требуется диагностика</t>
  </si>
  <si>
    <t>i11-MDM</t>
  </si>
  <si>
    <t>[i11-MDM] iPhone 11 Модем - восстановление GSM сети | *требуется диагностика</t>
  </si>
  <si>
    <t>i11-WFB</t>
  </si>
  <si>
    <t>[i11-WFB] iPhone 11 WiFi / Bluetooth - восстановление беспроводных сетей | *требуется диагностика</t>
  </si>
  <si>
    <t>i11P-DGN</t>
  </si>
  <si>
    <t>[i11P-DGN] iPhone 11 Pro Диагностика (с пайкой компонентов) | *бесплатно при дальнейшем ремонте</t>
  </si>
  <si>
    <t>Ремонт iPhone &gt; iPhone 11 Pro</t>
  </si>
  <si>
    <t>i11P-WTR1</t>
  </si>
  <si>
    <t>[i11P-WTR1] iPhone 11 Pro Пылевлагозащита (этап 1) - восстановление</t>
  </si>
  <si>
    <t>i11P-WTR2</t>
  </si>
  <si>
    <t>[i11P-WTR2] iPhone 11 Pro Пылевлагозащита (этап 2) - восстановление</t>
  </si>
  <si>
    <t>i11P-CLNB</t>
  </si>
  <si>
    <t>[i11P-CLNB] iPhone 11 Pro Чистка сеток динамиков и разъема зарядки БЕЗ РАЗБОРА</t>
  </si>
  <si>
    <t>i11P-CLN</t>
  </si>
  <si>
    <t>[i11P-CLN] iPhone 11 Pro Чистка сеток динамиков и разъема зарядки С РАЗБОРОМ</t>
  </si>
  <si>
    <t>i11P-BAT</t>
  </si>
  <si>
    <t>[i11P-BAT] iPhone 11 Pro Аккумулятор - замена</t>
  </si>
  <si>
    <t>i11P-BATE</t>
  </si>
  <si>
    <t>[i11P-BATE] iPhone 11 Pro Аккумулятор - устранение уведомления о замене</t>
  </si>
  <si>
    <t>i11P-CHG</t>
  </si>
  <si>
    <t>[i11P-CHG] iPhone 11 Pro Разъем зарядки - замена</t>
  </si>
  <si>
    <t>i11P-DIS</t>
  </si>
  <si>
    <t>[i11P-DIS] iPhone 11 Pro Дисплей - замена</t>
  </si>
  <si>
    <t>i11P-DISE</t>
  </si>
  <si>
    <t>[i11P-DISE] iPhone 11 Pro Дисплей - устранение уведомления о замене</t>
  </si>
  <si>
    <t>i11P-DGL</t>
  </si>
  <si>
    <t>[i11P-DGL] iPhone 11 Pro Дисплей - замена (переклей) разбитого стекла</t>
  </si>
  <si>
    <t>i11P-DGT</t>
  </si>
  <si>
    <t>[i11P-DGT] iPhone 11 Pro Дисплей - замена (переклей) разбитого стекла с тачскрином</t>
  </si>
  <si>
    <t>i11P-CAMR</t>
  </si>
  <si>
    <t>[i11P-CAMR] iPhone 11 Pro Камера основная - замена</t>
  </si>
  <si>
    <t>i11P-CAMF</t>
  </si>
  <si>
    <t>[i11P-CAMF] iPhone 11 Pro Камера фронтальная - замена</t>
  </si>
  <si>
    <t>i11P-CGL</t>
  </si>
  <si>
    <t>[i11P-CGL] iPhone 11 Pro Камера - замена разбитого стекла | *цена за 1шт.</t>
  </si>
  <si>
    <t>i11P-FID</t>
  </si>
  <si>
    <t>[i11P-FID] iPhone 11 Pro Face ID - восстановление | *требуется диагностика</t>
  </si>
  <si>
    <t>i11P-BGL</t>
  </si>
  <si>
    <t>[i11P-BGL] iPhone 11 Pro Крышка (заднее стекло) - замена</t>
  </si>
  <si>
    <t>i11P-HSG</t>
  </si>
  <si>
    <t>[i11P-HSG] iPhone 11 Pro Корпус - замена</t>
  </si>
  <si>
    <t>i11P-BTN</t>
  </si>
  <si>
    <t>[i11P-BTN] iPhone 11 Pro Кнопки - восстановление / замена | *требуется диагностика</t>
  </si>
  <si>
    <t>i11P-SPK</t>
  </si>
  <si>
    <t>[i11P-SPK] iPhone 11 Pro Динамик полифонический (нижний, громкая связь) - замена</t>
  </si>
  <si>
    <t>i11P-EAR</t>
  </si>
  <si>
    <t>[i11P-EAR] iPhone 11 Pro Динамик разговорный (верхний, слуховой) - замена</t>
  </si>
  <si>
    <t>i11P-MIC</t>
  </si>
  <si>
    <t>[i11P-MIC] iPhone 11 Pro Микрофон - замена (один из..) | *требуется диагностика</t>
  </si>
  <si>
    <t>i11P-BRD</t>
  </si>
  <si>
    <t>[i11P-BRD] iPhone 11 Pro Ремонт платы - восстановление / замена | *требуется диагностика</t>
  </si>
  <si>
    <t>i11P-BRDS</t>
  </si>
  <si>
    <t>[i11P-BRDS] iPhone 11 Pro Ремонт платы - распайка половинок</t>
  </si>
  <si>
    <t>i11P-LIQ</t>
  </si>
  <si>
    <t>[i11P-LIQ] iPhone 11 Pro Профилактика после воды - восстановление | *требуется диагностика</t>
  </si>
  <si>
    <t>i11P-MDM</t>
  </si>
  <si>
    <t>[i11P-MDM] iPhone 11 Pro Модем - восстановление GSM сети | *требуется диагностика</t>
  </si>
  <si>
    <t>i11P-WFB</t>
  </si>
  <si>
    <t>[i11P-WFB] iPhone 11 Pro WiFi / Bluetooth - восстановление беспроводных сетей | *требуется диагностика</t>
  </si>
  <si>
    <t>i11PM-DGN</t>
  </si>
  <si>
    <t>[i11PM-DGN] iPhone 11 Pro Max Диагностика (с пайкой компонентов) | *бесплатно при дальнейшем ремонте</t>
  </si>
  <si>
    <t>Ремонт iPhone &gt; iPhone 11 Pro Max</t>
  </si>
  <si>
    <t>i11PM-WTR1</t>
  </si>
  <si>
    <t>[i11PM-WTR1] iPhone 11 Pro Max Пылевлагозащита (этап 1) - восстановление</t>
  </si>
  <si>
    <t>i11PM-WTR2</t>
  </si>
  <si>
    <t>[i11PM-WTR2] iPhone 11 Pro Max Пылевлагозащита (этап 2) - восстановление</t>
  </si>
  <si>
    <t>i11PM-CLNB</t>
  </si>
  <si>
    <t>[i11PM-CLNB] iPhone 11 Pro Max Чистка сеток динамиков и разъема зарядки БЕЗ РАЗБОРА</t>
  </si>
  <si>
    <t>i11PM-CLN</t>
  </si>
  <si>
    <t>[i11PM-CLN] iPhone 11 Pro Max Чистка сеток динамиков и разъема зарядки С РАЗБОРОМ</t>
  </si>
  <si>
    <t>i11PM-BAT</t>
  </si>
  <si>
    <t>[i11PM-BAT] iPhone 11 Pro Max Аккумулятор - замена</t>
  </si>
  <si>
    <t>i11PM-BATE</t>
  </si>
  <si>
    <t>[i11PM-BATE] iPhone 11 Pro Max Аккумулятор - устранение уведомления о замене</t>
  </si>
  <si>
    <t>i11PM-CHG</t>
  </si>
  <si>
    <t>[i11PM-CHG] iPhone 11 Pro Max Разъем зарядки - замена</t>
  </si>
  <si>
    <t>i11PM-DIS</t>
  </si>
  <si>
    <t>[i11PM-DIS] iPhone 11 Pro Max Дисплей - замена</t>
  </si>
  <si>
    <t>i11PM-DISE</t>
  </si>
  <si>
    <t>[i11PM-DISE] iPhone 11 Pro Max Дисплей - устранение уведомления о замене</t>
  </si>
  <si>
    <t>i11PM-DGL</t>
  </si>
  <si>
    <t>[i11PM-DGL] iPhone 11 Pro Max Дисплей - замена (переклей) разбитого стекла</t>
  </si>
  <si>
    <t>i11PM-DGT</t>
  </si>
  <si>
    <t>[i11PM-DGT] iPhone 11 Pro Max Дисплей - замена (переклей) разбитого стекла с тачскрином</t>
  </si>
  <si>
    <t>i11PM-CAMR</t>
  </si>
  <si>
    <t>[i11PM-CAMR] iPhone 11 Pro Max Камера основная - замена</t>
  </si>
  <si>
    <t>i11PM-CAMF</t>
  </si>
  <si>
    <t>[i11PM-CAMF] iPhone 11 Pro Max Камера фронтальная - замена</t>
  </si>
  <si>
    <t>i11PM-CGL</t>
  </si>
  <si>
    <t>[i11PM-CGL] iPhone 11 Pro Max Камера - замена разбитого стекла | *цена за 1шт.</t>
  </si>
  <si>
    <t>i11PM-FID</t>
  </si>
  <si>
    <t>[i11PM-FID] iPhone 11 Pro Max Face ID - восстановление | *требуется диагностика</t>
  </si>
  <si>
    <t>i11PM-BGL</t>
  </si>
  <si>
    <t>[i11PM-BGL] iPhone 11 Pro Max Крышка (заднее стекло) - замена</t>
  </si>
  <si>
    <t>i11PM-HSG</t>
  </si>
  <si>
    <t>[i11PM-HSG] iPhone 11 Pro Max Корпус - замена</t>
  </si>
  <si>
    <t>i11PM-BTN</t>
  </si>
  <si>
    <t>[i11PM-BTN] iPhone 11 Pro Max Кнопки - восстановление / замена | *требуется диагностика</t>
  </si>
  <si>
    <t>i11PM-SPK</t>
  </si>
  <si>
    <t>[i11PM-SPK] iPhone 11 Pro Max Динамик полифонический (нижний, громкая связь) - замена</t>
  </si>
  <si>
    <t>i11PM-EAR</t>
  </si>
  <si>
    <t>[i11PM-EAR] iPhone 11 Pro Max Динамик разговорный (верхний, слуховой) - замена</t>
  </si>
  <si>
    <t>i11PM-MIC</t>
  </si>
  <si>
    <t>[i11PM-MIC] iPhone 11 Pro Max Микрофон - замена (один из..) | *требуется диагностика</t>
  </si>
  <si>
    <t>i11PM-BRD</t>
  </si>
  <si>
    <t>[i11PM-BRD] iPhone 11 Pro Max Ремонт платы - восстановление / замена | *требуется диагностика</t>
  </si>
  <si>
    <t>i11PM-BRDS</t>
  </si>
  <si>
    <t>[i11PM-BRDS] iPhone 11 Pro Max Ремонт платы - распайка половинок</t>
  </si>
  <si>
    <t>i11PM-LIQ</t>
  </si>
  <si>
    <t>[i11PM-LIQ] iPhone 11 Pro Max Профилактика после воды - восстановление | *требуется диагностика</t>
  </si>
  <si>
    <t>i11PM-MDM</t>
  </si>
  <si>
    <t>[i11PM-MDM] iPhone 11 Pro Max Модем - восстановление GSM сети | *требуется диагностика</t>
  </si>
  <si>
    <t>i11PM-WFB</t>
  </si>
  <si>
    <t>[i11PM-WFB] iPhone 11 Pro Max WiFi / Bluetooth - восстановление беспроводных сетей | *требуется диагностика</t>
  </si>
  <si>
    <t>i12-DGN</t>
  </si>
  <si>
    <t>[i12-DGN] iPhone 12 Диагностика (с пайкой компонентов) | *бесплатно при дальнейшем ремонте</t>
  </si>
  <si>
    <t>Ремонт iPhone &gt; iPhone 12</t>
  </si>
  <si>
    <t>i12-WTR1</t>
  </si>
  <si>
    <t>[i12-WTR1] iPhone 12 Пылевлагозащита (этап 1) - восстановление</t>
  </si>
  <si>
    <t>i12-WTR2</t>
  </si>
  <si>
    <t>[i12-WTR2] iPhone 12 Пылевлагозащита (этап 2) - восстановление</t>
  </si>
  <si>
    <t>i12-CLNB</t>
  </si>
  <si>
    <t>[i12-CLNB] iPhone 12 Чистка сеток динамиков и разъема зарядки БЕЗ РАЗБОРА</t>
  </si>
  <si>
    <t>i12-CLN</t>
  </si>
  <si>
    <t>[i12-CLN] iPhone 12 Чистка сеток динамиков и разъема зарядки С РАЗБОРОМ</t>
  </si>
  <si>
    <t>i12-BAT</t>
  </si>
  <si>
    <t>[i12-BAT] iPhone 12 Аккумулятор - замена</t>
  </si>
  <si>
    <t>i12-BATE</t>
  </si>
  <si>
    <t>[i12-BATE] iPhone 12 Аккумулятор - устранение уведомления о замене</t>
  </si>
  <si>
    <t>i12-CHG</t>
  </si>
  <si>
    <t>[i12-CHG] iPhone 12 Разъем зарядки - замена</t>
  </si>
  <si>
    <t>i12-DIS</t>
  </si>
  <si>
    <t>[i12-DIS] iPhone 12 Дисплей - замена</t>
  </si>
  <si>
    <t>i12-DISE</t>
  </si>
  <si>
    <t>[i12-DISE] iPhone 12 Дисплей - устранение уведомления о замене</t>
  </si>
  <si>
    <t>i12-DGL</t>
  </si>
  <si>
    <t>[i12-DGL] iPhone 12 Дисплей - замена (переклей) разбитого стекла</t>
  </si>
  <si>
    <t>i12-DGT</t>
  </si>
  <si>
    <t>[i12-DGT] iPhone 12 Дисплей - замена (переклей) разбитого стекла с тачскрином</t>
  </si>
  <si>
    <t>i12-CAMR</t>
  </si>
  <si>
    <t>[i12-CAMR] iPhone 12 Камера основная - замена</t>
  </si>
  <si>
    <t>i12-CAMF</t>
  </si>
  <si>
    <t>[i12-CAMF] iPhone 12 Камера фронтальная - замена</t>
  </si>
  <si>
    <t>i12-CGL</t>
  </si>
  <si>
    <t>[i12-CGL] iPhone 12 Камера - замена разбитого стекла | *цена за 1шт.</t>
  </si>
  <si>
    <t>i12-FID</t>
  </si>
  <si>
    <t>[i12-FID] iPhone 12 Face ID - восстановление | *требуется диагностика</t>
  </si>
  <si>
    <t>i12-BGL</t>
  </si>
  <si>
    <t>[i12-BGL] iPhone 12 Крышка (заднее стекло) - замена</t>
  </si>
  <si>
    <t>i12-HSG</t>
  </si>
  <si>
    <t>[i12-HSG] iPhone 12 Корпус - замена</t>
  </si>
  <si>
    <t>i12-BTN</t>
  </si>
  <si>
    <t>[i12-BTN] iPhone 12 Кнопки - восстановление / замена | *требуется диагностика</t>
  </si>
  <si>
    <t>i12-SPK</t>
  </si>
  <si>
    <t>[i12-SPK] iPhone 12 Динамик полифонический (нижний, громкая связь) - замена</t>
  </si>
  <si>
    <t>i12-EAR</t>
  </si>
  <si>
    <t>[i12-EAR] iPhone 12 Динамик разговорный (верхний, слуховой) - замена</t>
  </si>
  <si>
    <t>i12-MIC</t>
  </si>
  <si>
    <t>[i12-MIC] iPhone 12 Микрофон - замена (один из..) | *требуется диагностика</t>
  </si>
  <si>
    <t>i12-BRD</t>
  </si>
  <si>
    <t>[i12-BRD] iPhone 12 Ремонт платы - восстановление / замена | *требуется диагностика</t>
  </si>
  <si>
    <t>i12-BRDS</t>
  </si>
  <si>
    <t>[i12-BRDS] iPhone 12 Ремонт платы - распайка половинок</t>
  </si>
  <si>
    <t>i12-LIQ</t>
  </si>
  <si>
    <t>[i12-LIQ] iPhone 12 Профилактика после воды - восстановление | *требуется диагностика</t>
  </si>
  <si>
    <t>i12-MDM</t>
  </si>
  <si>
    <t>[i12-MDM] iPhone 12 Модем - восстановление GSM сети | *требуется диагностика</t>
  </si>
  <si>
    <t>i12-WFB</t>
  </si>
  <si>
    <t>[i12-WFB] iPhone 12 WiFi / Bluetooth - восстановление беспроводных сетей | *требуется диагностика</t>
  </si>
  <si>
    <t>i12MN-DGN</t>
  </si>
  <si>
    <t>[i12MN-DGN] iPhone 12 mini Диагностика (с пайкой компонентов) | *бесплатно при дальнейшем ремонте</t>
  </si>
  <si>
    <t>Ремонт iPhone &gt; iPhone 12 mini</t>
  </si>
  <si>
    <t>i12MN-WTR1</t>
  </si>
  <si>
    <t>[i12MN-WTR1] iPhone 12 mini Пылевлагозащита (этап 1) - восстановление</t>
  </si>
  <si>
    <t>i12MN-WTR2</t>
  </si>
  <si>
    <t>[i12MN-WTR2] iPhone 12 mini Пылевлагозащита (этап 2) - восстановление</t>
  </si>
  <si>
    <t>i12MN-CLNB</t>
  </si>
  <si>
    <t>[i12MN-CLNB] iPhone 12 mini Чистка сеток динамиков и разъема зарядки БЕЗ РАЗБОРА</t>
  </si>
  <si>
    <t>i12MN-CLN</t>
  </si>
  <si>
    <t>[i12MN-CLN] iPhone 12 mini Чистка сеток динамиков и разъема зарядки С РАЗБОРОМ</t>
  </si>
  <si>
    <t>i12MN-BAT</t>
  </si>
  <si>
    <t>[i12MN-BAT] iPhone 12 mini Аккумулятор - замена</t>
  </si>
  <si>
    <t>i12MN-BATE</t>
  </si>
  <si>
    <t>[i12MN-BATE] iPhone 12 mini Аккумулятор - устранение уведомления о замене</t>
  </si>
  <si>
    <t>i12MN-CHG</t>
  </si>
  <si>
    <t>[i12MN-CHG] iPhone 12 mini Разъем зарядки - замена</t>
  </si>
  <si>
    <t>i12MN-DIS</t>
  </si>
  <si>
    <t>[i12MN-DIS] iPhone 12 mini Дисплей - замена</t>
  </si>
  <si>
    <t>i12MN-DISE</t>
  </si>
  <si>
    <t>[i12MN-DISE] iPhone 12 mini Дисплей - устранение уведомления о замене</t>
  </si>
  <si>
    <t>i12MN-DGL</t>
  </si>
  <si>
    <t>[i12MN-DGL] iPhone 12 mini Дисплей - замена (переклей) разбитого стекла</t>
  </si>
  <si>
    <t>i12MN-DGT</t>
  </si>
  <si>
    <t>[i12MN-DGT] iPhone 12 mini Дисплей - замена (переклей) разбитого стекла с тачскрином</t>
  </si>
  <si>
    <t>i12MN-CAMR</t>
  </si>
  <si>
    <t>[i12MN-CAMR] iPhone 12 mini Камера основная - замена</t>
  </si>
  <si>
    <t>i12MN-CAMF</t>
  </si>
  <si>
    <t>[i12MN-CAMF] iPhone 12 mini Камера фронтальная - замена</t>
  </si>
  <si>
    <t>i12MN-CGL</t>
  </si>
  <si>
    <t>[i12MN-CGL] iPhone 12 mini Камера - замена разбитого стекла | *цена за 1шт.</t>
  </si>
  <si>
    <t>i12MN-FID</t>
  </si>
  <si>
    <t>[i12MN-FID] iPhone 12 mini Face ID - восстановление | *требуется диагностика</t>
  </si>
  <si>
    <t>i12MN-BGL</t>
  </si>
  <si>
    <t>[i12MN-BGL] iPhone 12 mini Крышка (заднее стекло) - замена</t>
  </si>
  <si>
    <t>i12MN-HSG</t>
  </si>
  <si>
    <t>[i12MN-HSG] iPhone 12 mini Корпус - замена</t>
  </si>
  <si>
    <t>i12MN-BTN</t>
  </si>
  <si>
    <t>[i12MN-BTN] iPhone 12 mini Кнопки - восстановление / замена | *требуется диагностика</t>
  </si>
  <si>
    <t>i12MN-SPK</t>
  </si>
  <si>
    <t>[i12MN-SPK] iPhone 12 mini Динамик полифонический (нижний, громкая связь) - замена</t>
  </si>
  <si>
    <t>i12MN-EAR</t>
  </si>
  <si>
    <t>[i12MN-EAR] iPhone 12 mini Динамик разговорный (верхний, слуховой) - замена</t>
  </si>
  <si>
    <t>i12MN-MIC</t>
  </si>
  <si>
    <t>[i12MN-MIC] iPhone 12 mini Микрофон - замена (один из..) | *требуется диагностика</t>
  </si>
  <si>
    <t>i12MN-BRD</t>
  </si>
  <si>
    <t>[i12MN-BRD] iPhone 12 mini Ремонт платы - восстановление / замена | *требуется диагностика</t>
  </si>
  <si>
    <t>i12MN-BRDS</t>
  </si>
  <si>
    <t>[i12MN-BRDS] iPhone 12 mini Ремонт платы - распайка половинок</t>
  </si>
  <si>
    <t>i12MN-LIQ</t>
  </si>
  <si>
    <t>[i12MN-LIQ] iPhone 12 mini Профилактика после воды - восстановление | *требуется диагностика</t>
  </si>
  <si>
    <t>i12MN-MDM</t>
  </si>
  <si>
    <t>[i12MN-MDM] iPhone 12 mini Модем - восстановление GSM сети | *требуется диагностика</t>
  </si>
  <si>
    <t>i12MN-WFB</t>
  </si>
  <si>
    <t>[i12MN-WFB] iPhone 12 mini WiFi / Bluetooth - восстановление беспроводных сетей | *требуется диагностика</t>
  </si>
  <si>
    <t>i12P-DGN</t>
  </si>
  <si>
    <t>[i12P-DGN] iPhone 12 Pro Диагностика (с пайкой компонентов) | *бесплатно при дальнейшем ремонте</t>
  </si>
  <si>
    <t>Ремонт iPhone &gt; iPhone 12 Pro</t>
  </si>
  <si>
    <t>i12P-WTR1</t>
  </si>
  <si>
    <t>[i12P-WTR1] iPhone 12 Pro Пылевлагозащита (этап 1) - восстановление</t>
  </si>
  <si>
    <t>i12P-WTR2</t>
  </si>
  <si>
    <t>[i12P-WTR2] iPhone 12 Pro Пылевлагозащита (этап 2) - восстановление</t>
  </si>
  <si>
    <t>i12P-CLNB</t>
  </si>
  <si>
    <t>[i12P-CLNB] iPhone 12 Pro Чистка сеток динамиков и разъема зарядки БЕЗ РАЗБОРА</t>
  </si>
  <si>
    <t>i12P-CLN</t>
  </si>
  <si>
    <t>[i12P-CLN] iPhone 12 Pro Чистка сеток динамиков и разъема зарядки С РАЗБОРОМ</t>
  </si>
  <si>
    <t>i12P-BAT</t>
  </si>
  <si>
    <t>[i12P-BAT] iPhone 12 Pro Аккумулятор - замена</t>
  </si>
  <si>
    <t>i12P-BATE</t>
  </si>
  <si>
    <t>[i12P-BATE] iPhone 12 Pro Аккумулятор - устранение уведомления о замене</t>
  </si>
  <si>
    <t>i12P-CHG</t>
  </si>
  <si>
    <t>[i12P-CHG] iPhone 12 Pro Разъем зарядки - замена</t>
  </si>
  <si>
    <t>i12P-DIS</t>
  </si>
  <si>
    <t>[i12P-DIS] iPhone 12 Pro Дисплей - замена</t>
  </si>
  <si>
    <t>i12P-DISE</t>
  </si>
  <si>
    <t>[i12P-DISE] iPhone 12 Pro Дисплей - устранение уведомления о замене</t>
  </si>
  <si>
    <t>i12P-DGL</t>
  </si>
  <si>
    <t>[i12P-DGL] iPhone 12 Pro Дисплей - замена (переклей) разбитого стекла</t>
  </si>
  <si>
    <t>i12P-DGT</t>
  </si>
  <si>
    <t>[i12P-DGT] iPhone 12 Pro Дисплей - замена (переклей) разбитого стекла с тачскрином</t>
  </si>
  <si>
    <t>i12P-CAMR</t>
  </si>
  <si>
    <t>[i12P-CAMR] iPhone 12 Pro Камера основная - замена</t>
  </si>
  <si>
    <t>i12P-CAMF</t>
  </si>
  <si>
    <t>[i12P-CAMF] iPhone 12 Pro Камера фронтальная - замена</t>
  </si>
  <si>
    <t>i12P-CGL</t>
  </si>
  <si>
    <t>[i12P-CGL] iPhone 12 Pro Камера - замена разбитого стекла | *цена за 1шт.</t>
  </si>
  <si>
    <t>i12P-FID</t>
  </si>
  <si>
    <t>[i12P-FID] iPhone 12 Pro Face ID - восстановление | *требуется диагностика</t>
  </si>
  <si>
    <t>i12P-BGL</t>
  </si>
  <si>
    <t>[i12P-BGL] iPhone 12 Pro Крышка (заднее стекло) - замена</t>
  </si>
  <si>
    <t>i12P-HSG</t>
  </si>
  <si>
    <t>[i12P-HSG] iPhone 12 Pro Корпус - замена</t>
  </si>
  <si>
    <t>i12P-BTN</t>
  </si>
  <si>
    <t>[i12P-BTN] iPhone 12 Pro Кнопки - восстановление / замена | *требуется диагностика</t>
  </si>
  <si>
    <t>i12P-SPK</t>
  </si>
  <si>
    <t>[i12P-SPK] iPhone 12 Pro Динамик полифонический (нижний, громкая связь) - замена</t>
  </si>
  <si>
    <t>i12P-EAR</t>
  </si>
  <si>
    <t>[i12P-EAR] iPhone 12 Pro Динамик разговорный (верхний, слуховой) - замена</t>
  </si>
  <si>
    <t>i12P-MIC</t>
  </si>
  <si>
    <t>[i12P-MIC] iPhone 12 Pro Микрофон - замена (один из..) | *требуется диагностика</t>
  </si>
  <si>
    <t>i12P-BRD</t>
  </si>
  <si>
    <t>[i12P-BRD] iPhone 12 Pro Ремонт платы - восстановление / замена | *требуется диагностика</t>
  </si>
  <si>
    <t>i12P-BRDS</t>
  </si>
  <si>
    <t>[i12P-BRDS] iPhone 12 Pro Ремонт платы - распайка половинок</t>
  </si>
  <si>
    <t>i12P-LIQ</t>
  </si>
  <si>
    <t>[i12P-LIQ] iPhone 12 Pro Профилактика после воды - восстановление | *требуется диагностика</t>
  </si>
  <si>
    <t>i12P-MDM</t>
  </si>
  <si>
    <t>[i12P-MDM] iPhone 12 Pro Модем - восстановление GSM сети | *требуется диагностика</t>
  </si>
  <si>
    <t>i12P-WFB</t>
  </si>
  <si>
    <t>[i12P-WFB] iPhone 12 Pro WiFi / Bluetooth - восстановление беспроводных сетей | *требуется диагностика</t>
  </si>
  <si>
    <t>i12PM-DGN</t>
  </si>
  <si>
    <t>[i12PM-DGN] iPhone 12 Pro Max Диагностика (с пайкой компонентов) | *бесплатно при дальнейшем ремонте</t>
  </si>
  <si>
    <t>Ремонт iPhone &gt; iPhone 12 Pro Max</t>
  </si>
  <si>
    <t>i12PM-WTR1</t>
  </si>
  <si>
    <t>[i12PM-WTR1] iPhone 12 Pro Max Пылевлагозащита (этап 1) - восстановление</t>
  </si>
  <si>
    <t>i12PM-WTR2</t>
  </si>
  <si>
    <t>[i12PM-WTR2] iPhone 12 Pro Max Пылевлагозащита (этап 2) - восстановление</t>
  </si>
  <si>
    <t>i12PM-CLNB</t>
  </si>
  <si>
    <t>[i12PM-CLNB] iPhone 12 Pro Max Чистка сеток динамиков и разъема зарядки БЕЗ РАЗБОРА</t>
  </si>
  <si>
    <t>i12PM-CLN</t>
  </si>
  <si>
    <t>[i12PM-CLN] iPhone 12 Pro Max Чистка сеток динамиков и разъема зарядки С РАЗБОРОМ</t>
  </si>
  <si>
    <t>i12PM-BAT</t>
  </si>
  <si>
    <t>[i12PM-BAT] iPhone 12 Pro Max Аккумулятор - замена</t>
  </si>
  <si>
    <t>i12PM-BATE</t>
  </si>
  <si>
    <t>[i12PM-BATE] iPhone 12 Pro Max Аккумулятор - устранение уведомления о замене</t>
  </si>
  <si>
    <t>i12PM-CHG</t>
  </si>
  <si>
    <t>[i12PM-CHG] iPhone 12 Pro Max Разъем зарядки - замена</t>
  </si>
  <si>
    <t>i12PM-DIS</t>
  </si>
  <si>
    <t>[i12PM-DIS] iPhone 12 Pro Max Дисплей - замена</t>
  </si>
  <si>
    <t>i12PM-DISE</t>
  </si>
  <si>
    <t>[i12PM-DISE] iPhone 12 Pro Max Дисплей - устранение уведомления о замене</t>
  </si>
  <si>
    <t>i12PM-DGL</t>
  </si>
  <si>
    <t>[i12PM-DGL] iPhone 12 Pro Max Дисплей - замена (переклей) разбитого стекла</t>
  </si>
  <si>
    <t>i12PM-DGT</t>
  </si>
  <si>
    <t>[i12PM-DGT] iPhone 12 Pro Max Дисплей - замена (переклей) разбитого стекла с тачскрином</t>
  </si>
  <si>
    <t>i12PM-CAMR</t>
  </si>
  <si>
    <t>[i12PM-CAMR] iPhone 12 Pro Max Камера основная - замена</t>
  </si>
  <si>
    <t>i12PM-CAMF</t>
  </si>
  <si>
    <t>[i12PM-CAMF] iPhone 12 Pro Max Камера фронтальная - замена</t>
  </si>
  <si>
    <t>i12PM-CGL</t>
  </si>
  <si>
    <t>[i12PM-CGL] iPhone 12 Pro Max Камера - замена разбитого стекла | *цена за 1шт.</t>
  </si>
  <si>
    <t>i12PM-FID</t>
  </si>
  <si>
    <t>[i12PM-FID] iPhone 12 Pro Max Face ID - восстановление | *требуется диагностика</t>
  </si>
  <si>
    <t>i12PM-BGL</t>
  </si>
  <si>
    <t>[i12PM-BGL] iPhone 12 Pro Max Крышка (заднее стекло) - замена</t>
  </si>
  <si>
    <t>i12PM-HSG</t>
  </si>
  <si>
    <t>[i12PM-HSG] iPhone 12 Pro Max Корпус - замена</t>
  </si>
  <si>
    <t>i12PM-BTN</t>
  </si>
  <si>
    <t>[i12PM-BTN] iPhone 12 Pro Max Кнопки - восстановление / замена | *требуется диагностика</t>
  </si>
  <si>
    <t>i12PM-SPK</t>
  </si>
  <si>
    <t>[i12PM-SPK] iPhone 12 Pro Max Динамик полифонический (нижний, громкая связь) - замена</t>
  </si>
  <si>
    <t>i12PM-EAR</t>
  </si>
  <si>
    <t>[i12PM-EAR] iPhone 12 Pro Max Динамик разговорный (верхний, слуховой) - замена</t>
  </si>
  <si>
    <t>i12PM-MIC</t>
  </si>
  <si>
    <t>[i12PM-MIC] iPhone 12 Pro Max Микрофон - замена (один из..) | *требуется диагностика</t>
  </si>
  <si>
    <t>i12PM-BRD</t>
  </si>
  <si>
    <t>[i12PM-BRD] iPhone 12 Pro Max Ремонт платы - восстановление / замена | *требуется диагностика</t>
  </si>
  <si>
    <t>i12PM-BRDS</t>
  </si>
  <si>
    <t>[i12PM-BRDS] iPhone 12 Pro Max Ремонт платы - распайка половинок</t>
  </si>
  <si>
    <t>i12PM-LIQ</t>
  </si>
  <si>
    <t>[i12PM-LIQ] iPhone 12 Pro Max Профилактика после воды - восстановление | *требуется диагностика</t>
  </si>
  <si>
    <t>i12PM-MDM</t>
  </si>
  <si>
    <t>[i12PM-MDM] iPhone 12 Pro Max Модем - восстановление GSM сети | *требуется диагностика</t>
  </si>
  <si>
    <t>i12PM-WFB</t>
  </si>
  <si>
    <t>[i12PM-WFB] iPhone 12 Pro Max WiFi / Bluetooth - восстановление беспроводных сетей | *требуется диагностика</t>
  </si>
  <si>
    <t>i13-DGN</t>
  </si>
  <si>
    <t>[i13-DGN] iPhone 13 Диагностика (с пайкой компонентов) | *бесплатно при дальнейшем ремонте</t>
  </si>
  <si>
    <t>Ремонт iPhone &gt; iPhone 13</t>
  </si>
  <si>
    <t>i13-WTR1</t>
  </si>
  <si>
    <t>[i13-WTR1] iPhone 13 Пылевлагозащита (этап 1) - восстановление</t>
  </si>
  <si>
    <t>i13-WTR2</t>
  </si>
  <si>
    <t>[i13-WTR2] iPhone 13 Пылевлагозащита (этап 2) - восстановление</t>
  </si>
  <si>
    <t>i13-CLNB</t>
  </si>
  <si>
    <t>[i13-CLNB] iPhone 13 Чистка сеток динамиков и разъема зарядки БЕЗ РАЗБОРА</t>
  </si>
  <si>
    <t>i13-CLN</t>
  </si>
  <si>
    <t>[i13-CLN] iPhone 13 Чистка сеток динамиков и разъема зарядки С РАЗБОРОМ</t>
  </si>
  <si>
    <t>i13-BAT</t>
  </si>
  <si>
    <t>[i13-BAT] iPhone 13 Аккумулятор - замена</t>
  </si>
  <si>
    <t>i13-BATE</t>
  </si>
  <si>
    <t>[i13-BATE] iPhone 13 Аккумулятор - устранение уведомления о замене</t>
  </si>
  <si>
    <t>i13-CHG</t>
  </si>
  <si>
    <t>[i13-CHG] iPhone 13 Разъем зарядки - замена</t>
  </si>
  <si>
    <t>i13-DIS</t>
  </si>
  <si>
    <t>[i13-DIS] iPhone 13 Дисплей - замена</t>
  </si>
  <si>
    <t>i13-DISE</t>
  </si>
  <si>
    <t>[i13-DISE] iPhone 13 Дисплей - устранение уведомления о замене</t>
  </si>
  <si>
    <t>i13-DGL</t>
  </si>
  <si>
    <t>[i13-DGL] iPhone 13 Дисплей - замена (переклей) разбитого стекла</t>
  </si>
  <si>
    <t>i13-DGT</t>
  </si>
  <si>
    <t>[i13-DGT] iPhone 13 Дисплей - замена (переклей) разбитого стекла с тачскрином</t>
  </si>
  <si>
    <t>i13-CAMR</t>
  </si>
  <si>
    <t>[i13-CAMR] iPhone 13 Камера основная - замена</t>
  </si>
  <si>
    <t>i13-CAMF</t>
  </si>
  <si>
    <t>[i13-CAMF] iPhone 13 Камера фронтальная - замена</t>
  </si>
  <si>
    <t>i13-CGL</t>
  </si>
  <si>
    <t>[i13-CGL] iPhone 13 Камера - замена разбитого стекла | *цена за 1шт.</t>
  </si>
  <si>
    <t>i13-FID</t>
  </si>
  <si>
    <t>[i13-FID] iPhone 13 Face ID - восстановление | *требуется диагностика</t>
  </si>
  <si>
    <t>i13-BGL</t>
  </si>
  <si>
    <t>[i13-BGL] iPhone 13 Крышка (заднее стекло) - замена</t>
  </si>
  <si>
    <t>i13-HSG</t>
  </si>
  <si>
    <t>[i13-HSG] iPhone 13 Корпус - замена</t>
  </si>
  <si>
    <t>i13-BTN</t>
  </si>
  <si>
    <t>[i13-BTN] iPhone 13 Кнопки - восстановление / замена | *требуется диагностика</t>
  </si>
  <si>
    <t>i13-SPK</t>
  </si>
  <si>
    <t>[i13-SPK] iPhone 13 Динамик полифонический (нижний, громкая связь) - замена</t>
  </si>
  <si>
    <t>i13-EAR</t>
  </si>
  <si>
    <t>[i13-EAR] iPhone 13 Динамик разговорный (верхний, слуховой) - замена</t>
  </si>
  <si>
    <t>i13-MIC</t>
  </si>
  <si>
    <t>[i13-MIC] iPhone 13 Микрофон - замена (один из..) | *требуется диагностика</t>
  </si>
  <si>
    <t>i13-BRD</t>
  </si>
  <si>
    <t>[i13-BRD] iPhone 13 Ремонт платы - восстановление / замена | *требуется диагностика</t>
  </si>
  <si>
    <t>i13-BRDS</t>
  </si>
  <si>
    <t>[i13-BRDS] iPhone 13 Ремонт платы - распайка половинок</t>
  </si>
  <si>
    <t>i13-LIQ</t>
  </si>
  <si>
    <t>[i13-LIQ] iPhone 13 Профилактика после воды - восстановление | *требуется диагностика</t>
  </si>
  <si>
    <t>i13-MDM</t>
  </si>
  <si>
    <t>[i13-MDM] iPhone 13 Модем - восстановление GSM сети | *требуется диагностика</t>
  </si>
  <si>
    <t>i13-WFB</t>
  </si>
  <si>
    <t>[i13-WFB] iPhone 13 WiFi / Bluetooth - восстановление беспроводных сетей | *требуется диагностика</t>
  </si>
  <si>
    <t>i13MN-DGN</t>
  </si>
  <si>
    <t>[i13MN-DGN] iPhone 13 mini Диагностика (с пайкой компонентов) | *бесплатно при дальнейшем ремонте</t>
  </si>
  <si>
    <t>Ремонт iPhone &gt; iPhone 13 mini</t>
  </si>
  <si>
    <t>i13MN-WTR1</t>
  </si>
  <si>
    <t>[i13MN-WTR1] iPhone 13 mini Пылевлагозащита (этап 1) - восстановление</t>
  </si>
  <si>
    <t>i13MN-WTR2</t>
  </si>
  <si>
    <t>[i13MN-WTR2] iPhone 13 mini Пылевлагозащита (этап 2) - восстановление</t>
  </si>
  <si>
    <t>i13MN-CLNB</t>
  </si>
  <si>
    <t>[i13MN-CLNB] iPhone 13 mini Чистка сеток динамиков и разъема зарядки БЕЗ РАЗБОРА</t>
  </si>
  <si>
    <t>i13MN-CLN</t>
  </si>
  <si>
    <t>[i13MN-CLN] iPhone 13 mini Чистка сеток динамиков и разъема зарядки С РАЗБОРОМ</t>
  </si>
  <si>
    <t>i13MN-BAT</t>
  </si>
  <si>
    <t>[i13MN-BAT] iPhone 13 mini Аккумулятор - замена</t>
  </si>
  <si>
    <t>i13MN-BATE</t>
  </si>
  <si>
    <t>[i13MN-BATE] iPhone 13 mini Аккумулятор - устранение уведомления о замене</t>
  </si>
  <si>
    <t>i13MN-CHG</t>
  </si>
  <si>
    <t>[i13MN-CHG] iPhone 13 mini Разъем зарядки - замена</t>
  </si>
  <si>
    <t>i13MN-DIS</t>
  </si>
  <si>
    <t>[i13MN-DIS] iPhone 13 mini Дисплей - замена</t>
  </si>
  <si>
    <t>i13MN-DISE</t>
  </si>
  <si>
    <t>[i13MN-DISE] iPhone 13 mini Дисплей - устранение уведомления о замене</t>
  </si>
  <si>
    <t>i13MN-DGL</t>
  </si>
  <si>
    <t>[i13MN-DGL] iPhone 13 mini Дисплей - замена (переклей) разбитого стекла</t>
  </si>
  <si>
    <t>i13MN-DGT</t>
  </si>
  <si>
    <t>[i13MN-DGT] iPhone 13 mini Дисплей - замена (переклей) разбитого стекла с тачскрином</t>
  </si>
  <si>
    <t>i13MN-CAMR</t>
  </si>
  <si>
    <t>[i13MN-CAMR] iPhone 13 mini Камера основная - замена</t>
  </si>
  <si>
    <t>i13MN-CAMF</t>
  </si>
  <si>
    <t>[i13MN-CAMF] iPhone 13 mini Камера фронтальная - замена</t>
  </si>
  <si>
    <t>i13MN-CGL</t>
  </si>
  <si>
    <t>[i13MN-CGL] iPhone 13 mini Камера - замена разбитого стекла | *цена за 1шт.</t>
  </si>
  <si>
    <t>i13MN-FID</t>
  </si>
  <si>
    <t>[i13MN-FID] iPhone 13 mini Face ID - восстановление | *требуется диагностика</t>
  </si>
  <si>
    <t>i13MN-BGL</t>
  </si>
  <si>
    <t>[i13MN-BGL] iPhone 13 mini Крышка (заднее стекло) - замена</t>
  </si>
  <si>
    <t>i13MN-HSG</t>
  </si>
  <si>
    <t>[i13MN-HSG] iPhone 13 mini Корпус - замена</t>
  </si>
  <si>
    <t>i13MN-BTN</t>
  </si>
  <si>
    <t>[i13MN-BTN] iPhone 13 mini Кнопки - восстановление / замена | *требуется диагностика</t>
  </si>
  <si>
    <t>i13MN-SPK</t>
  </si>
  <si>
    <t>[i13MN-SPK] iPhone 13 mini Динамик полифонический (нижний, громкая связь) - замена</t>
  </si>
  <si>
    <t>i13MN-EAR</t>
  </si>
  <si>
    <t>[i13MN-EAR] iPhone 13 mini Динамик разговорный (верхний, слуховой) - замена</t>
  </si>
  <si>
    <t>i13MN-MIC</t>
  </si>
  <si>
    <t>[i13MN-MIC] iPhone 13 mini Микрофон - замена (один из..) | *требуется диагностика</t>
  </si>
  <si>
    <t>i13MN-BRD</t>
  </si>
  <si>
    <t>[i13MN-BRD] iPhone 13 mini Ремонт платы - восстановление / замена | *требуется диагностика</t>
  </si>
  <si>
    <t>i13MN-BRDS</t>
  </si>
  <si>
    <t>[i13MN-BRDS] iPhone 13 mini Ремонт платы - распайка половинок</t>
  </si>
  <si>
    <t>i13MN-LIQ</t>
  </si>
  <si>
    <t>[i13MN-LIQ] iPhone 13 mini Профилактика после воды - восстановление | *требуется диагностика</t>
  </si>
  <si>
    <t>i13MN-MDM</t>
  </si>
  <si>
    <t>[i13MN-MDM] iPhone 13 mini Модем - восстановление GSM сети | *требуется диагностика</t>
  </si>
  <si>
    <t>i13MN-WFB</t>
  </si>
  <si>
    <t>[i13MN-WFB] iPhone 13 mini WiFi / Bluetooth - восстановление беспроводных сетей | *требуется диагностика</t>
  </si>
  <si>
    <t>i13P-DGN</t>
  </si>
  <si>
    <t>[i13P-DGN] iPhone 13 Pro Диагностика (с пайкой компонентов) | *бесплатно при дальнейшем ремонте</t>
  </si>
  <si>
    <t>Ремонт iPhone &gt; iPhone 13 Pro</t>
  </si>
  <si>
    <t>i13P-WTR1</t>
  </si>
  <si>
    <t>[i13P-WTR1] iPhone 13 Pro Пылевлагозащита (этап 1) - восстановление</t>
  </si>
  <si>
    <t>i13P-WTR2</t>
  </si>
  <si>
    <t>[i13P-WTR2] iPhone 13 Pro Пылевлагозащита (этап 2) - восстановление</t>
  </si>
  <si>
    <t>i13P-CLNB</t>
  </si>
  <si>
    <t>[i13P-CLNB] iPhone 13 Pro Чистка сеток динамиков и разъема зарядки БЕЗ РАЗБОРА</t>
  </si>
  <si>
    <t>i13P-CLN</t>
  </si>
  <si>
    <t>[i13P-CLN] iPhone 13 Pro Чистка сеток динамиков и разъема зарядки С РАЗБОРОМ</t>
  </si>
  <si>
    <t>i13P-BAT</t>
  </si>
  <si>
    <t>[i13P-BAT] iPhone 13 Pro Аккумулятор - замена</t>
  </si>
  <si>
    <t>i13P-BATE</t>
  </si>
  <si>
    <t>[i13P-BATE] iPhone 13 Pro Аккумулятор - устранение уведомления о замене</t>
  </si>
  <si>
    <t>i13P-CHG</t>
  </si>
  <si>
    <t>[i13P-CHG] iPhone 13 Pro Разъем зарядки - замена</t>
  </si>
  <si>
    <t>i13P-DIS</t>
  </si>
  <si>
    <t>[i13P-DIS] iPhone 13 Pro Дисплей - замена</t>
  </si>
  <si>
    <t>i13P-DISE</t>
  </si>
  <si>
    <t>[i13P-DISE] iPhone 13 Pro Дисплей - устранение уведомления о замене</t>
  </si>
  <si>
    <t>i13P-DGL</t>
  </si>
  <si>
    <t>[i13P-DGL] iPhone 13 Pro Дисплей - замена (переклей) разбитого стекла</t>
  </si>
  <si>
    <t>i13P-DGT</t>
  </si>
  <si>
    <t>[i13P-DGT] iPhone 13 Pro Дисплей - замена (переклей) разбитого стекла с тачскрином</t>
  </si>
  <si>
    <t>i13P-CAMR</t>
  </si>
  <si>
    <t>[i13P-CAMR] iPhone 13 Pro Камера основная - замена</t>
  </si>
  <si>
    <t>i13P-CAMF</t>
  </si>
  <si>
    <t>[i13P-CAMF] iPhone 13 Pro Камера фронтальная - замена</t>
  </si>
  <si>
    <t>i13P-CGL</t>
  </si>
  <si>
    <t>[i13P-CGL] iPhone 13 Pro Камера - замена разбитого стекла | *цена за 1шт.</t>
  </si>
  <si>
    <t>i13P-FID</t>
  </si>
  <si>
    <t>[i13P-FID] iPhone 13 Pro Face ID - восстановление | *требуется диагностика</t>
  </si>
  <si>
    <t>i13P-BGL</t>
  </si>
  <si>
    <t>[i13P-BGL] iPhone 13 Pro Крышка (заднее стекло) - замена</t>
  </si>
  <si>
    <t>i13P-HSG</t>
  </si>
  <si>
    <t>[i13P-HSG] iPhone 13 Pro Корпус - замена</t>
  </si>
  <si>
    <t>i13P-BTN</t>
  </si>
  <si>
    <t>[i13P-BTN] iPhone 13 Pro Кнопки - восстановление / замена | *требуется диагностика</t>
  </si>
  <si>
    <t>i13P-SPK</t>
  </si>
  <si>
    <t>[i13P-SPK] iPhone 13 Pro Динамик полифонический (нижний, громкая связь) - замена</t>
  </si>
  <si>
    <t>i13P-EAR</t>
  </si>
  <si>
    <t>[i13P-EAR] iPhone 13 Pro Динамик разговорный (верхний, слуховой) - замена</t>
  </si>
  <si>
    <t>i13P-MIC</t>
  </si>
  <si>
    <t>[i13P-MIC] iPhone 13 Pro Микрофон - замена (один из..) | *требуется диагностика</t>
  </si>
  <si>
    <t>i13P-BRD</t>
  </si>
  <si>
    <t>[i13P-BRD] iPhone 13 Pro Ремонт платы - восстановление / замена | *требуется диагностика</t>
  </si>
  <si>
    <t>i13P-BRDS</t>
  </si>
  <si>
    <t>[i13P-BRDS] iPhone 13 Pro Ремонт платы - распайка половинок</t>
  </si>
  <si>
    <t>i13P-LIQ</t>
  </si>
  <si>
    <t>[i13P-LIQ] iPhone 13 Pro Профилактика после воды - восстановление | *требуется диагностика</t>
  </si>
  <si>
    <t>i13P-MDM</t>
  </si>
  <si>
    <t>[i13P-MDM] iPhone 13 Pro Модем - восстановление GSM сети | *требуется диагностика</t>
  </si>
  <si>
    <t>i13P-WFB</t>
  </si>
  <si>
    <t>[i13P-WFB] iPhone 13 Pro WiFi / Bluetooth - восстановление беспроводных сетей | *требуется диагностика</t>
  </si>
  <si>
    <t>i13PM-DGN</t>
  </si>
  <si>
    <t>[i13PM-DGN] iPhone 13 Pro Max Диагностика (с пайкой компонентов) | *бесплатно при дальнейшем ремонте</t>
  </si>
  <si>
    <t>Ремонт iPhone &gt; iPhone 13 Pro Max</t>
  </si>
  <si>
    <t>i13PM-WTR1</t>
  </si>
  <si>
    <t>[i13PM-WTR1] iPhone 13 Pro Max Пылевлагозащита (этап 1) - восстановление</t>
  </si>
  <si>
    <t>i13PM-WTR2</t>
  </si>
  <si>
    <t>[i13PM-WTR2] iPhone 13 Pro Max Пылевлагозащита (этап 2) - восстановление</t>
  </si>
  <si>
    <t>i13PM-CLNB</t>
  </si>
  <si>
    <t>[i13PM-CLNB] iPhone 13 Pro Max Чистка сеток динамиков и разъема зарядки БЕЗ РАЗБОРА</t>
  </si>
  <si>
    <t>i13PM-CLN</t>
  </si>
  <si>
    <t>[i13PM-CLN] iPhone 13 Pro Max Чистка сеток динамиков и разъема зарядки С РАЗБОРОМ</t>
  </si>
  <si>
    <t>i13PM-BAT</t>
  </si>
  <si>
    <t>[i13PM-BAT] iPhone 13 Pro Max Аккумулятор - замена</t>
  </si>
  <si>
    <t>i13PM-BATE</t>
  </si>
  <si>
    <t>[i13PM-BATE] iPhone 13 Pro Max Аккумулятор - устранение уведомления о замене</t>
  </si>
  <si>
    <t>i13PM-CHG</t>
  </si>
  <si>
    <t>[i13PM-CHG] iPhone 13 Pro Max Разъем зарядки - замена</t>
  </si>
  <si>
    <t>i13PM-DIS</t>
  </si>
  <si>
    <t>[i13PM-DIS] iPhone 13 Pro Max Дисплей - замена</t>
  </si>
  <si>
    <t>i13PM-DISE</t>
  </si>
  <si>
    <t>[i13PM-DISE] iPhone 13 Pro Max Дисплей - устранение уведомления о замене</t>
  </si>
  <si>
    <t>i13PM-DGL</t>
  </si>
  <si>
    <t>[i13PM-DGL] iPhone 13 Pro Max Дисплей - замена (переклей) разбитого стекла</t>
  </si>
  <si>
    <t>i13PM-DGT</t>
  </si>
  <si>
    <t>[i13PM-DGT] iPhone 13 Pro Max Дисплей - замена (переклей) разбитого стекла с тачскрином</t>
  </si>
  <si>
    <t>i13PM-CAMR</t>
  </si>
  <si>
    <t>[i13PM-CAMR] iPhone 13 Pro Max Камера основная - замена</t>
  </si>
  <si>
    <t>i13PM-CAMF</t>
  </si>
  <si>
    <t>[i13PM-CAMF] iPhone 13 Pro Max Камера фронтальная - замена</t>
  </si>
  <si>
    <t>i13PM-CGL</t>
  </si>
  <si>
    <t>[i13PM-CGL] iPhone 13 Pro Max Камера - замена разбитого стекла | *цена за 1шт.</t>
  </si>
  <si>
    <t>i13PM-FID</t>
  </si>
  <si>
    <t>[i13PM-FID] iPhone 13 Pro Max Face ID - восстановление | *требуется диагностика</t>
  </si>
  <si>
    <t>i13PM-BGL</t>
  </si>
  <si>
    <t>[i13PM-BGL] iPhone 13 Pro Max Крышка (заднее стекло) - замена</t>
  </si>
  <si>
    <t>i13PM-HSG</t>
  </si>
  <si>
    <t>[i13PM-HSG] iPhone 13 Pro Max Корпус - замена</t>
  </si>
  <si>
    <t>i13PM-BTN</t>
  </si>
  <si>
    <t>[i13PM-BTN] iPhone 13 Pro Max Кнопки - восстановление / замена | *требуется диагностика</t>
  </si>
  <si>
    <t>i13PM-SPK</t>
  </si>
  <si>
    <t>[i13PM-SPK] iPhone 13 Pro Max Динамик полифонический (нижний, громкая связь) - замена</t>
  </si>
  <si>
    <t>i13PM-EAR</t>
  </si>
  <si>
    <t>[i13PM-EAR] iPhone 13 Pro Max Динамик разговорный (верхний, слуховой) - замена</t>
  </si>
  <si>
    <t>i13PM-MIC</t>
  </si>
  <si>
    <t>[i13PM-MIC] iPhone 13 Pro Max Микрофон - замена (один из..) | *требуется диагностика</t>
  </si>
  <si>
    <t>i13PM-BRD</t>
  </si>
  <si>
    <t>[i13PM-BRD] iPhone 13 Pro Max Ремонт платы - восстановление / замена | *требуется диагностика</t>
  </si>
  <si>
    <t>i13PM-BRDS</t>
  </si>
  <si>
    <t>[i13PM-BRDS] iPhone 13 Pro Max Ремонт платы - распайка половинок</t>
  </si>
  <si>
    <t>i13PM-LIQ</t>
  </si>
  <si>
    <t>[i13PM-LIQ] iPhone 13 Pro Max Профилактика после воды - восстановление | *требуется диагностика</t>
  </si>
  <si>
    <t>i13PM-MDM</t>
  </si>
  <si>
    <t>[i13PM-MDM] iPhone 13 Pro Max Модем - восстановление GSM сети | *требуется диагностика</t>
  </si>
  <si>
    <t>i13PM-WFB</t>
  </si>
  <si>
    <t>[i13PM-WFB] iPhone 13 Pro Max WiFi / Bluetooth - восстановление беспроводных сетей | *требуется диагностика</t>
  </si>
  <si>
    <t>i14-DGN</t>
  </si>
  <si>
    <t>[i14-DGN] iPhone 14 Диагностика (с пайкой компонентов) | *бесплатно при дальнейшем ремонте</t>
  </si>
  <si>
    <t>Ремонт iPhone &gt; iPhone 14</t>
  </si>
  <si>
    <t>i14-WTR1</t>
  </si>
  <si>
    <t>[i14-WTR1] iPhone 14 Пылевлагозащита (этап 1) - восстановление</t>
  </si>
  <si>
    <t>i14-WTR2</t>
  </si>
  <si>
    <t>[i14-WTR2] iPhone 14 Пылевлагозащита (этап 2) - восстановление</t>
  </si>
  <si>
    <t>i14-CLNB</t>
  </si>
  <si>
    <t>[i14-CLNB] iPhone 14 Чистка сеток динамиков и разъема зарядки БЕЗ РАЗБОРА</t>
  </si>
  <si>
    <t>i14-CLN</t>
  </si>
  <si>
    <t>[i14-CLN] iPhone 14 Чистка сеток динамиков и разъема зарядки С РАЗБОРОМ</t>
  </si>
  <si>
    <t>i14-BAT</t>
  </si>
  <si>
    <t>[i14-BAT] iPhone 14 Аккумулятор - замена</t>
  </si>
  <si>
    <t>i14-BATE</t>
  </si>
  <si>
    <t>[i14-BATE] iPhone 14 Аккумулятор - устранение уведомления о замене</t>
  </si>
  <si>
    <t>i14-CHG</t>
  </si>
  <si>
    <t>[i14-CHG] iPhone 14 Разъем зарядки - замена</t>
  </si>
  <si>
    <t>i14-DIS</t>
  </si>
  <si>
    <t>[i14-DIS] iPhone 14 Дисплей - замена</t>
  </si>
  <si>
    <t>i14-DISE</t>
  </si>
  <si>
    <t>[i14-DISE] iPhone 14 Дисплей - устранение уведомления о замене</t>
  </si>
  <si>
    <t>i14-DGL</t>
  </si>
  <si>
    <t>[i14-DGL] iPhone 14 Дисплей - замена (переклей) разбитого стекла</t>
  </si>
  <si>
    <t>i14-CAMR</t>
  </si>
  <si>
    <t>[i14-CAMR] iPhone 14 Камера основная - замена</t>
  </si>
  <si>
    <t>i14-CAMF</t>
  </si>
  <si>
    <t>[i14-CAMF] iPhone 14 Камера фронтальная - замена</t>
  </si>
  <si>
    <t>i14-CGL</t>
  </si>
  <si>
    <t>[i14-CGL] iPhone 14 Камера - замена разбитого стекла | *цена за 1шт.</t>
  </si>
  <si>
    <t>i14-FID</t>
  </si>
  <si>
    <t>[i14-FID] iPhone 14 Face ID - восстановление | *требуется диагностика</t>
  </si>
  <si>
    <t>i14-BGL</t>
  </si>
  <si>
    <t>[i14-BGL] iPhone 14 Крышка (заднее стекло) - замена</t>
  </si>
  <si>
    <t>i14-HSG</t>
  </si>
  <si>
    <t>[i14-HSG] iPhone 14 Корпус - замена</t>
  </si>
  <si>
    <t>i14-MID</t>
  </si>
  <si>
    <t>[i14-MID] iPhone 14 Корпус (средняя часть) - замена</t>
  </si>
  <si>
    <t>i14-BTN</t>
  </si>
  <si>
    <t>[i14-BTN] iPhone 14 Кнопки - восстановление / замена | *требуется диагностика</t>
  </si>
  <si>
    <t>i14-SPK</t>
  </si>
  <si>
    <t>[i14-SPK] iPhone 14 Динамик полифонический (нижний, громкая связь) - замена</t>
  </si>
  <si>
    <t>i14-EAR</t>
  </si>
  <si>
    <t>[i14-EAR] iPhone 14 Динамик разговорный (верхний, слуховой) - замена</t>
  </si>
  <si>
    <t>i14-MIC</t>
  </si>
  <si>
    <t>[i14-MIC] iPhone 14 Микрофон - замена (один из..) | *требуется диагностика</t>
  </si>
  <si>
    <t>i14-BRD</t>
  </si>
  <si>
    <t>[i14-BRD] iPhone 14 Ремонт платы - восстановление / замена | *требуется диагностика</t>
  </si>
  <si>
    <t>i14-BRDS</t>
  </si>
  <si>
    <t>[i14-BRDS] iPhone 14 Ремонт платы - распайка половинок</t>
  </si>
  <si>
    <t>i14-LIQ</t>
  </si>
  <si>
    <t>[i14-LIQ] iPhone 14 Профилактика после воды - восстановление | *требуется диагностика</t>
  </si>
  <si>
    <t>i14-MDM</t>
  </si>
  <si>
    <t>[i14-MDM] iPhone 14 Модем - восстановление GSM сети | *требуется диагностика</t>
  </si>
  <si>
    <t>i14-WFB</t>
  </si>
  <si>
    <t>[i14-WFB] iPhone 14 WiFi / Bluetooth - восстановление беспроводных сетей | *требуется диагностика</t>
  </si>
  <si>
    <t>i14PL-DGN</t>
  </si>
  <si>
    <t>[i14PL-DGN] iPhone 14 Plus Диагностика (с пайкой компонентов) | *бесплатно при дальнейшем ремонте</t>
  </si>
  <si>
    <t>Ремонт iPhone &gt; iPhone 14 Plus</t>
  </si>
  <si>
    <t>i14PL-WTR1</t>
  </si>
  <si>
    <t>[i14PL-WTR1] iPhone 14 Plus Пылевлагозащита (этап 1) - восстановление</t>
  </si>
  <si>
    <t>i14PL-WTR2</t>
  </si>
  <si>
    <t>[i14PL-WTR2] iPhone 14 Plus Пылевлагозащита (этап 2) - восстановление</t>
  </si>
  <si>
    <t>i14PL-CLNB</t>
  </si>
  <si>
    <t>[i14PL-CLNB] iPhone 14 Plus Чистка сеток динамиков и разъема зарядки БЕЗ РАЗБОРА</t>
  </si>
  <si>
    <t>i14PL-CLN</t>
  </si>
  <si>
    <t>[i14PL-CLN] iPhone 14 Plus Чистка сеток динамиков и разъема зарядки С РАЗБОРОМ</t>
  </si>
  <si>
    <t>i14PL-BAT</t>
  </si>
  <si>
    <t>[i14PL-BAT] iPhone 14 Plus Аккумулятор - замена</t>
  </si>
  <si>
    <t>i14PL-BATE</t>
  </si>
  <si>
    <t>[i14PL-BATE] iPhone 14 Plus Аккумулятор - устранение уведомления о замене</t>
  </si>
  <si>
    <t>i14PL-CHG</t>
  </si>
  <si>
    <t>[i14PL-CHG] iPhone 14 Plus Разъем зарядки - замена</t>
  </si>
  <si>
    <t>i14PL-DIS</t>
  </si>
  <si>
    <t>[i14PL-DIS] iPhone 14 Plus Дисплей - замена</t>
  </si>
  <si>
    <t>i14PL-DISE</t>
  </si>
  <si>
    <t>[i14PL-DISE] iPhone 14 Plus Дисплей - устранение уведомления о замене</t>
  </si>
  <si>
    <t>i14PL-DGL</t>
  </si>
  <si>
    <t>[i14PL-DGL] iPhone 14 Plus Дисплей - замена (переклей) разбитого стекла</t>
  </si>
  <si>
    <t>i14PL-CAMR</t>
  </si>
  <si>
    <t>[i14PL-CAMR] iPhone 14 Plus Камера основная - замена</t>
  </si>
  <si>
    <t>i14PL-CAMF</t>
  </si>
  <si>
    <t>[i14PL-CAMF] iPhone 14 Plus Камера фронтальная - замена</t>
  </si>
  <si>
    <t>i14PL-CGL</t>
  </si>
  <si>
    <t>[i14PL-CGL] iPhone 14 Plus Камера - замена разбитого стекла | *цена за 1шт.</t>
  </si>
  <si>
    <t>i14PL-FID</t>
  </si>
  <si>
    <t>[i14PL-FID] iPhone 14 Plus Face ID - восстановление | *требуется диагностика</t>
  </si>
  <si>
    <t>i14PL-BGL</t>
  </si>
  <si>
    <t>[i14PL-BGL] iPhone 14 Plus Крышка (заднее стекло) - замена</t>
  </si>
  <si>
    <t>i14PL-HSG</t>
  </si>
  <si>
    <t>[i14PL-HSG] iPhone 14 Plus Корпус - замена</t>
  </si>
  <si>
    <t>i14PL-MID</t>
  </si>
  <si>
    <t>[i14PL-MID] iPhone 14 Plus Корпус (средняя часть) - замена</t>
  </si>
  <si>
    <t>i14PL-BTN</t>
  </si>
  <si>
    <t>[i14PL-BTN] iPhone 14 Plus Кнопки - восстановление / замена | *требуется диагностика</t>
  </si>
  <si>
    <t>i14PL-SPK</t>
  </si>
  <si>
    <t>[i14PL-SPK] iPhone 14 Plus Динамик полифонический (нижний, громкая связь) - замена</t>
  </si>
  <si>
    <t>i14PL-EAR</t>
  </si>
  <si>
    <t>[i14PL-EAR] iPhone 14 Plus Динамик разговорный (верхний, слуховой) - замена</t>
  </si>
  <si>
    <t>i14PL-MIC</t>
  </si>
  <si>
    <t>[i14PL-MIC] iPhone 14 Plus Микрофон - замена (один из..) | *требуется диагностика</t>
  </si>
  <si>
    <t>i14PL-BRD</t>
  </si>
  <si>
    <t>[i14PL-BRD] iPhone 14 Plus Ремонт платы - восстановление / замена | *требуется диагностика</t>
  </si>
  <si>
    <t>i14PL-BRDS</t>
  </si>
  <si>
    <t>[i14PL-BRDS] iPhone 14 Plus Ремонт платы - распайка половинок</t>
  </si>
  <si>
    <t>i14PL-LIQ</t>
  </si>
  <si>
    <t>[i14PL-LIQ] iPhone 14 Plus Профилактика после воды - восстановление | *требуется диагностика</t>
  </si>
  <si>
    <t>i14PL-MDM</t>
  </si>
  <si>
    <t>[i14PL-MDM] iPhone 14 Plus Модем - восстановление GSM сети | *требуется диагностика</t>
  </si>
  <si>
    <t>i14PL-WFB</t>
  </si>
  <si>
    <t>[i14PL-WFB] iPhone 14 Plus WiFi / Bluetooth - восстановление беспроводных сетей | *требуется диагностика</t>
  </si>
  <si>
    <t>i14P-DGN</t>
  </si>
  <si>
    <t>[i14P-DGN] iPhone 14 Pro Диагностика (с пайкой компонентов) | *бесплатно при дальнейшем ремонте</t>
  </si>
  <si>
    <t>Ремонт iPhone &gt; iPhone 14 Pro</t>
  </si>
  <si>
    <t>14P-WTR1</t>
  </si>
  <si>
    <t>[14P-WTR1] iPhone 14 Pro Пылевлагозащита (этап 1) - восстановление</t>
  </si>
  <si>
    <t>i14P-WTR2</t>
  </si>
  <si>
    <t>[i14P-WTR2] iPhone 14 Pro Пылевлагозащита (этап 2) - восстановление</t>
  </si>
  <si>
    <t>i14P-CLNB</t>
  </si>
  <si>
    <t>[i14P-CLNB] iPhone 14 Pro Чистка сеток динамиков и разъема зарядки БЕЗ РАЗБОРА</t>
  </si>
  <si>
    <t>i14P-CLN</t>
  </si>
  <si>
    <t>[i14P-CLN] iPhone 14 Pro Чистка сеток динамиков и разъема зарядки С РАЗБОРОМ</t>
  </si>
  <si>
    <t>i14P-BAT</t>
  </si>
  <si>
    <t>[i14P-BAT] iPhone 14 Pro Аккумулятор - замена</t>
  </si>
  <si>
    <t>i14P-BATE</t>
  </si>
  <si>
    <t>[i14P-BATE] iPhone 14 Pro Аккумулятор - устранение уведомления о замене</t>
  </si>
  <si>
    <t>i14P-CHG</t>
  </si>
  <si>
    <t>[i14P-CHG] iPhone 14 Pro Разъем зарядки - замена</t>
  </si>
  <si>
    <t>i14P-DIS</t>
  </si>
  <si>
    <t>[i14P-DIS] iPhone 14 Pro Дисплей - замена</t>
  </si>
  <si>
    <t>i14P-DISE</t>
  </si>
  <si>
    <t>[i14P-DISE] iPhone 14 Pro Дисплей - устранение уведомления о замене</t>
  </si>
  <si>
    <t>i14P-DGL</t>
  </si>
  <si>
    <t>[i14P-DGL] iPhone 14 Pro Дисплей - замена (переклей) разбитого стекла</t>
  </si>
  <si>
    <t>i14P-CAMR</t>
  </si>
  <si>
    <t>[i14P-CAMR] iPhone 14 Pro Камера основная - замена</t>
  </si>
  <si>
    <t>i14P-CAMF</t>
  </si>
  <si>
    <t>[i14P-CAMF] iPhone 14 Pro Камера фронтальная - замена</t>
  </si>
  <si>
    <t>i14P-CGL</t>
  </si>
  <si>
    <t>[i14P-CGL] iPhone 14 Pro Камера - замена разбитого стекла | *цена за 1шт.</t>
  </si>
  <si>
    <t>i14P-FID</t>
  </si>
  <si>
    <t>[i14P-FID] iPhone 14 Pro Face ID - восстановление | *требуется диагностика</t>
  </si>
  <si>
    <t>i14P-BGL</t>
  </si>
  <si>
    <t>[i14P-BGL] iPhone 14 Pro Крышка (заднее стекло) - замена</t>
  </si>
  <si>
    <t>i14P-HSG</t>
  </si>
  <si>
    <t>[i14P-HSG] iPhone 14 Pro Корпус - замена</t>
  </si>
  <si>
    <t>i14P-BTN</t>
  </si>
  <si>
    <t>[i14P-BTN] iPhone 14 Pro Кнопки - восстановление / замена | *требуется диагностика</t>
  </si>
  <si>
    <t>i14P-SPK</t>
  </si>
  <si>
    <t>[i14P-SPK] iPhone 14 Pro Динамик полифонический (нижний, громкая связь) - замена</t>
  </si>
  <si>
    <t>i14P-EAR</t>
  </si>
  <si>
    <t>[i14P-EAR] iPhone 14 Pro Динамик разговорный (верхний, слуховой) - замена</t>
  </si>
  <si>
    <t>i14P-MIC</t>
  </si>
  <si>
    <t>[i14P-MIC] iPhone 14 Pro Микрофон - замена (один из..) | *требуется диагностика</t>
  </si>
  <si>
    <t>i14P-BRD</t>
  </si>
  <si>
    <t>[i14P-BRD] iPhone 14 Pro Ремонт платы - восстановление / замена | *требуется диагностика</t>
  </si>
  <si>
    <t>i14P-BRDS</t>
  </si>
  <si>
    <t>[i14P-BRDS] iPhone 14 Pro Ремонт платы - распайка половинок</t>
  </si>
  <si>
    <t>i14P-LIQ</t>
  </si>
  <si>
    <t>[i14P-LIQ] iPhone 14 Pro Профилактика после воды - восстановление | *требуется диагностика</t>
  </si>
  <si>
    <t>i14P-MDM</t>
  </si>
  <si>
    <t>[i14P-MDM] iPhone 14 Pro Модем - восстановление GSM сети | *требуется диагностика</t>
  </si>
  <si>
    <t>i14P-WFB</t>
  </si>
  <si>
    <t>[i14P-WFB] iPhone 14 Pro WiFi / Bluetooth - восстановление беспроводных сетей | *требуется диагностика</t>
  </si>
  <si>
    <t>i14PM-DGN</t>
  </si>
  <si>
    <t>[i14PM-DGN] iPhone 14 Pro Max Диагностика (с пайкой компонентов) | *бесплатно при дальнейшем ремонте</t>
  </si>
  <si>
    <t>Ремонт iPhone &gt; iPhone 14 Pro Max</t>
  </si>
  <si>
    <t>14PM-WTR1</t>
  </si>
  <si>
    <t>[14PM-WTR1] iPhone 14 Pro Max Пылевлагозащита (этап 1) - восстановление</t>
  </si>
  <si>
    <t>i14PM-WTR2</t>
  </si>
  <si>
    <t>[i14PM-WTR2] iPhone 14 Pro Max Пылевлагозащита (этап 2) - восстановление</t>
  </si>
  <si>
    <t>i14PM-CLNB</t>
  </si>
  <si>
    <t>[i14PM-CLNB] iPhone 14 Pro Max Чистка сеток динамиков и разъема зарядки БЕЗ РАЗБОРА</t>
  </si>
  <si>
    <t>i14PM-CLN</t>
  </si>
  <si>
    <t>[i14PM-CLN] iPhone 14 Pro Max Чистка сеток динамиков и разъема зарядки С РАЗБОРОМ</t>
  </si>
  <si>
    <t>i14PM-BAT</t>
  </si>
  <si>
    <t>[i14PM-BAT] iPhone 14 Pro Max Аккумулятор - замена</t>
  </si>
  <si>
    <t>i14PM-BATE</t>
  </si>
  <si>
    <t>[i14PM-BATE] iPhone 14 Pro Max Аккумулятор - устранение уведомления о замене</t>
  </si>
  <si>
    <t>i14PM-CHG</t>
  </si>
  <si>
    <t>[i14PM-CHG] iPhone 14 Pro Max Разъем зарядки - замена</t>
  </si>
  <si>
    <t>i14PM-DIS</t>
  </si>
  <si>
    <t>[i14PM-DIS] iPhone 14 Pro Max Дисплей - замена</t>
  </si>
  <si>
    <t>i14PM-DISE</t>
  </si>
  <si>
    <t>[i14PM-DISE] iPhone 14 Pro Max Дисплей - устранение уведомления о замене</t>
  </si>
  <si>
    <t>i14PM-DGL</t>
  </si>
  <si>
    <t>[i14PM-DGL] iPhone 14 Pro Max Дисплей - замена (переклей) разбитого стекла</t>
  </si>
  <si>
    <t>i14PM-CAMR</t>
  </si>
  <si>
    <t>[i14PM-CAMR] iPhone 14 Pro Max Камера основная - замена</t>
  </si>
  <si>
    <t>i14PM-CAMF</t>
  </si>
  <si>
    <t>[i14PM-CAMF] iPhone 14 Pro Max Камера фронтальная - замена</t>
  </si>
  <si>
    <t>i14PM-CGL</t>
  </si>
  <si>
    <t>[i14PM-CGL] iPhone 14 Pro Max Камера - замена разбитого стекла | *цена за 1шт.</t>
  </si>
  <si>
    <t>i14PM-FID</t>
  </si>
  <si>
    <t>[i14PM-FID] iPhone 14 Pro Max Face ID - восстановление | *требуется диагностика</t>
  </si>
  <si>
    <t>i14PM-BGL</t>
  </si>
  <si>
    <t>[i14PM-BGL] iPhone 14 Pro Max Крышка (заднее стекло) - замена</t>
  </si>
  <si>
    <t>i14PM-HSG</t>
  </si>
  <si>
    <t>[i14PM-HSG] iPhone 14 Pro Max Корпус - замена</t>
  </si>
  <si>
    <t>i14PM-BTN</t>
  </si>
  <si>
    <t>[i14PM-BTN] iPhone 14 Pro Max Кнопки - восстановление / замена | *требуется диагностика</t>
  </si>
  <si>
    <t>i14PM-SPK</t>
  </si>
  <si>
    <t>[i14PM-SPK] iPhone 14 Pro Max Динамик полифонический (нижний, громкая связь) - замена</t>
  </si>
  <si>
    <t>i14PM-EAR</t>
  </si>
  <si>
    <t>[i14PM-EAR] iPhone 14 Pro Max Динамик разговорный (верхний, слуховой) - замена</t>
  </si>
  <si>
    <t>i14PM-MIC</t>
  </si>
  <si>
    <t>[i14PM-MIC] iPhone 14 Pro Max Микрофон - замена (один из..) | *требуется диагностика</t>
  </si>
  <si>
    <t>i14PM-BRD</t>
  </si>
  <si>
    <t>[i14PM-BRD] iPhone 14 Pro Max Ремонт платы - восстановление / замена | *требуется диагностика</t>
  </si>
  <si>
    <t>i14PM-BRDS</t>
  </si>
  <si>
    <t>[i14PM-BRDS] iPhone 14 Pro Max Ремонт платы - распайка половинок</t>
  </si>
  <si>
    <t>i14PM-LIQ</t>
  </si>
  <si>
    <t>[i14PM-LIQ] iPhone 14 Pro Max Профилактика после воды - восстановление | *требуется диагностика</t>
  </si>
  <si>
    <t>i14PM-MDM</t>
  </si>
  <si>
    <t>[i14PM-MDM] iPhone 14 Pro Max Модем - восстановление GSM сети | *требуется диагностика</t>
  </si>
  <si>
    <t>i14PM-WFB</t>
  </si>
  <si>
    <t>[i14PM-WFB] iPhone 14 Pro Max WiFi / Bluetooth - восстановление беспроводных сетей | *требуется диагностика</t>
  </si>
  <si>
    <t>i15-DGN</t>
  </si>
  <si>
    <t>[i15-DGN] iPhone 15 Диагностика (с пайкой компонентов) | *бесплатно при дальнейшем ремонте</t>
  </si>
  <si>
    <t>Ремонт iPhone &gt; iPhone 15</t>
  </si>
  <si>
    <t>i15-WTR1</t>
  </si>
  <si>
    <t>[i15-WTR1] iPhone 15 Пылевлагозащита (этап 1) - восстановление</t>
  </si>
  <si>
    <t>i15-WTR2</t>
  </si>
  <si>
    <t>[i15-WTR2] iPhone 15 Пылевлагозащита (этап 2) - восстановление</t>
  </si>
  <si>
    <t>i15-CLNB</t>
  </si>
  <si>
    <t>[i15-CLNB] iPhone 15 Чистка сеток динамиков и разъема зарядки БЕЗ РАЗБОРА</t>
  </si>
  <si>
    <t>i15-CLN</t>
  </si>
  <si>
    <t>[i15-CLN] iPhone 15 Чистка сеток динамиков и разъема зарядки С РАЗБОРОМ</t>
  </si>
  <si>
    <t>i15-BAT</t>
  </si>
  <si>
    <t>[i15-BAT] iPhone 15 Аккумулятор - замена</t>
  </si>
  <si>
    <t>i15-BATE</t>
  </si>
  <si>
    <t>[i15-BATE] iPhone 15 Аккумулятор - устранение уведомления о замене</t>
  </si>
  <si>
    <t>i15-CHG</t>
  </si>
  <si>
    <t>[i15-CHG] iPhone 15 Разъем зарядки - замена</t>
  </si>
  <si>
    <t>i15-DIS</t>
  </si>
  <si>
    <t>[i15-DIS] iPhone 15 Дисплей - замена</t>
  </si>
  <si>
    <t>i15-DISE</t>
  </si>
  <si>
    <t>[i15-DISE] iPhone 15 Дисплей - устранение уведомления о замене</t>
  </si>
  <si>
    <t>i15-DGL</t>
  </si>
  <si>
    <t>[i15-DGL] iPhone 15 Дисплей - замена (переклей) разбитого стекла</t>
  </si>
  <si>
    <t>i15-CAMR</t>
  </si>
  <si>
    <t>[i15-CAMR] iPhone 15 Камера основная - замена</t>
  </si>
  <si>
    <t>i15-CAMF</t>
  </si>
  <si>
    <t>[i15-CAMF] iPhone 15 Камера фронтальная - замена</t>
  </si>
  <si>
    <t>i15-CGL</t>
  </si>
  <si>
    <t>[i15-CGL] iPhone 15 Камера - замена разбитого стекла | *цена за 1шт.</t>
  </si>
  <si>
    <t>i15-FID</t>
  </si>
  <si>
    <t>[i15-FID] iPhone 15 Face ID - восстановление | *требуется диагностика</t>
  </si>
  <si>
    <t>i15-BGL</t>
  </si>
  <si>
    <t>[i15-BGL] iPhone 15 Крышка (заднее стекло) - замена</t>
  </si>
  <si>
    <t>i15-HSG</t>
  </si>
  <si>
    <t>[i15-HSG] iPhone 15 Корпус - замена</t>
  </si>
  <si>
    <t>i15-MID</t>
  </si>
  <si>
    <t>[i15-MID] iPhone 15 Корпус (средняя часть) - замена</t>
  </si>
  <si>
    <t>i15-BTN</t>
  </si>
  <si>
    <t>[i15-BTN] iPhone 15 Кнопки - восстановление / замена | *требуется диагностика</t>
  </si>
  <si>
    <t>i15-SPK</t>
  </si>
  <si>
    <t>[i15-SPK] iPhone 15 Динамик полифонический (нижний, громкая связь) - замена</t>
  </si>
  <si>
    <t>i15-EAR</t>
  </si>
  <si>
    <t>[i15-EAR] iPhone 15 Динамик разговорный (верхний, слуховой) - замена</t>
  </si>
  <si>
    <t>i15-MIC</t>
  </si>
  <si>
    <t>[i15-MIC] iPhone 15 Микрофон - замена (один из..) | *требуется диагностика</t>
  </si>
  <si>
    <t>i15-BRD</t>
  </si>
  <si>
    <t>[i15-BRD] iPhone 15 Ремонт платы - восстановление / замена | *требуется диагностика</t>
  </si>
  <si>
    <t>i15-BRDS</t>
  </si>
  <si>
    <t>[i15-BRDS] iPhone 15 Ремонт платы - распайка половинок</t>
  </si>
  <si>
    <t>i15-LIQ</t>
  </si>
  <si>
    <t>[i15-LIQ] iPhone 15 Профилактика после воды - восстановление | *требуется диагностика</t>
  </si>
  <si>
    <t>i15-MDM</t>
  </si>
  <si>
    <t>[i15-MDM] iPhone 15 Модем - восстановление GSM сети | *требуется диагностика</t>
  </si>
  <si>
    <t>i15-WFB</t>
  </si>
  <si>
    <t>[i15-WFB] iPhone 15 WiFi / Bluetooth - восстановление беспроводных сетей | *требуется диагностика</t>
  </si>
  <si>
    <t>i15PL-DGN</t>
  </si>
  <si>
    <t>[i15PL-DGN] iPhone 15 Plus Диагностика (с пайкой компонентов) | *бесплатно при дальнейшем ремонте</t>
  </si>
  <si>
    <t>Ремонт iPhone &gt; iPhone 15 Plus</t>
  </si>
  <si>
    <t>i15PL-WTR1</t>
  </si>
  <si>
    <t>[i15PL-WTR1] iPhone 15 Plus Пылевлагозащита (этап 1) - восстановление</t>
  </si>
  <si>
    <t>i15PL-WTR2</t>
  </si>
  <si>
    <t>[i15PL-WTR2] iPhone 15 Plus Пылевлагозащита (этап 2) - восстановление</t>
  </si>
  <si>
    <t>i15PL-CLNB</t>
  </si>
  <si>
    <t>[i15PL-CLNB] iPhone 15 Plus Чистка сеток динамиков и разъема зарядки БЕЗ РАЗБОРА</t>
  </si>
  <si>
    <t>i15PL-CLN</t>
  </si>
  <si>
    <t>[i15PL-CLN] iPhone 15 Plus Чистка сеток динамиков и разъема зарядки С РАЗБОРОМ</t>
  </si>
  <si>
    <t>i15PL-BAT</t>
  </si>
  <si>
    <t>[i15PL-BAT] iPhone 15 Plus Аккумулятор - замена</t>
  </si>
  <si>
    <t>i15PL-BATE</t>
  </si>
  <si>
    <t>[i15PL-BATE] iPhone 15 Plus Аккумулятор - устранение уведомления о замене</t>
  </si>
  <si>
    <t>i15PL-CHG</t>
  </si>
  <si>
    <t>[i15PL-CHG] iPhone 15 Plus Разъем зарядки - замена</t>
  </si>
  <si>
    <t>i15PL-DIS</t>
  </si>
  <si>
    <t>[i15PL-DIS] iPhone 15 Plus Дисплей - замена</t>
  </si>
  <si>
    <t>i15PL-DISE</t>
  </si>
  <si>
    <t>[i15PL-DISE] iPhone 15 Plus Дисплей - устранение уведомления о замене</t>
  </si>
  <si>
    <t>i15PL-DGL</t>
  </si>
  <si>
    <t>[i15PL-DGL] iPhone 15 Plus Дисплей - замена (переклей) разбитого стекла</t>
  </si>
  <si>
    <t>i15PL-CAMR</t>
  </si>
  <si>
    <t>[i15PL-CAMR] iPhone 15 Plus Камера основная - замена</t>
  </si>
  <si>
    <t>i15PL-CAMF</t>
  </si>
  <si>
    <t>[i15PL-CAMF] iPhone 15 Plus Камера фронтальная - замена</t>
  </si>
  <si>
    <t>i15PL-CGL</t>
  </si>
  <si>
    <t>[i15PL-CGL] iPhone 15 Plus Камера - замена разбитого стекла | *цена за 1шт.</t>
  </si>
  <si>
    <t>i15PL-FID</t>
  </si>
  <si>
    <t>[i15PL-FID] iPhone 15 Plus Face ID - восстановление | *требуется диагностика</t>
  </si>
  <si>
    <t>i15PL-BGL</t>
  </si>
  <si>
    <t>[i15PL-BGL] iPhone 15 Plus Крышка (заднее стекло) - замена</t>
  </si>
  <si>
    <t>i15PL-HSG</t>
  </si>
  <si>
    <t>[i15PL-HSG] iPhone 15 Plus Корпус - замена</t>
  </si>
  <si>
    <t>i15PL-MID</t>
  </si>
  <si>
    <t>[i15PL-MID] iPhone 15 Plus Корпус (средняя часть) - замена</t>
  </si>
  <si>
    <t>i15PL-BTN</t>
  </si>
  <si>
    <t>[i15PL-BTN] iPhone 15 Plus Кнопки - восстановление / замена | *требуется диагностика</t>
  </si>
  <si>
    <t>i15PL-SPK</t>
  </si>
  <si>
    <t>[i15PL-SPK] iPhone 15 Plus Динамик полифонический (нижний, громкая связь) - замена</t>
  </si>
  <si>
    <t>i15PL-EAR</t>
  </si>
  <si>
    <t>[i15PL-EAR] iPhone 15 Plus Динамик разговорный (верхний, слуховой) - замена</t>
  </si>
  <si>
    <t>i15PL-MIC</t>
  </si>
  <si>
    <t>[i15PL-MIC] iPhone 15 Plus Микрофон - замена (один из..) | *требуется диагностика</t>
  </si>
  <si>
    <t>i15PL-BRD</t>
  </si>
  <si>
    <t>[i15PL-BRD] iPhone 15 Plus Ремонт платы - восстановление / замена | *требуется диагностика</t>
  </si>
  <si>
    <t>i15PL-BRDS</t>
  </si>
  <si>
    <t>[i15PL-BRDS] iPhone 15 Plus Ремонт платы - распайка половинок</t>
  </si>
  <si>
    <t>i15PL-LIQ</t>
  </si>
  <si>
    <t>[i15PL-LIQ] iPhone 15 Plus Профилактика после воды - восстановление | *требуется диагностика</t>
  </si>
  <si>
    <t>i15PL-MDM</t>
  </si>
  <si>
    <t>[i15PL-MDM] iPhone 15 Plus Модем - восстановление GSM сети | *требуется диагностика</t>
  </si>
  <si>
    <t>i15PL-WFB</t>
  </si>
  <si>
    <t>[i15PL-WFB] iPhone 15 Plus WiFi / Bluetooth - восстановление беспроводных сетей | *требуется диагностика</t>
  </si>
  <si>
    <t>i15P-DGN</t>
  </si>
  <si>
    <t>[i15P-DGN] iPhone 15 Pro Диагностика (с пайкой компонентов) | *бесплатно при дальнейшем ремонте</t>
  </si>
  <si>
    <t>Ремонт iPhone &gt; iPhone 15 Pro</t>
  </si>
  <si>
    <t>i15P-WTR1</t>
  </si>
  <si>
    <t>[i15P-WTR1] iPhone 15 Pro Пылевлагозащита (этап 1) - восстановление</t>
  </si>
  <si>
    <t>i15P-WTR2</t>
  </si>
  <si>
    <t>[i15P-WTR2] iPhone 15 Pro Пылевлагозащита (этап 2) - восстановление</t>
  </si>
  <si>
    <t>i15P-CLNB</t>
  </si>
  <si>
    <t>[i15P-CLNB] iPhone 15 Pro Чистка сеток динамиков и разъема зарядки БЕЗ РАЗБОРА</t>
  </si>
  <si>
    <t>i15P-CLN</t>
  </si>
  <si>
    <t>[i15P-CLN] iPhone 15 Pro Чистка сеток динамиков и разъема зарядки С РАЗБОРОМ</t>
  </si>
  <si>
    <t>i15P-BAT</t>
  </si>
  <si>
    <t>[i15P-BAT] iPhone 15 Pro Аккумулятор - замена</t>
  </si>
  <si>
    <t>i15P-BATE</t>
  </si>
  <si>
    <t>[i15P-BATE] iPhone 15 Pro Аккумулятор - устранение уведомления о замене</t>
  </si>
  <si>
    <t>i15P-CHG</t>
  </si>
  <si>
    <t>[i15P-CHG] iPhone 15 Pro Разъем зарядки - замена</t>
  </si>
  <si>
    <t>i15P-DIS</t>
  </si>
  <si>
    <t>[i15P-DIS] iPhone 15 Pro Дисплей - замена</t>
  </si>
  <si>
    <t>i15P-DISE</t>
  </si>
  <si>
    <t>[i15P-DISE] iPhone 15 Pro Дисплей - устранение уведомления о замене</t>
  </si>
  <si>
    <t>i15P-DGL</t>
  </si>
  <si>
    <t>[i15P-DGL] iPhone 15 Pro Дисплей - замена (переклей) разбитого стекла</t>
  </si>
  <si>
    <t>i15P-CAMR</t>
  </si>
  <si>
    <t>[i15P-CAMR] iPhone 15 Pro Камера основная - замена</t>
  </si>
  <si>
    <t>i15P-CAMF</t>
  </si>
  <si>
    <t>[i15P-CAMF] iPhone 15 Pro Камера фронтальная - замена</t>
  </si>
  <si>
    <t>i15P-CGL</t>
  </si>
  <si>
    <t>[i15P-CGL] iPhone 15 Pro Камера - замена разбитого стекла | *цена за 1шт.</t>
  </si>
  <si>
    <t>i15P-FID</t>
  </si>
  <si>
    <t>[i15P-FID] iPhone 15 Pro Face ID - восстановление | *требуется диагностика</t>
  </si>
  <si>
    <t>i15P-BGL</t>
  </si>
  <si>
    <t>[i15P-BGL] iPhone 15 Pro Крышка (заднее стекло) - замена</t>
  </si>
  <si>
    <t>i15P-HSG</t>
  </si>
  <si>
    <t>[i15P-HSG] iPhone 15 Pro Корпус - замена</t>
  </si>
  <si>
    <t>i15P-MID</t>
  </si>
  <si>
    <t>[i15P-MID] iPhone 15 Pro Корпус (средняя часть) - замена</t>
  </si>
  <si>
    <t>i15P-BTN</t>
  </si>
  <si>
    <t>[i15P-BTN] iPhone 15 Pro Кнопки - восстановление / замена | *требуется диагностика</t>
  </si>
  <si>
    <t>i15P-SPK</t>
  </si>
  <si>
    <t>[i15P-SPK] iPhone 15 Pro Динамик полифонический (нижний, громкая связь) - замена</t>
  </si>
  <si>
    <t>i15P-EAR</t>
  </si>
  <si>
    <t>[i15P-EAR] iPhone 15 Pro Динамик разговорный (верхний, слуховой) - замена</t>
  </si>
  <si>
    <t>i15P-MIC</t>
  </si>
  <si>
    <t>[i15P-MIC] iPhone 15 Pro Микрофон - замена (один из..) | *требуется диагностика</t>
  </si>
  <si>
    <t>i15P-BRD</t>
  </si>
  <si>
    <t>[i15P-BRD] iPhone 15 Pro Ремонт платы - восстановление / замена | *требуется диагностика</t>
  </si>
  <si>
    <t>i15P-BRDS</t>
  </si>
  <si>
    <t>[i15P-BRDS] iPhone 15 Pro Ремонт платы - распайка половинок</t>
  </si>
  <si>
    <t>i15P-LIQ</t>
  </si>
  <si>
    <t>[i15P-LIQ] iPhone 15 Pro Профилактика после воды - восстановление | *требуется диагностика</t>
  </si>
  <si>
    <t>i15P-MDM</t>
  </si>
  <si>
    <t>[i15P-MDM] iPhone 15 Pro Модем - восстановление GSM сети | *требуется диагностика</t>
  </si>
  <si>
    <t>i15P-WFB</t>
  </si>
  <si>
    <t>[i15P-WFB] iPhone 15 Pro WiFi / Bluetooth - восстановление беспроводных сетей | *требуется диагностика</t>
  </si>
  <si>
    <t>i15PM-DGN</t>
  </si>
  <si>
    <t>[i15PM-DGN] iPhone 15 Pro Max Диагностика (с пайкой компонентов) | *бесплатно при дальнейшем ремонте</t>
  </si>
  <si>
    <t>Ремонт iPhone &gt; iPhone 15 Pro Max</t>
  </si>
  <si>
    <t>i15PM-WTR1</t>
  </si>
  <si>
    <t>[i15PM-WTR1] iPhone 15 Pro Max Пылевлагозащита (этап 1) - восстановление</t>
  </si>
  <si>
    <t>i15PM-WTR2</t>
  </si>
  <si>
    <t>[i15PM-WTR2] iPhone 15 Pro Max Пылевлагозащита (этап 2) - восстановление</t>
  </si>
  <si>
    <t>i15PM-CLNB</t>
  </si>
  <si>
    <t>[i15PM-CLNB] iPhone 15 Pro Max Чистка сеток динамиков и разъема зарядки БЕЗ РАЗБОРА</t>
  </si>
  <si>
    <t>i15PM-CLN</t>
  </si>
  <si>
    <t>[i15PM-CLN] iPhone 15 Pro Max Чистка сеток динамиков и разъема зарядки С РАЗБОРОМ</t>
  </si>
  <si>
    <t>i15PM-BAT</t>
  </si>
  <si>
    <t>[i15PM-BAT] iPhone 15 Pro Max Аккумулятор - замена</t>
  </si>
  <si>
    <t>i15PM-BATE</t>
  </si>
  <si>
    <t>[i15PM-BATE] iPhone 15 Pro Max Аккумулятор - устранение уведомления о замене</t>
  </si>
  <si>
    <t>i15PM-CHG</t>
  </si>
  <si>
    <t>[i15PM-CHG] iPhone 15 Pro Max Разъем зарядки - замена</t>
  </si>
  <si>
    <t>i15PM-DIS</t>
  </si>
  <si>
    <t>[i15PM-DIS] iPhone 15 Pro Max Дисплей - замена</t>
  </si>
  <si>
    <t>i15PM-DISE</t>
  </si>
  <si>
    <t>[i15PM-DISE] iPhone 15 Pro Max Дисплей - устранение уведомления о замене</t>
  </si>
  <si>
    <t>i15PM-DGL</t>
  </si>
  <si>
    <t>[i15PM-DGL] iPhone 15 Pro Max Дисплей - замена (переклей) разбитого стекла</t>
  </si>
  <si>
    <t>i15PM-CAMR</t>
  </si>
  <si>
    <t>[i15PM-CAMR] iPhone 15 Pro Max Камера основная - замена</t>
  </si>
  <si>
    <t>i15PM-CAMF</t>
  </si>
  <si>
    <t>[i15PM-CAMF] iPhone 15 Pro Max Камера фронтальная - замена</t>
  </si>
  <si>
    <t>i15PM-CGL</t>
  </si>
  <si>
    <t>[i15PM-CGL] iPhone 15 Pro Max Камера - замена разбитого стекла | *цена за 1шт.</t>
  </si>
  <si>
    <t>i15PM-FID</t>
  </si>
  <si>
    <t>[i15PM-FID] iPhone 15 Pro Max Face ID - восстановление | *требуется диагностика</t>
  </si>
  <si>
    <t>i15PM-BGL</t>
  </si>
  <si>
    <t>[i15PM-BGL] iPhone 15 Pro Max Крышка (заднее стекло) - замена</t>
  </si>
  <si>
    <t>i15PM-HSG</t>
  </si>
  <si>
    <t>[i15PM-HSG] iPhone 15 Pro Max Корпус - замена</t>
  </si>
  <si>
    <t>i15PM-MID</t>
  </si>
  <si>
    <t>[i15PM-MID] iPhone 15 Pro Max Корпус (средняя часть) - замена</t>
  </si>
  <si>
    <t>i15PM-BTN</t>
  </si>
  <si>
    <t>[i15PM-BTN] iPhone 15 Pro Max Кнопки - восстановление / замена | *требуется диагностика</t>
  </si>
  <si>
    <t>i15PM-SPK</t>
  </si>
  <si>
    <t>[i15PM-SPK] iPhone 15 Pro Max Динамик полифонический (нижний, громкая связь) - замена</t>
  </si>
  <si>
    <t>i15PM-EAR</t>
  </si>
  <si>
    <t>[i15PM-EAR] iPhone 15 Pro Max Динамик разговорный (верхний, слуховой) - замена</t>
  </si>
  <si>
    <t>i15PM-MIC</t>
  </si>
  <si>
    <t>[i15PM-MIC] iPhone 15 Pro Max Микрофон - замена (один из..) | *требуется диагностика</t>
  </si>
  <si>
    <t>i15PM-BRD</t>
  </si>
  <si>
    <t>[i15PM-BRD] iPhone 15 Pro Max Ремонт платы - восстановление / замена | *требуется диагностика</t>
  </si>
  <si>
    <t>i15PM-BRDS</t>
  </si>
  <si>
    <t>[i15PM-BRDS] iPhone 15 Pro Max Ремонт платы - распайка половинок</t>
  </si>
  <si>
    <t>i15PM-LIQ</t>
  </si>
  <si>
    <t>[i15PM-LIQ] iPhone 15 Pro Max Профилактика после воды - восстановление | *требуется диагностика</t>
  </si>
  <si>
    <t>i15PM-MDM</t>
  </si>
  <si>
    <t>[i15PM-MDM] iPhone 15 Pro Max Модем - восстановление GSM сети | *требуется диагностика</t>
  </si>
  <si>
    <t>i15PM-WFB</t>
  </si>
  <si>
    <t>[i15PM-WFB] iPhone 15 Pro Max WiFi / Bluetooth - восстановление беспроводных сетей | *требуется диагностика</t>
  </si>
  <si>
    <t>i16-DGN</t>
  </si>
  <si>
    <t>[i16-DGN] iPhone 16 Диагностика (с пайкой компонентов) | *бесплатно при дальнейшем ремонте</t>
  </si>
  <si>
    <t>Ремонт iPhone &gt; iPhone 16</t>
  </si>
  <si>
    <t>i16-WTR1</t>
  </si>
  <si>
    <t>[i16-WTR1] iPhone 16 Пылевлагозащита (этап 1) - восстановление</t>
  </si>
  <si>
    <t>i16-WTR2</t>
  </si>
  <si>
    <t>[i16-WTR2] iPhone 16 Пылевлагозащита (этап 2) - восстановление</t>
  </si>
  <si>
    <t>i16-CLNB</t>
  </si>
  <si>
    <t>[i16-CLNB] iPhone 16 Чистка сеток динамиков и разъема зарядки БЕЗ РАЗБОРА</t>
  </si>
  <si>
    <t>i16-CLN</t>
  </si>
  <si>
    <t>[i16-CLN] iPhone 16 Чистка сеток динамиков и разъема зарядки С РАЗБОРОМ</t>
  </si>
  <si>
    <t>i16-BAT</t>
  </si>
  <si>
    <t>[i16-BAT] iPhone 16 Аккумулятор - замена</t>
  </si>
  <si>
    <t>i16-BATE</t>
  </si>
  <si>
    <t>[i16-BATE] iPhone 16 Аккумулятор - устранение уведомления о замене</t>
  </si>
  <si>
    <t>i16-CHG</t>
  </si>
  <si>
    <t>[i16-CHG] iPhone 16 Разъем зарядки - замена</t>
  </si>
  <si>
    <t>i16-DIS</t>
  </si>
  <si>
    <t>[i16-DIS] iPhone 16 Дисплей - замена</t>
  </si>
  <si>
    <t>i16-DISE</t>
  </si>
  <si>
    <t>[i16-DISE] iPhone 16 Дисплей - устранение уведомления о замене</t>
  </si>
  <si>
    <t>i16-DGL</t>
  </si>
  <si>
    <t>[i16-DGL] iPhone 16 Дисплей - замена (переклей) разбитого стекла</t>
  </si>
  <si>
    <t>i16-CAMR</t>
  </si>
  <si>
    <t>[i16-CAMR] iPhone 16 Камера основная - замена</t>
  </si>
  <si>
    <t>i16-CAMF</t>
  </si>
  <si>
    <t>[i16-CAMF] iPhone 16 Камера фронтальная - замена</t>
  </si>
  <si>
    <t>i16-CGL</t>
  </si>
  <si>
    <t>[i16-CGL] iPhone 16 Камера - замена разбитого стекла | *цена за 1шт.</t>
  </si>
  <si>
    <t>i16-FID</t>
  </si>
  <si>
    <t>[i16-FID] iPhone 16 Face ID - восстановление | *требуется диагностика</t>
  </si>
  <si>
    <t>i16-BGL</t>
  </si>
  <si>
    <t>[i16-BGL] iPhone 16 Крышка (заднее стекло) - замена</t>
  </si>
  <si>
    <t>i16-HSG</t>
  </si>
  <si>
    <t>[i16-HSG] iPhone 16 Корпус - замена</t>
  </si>
  <si>
    <t>i16-MID</t>
  </si>
  <si>
    <t>[i16-MID] iPhone 16 Корпус (средняя часть) - замена</t>
  </si>
  <si>
    <t>i16-BTN</t>
  </si>
  <si>
    <t>[i16-BTN] iPhone 16 Кнопки - восстановление / замена | *требуется диагностика</t>
  </si>
  <si>
    <t>i16-SPK</t>
  </si>
  <si>
    <t>[i16-SPK] iPhone 16 Динамик полифонический (нижний, громкая связь) - замена</t>
  </si>
  <si>
    <t>i16-EAR</t>
  </si>
  <si>
    <t>[i16-EAR] iPhone 16 Динамик разговорный (верхний, слуховой) - замена</t>
  </si>
  <si>
    <t>i16-MIC</t>
  </si>
  <si>
    <t>[i16-MIC] iPhone 16 Микрофон - замена (один из..) | *требуется диагностика</t>
  </si>
  <si>
    <t>i16-BRD</t>
  </si>
  <si>
    <t>[i16-BRD] iPhone 16 Ремонт платы - восстановление / замена | *требуется диагностика</t>
  </si>
  <si>
    <t>i16-BRDS</t>
  </si>
  <si>
    <t>[i16-BRDS] iPhone 16 Ремонт платы - распайка половинок</t>
  </si>
  <si>
    <t>i16-LIQ</t>
  </si>
  <si>
    <t>[i16-LIQ] iPhone 16 Профилактика после воды - восстановление | *требуется диагностика</t>
  </si>
  <si>
    <t>i16-MDM</t>
  </si>
  <si>
    <t>[i16-MDM] iPhone 16 Модем - восстановление GSM сети | *требуется диагностика</t>
  </si>
  <si>
    <t>i16-WFB</t>
  </si>
  <si>
    <t>[i16-WFB] iPhone 16 WiFi / Bluetooth - восстановление беспроводных сетей | *требуется диагностика</t>
  </si>
  <si>
    <t>i16E-DGN</t>
  </si>
  <si>
    <t>[i16E-DGN] iPhone 16E Диагностика (с пайкой компонентов) | *бесплатно при дальнейшем ремонте</t>
  </si>
  <si>
    <t>Ремонт iPhone &gt; iPhone 16e</t>
  </si>
  <si>
    <t>i16E-WTR1</t>
  </si>
  <si>
    <t>[i16E-WTR1] iPhone 16E Пылевлагозащита (этап 1) - восстановление</t>
  </si>
  <si>
    <t>i16E-WTR2</t>
  </si>
  <si>
    <t>[i16E-WTR2] iPhone 16E Пылевлагозащита (этап 2) - восстановление</t>
  </si>
  <si>
    <t>i16E-CLNB</t>
  </si>
  <si>
    <t>[i16E-CLNB] iPhone 16E Чистка сеток динамиков и разъема зарядки БЕЗ РАЗБОРА</t>
  </si>
  <si>
    <t>i16E-CLN</t>
  </si>
  <si>
    <t>[i16E-CLN] iPhone 16E Чистка сеток динамиков и разъема зарядки С РАЗБОРОМ</t>
  </si>
  <si>
    <t>i16E-BAT</t>
  </si>
  <si>
    <t>[i16E-BAT] iPhone 16E Аккумулятор - замена</t>
  </si>
  <si>
    <t>i16E-BATE</t>
  </si>
  <si>
    <t>[i16E-BATE] iPhone 16E Аккумулятор - устранение уведомления о замене</t>
  </si>
  <si>
    <t>i16E-CHG</t>
  </si>
  <si>
    <t>[i16E-CHG] iPhone 16E Разъем зарядки - замена</t>
  </si>
  <si>
    <t>i16E-DIS</t>
  </si>
  <si>
    <t>[i16E-DIS] iPhone 16E Дисплей - замена</t>
  </si>
  <si>
    <t>i16E-DISE</t>
  </si>
  <si>
    <t>[i16E-DISE] iPhone 16E Дисплей - устранение уведомления о замене</t>
  </si>
  <si>
    <t>i16E-DGL</t>
  </si>
  <si>
    <t>[i16E-DGL] iPhone 16E Дисплей - замена (переклей) разбитого стекла</t>
  </si>
  <si>
    <t>i16E-CAMR</t>
  </si>
  <si>
    <t>[i16E-CAMR] iPhone 16E Камера основная - замена</t>
  </si>
  <si>
    <t>i16E-CAMF</t>
  </si>
  <si>
    <t>[i16E-CAMF] iPhone 16E Камера фронтальная - замена</t>
  </si>
  <si>
    <t>i16E-CGL</t>
  </si>
  <si>
    <t>[i16E-CGL] iPhone 16E Камера - замена разбитого стекла | *цена за 1шт.</t>
  </si>
  <si>
    <t>i16E-FID</t>
  </si>
  <si>
    <t>[i16E-FID] iPhone 16E Face ID - восстановление | *требуется диагностика</t>
  </si>
  <si>
    <t>i16E-BGL</t>
  </si>
  <si>
    <t>[i16E-BGL] iPhone 16E Крышка (заднее стекло) - замена</t>
  </si>
  <si>
    <t>i16E-HSG</t>
  </si>
  <si>
    <t>[i16E-HSG] iPhone 16E Корпус - замена</t>
  </si>
  <si>
    <t>i16E-MID</t>
  </si>
  <si>
    <t>[i16E-MID] iPhone 16E Корпус (средняя часть) - замена</t>
  </si>
  <si>
    <t>i16E-BTN</t>
  </si>
  <si>
    <t>[i16E-BTN] iPhone 16E Кнопки - восстановление / замена | *требуется диагностика</t>
  </si>
  <si>
    <t>i16E-SPK</t>
  </si>
  <si>
    <t>[i16E-SPK] iPhone 16E Динамик полифонический (нижний, громкая связь) - замена</t>
  </si>
  <si>
    <t>i16E-EAR</t>
  </si>
  <si>
    <t>[i16E-EAR] iPhone 16E Динамик разговорный (верхний, слуховой) - замена</t>
  </si>
  <si>
    <t>i16E-MIC</t>
  </si>
  <si>
    <t>[i16E-MIC] iPhone 16E Микрофон - замена (один из..) | *требуется диагностика</t>
  </si>
  <si>
    <t>i16E-BRD</t>
  </si>
  <si>
    <t>[i16E-BRD] iPhone 16E Ремонт платы - восстановление / замена | *требуется диагностика</t>
  </si>
  <si>
    <t>i16E-BRDS</t>
  </si>
  <si>
    <t>[i16E-BRDS] iPhone 16E Ремонт платы - распайка половинок</t>
  </si>
  <si>
    <t>i16E-LIQ</t>
  </si>
  <si>
    <t>[i16E-LIQ] iPhone 16E Профилактика после воды - восстановление | *требуется диагностика</t>
  </si>
  <si>
    <t>i16E-MDM</t>
  </si>
  <si>
    <t>[i16E-MDM] iPhone 16E Модем - восстановление GSM сети | *требуется диагностика</t>
  </si>
  <si>
    <t>i16E-WFB</t>
  </si>
  <si>
    <t>[i16E-WFB] iPhone 16E WiFi / Bluetooth - восстановление беспроводных сетей | *требуется диагностика</t>
  </si>
  <si>
    <t>i16PL-DGN</t>
  </si>
  <si>
    <t>[i16PL-DGN] iPhone 16 Plus Диагностика (с пайкой компонентов) | *бесплатно при дальнейшем ремонте</t>
  </si>
  <si>
    <t>Ремонт iPhone &gt; iPhone 16 Plus</t>
  </si>
  <si>
    <t>i16PL-WTR1</t>
  </si>
  <si>
    <t>[i16PL-WTR1] iPhone 16 Plus Пылевлагозащита (этап 1) - восстановление</t>
  </si>
  <si>
    <t>i16PL-WTR2</t>
  </si>
  <si>
    <t>[i16PL-WTR2] iPhone 16 Plus Пылевлагозащита (этап 2) - восстановление</t>
  </si>
  <si>
    <t>i16PL-CLNB</t>
  </si>
  <si>
    <t>[i16PL-CLNB] iPhone 16 Plus Чистка сеток динамиков и разъема зарядки БЕЗ РАЗБОРА</t>
  </si>
  <si>
    <t>i16PL-CLN</t>
  </si>
  <si>
    <t>[i16PL-CLN] iPhone 16 Plus Чистка сеток динамиков и разъема зарядки С РАЗБОРОМ</t>
  </si>
  <si>
    <t>i16PL-BAT</t>
  </si>
  <si>
    <t>[i16PL-BAT] iPhone 16 Plus Аккумулятор - замена</t>
  </si>
  <si>
    <t>i16PL-BATE</t>
  </si>
  <si>
    <t>[i16PL-BATE] iPhone 16 Plus Аккумулятор - устранение уведомления о замене</t>
  </si>
  <si>
    <t>i16PL-CHG</t>
  </si>
  <si>
    <t>[i16PL-CHG] iPhone 16 Plus Разъем зарядки - замена</t>
  </si>
  <si>
    <t>i16PL-DIS</t>
  </si>
  <si>
    <t>[i16PL-DIS] iPhone 16 Plus Дисплей - замена</t>
  </si>
  <si>
    <t>i16PL-DISE</t>
  </si>
  <si>
    <t>[i16PL-DISE] iPhone 16 Plus Дисплей - устранение уведомления о замене</t>
  </si>
  <si>
    <t>i16PL-DGL</t>
  </si>
  <si>
    <t>[i16PL-DGL] iPhone 16 Plus Дисплей - замена (переклей) разбитого стекла</t>
  </si>
  <si>
    <t>i16PL-CAMR</t>
  </si>
  <si>
    <t>[i16PL-CAMR] iPhone 16 Plus Камера основная - замена</t>
  </si>
  <si>
    <t>i16PL-CAMF</t>
  </si>
  <si>
    <t>[i16PL-CAMF] iPhone 16 Plus Камера фронтальная - замена</t>
  </si>
  <si>
    <t>i16PL-CGL</t>
  </si>
  <si>
    <t>[i16PL-CGL] iPhone 16 Plus Камера - замена разбитого стекла | *цена за 1шт.</t>
  </si>
  <si>
    <t>i16PL-FID</t>
  </si>
  <si>
    <t>[i16PL-FID] iPhone 16 Plus Face ID - восстановление | *требуется диагностика</t>
  </si>
  <si>
    <t>i16PL-BGL</t>
  </si>
  <si>
    <t>[i16PL-BGL] iPhone 16 Plus Крышка (заднее стекло) - замена</t>
  </si>
  <si>
    <t>i16PL-HSG</t>
  </si>
  <si>
    <t>[i16PL-HSG] iPhone 16 Plus Корпус - замена</t>
  </si>
  <si>
    <t>i16PL-MID</t>
  </si>
  <si>
    <t>[i16PL-MID] iPhone 16 Plus Корпус (средняя часть) - замена</t>
  </si>
  <si>
    <t>i16PL-BTN</t>
  </si>
  <si>
    <t>[i16PL-BTN] iPhone 16 Plus Кнопки - восстановление / замена | *требуется диагностика</t>
  </si>
  <si>
    <t>i16PL-SPK</t>
  </si>
  <si>
    <t>[i16PL-SPK] iPhone 16 Plus Динамик полифонический (нижний, громкая связь) - замена</t>
  </si>
  <si>
    <t>i16PL-EAR</t>
  </si>
  <si>
    <t>[i16PL-EAR] iPhone 16 Plus Динамик разговорный (верхний, слуховой) - замена</t>
  </si>
  <si>
    <t>i16PL-MIC</t>
  </si>
  <si>
    <t>[i16PL-MIC] iPhone 16 Plus Микрофон - замена (один из..) | *требуется диагностика</t>
  </si>
  <si>
    <t>i16PL-BRD</t>
  </si>
  <si>
    <t>[i16PL-BRD] iPhone 16 Plus Ремонт платы - восстановление / замена | *требуется диагностика</t>
  </si>
  <si>
    <t>i16PL-BRDS</t>
  </si>
  <si>
    <t>[i16PL-BRDS] iPhone 16 Plus Ремонт платы - распайка половинок</t>
  </si>
  <si>
    <t>i16PL-LIQ</t>
  </si>
  <si>
    <t>[i16PL-LIQ] iPhone 16 Plus Профилактика после воды - восстановление | *требуется диагностика</t>
  </si>
  <si>
    <t>i16PL-MDM</t>
  </si>
  <si>
    <t>[i16PL-MDM] iPhone 16 Plus Модем - восстановление GSM сети | *требуется диагностика</t>
  </si>
  <si>
    <t>i16PL-WFB</t>
  </si>
  <si>
    <t>[i16PL-WFB] iPhone 16 Plus WiFi / Bluetooth - восстановление беспроводных сетей | *требуется диагностика</t>
  </si>
  <si>
    <t>i16P-DGN</t>
  </si>
  <si>
    <t>[i16P-DGN] iPhone 16 Pro Диагностика (с пайкой компонентов) | *бесплатно при дальнейшем ремонте</t>
  </si>
  <si>
    <t>Ремонт iPhone &gt; iPhone 16 Pro</t>
  </si>
  <si>
    <t>i16P-WTR1</t>
  </si>
  <si>
    <t>[i16P-WTR1] iPhone 16 Pro Пылевлагозащита (этап 1) - восстановление</t>
  </si>
  <si>
    <t>i16P-WTR2</t>
  </si>
  <si>
    <t>[i16P-WTR2] iPhone 16 Pro Пылевлагозащита (этап 2) - восстановление</t>
  </si>
  <si>
    <t>i16P-CLNB</t>
  </si>
  <si>
    <t>[i16P-CLNB] iPhone 16 Pro Чистка сеток динамиков и разъема зарядки БЕЗ РАЗБОРА</t>
  </si>
  <si>
    <t>i16P-CLN</t>
  </si>
  <si>
    <t>[i16P-CLN] iPhone 16 Pro Чистка сеток динамиков и разъема зарядки С РАЗБОРОМ</t>
  </si>
  <si>
    <t>i16P-BAT</t>
  </si>
  <si>
    <t>[i16P-BAT] iPhone 16 Pro Аккумулятор - замена</t>
  </si>
  <si>
    <t>i16P-BATE</t>
  </si>
  <si>
    <t>[i16P-BATE] iPhone 16 Pro Аккумулятор - устранение уведомления о замене</t>
  </si>
  <si>
    <t>i16P-CHG</t>
  </si>
  <si>
    <t>[i16P-CHG] iPhone 16 Pro Разъем зарядки - замена</t>
  </si>
  <si>
    <t>i16P-DIS</t>
  </si>
  <si>
    <t>[i16P-DIS] iPhone 16 Pro Дисплей - замена</t>
  </si>
  <si>
    <t>i16P-DISE</t>
  </si>
  <si>
    <t>[i16P-DISE] iPhone 16 Pro Дисплей - устранение уведомления о замене</t>
  </si>
  <si>
    <t>i16P-DGL</t>
  </si>
  <si>
    <t>[i16P-DGL] iPhone 16 Pro Дисплей - замена (переклей) разбитого стекла</t>
  </si>
  <si>
    <t>i16P-CAMR</t>
  </si>
  <si>
    <t>[i16P-CAMR] iPhone 16 Pro Камера основная - замена</t>
  </si>
  <si>
    <t>i16P-CAMF</t>
  </si>
  <si>
    <t>[i16P-CAMF] iPhone 16 Pro Камера фронтальная - замена</t>
  </si>
  <si>
    <t>i16P-CGL</t>
  </si>
  <si>
    <t>[i16P-CGL] iPhone 16 Pro Камера - замена разбитого стекла | *цена за 1шт.</t>
  </si>
  <si>
    <t>i16P-FID</t>
  </si>
  <si>
    <t>[i16P-FID] iPhone 16 Pro Face ID - восстановление | *требуется диагностика</t>
  </si>
  <si>
    <t>i16P-BGL</t>
  </si>
  <si>
    <t>[i16P-BGL] iPhone 16 Pro Крышка (заднее стекло) - замена</t>
  </si>
  <si>
    <t>i16P-HSG</t>
  </si>
  <si>
    <t>[i16P-HSG] iPhone 16 Pro Корпус - замена</t>
  </si>
  <si>
    <t>i16P-MID</t>
  </si>
  <si>
    <t>[i16P-MID] iPhone 16 Pro Корпус (средняя часть) - замена</t>
  </si>
  <si>
    <t>i16P-BTN</t>
  </si>
  <si>
    <t>[i16P-BTN] iPhone 16 Pro Кнопки - восстановление / замена | *требуется диагностика</t>
  </si>
  <si>
    <t>i16P-SPK</t>
  </si>
  <si>
    <t>[i16P-SPK] iPhone 16 Pro Динамик полифонический (нижний, громкая связь) - замена</t>
  </si>
  <si>
    <t>i16P-EAR</t>
  </si>
  <si>
    <t>[i16P-EAR] iPhone 16 Pro Динамик разговорный (верхний, слуховой) - замена</t>
  </si>
  <si>
    <t>i16P-MIC</t>
  </si>
  <si>
    <t>[i16P-MIC] iPhone 16 Pro Микрофон - замена (один из..) | *требуется диагностика</t>
  </si>
  <si>
    <t>i16P-BRD</t>
  </si>
  <si>
    <t>[i16P-BRD] iPhone 16 Pro Ремонт платы - восстановление / замена | *требуется диагностика</t>
  </si>
  <si>
    <t>i16P-BRDS</t>
  </si>
  <si>
    <t>[i16P-BRDS] iPhone 16 Pro Ремонт платы - распайка половинок</t>
  </si>
  <si>
    <t>i16P-LIQ</t>
  </si>
  <si>
    <t>[i16P-LIQ] iPhone 16 Pro Профилактика после воды - восстановление | *требуется диагностика</t>
  </si>
  <si>
    <t>i16P-MDM</t>
  </si>
  <si>
    <t>[i16P-MDM] iPhone 16 Pro Модем - восстановление GSM сети | *требуется диагностика</t>
  </si>
  <si>
    <t>i16P-WFB</t>
  </si>
  <si>
    <t>[i16P-WFB] iPhone 16 Pro WiFi / Bluetooth - восстановление беспроводных сетей | *требуется диагностика</t>
  </si>
  <si>
    <t>i16PM-DGN</t>
  </si>
  <si>
    <t>[i16PM-DGN] iPhone 16 Pro Max Диагностика (с пайкой компонентов) | *бесплатно при дальнейшем ремонте</t>
  </si>
  <si>
    <t>Ремонт iPhone &gt; iPhone 16 Pro Max</t>
  </si>
  <si>
    <t>i16PM-WTR1</t>
  </si>
  <si>
    <t>[i16PM-WTR1] iPhone 16 Pro Max Пылевлагозащита (этап 1) - восстановление</t>
  </si>
  <si>
    <t>i16PM-WTR2</t>
  </si>
  <si>
    <t>[i16PM-WTR2] iPhone 16 Pro Max Пылевлагозащита (этап 2) - восстановление</t>
  </si>
  <si>
    <t>i16PM-CLNB</t>
  </si>
  <si>
    <t>[i16PM-CLNB] iPhone 16 Pro Max Чистка сеток динамиков и разъема зарядки БЕЗ РАЗБОРА</t>
  </si>
  <si>
    <t>i16PM-CLN</t>
  </si>
  <si>
    <t>[i16PM-CLN] iPhone 16 Pro Max Чистка сеток динамиков и разъема зарядки С РАЗБОРОМ</t>
  </si>
  <si>
    <t>i16PM-BAT</t>
  </si>
  <si>
    <t>[i16PM-BAT] iPhone 16 Pro Max Аккумулятор - замена</t>
  </si>
  <si>
    <t>i16PM-BATE</t>
  </si>
  <si>
    <t>[i16PM-BATE] iPhone 16 Pro Max Аккумулятор - устранение уведомления о замене</t>
  </si>
  <si>
    <t>i16PM-CHG</t>
  </si>
  <si>
    <t>[i16PM-CHG] iPhone 16 Pro Max Разъем зарядки - замена</t>
  </si>
  <si>
    <t>i16PM-DIS</t>
  </si>
  <si>
    <t>[i16PM-DIS] iPhone 16 Pro Max Дисплей - замена</t>
  </si>
  <si>
    <t>i16PM-DISE</t>
  </si>
  <si>
    <t>[i16PM-DISE] iPhone 16 Pro Max Дисплей - устранение уведомления о замене</t>
  </si>
  <si>
    <t>i16PM-DGL</t>
  </si>
  <si>
    <t>[i16PM-DGL] iPhone 16 Pro Max Дисплей - замена (переклей) разбитого стекла</t>
  </si>
  <si>
    <t>i16PM-CAMR</t>
  </si>
  <si>
    <t>[i16PM-CAMR] iPhone 16 Pro Max Камера основная - замена</t>
  </si>
  <si>
    <t>i16PM-CAMF</t>
  </si>
  <si>
    <t>[i16PM-CAMF] iPhone 16 Pro Max Камера фронтальная - замена</t>
  </si>
  <si>
    <t>i16PM-CGL</t>
  </si>
  <si>
    <t>[i16PM-CGL] iPhone 16 Pro Max Камера - замена разбитого стекла | *цена за 1шт.</t>
  </si>
  <si>
    <t>i16PM-FID</t>
  </si>
  <si>
    <t>[i16PM-FID] iPhone 16 Pro Max Face ID - восстановление | *требуется диагностика</t>
  </si>
  <si>
    <t>i16PM-BGL</t>
  </si>
  <si>
    <t>[i16PM-BGL] iPhone 16 Pro Max Крышка (заднее стекло) - замена</t>
  </si>
  <si>
    <t>i16PM-HSG</t>
  </si>
  <si>
    <t>[i16PM-HSG] iPhone 16 Pro Max Корпус - замена</t>
  </si>
  <si>
    <t>i16PM-MID</t>
  </si>
  <si>
    <t>[i16PM-MID] iPhone 16 Pro Max Корпус (средняя часть) - замена</t>
  </si>
  <si>
    <t>i16PM-BTN</t>
  </si>
  <si>
    <t>[i16PM-BTN] iPhone 16 Pro Max Кнопки - восстановление / замена | *требуется диагностика</t>
  </si>
  <si>
    <t>i16PM-SPK</t>
  </si>
  <si>
    <t>[i16PM-SPK] iPhone 16 Pro Max Динамик полифонический (нижний, громкая связь) - замена</t>
  </si>
  <si>
    <t>i16PM-EAR</t>
  </si>
  <si>
    <t>[i16PM-EAR] iPhone 16 Pro Max Динамик разговорный (верхний, слуховой) - замена</t>
  </si>
  <si>
    <t>i16PM-MIC</t>
  </si>
  <si>
    <t>[i16PM-MIC] iPhone 16 Pro Max Микрофон - замена (один из..) | *требуется диагностика</t>
  </si>
  <si>
    <t>i16PM-BRD</t>
  </si>
  <si>
    <t>[i16PM-BRD] iPhone 16 Pro Max Ремонт платы - восстановление / замена | *требуется диагностика</t>
  </si>
  <si>
    <t>i16PM-BRDS</t>
  </si>
  <si>
    <t>[i16PM-BRDS] iPhone 16 Pro Max Ремонт платы - распайка половинок</t>
  </si>
  <si>
    <t>i16PM-LIQ</t>
  </si>
  <si>
    <t>[i16PM-LIQ] iPhone 16 Pro Max Профилактика после воды - восстановление | *требуется диагностика</t>
  </si>
  <si>
    <t>i16PM-MDM</t>
  </si>
  <si>
    <t>[i16PM-MDM] iPhone 16 Pro Max Модем - восстановление GSM сети | *требуется диагностика</t>
  </si>
  <si>
    <t>i16PM-WFB</t>
  </si>
  <si>
    <t>[i16PM-WFB] iPhone 16 Pro Max WiFi / Bluetooth - восстановление беспроводных сетей | *требуется диагностика</t>
  </si>
  <si>
    <t>i17-DGN</t>
  </si>
  <si>
    <t>[i17-DGN] iPhone 17 Диагностика (с пайкой компонентов) | *бесплатно при дальнейшем ремонте</t>
  </si>
  <si>
    <t>Ремонт iPhone &gt; iPhone 17</t>
  </si>
  <si>
    <t>i17-WTR1</t>
  </si>
  <si>
    <t>[i17-WTR1] iPhone 17 Пылевлагозащита (этап 1) - восстановление</t>
  </si>
  <si>
    <t>i17-WTR2</t>
  </si>
  <si>
    <t>[i17-WTR2] iPhone 17 Пылевлагозащита (этап 2) - восстановление</t>
  </si>
  <si>
    <t>i17-CLNB</t>
  </si>
  <si>
    <t>[i17-CLNB] iPhone 17 Чистка сеток динамиков и разъема зарядки БЕЗ РАЗБОРА</t>
  </si>
  <si>
    <t>i17-CLN</t>
  </si>
  <si>
    <t>[i17-CLN] iPhone 17 Чистка сеток динамиков и разъема зарядки С РАЗБОРОМ</t>
  </si>
  <si>
    <t>i17-BAT</t>
  </si>
  <si>
    <t>[i17-BAT] iPhone 17 Аккумулятор - замена</t>
  </si>
  <si>
    <t>i17-BATE</t>
  </si>
  <si>
    <t>[i17-BATE] iPhone 17 Аккумулятор - устранение уведомления о замене</t>
  </si>
  <si>
    <t>i17-CHG</t>
  </si>
  <si>
    <t>[i17-CHG] iPhone 17 Разъем зарядки - замена</t>
  </si>
  <si>
    <t>i17-DIS</t>
  </si>
  <si>
    <t>[i17-DIS] iPhone 17 Дисплей - замена</t>
  </si>
  <si>
    <t>i17-DISE</t>
  </si>
  <si>
    <t>[i17-DISE] iPhone 17 Дисплей - устранение уведомления о замене</t>
  </si>
  <si>
    <t>i17-DGL</t>
  </si>
  <si>
    <t>[i17-DGL] iPhone 17 Дисплей - замена (переклей) разбитого стекла</t>
  </si>
  <si>
    <t>i17-CAMR</t>
  </si>
  <si>
    <t>[i17-CAMR] iPhone 17 Камера основная - замена</t>
  </si>
  <si>
    <t>i17-CAMF</t>
  </si>
  <si>
    <t>[i17-CAMF] iPhone 17 Камера фронтальная - замена</t>
  </si>
  <si>
    <t>i17-CGL</t>
  </si>
  <si>
    <t>[i17-CGL] iPhone 17 Камера - замена разбитого стекла | *цена за 1шт.</t>
  </si>
  <si>
    <t>i17-FID</t>
  </si>
  <si>
    <t>[i17-FID] iPhone 17 Face ID - восстановление | *требуется диагностика</t>
  </si>
  <si>
    <t>i17-BGL</t>
  </si>
  <si>
    <t>[i17-BGL] iPhone 17 Крышка (заднее стекло) - замена</t>
  </si>
  <si>
    <t>i17-HSG</t>
  </si>
  <si>
    <t>[i17-HSG] iPhone 17 Корпус - замена</t>
  </si>
  <si>
    <t>i17-MID</t>
  </si>
  <si>
    <t>[i17-MID] iPhone 17 Корпус (средняя часть) - замена</t>
  </si>
  <si>
    <t>i17-BTN</t>
  </si>
  <si>
    <t>[i17-BTN] iPhone 17 Кнопки - восстановление / замена | *требуется диагностика</t>
  </si>
  <si>
    <t>i17-SPK</t>
  </si>
  <si>
    <t>[i17-SPK] iPhone 17 Динамик полифонический (нижний, громкая связь) - замена</t>
  </si>
  <si>
    <t>i17-EAR</t>
  </si>
  <si>
    <t>[i17-EAR] iPhone 17 Динамик разговорный (верхний, слуховой) - замена</t>
  </si>
  <si>
    <t>i17-MIC</t>
  </si>
  <si>
    <t>[i17-MIC] iPhone 17 Микрофон - замена (один из..) | *требуется диагностика</t>
  </si>
  <si>
    <t>i17-BRD</t>
  </si>
  <si>
    <t>[i17-BRD] iPhone 17 Ремонт платы - восстановление / замена | *требуется диагностика</t>
  </si>
  <si>
    <t>i17-BRDS</t>
  </si>
  <si>
    <t>[i17-BRDS] iPhone 17 Ремонт платы - распайка половинок</t>
  </si>
  <si>
    <t>i17-LIQ</t>
  </si>
  <si>
    <t>[i17-LIQ] iPhone 17 Профилактика после воды - восстановление | *требуется диагностика</t>
  </si>
  <si>
    <t>i17-MDM</t>
  </si>
  <si>
    <t>[i17-MDM] iPhone 17 Модем - восстановление GSM сети | *требуется диагностика</t>
  </si>
  <si>
    <t>i17-WFB</t>
  </si>
  <si>
    <t>[i17-WFB] iPhone 17 WiFi / Bluetooth - восстановление беспроводных сетей | *требуется диагностика</t>
  </si>
  <si>
    <t>i17AR-DGN</t>
  </si>
  <si>
    <t>[i17AR-DGN] iPhone 17 AIr Диагностика (с пайкой компонентов) | *бесплатно при дальнейшем ремонте</t>
  </si>
  <si>
    <t>Ремонт iPhone &gt; iPhone 17 Air</t>
  </si>
  <si>
    <t>i17AR-WTR1</t>
  </si>
  <si>
    <t>[i17AR-WTR1] iPhone 17 AIr Пылевлагозащита (этап 1) - восстановление</t>
  </si>
  <si>
    <t>i17AR-WTR2</t>
  </si>
  <si>
    <t>[i17AR-WTR2] iPhone 17 AIr Пылевлагозащита (этап 2) - восстановление</t>
  </si>
  <si>
    <t>i17AR-CLNB</t>
  </si>
  <si>
    <t>[i17AR-CLNB] iPhone 17 AIr Чистка сеток динамиков и разъема зарядки БЕЗ РАЗБОРА</t>
  </si>
  <si>
    <t>i17AR-CLN</t>
  </si>
  <si>
    <t>[i17AR-CLN] iPhone 17 AIr Чистка сеток динамиков и разъема зарядки С РАЗБОРОМ</t>
  </si>
  <si>
    <t>i17AR-BAT</t>
  </si>
  <si>
    <t>[i17AR-BAT] iPhone 17 AIr Аккумулятор - замена</t>
  </si>
  <si>
    <t>i17AR-BATE</t>
  </si>
  <si>
    <t>[i17AR-BATE] iPhone 17 AIr Аккумулятор - устранение уведомления о замене</t>
  </si>
  <si>
    <t>i17AR-CHG</t>
  </si>
  <si>
    <t>[i17AR-CHG] iPhone 17 AIr Разъем зарядки - замена</t>
  </si>
  <si>
    <t>i17AR-DIS</t>
  </si>
  <si>
    <t>[i17AR-DIS] iPhone 17 AIr Дисплей - замена</t>
  </si>
  <si>
    <t>i17AR-DISE</t>
  </si>
  <si>
    <t>[i17AR-DISE] iPhone 17 AIr Дисплей - устранение уведомления о замене</t>
  </si>
  <si>
    <t>i17AR-DGL</t>
  </si>
  <si>
    <t>[i17AR-DGL] iPhone 17 AIr Дисплей - замена (переклей) разбитого стекла</t>
  </si>
  <si>
    <t>i17AR-CAMR</t>
  </si>
  <si>
    <t>[i17AR-CAMR] iPhone 17 AIr Камера основная - замена</t>
  </si>
  <si>
    <t>i17AR-CAMF</t>
  </si>
  <si>
    <t>[i17AR-CAMF] iPhone 17 AIr Камера фронтальная - замена</t>
  </si>
  <si>
    <t>i17AR-CGL</t>
  </si>
  <si>
    <t>[i17AR-CGL] iPhone 17 AIr Камера - замена разбитого стекла | *цена за 1шт.</t>
  </si>
  <si>
    <t>i17AR-FID</t>
  </si>
  <si>
    <t>[i17AR-FID] iPhone 17 AIr Face ID - восстановление | *требуется диагностика</t>
  </si>
  <si>
    <t>i17AR-BGL</t>
  </si>
  <si>
    <t>[i17AR-BGL] iPhone 17 AIr Крышка (заднее стекло) - замена</t>
  </si>
  <si>
    <t>i17AR-HSG</t>
  </si>
  <si>
    <t>[i17AR-HSG] iPhone 17 AIr Корпус - замена</t>
  </si>
  <si>
    <t>i17AR-MID</t>
  </si>
  <si>
    <t>[i17AR-MID] iPhone 17 AIr Корпус (средняя часть) - замена</t>
  </si>
  <si>
    <t>i17AR-BTN</t>
  </si>
  <si>
    <t>[i17AR-BTN] iPhone 17 AIr Кнопки - восстановление / замена | *требуется диагностика</t>
  </si>
  <si>
    <t>i17AR-SPK</t>
  </si>
  <si>
    <t>[i17AR-SPK] iPhone 17 AIr Динамик полифонический (нижний, громкая связь) - замена</t>
  </si>
  <si>
    <t>i17AR-EAR</t>
  </si>
  <si>
    <t>[i17AR-EAR] iPhone 17 AIr Динамик разговорный (верхний, слуховой) - замена</t>
  </si>
  <si>
    <t>i17AR-MIC</t>
  </si>
  <si>
    <t>[i17AR-MIC] iPhone 17 AIr Микрофон - замена (один из..) | *требуется диагностика</t>
  </si>
  <si>
    <t>i17AR-BRD</t>
  </si>
  <si>
    <t>[i17AR-BRD] iPhone 17 AIr Ремонт платы - восстановление / замена | *требуется диагностика</t>
  </si>
  <si>
    <t>i17AR-BRDS</t>
  </si>
  <si>
    <t>[i17AR-BRDS] iPhone 17 AIr Ремонт платы - распайка половинок</t>
  </si>
  <si>
    <t>i17AR-LIQ</t>
  </si>
  <si>
    <t>[i17AR-LIQ] iPhone 17 AIr Профилактика после воды - восстановление | *требуется диагностика</t>
  </si>
  <si>
    <t>i17AR-MDM</t>
  </si>
  <si>
    <t>[i17AR-MDM] iPhone 17 AIr Модем - восстановление GSM сети | *требуется диагностика</t>
  </si>
  <si>
    <t>i17AR-WFB</t>
  </si>
  <si>
    <t>[i17AR-WFB] iPhone 17 AIr WiFi / Bluetooth - восстановление беспроводных сетей | *требуется диагностика</t>
  </si>
  <si>
    <t>i17P-DGN</t>
  </si>
  <si>
    <t>[i17P-DGN] iPhone 17 Pro Диагностика (с пайкой компонентов) | *бесплатно при дальнейшем ремонте</t>
  </si>
  <si>
    <t>Ремонт iPhone &gt; iPhone 17 Pro</t>
  </si>
  <si>
    <t>i17P-WTR1</t>
  </si>
  <si>
    <t>[i17P-WTR1] iPhone 17 Pro Пылевлагозащита (этап 1) - восстановление</t>
  </si>
  <si>
    <t>i17P-WTR2</t>
  </si>
  <si>
    <t>[i17P-WTR2] iPhone 17 Pro Пылевлагозащита (этап 2) - восстановление</t>
  </si>
  <si>
    <t>i17P-CLNB</t>
  </si>
  <si>
    <t>[i17P-CLNB] iPhone 17 Pro Чистка сеток динамиков и разъема зарядки БЕЗ РАЗБОРА</t>
  </si>
  <si>
    <t>i17P-CLN</t>
  </si>
  <si>
    <t>[i17P-CLN] iPhone 17 Pro Чистка сеток динамиков и разъема зарядки С РАЗБОРОМ</t>
  </si>
  <si>
    <t>i17P-BAT</t>
  </si>
  <si>
    <t>[i17P-BAT] iPhone 17 Pro Аккумулятор - замена</t>
  </si>
  <si>
    <t>i17P-BATE</t>
  </si>
  <si>
    <t>[i17P-BATE] iPhone 17 Pro Аккумулятор - устранение уведомления о замене</t>
  </si>
  <si>
    <t>i17P-CHG</t>
  </si>
  <si>
    <t>[i17P-CHG] iPhone 17 Pro Разъем зарядки - замена</t>
  </si>
  <si>
    <t>i17P-DIS</t>
  </si>
  <si>
    <t>[i17P-DIS] iPhone 17 Pro Дисплей - замена</t>
  </si>
  <si>
    <t>i17P-DISE</t>
  </si>
  <si>
    <t>[i17P-DISE] iPhone 17 Pro Дисплей - устранение уведомления о замене</t>
  </si>
  <si>
    <t>i17P-DGL</t>
  </si>
  <si>
    <t>[i17P-DGL] iPhone 17 Pro Дисплей - замена (переклей) разбитого стекла</t>
  </si>
  <si>
    <t>i17P-CAMR</t>
  </si>
  <si>
    <t>[i17P-CAMR] iPhone 17 Pro Камера основная - замена</t>
  </si>
  <si>
    <t>i17P-CAMF</t>
  </si>
  <si>
    <t>[i17P-CAMF] iPhone 17 Pro Камера фронтальная - замена</t>
  </si>
  <si>
    <t>i17P-CGL</t>
  </si>
  <si>
    <t>[i17P-CGL] iPhone 17 Pro Камера - замена разбитого стекла | *цена за 1шт.</t>
  </si>
  <si>
    <t>i17P-FID</t>
  </si>
  <si>
    <t>[i17P-FID] iPhone 17 Pro Face ID - восстановление | *требуется диагностика</t>
  </si>
  <si>
    <t>i17P-BGL</t>
  </si>
  <si>
    <t>[i17P-BGL] iPhone 17 Pro Крышка (заднее стекло) - замена</t>
  </si>
  <si>
    <t>i17P-HSG</t>
  </si>
  <si>
    <t>[i17P-HSG] iPhone 17 Pro Корпус - замена</t>
  </si>
  <si>
    <t>i17P-MID</t>
  </si>
  <si>
    <t>[i17P-MID] iPhone 17 Pro Корпус (средняя часть) - замена</t>
  </si>
  <si>
    <t>i17P-BTN</t>
  </si>
  <si>
    <t>[i17P-BTN] iPhone 17 Pro Кнопки - восстановление / замена | *требуется диагностика</t>
  </si>
  <si>
    <t>i17P-SPK</t>
  </si>
  <si>
    <t>[i17P-SPK] iPhone 17 Pro Динамик полифонический (нижний, громкая связь) - замена</t>
  </si>
  <si>
    <t>i17P-EAR</t>
  </si>
  <si>
    <t>[i17P-EAR] iPhone 17 Pro Динамик разговорный (верхний, слуховой) - замена</t>
  </si>
  <si>
    <t>i17P-MIC</t>
  </si>
  <si>
    <t>[i17P-MIC] iPhone 17 Pro Микрофон - замена (один из..) | *требуется диагностика</t>
  </si>
  <si>
    <t>i17P-BRD</t>
  </si>
  <si>
    <t>[i17P-BRD] iPhone 17 Pro Ремонт платы - восстановление / замена | *требуется диагностика</t>
  </si>
  <si>
    <t>i17P-BRDS</t>
  </si>
  <si>
    <t>[i17P-BRDS] iPhone 17 Pro Ремонт платы - распайка половинок</t>
  </si>
  <si>
    <t>i17P-LIQ</t>
  </si>
  <si>
    <t>[i17P-LIQ] iPhone 17 Pro Профилактика после воды - восстановление | *требуется диагностика</t>
  </si>
  <si>
    <t>i17P-MDM</t>
  </si>
  <si>
    <t>[i17P-MDM] iPhone 17 Pro Модем - восстановление GSM сети | *требуется диагностика</t>
  </si>
  <si>
    <t>i17P-WFB</t>
  </si>
  <si>
    <t>[i17P-WFB] iPhone 17 Pro WiFi / Bluetooth - восстановление беспроводных сетей | *требуется диагностика</t>
  </si>
  <si>
    <t>i17PM-DGN</t>
  </si>
  <si>
    <t>[i17PM-DGN] iPhone 17 Pro Max Диагностика (с пайкой компонентов) | *бесплатно при дальнейшем ремонте</t>
  </si>
  <si>
    <t>Ремонт iPhone &gt; iPhone 17 Pro Max</t>
  </si>
  <si>
    <t>i17PM-WTR1</t>
  </si>
  <si>
    <t>[i17PM-WTR1] iPhone 17 Pro Max Пылевлагозащита (этап 1) - восстановление</t>
  </si>
  <si>
    <t>i17PM-WTR2</t>
  </si>
  <si>
    <t>[i17PM-WTR2] iPhone 17 Pro Max Пылевлагозащита (этап 2) - восстановление</t>
  </si>
  <si>
    <t>i17PM-CLNB</t>
  </si>
  <si>
    <t>[i17PM-CLNB] iPhone 17 Pro Max Чистка сеток динамиков и разъема зарядки БЕЗ РАЗБОРА</t>
  </si>
  <si>
    <t>i17PM-CLN</t>
  </si>
  <si>
    <t>[i17PM-CLN] iPhone 17 Pro Max Чистка сеток динамиков и разъема зарядки С РАЗБОРОМ</t>
  </si>
  <si>
    <t>i17PM-BAT</t>
  </si>
  <si>
    <t>[i17PM-BAT] iPhone 17 Pro Max Аккумулятор - замена</t>
  </si>
  <si>
    <t>i17PM-BATE</t>
  </si>
  <si>
    <t>[i17PM-BATE] iPhone 17 Pro Max Аккумулятор - устранение уведомления о замене</t>
  </si>
  <si>
    <t>i17PM-CHG</t>
  </si>
  <si>
    <t>[i17PM-CHG] iPhone 17 Pro Max Разъем зарядки - замена</t>
  </si>
  <si>
    <t>i17PM-DIS</t>
  </si>
  <si>
    <t>[i17PM-DIS] iPhone 17 Pro Max Дисплей - замена</t>
  </si>
  <si>
    <t>i17PM-DISE</t>
  </si>
  <si>
    <t>[i17PM-DISE] iPhone 17 Pro Max Дисплей - устранение уведомления о замене</t>
  </si>
  <si>
    <t>i17PM-DGL</t>
  </si>
  <si>
    <t>[i17PM-DGL] iPhone 17 Pro Max Дисплей - замена (переклей) разбитого стекла</t>
  </si>
  <si>
    <t>i17PM-CAMR</t>
  </si>
  <si>
    <t>[i17PM-CAMR] iPhone 17 Pro Max Камера основная - замена</t>
  </si>
  <si>
    <t>i17PM-CAMF</t>
  </si>
  <si>
    <t>[i17PM-CAMF] iPhone 17 Pro Max Камера фронтальная - замена</t>
  </si>
  <si>
    <t>i17PM-CGL</t>
  </si>
  <si>
    <t>[i17PM-CGL] iPhone 17 Pro Max Камера - замена разбитого стекла | *цена за 1шт.</t>
  </si>
  <si>
    <t>i17PM-FID</t>
  </si>
  <si>
    <t>[i17PM-FID] iPhone 17 Pro Max Face ID - восстановление | *требуется диагностика</t>
  </si>
  <si>
    <t>i17PM-BGL</t>
  </si>
  <si>
    <t>[i17PM-BGL] iPhone 17 Pro Max Крышка (заднее стекло) - замена</t>
  </si>
  <si>
    <t>i17PM-HSG</t>
  </si>
  <si>
    <t>[i17PM-HSG] iPhone 17 Pro Max Корпус - замена</t>
  </si>
  <si>
    <t>i17PM-MID</t>
  </si>
  <si>
    <t>[i17PM-MID] iPhone 17 Pro Max Корпус (средняя часть) - замена</t>
  </si>
  <si>
    <t>i17PM-BTN</t>
  </si>
  <si>
    <t>[i17PM-BTN] iPhone 17 Pro Max Кнопки - восстановление / замена | *требуется диагностика</t>
  </si>
  <si>
    <t>i17PM-SPK</t>
  </si>
  <si>
    <t>[i17PM-SPK] iPhone 17 Pro Max Динамик полифонический (нижний, громкая связь) - замена</t>
  </si>
  <si>
    <t>i17PM-EAR</t>
  </si>
  <si>
    <t>[i17PM-EAR] iPhone 17 Pro Max Динамик разговорный (верхний, слуховой) - замена</t>
  </si>
  <si>
    <t>i17PM-MIC</t>
  </si>
  <si>
    <t>[i17PM-MIC] iPhone 17 Pro Max Микрофон - замена (один из..) | *требуется диагностика</t>
  </si>
  <si>
    <t>i17PM-BRD</t>
  </si>
  <si>
    <t>[i17PM-BRD] iPhone 17 Pro Max Ремонт платы - восстановление / замена | *требуется диагностика</t>
  </si>
  <si>
    <t>i17PM-BRDS</t>
  </si>
  <si>
    <t>[i17PM-BRDS] iPhone 17 Pro Max Ремонт платы - распайка половинок</t>
  </si>
  <si>
    <t>i17PM-LIQ</t>
  </si>
  <si>
    <t>[i17PM-LIQ] iPhone 17 Pro Max Профилактика после воды - восстановление | *требуется диагностика</t>
  </si>
  <si>
    <t>i17PM-MDM</t>
  </si>
  <si>
    <t>[i17PM-MDM] iPhone 17 Pro Max Модем - восстановление GSM сети | *требуется диагностика</t>
  </si>
  <si>
    <t>i17PM-WFB</t>
  </si>
  <si>
    <t>[i17PM-WFB] iPhone 17 Pro Max WiFi / Bluetooth - восстановление беспроводных сетей | *требуется диагностика</t>
  </si>
  <si>
    <t>78212978527245361</t>
  </si>
  <si>
    <t xml:space="preserve">1000 - цена "от" | *требуется диагностика </t>
  </si>
  <si>
    <t>Данные - резервная копия / перенос (129 - 256 ГБ) | *цена за фактический объем данных</t>
  </si>
  <si>
    <t>Данные - резервная копия / перенос (257 - 512 ГБ) | *цена за фактический объем данных</t>
  </si>
  <si>
    <t>1000 - цена "за работу" - уточнить стоимость и наличие запчасти у поставщиков!</t>
  </si>
  <si>
    <t>Данные - резервная копия / перенос (513 - 1024 ГБ) | *цена за фактический объем данных</t>
  </si>
  <si>
    <t>Данные - резервная копия / перенос (1025 - 2056 ГБ) | *цена за фактический объем данных</t>
  </si>
  <si>
    <t>78212978527245363</t>
  </si>
  <si>
    <t>Приложения - установка | *цена за 1шт. / 2-5 = скидка 25% / более 5 = скидка 30%</t>
  </si>
  <si>
    <t>Прошивка iPhone - БЕЗ РЕЗЕРВНОЙ копии</t>
  </si>
  <si>
    <t>iPhone ШАБЛОН Диагностика (с пайкой компонентов) | *бесплатно при дальнейшем ремонте</t>
  </si>
  <si>
    <t>iPhone ШАБЛОН Чистка сеток динамиков и разъема зарядки БЕЗ РАЗБОРА (минимальная)</t>
  </si>
  <si>
    <t>iPhone ШАБЛОН Чистка сеток динамиков и разъема зарядки С РАЗБОРОМ (максимальная)</t>
  </si>
  <si>
    <t>iPhone ШАБЛОН Аккумулятор - замена (минимальная)</t>
  </si>
  <si>
    <t>iPhone ШАБЛОН Аккумулятор - замена (максимальная)</t>
  </si>
  <si>
    <t>iPhone ШАБЛОН Разъем зарядки - замена</t>
  </si>
  <si>
    <t>iPhone ШАБЛОН Дисплей - замена (минимальная)</t>
  </si>
  <si>
    <t>iPhone ШАБЛОН Дисплей - замена (максимальная)</t>
  </si>
  <si>
    <t>iPhone ШАБЛОН Дисплей - замена разбитого стекла (минимальная)</t>
  </si>
  <si>
    <t>iPhone ШАБЛОН Дисплей - замена разбитого стекла с тачскрином (максимальная)</t>
  </si>
  <si>
    <t>iPhone ШАБЛОН Камера основная - замена</t>
  </si>
  <si>
    <t>iPhone ШАБЛОН Камера фронтальная - замена</t>
  </si>
  <si>
    <t>iPhone ШАБЛОН Камера - замена разбитого стекла | *цена за 1шт.</t>
  </si>
  <si>
    <t>iPhone ШАБЛОН Face ID - восстановление | *цена от, требуется диагностика</t>
  </si>
  <si>
    <t>iPhone ШАБЛОН Крышка (заднее стекло) - замена на СНЯТЫЙ ОРИГИНАЛ (максимальная)</t>
  </si>
  <si>
    <t>iPhone ШАБЛОН Крышка (заднее стекло) - замена на АНАЛОГ (минимальная)</t>
  </si>
  <si>
    <t>iPhone ШАБЛОН Корпус - замена</t>
  </si>
  <si>
    <t>iPhone ШАБЛОН Корпус (средняя часть) - замена</t>
  </si>
  <si>
    <t>iPhone ШАБЛОН Кнопка HOME - восстановление / замена</t>
  </si>
  <si>
    <t>iPhone ШАБЛОН Кнопки - восстановление / замена | *цена от, требуется диагностика</t>
  </si>
  <si>
    <t>iPhone ШАБЛОН Динамик полифонический - замена</t>
  </si>
  <si>
    <t>iPhone ШАБЛОН Динамик слуховой - замена</t>
  </si>
  <si>
    <t>iPhone ШАБЛОН Микрофон - замена (один из..) | *требуется диагностика</t>
  </si>
  <si>
    <t>iPhone ШАБЛОН Ремонт платы - восстановление / замена | *цена от, требуется диагностика</t>
  </si>
  <si>
    <t>iPhone ШАБЛОН Профилактика после воды - восстановление | *цена от, требуется диагностика</t>
  </si>
  <si>
    <t>iPhone ШАБЛОН Модем - восстановление GSM сети | *цена от, требуется диагностика</t>
  </si>
  <si>
    <t>iPhone ШАБЛОН WiFi / Bluetooth - восстановление беспроводных сетей | *цена от, требуется диагностика</t>
  </si>
  <si>
    <t>iPhone 5 Диагностика (с пайкой компонентов) | *бесплатно при дальнейшем ремонте</t>
  </si>
  <si>
    <t>67567465236906</t>
  </si>
  <si>
    <t>iPhone 5 Чистка сеток динамиков и разъема зарядки БЕЗ РАЗБОРА (минимальная)</t>
  </si>
  <si>
    <t>iPhone 5 Чистка сеток динамиков и разъема зарядки С РАЗБОРОМ (максимальная)</t>
  </si>
  <si>
    <t>67567465236905</t>
  </si>
  <si>
    <t>iPhone 5 Аккумулятор - замена</t>
  </si>
  <si>
    <t>67567465236921</t>
  </si>
  <si>
    <t>iPhone 5 Разъем зарядки - замена</t>
  </si>
  <si>
    <t>67567465236911</t>
  </si>
  <si>
    <t>iPhone 5 Дисплей - замена</t>
  </si>
  <si>
    <t>только аналог</t>
  </si>
  <si>
    <t>67567465236916</t>
  </si>
  <si>
    <t>iPhone 5 Камера основная - замена</t>
  </si>
  <si>
    <t>67567465236917</t>
  </si>
  <si>
    <t>iPhone 5 Камера фронтальная - замена</t>
  </si>
  <si>
    <t>67567465236915</t>
  </si>
  <si>
    <t>iPhone 5 Камера - замена разбитого стекла | *цена за 1шт.</t>
  </si>
  <si>
    <t>67567465236918</t>
  </si>
  <si>
    <t>iPhone 5 Корпус - замена</t>
  </si>
  <si>
    <t>67567465236922</t>
  </si>
  <si>
    <t>iPhone 5 Кнопка HOME - восстановление / замена</t>
  </si>
  <si>
    <t>67567465236929</t>
  </si>
  <si>
    <t>iPhone 5 Кнопки - восстановление / замена | *цена от, требуется диагностика</t>
  </si>
  <si>
    <t>67567465236908</t>
  </si>
  <si>
    <t>iPhone 5 Динамик полифонический - замена</t>
  </si>
  <si>
    <t>67567465236909</t>
  </si>
  <si>
    <t>iPhone 5 Динамик слуховой - замена</t>
  </si>
  <si>
    <t>67567465236910</t>
  </si>
  <si>
    <t>iPhone 5 Микрофон - замена (один из..) | *требуется диагностика</t>
  </si>
  <si>
    <t>iPhone 5 Ремонт платы - восстановление / замена | *цена от, требуется диагностика</t>
  </si>
  <si>
    <t>67567465236920</t>
  </si>
  <si>
    <t>iPhone 5 Профилактика после воды - восстановление | *цена от, требуется диагностика</t>
  </si>
  <si>
    <t>67567465236941</t>
  </si>
  <si>
    <t>iPhone 5 Модем - восстановление GSM сети | *цена от, требуется диагностика</t>
  </si>
  <si>
    <t>67567465236940</t>
  </si>
  <si>
    <t>iPhone 5 WiFi / Bluetooth - восстановление беспроводных сетей | *цена от, требуется диагностика</t>
  </si>
  <si>
    <t>iPhone 5C Диагностика (с пайкой компонентов) | *бесплатно при дальнейшем ремонте</t>
  </si>
  <si>
    <t>7821297852724554966</t>
  </si>
  <si>
    <t>iPhone 5C Чистка сеток динамиков и разъема зарядки БЕЗ РАЗБОРА (минимальная)</t>
  </si>
  <si>
    <t>iPhone 5C Чистка сеток динамиков и разъема зарядки С РАЗБОРОМ (максимальная)</t>
  </si>
  <si>
    <t xml:space="preserve"> </t>
  </si>
  <si>
    <t>Чистка динамика iPhone</t>
  </si>
  <si>
    <t>iPhone 5C Аккумулятор - замена</t>
  </si>
  <si>
    <t>Замена аккумулятора iPhone</t>
  </si>
  <si>
    <t>iPhone 5C Разъем зарядки - замена</t>
  </si>
  <si>
    <t>Замена разъема зарядки iPhone</t>
  </si>
  <si>
    <t>iPhone 5C Дисплей - замена</t>
  </si>
  <si>
    <t>только восстановленный оригинал</t>
  </si>
  <si>
    <t>Замена дисплея iPhone</t>
  </si>
  <si>
    <t>iPhone 5C Камера основная - замена</t>
  </si>
  <si>
    <t>Замена основной камеры iPhone</t>
  </si>
  <si>
    <t>iPhone 5C Камера фронтальная - замена</t>
  </si>
  <si>
    <t>Замена фронтальной камеры iPhone</t>
  </si>
  <si>
    <t>iPhone 5C Камера - замена разбитого стекла | *цена за 1шт.</t>
  </si>
  <si>
    <t>Замена стекла камеры iPhone</t>
  </si>
  <si>
    <t>iPhone 5C Корпус - замена</t>
  </si>
  <si>
    <t>Замена корпуса iPhone</t>
  </si>
  <si>
    <t>7821297852724554973</t>
  </si>
  <si>
    <t>iPhone 5C Кнопка HOME - восстановление / замена</t>
  </si>
  <si>
    <t>Замена кнопки Home iPhone</t>
  </si>
  <si>
    <t>iPhone 5C Кнопки - восстановление / замена | *цена от, требуется диагностика</t>
  </si>
  <si>
    <t>Замена кнопок iPhone</t>
  </si>
  <si>
    <t>iPhone 5C Динамик полифонический - замена</t>
  </si>
  <si>
    <t>Замена динамика громкой связи iPhone</t>
  </si>
  <si>
    <t>iPhone 5C Динамик слуховой - замена</t>
  </si>
  <si>
    <t>Замена динамика iPhone</t>
  </si>
  <si>
    <t>iPhone 5C Микрофон - замена (один из..) | *требуется диагностика</t>
  </si>
  <si>
    <t>Замена микрофона iPhone</t>
  </si>
  <si>
    <t>iPhone 5C Ремонт платы - восстановление / замена | *цена от, требуется диагностика</t>
  </si>
  <si>
    <t>Ремонт платы iPhone</t>
  </si>
  <si>
    <t>iPhone 5C Профилактика после воды - восстановление | *цена от, требуется диагностика</t>
  </si>
  <si>
    <t>Профилактика после воды iPhone</t>
  </si>
  <si>
    <t>7821297852724554965</t>
  </si>
  <si>
    <t>iPhone 5C Модем - восстановление GSM сети | *цена от, требуется диагностика</t>
  </si>
  <si>
    <t>Модем - восстановление GSM сети iPhone</t>
  </si>
  <si>
    <t>7821297852724554970</t>
  </si>
  <si>
    <t>iPhone 5C WiFi / Bluetooth - восстановление беспроводных сетей | *цена от, требуется диагностика</t>
  </si>
  <si>
    <t>WiFi / Bluetooth - восстановление беспроводных сетей iPhone</t>
  </si>
  <si>
    <t>iPhone 5S Диагностика (с пайкой компонентов) | *бесплатно при дальнейшем ремонте</t>
  </si>
  <si>
    <t>iPhone 5S Чистка сеток динамиков и разъема зарядки БЕЗ РАЗБОРА (минимальная)</t>
  </si>
  <si>
    <t>iPhone 5S Чистка сеток динамиков и разъема зарядки С РАЗБОРОМ (максимальная)</t>
  </si>
  <si>
    <t>iPhone 5S Аккумулятор - замена</t>
  </si>
  <si>
    <t>iPhone 5S Разъем зарядки - замена</t>
  </si>
  <si>
    <t>iPhone 5S Дисплей - замена (минимальная)</t>
  </si>
  <si>
    <t>iPhone 5S Дисплей - замена (максимальная)</t>
  </si>
  <si>
    <t>iPhone 5S Камера основная - замена</t>
  </si>
  <si>
    <t>iPhone 5S Камера фронтальная - замена</t>
  </si>
  <si>
    <t>iPhone 5S Камера - замена разбитого стекла | *цена за 1шт.</t>
  </si>
  <si>
    <t>iPhone 5S Корпус - замена</t>
  </si>
  <si>
    <t>iPhone 5S Кнопка HOME - восстановление / замена</t>
  </si>
  <si>
    <t>iPhone 5S Кнопки - восстановление / замена | *цена от, требуется диагностика</t>
  </si>
  <si>
    <t>iPhone 5S Динамик полифонический - замена</t>
  </si>
  <si>
    <t>iPhone 5S Динамик слуховой - замена</t>
  </si>
  <si>
    <t>iPhone 5S Микрофон - замена (один из..) | *требуется диагностика</t>
  </si>
  <si>
    <t>iPhone 5S Ремонт платы - восстановление / замена | *цена от, требуется диагностика</t>
  </si>
  <si>
    <t>iPhone 5S Профилактика после воды - восстановление | *цена от, требуется диагностика</t>
  </si>
  <si>
    <t>iPhone 5S Модем - восстановление GSM сети | *цена от, требуется диагностика</t>
  </si>
  <si>
    <t>iPhone 5S WiFi / Bluetooth - восстановление беспроводных сетей | *цена от, требуется диагностика</t>
  </si>
  <si>
    <t>iPhone SE 2016 Диагностика (с пайкой компонентов) | *бесплатно при дальнейшем ремонте</t>
  </si>
  <si>
    <t>iPhone SE 2016 Чистка сеток динамиков и разъема зарядки БЕЗ РАЗБОРА (минимальная)</t>
  </si>
  <si>
    <t>iPhone SE 2016 Чистка сеток динамиков и разъема зарядки С РАЗБОРОМ (максимальная)</t>
  </si>
  <si>
    <t>iPhone SE 2016 Аккумулятор - замена</t>
  </si>
  <si>
    <t>iPhone SE 2016 Разъем зарядки - замена</t>
  </si>
  <si>
    <t>iPhone SE 2016 Дисплей - замена (минимальная)</t>
  </si>
  <si>
    <t>iPhone SE 2016 Дисплей - замена (максимальная)</t>
  </si>
  <si>
    <t>iPhone SE 2016 Камера основная - замена</t>
  </si>
  <si>
    <t>iPhone SE 2016 Камера фронтальная - замена</t>
  </si>
  <si>
    <t>iPhone SE 2016 Камера - замена разбитого стекла | *цена за 1шт.</t>
  </si>
  <si>
    <t>iPhone SE 2016 Корпус - замена</t>
  </si>
  <si>
    <t>iPhone SE 2016 Кнопка HOME - восстановление / замена</t>
  </si>
  <si>
    <t>iPhone SE 2016 Кнопки - восстановление / замена | *цена от, требуется диагностика</t>
  </si>
  <si>
    <t>iPhone SE 2016 Динамик полифонический - замена</t>
  </si>
  <si>
    <t>iPhone SE 2016 Динамик слуховой - замена</t>
  </si>
  <si>
    <t>iPhone SE 2016 Микрофон - замена (один из..) | *требуется диагностика</t>
  </si>
  <si>
    <t>iPhone SE 2016 Ремонт платы - восстановление / замена | *цена от, требуется диагностика</t>
  </si>
  <si>
    <t>iPhone SE 2016 Профилактика после воды - восстановление | *цена от, требуется диагностика</t>
  </si>
  <si>
    <t>iPhone SE 2016 Модем - восстановление GSM сети | *цена от, требуется диагностика</t>
  </si>
  <si>
    <t>iPhone SE 2016 WiFi / Bluetooth - восстановление беспроводных сетей | *цена от, требуется диагностика</t>
  </si>
  <si>
    <t>iPhone 6 Диагностика (с пайкой компонентов) | *бесплатно при дальнейшем ремонте</t>
  </si>
  <si>
    <t>iPhone 6 Чистка сеток динамиков и разъема зарядки БЕЗ РАЗБОРА (минимальная)</t>
  </si>
  <si>
    <t>iPhone 6 Чистка сеток динамиков и разъема зарядки С РАЗБОРОМ (максимальная)</t>
  </si>
  <si>
    <t>iPhone 6 Аккумулятор - замена</t>
  </si>
  <si>
    <t>iPhone 6 Разъем зарядки - замена</t>
  </si>
  <si>
    <t>iPhone 6 Дисплей - замена (минимальная)</t>
  </si>
  <si>
    <t>iPhone 6 Дисплей - замена (максимальная)</t>
  </si>
  <si>
    <t>iPhone 6 Дисплей - замена разбитого стекла</t>
  </si>
  <si>
    <t>iPhone 6 Камера основная - замена</t>
  </si>
  <si>
    <t>iPhone 6 Камера фронтальная - замена</t>
  </si>
  <si>
    <t>iPhone 6 Камера - замена разбитого стекла | *цена за 1шт.</t>
  </si>
  <si>
    <t>iPhone 6 Корпус - замена</t>
  </si>
  <si>
    <t>iPhone 6 Кнопка HOME - восстановление / замена</t>
  </si>
  <si>
    <t>iPhone 6 Кнопки - восстановление / замена | *цена от, требуется диагностика</t>
  </si>
  <si>
    <t>iPhone 6 Динамик полифонический - замена</t>
  </si>
  <si>
    <t>iPhone 6 Динамик слуховой - замена</t>
  </si>
  <si>
    <t>iPhone 6 Микрофон - замена (один из..) | *требуется диагностика</t>
  </si>
  <si>
    <t>iPhone 6 Ремонт платы - восстановление / замена | *цена от, требуется диагностика</t>
  </si>
  <si>
    <t>iPhone 6 Профилактика после воды - восстановление | *цена от, требуется диагностика</t>
  </si>
  <si>
    <t>iPhone 6 Модем - восстановление GSM сети | *цена от, требуется диагностика</t>
  </si>
  <si>
    <t>iPhone 6 WiFi / Bluetooth - восстановление беспроводных сетей | *цена от, требуется диагностика</t>
  </si>
  <si>
    <t>iPhone 6 Plus Диагностика (с пайкой компонентов) | *бесплатно при дальнейшем ремонте</t>
  </si>
  <si>
    <t>iPhone 6 Plus Чистка сеток динамиков и разъема зарядки БЕЗ РАЗБОРА (минимальная)</t>
  </si>
  <si>
    <t>iPhone 6 Plus Чистка сеток динамиков и разъема зарядки С РАЗБОРОМ (максимальная)</t>
  </si>
  <si>
    <t>iPhone 6 Plus Аккумулятор - замена</t>
  </si>
  <si>
    <t>iPhone 6 Plus Разъем зарядки - замена</t>
  </si>
  <si>
    <t>iPhone 6 Plus Дисплей - замена (минимальная)</t>
  </si>
  <si>
    <t>iPhone 6 Plus Дисплей - замена (максимальная)</t>
  </si>
  <si>
    <t>iPhone 6 Plus Дисплей - замена разбитого стекла</t>
  </si>
  <si>
    <t>iPhone 6 Plus Камера основная - замена</t>
  </si>
  <si>
    <t>iPhone 6 Plus Камера фронтальная - замена</t>
  </si>
  <si>
    <t>iPhone 6 Plus Камера - замена разбитого стекла | *цена за 1шт.</t>
  </si>
  <si>
    <t>iPhone 6 Plus Корпус - замена</t>
  </si>
  <si>
    <t>iPhone 6 Plus Кнопка HOME - восстановление / замена</t>
  </si>
  <si>
    <t>iPhone 6 Plus Кнопки - восстановление / замена | *цена от, требуется диагностика</t>
  </si>
  <si>
    <t>iPhone 6 Plus Динамик полифонический - замена</t>
  </si>
  <si>
    <t>iPhone 6 Plus Динамик слуховой - замена</t>
  </si>
  <si>
    <t>iPhone 6 Plus Микрофон - замена (один из..) | *требуется диагностика</t>
  </si>
  <si>
    <t>iPhone 6 Plus Ремонт платы - восстановление / замена | *цена от, требуется диагностика</t>
  </si>
  <si>
    <t>iPhone 6 Plus Профилактика после воды - восстановление | *цена от, требуется диагностика</t>
  </si>
  <si>
    <t>iPhone 6 Plus Модем - восстановление GSM сети | *цена от, требуется диагностика</t>
  </si>
  <si>
    <t>iPhone 6 Plus WiFi / Bluetooth - восстановление беспроводных сетей | *цена от, требуется диагностика</t>
  </si>
  <si>
    <t>iPhone 6S Диагностика (с пайкой компонентов) | *бесплатно при дальнейшем ремонте</t>
  </si>
  <si>
    <t>iPhone 6S Чистка сеток динамиков и разъема зарядки БЕЗ РАЗБОРА (минимальная)</t>
  </si>
  <si>
    <t>iPhone 6S Чистка сеток динамиков и разъема зарядки С РАЗБОРОМ (максимальная)</t>
  </si>
  <si>
    <t>iPhone 6S Аккумулятор - замена</t>
  </si>
  <si>
    <t>iPhone 6S Разъем зарядки - замена</t>
  </si>
  <si>
    <t>iPhone 6S Дисплей - замена (минимальная)</t>
  </si>
  <si>
    <t>iPhone 6S Дисплей - замена (максимальная)</t>
  </si>
  <si>
    <t>iPhone 6S Дисплей - замена разбитого стекла</t>
  </si>
  <si>
    <t>iPhone 6S Камера основная - замена</t>
  </si>
  <si>
    <t>iPhone 6S Камера фронтальная - замена</t>
  </si>
  <si>
    <t>iPhone 6S Камера - замена разбитого стекла | *цена за 1шт.</t>
  </si>
  <si>
    <t>iPhone 6S Корпус - замена</t>
  </si>
  <si>
    <t>iPhone 6S Кнопка HOME - восстановление / замена</t>
  </si>
  <si>
    <t>iPhone 6S Кнопки - восстановление / замена | *цена от, требуется диагностика</t>
  </si>
  <si>
    <t>iPhone 6S Динамик полифонический - замена</t>
  </si>
  <si>
    <t>iPhone 6S Динамик слуховой - замена</t>
  </si>
  <si>
    <t>iPhone 6S Микрофон - замена (один из..) | *требуется диагностика</t>
  </si>
  <si>
    <t>iPhone 6S Ремонт платы - восстановление / замена | *цена от, требуется диагностика</t>
  </si>
  <si>
    <t>iPhone 6S Профилактика после воды - восстановление | *цена от, требуется диагностика</t>
  </si>
  <si>
    <t>iPhone 6S Модем - восстановление GSM сети | *цена от, требуется диагностика</t>
  </si>
  <si>
    <t>iPhone 6S WiFi / Bluetooth - восстановление беспроводных сетей | *цена от, требуется диагностика</t>
  </si>
  <si>
    <t>iPhone 6S Plus Диагностика (с пайкой компонентов) | *бесплатно при дальнейшем ремонте</t>
  </si>
  <si>
    <t>iPhone 6S Plus Чистка сеток динамиков и разъема зарядки БЕЗ РАЗБОРА (минимальная)</t>
  </si>
  <si>
    <t>iPhone 6S Plus Чистка сеток динамиков и разъема зарядки С РАЗБОРОМ (максимальная)</t>
  </si>
  <si>
    <t>iPhone 6S Plus Аккумулятор - замена</t>
  </si>
  <si>
    <t>iPhone 6S Plus Разъем зарядки - замена</t>
  </si>
  <si>
    <t>iPhone 6S Plus Дисплей - замена (минимальная)</t>
  </si>
  <si>
    <t>iPhone 6S Plus Дисплей - замена (максимальная)</t>
  </si>
  <si>
    <t>iPhone 6S Plus Дисплей - замена разбитого стекла</t>
  </si>
  <si>
    <t>iPhone 6S Plus Камера основная - замена</t>
  </si>
  <si>
    <t>iPhone 6S Plus Камера фронтальная - замена</t>
  </si>
  <si>
    <t>iPhone 6S Plus Камера - замена разбитого стекла | *цена за 1шт.</t>
  </si>
  <si>
    <t>iPhone 6S Plus Корпус - замена</t>
  </si>
  <si>
    <t>iPhone 6S Plus Кнопка HOME - восстановление / замена</t>
  </si>
  <si>
    <t>iPhone 6S Plus Кнопки - восстановление / замена | *цена от, требуется диагностика</t>
  </si>
  <si>
    <t>iPhone 6S Plus Динамик полифонический - замена</t>
  </si>
  <si>
    <t>iPhone 6S Plus Динамик слуховой - замена</t>
  </si>
  <si>
    <t>iPhone 6S Plus Микрофон - замена (один из..) | *требуется диагностика</t>
  </si>
  <si>
    <t>iPhone 6S Plus Ремонт платы - восстановление / замена | *цена от, требуется диагностика</t>
  </si>
  <si>
    <t>iPhone 6S Plus Профилактика после воды - восстановление | *цена от, требуется диагностика</t>
  </si>
  <si>
    <t>iPhone 6S Plus Модем - восстановление GSM сети | *цена от, требуется диагностика</t>
  </si>
  <si>
    <t>iPhone 6S Plus WiFi / Bluetooth - восстановление беспроводных сетей | *цена от, требуется диагностика</t>
  </si>
  <si>
    <t>iPhone 7 Диагностика (с пайкой компонентов) | *бесплатно при дальнейшем ремонте</t>
  </si>
  <si>
    <t>iPhone 7 Чистка сеток динамиков и разъема зарядки БЕЗ РАЗБОРА (минимальная)</t>
  </si>
  <si>
    <t>iPhone 7 Чистка сеток динамиков и разъема зарядки С РАЗБОРОМ (максимальная)</t>
  </si>
  <si>
    <t>iPhone 7 Аккумулятор - замена</t>
  </si>
  <si>
    <t>iPhone 7 Разъем зарядки - замена</t>
  </si>
  <si>
    <t>iPhone 7 Дисплей - замена (минимальная)</t>
  </si>
  <si>
    <t>iPhone 7 Дисплей - замена (максимальная)</t>
  </si>
  <si>
    <t>iPhone 7 Дисплей - замена разбитого стекла</t>
  </si>
  <si>
    <t>iPhone 7 Камера основная - замена</t>
  </si>
  <si>
    <t>iPhone 7 Камера фронтальная - замена</t>
  </si>
  <si>
    <t>iPhone 7 Камера - замена разбитого стекла | *цена за 1шт.</t>
  </si>
  <si>
    <t>iPhone 7 Корпус - замена</t>
  </si>
  <si>
    <t>iPhone 7 Кнопка HOME - восстановление / замена</t>
  </si>
  <si>
    <t>iPhone 7 Кнопки - восстановление / замена | *цена от, требуется диагностика</t>
  </si>
  <si>
    <t>iPhone 7 Динамик полифонический - замена</t>
  </si>
  <si>
    <t>iPhone 7 Динамик слуховой - замена</t>
  </si>
  <si>
    <t>iPhone 7 Микрофон - замена (один из..) | *требуется диагностика</t>
  </si>
  <si>
    <t>iPhone 7 Ремонт платы - восстановление / замена | *цена от, требуется диагностика</t>
  </si>
  <si>
    <t>iPhone 7 Профилактика после воды - восстановление | *цена от, требуется диагностика</t>
  </si>
  <si>
    <t>iPhone 7 Модем - восстановление GSM сети | *цена от, требуется диагностика</t>
  </si>
  <si>
    <t>iPhone 7 WiFi / Bluetooth - восстановление беспроводных сетей | *цена от, требуется диагностика</t>
  </si>
  <si>
    <t>iPhone 7 Plus Диагностика (с пайкой компонентов) | *бесплатно при дальнейшем ремонте</t>
  </si>
  <si>
    <t>iPhone 7 Plus Чистка сеток динамиков и разъема зарядки БЕЗ РАЗБОРА (минимальная)</t>
  </si>
  <si>
    <t>iPhone 7 Plus Чистка сеток динамиков и разъема зарядки С РАЗБОРОМ (максимальная)</t>
  </si>
  <si>
    <t>iPhone 7 Plus Аккумулятор - замена</t>
  </si>
  <si>
    <t>iPhone 7 Plus Разъем зарядки - замена</t>
  </si>
  <si>
    <t>iPhone 7 Plus Дисплей - замена (минимальная)</t>
  </si>
  <si>
    <t>iPhone 7 Plus Дисплей - замена (максимальная)</t>
  </si>
  <si>
    <t>iPhone 7 Plus Дисплей - замена разбитого стекла</t>
  </si>
  <si>
    <t>iPhone 7 Plus Камера основная - замена</t>
  </si>
  <si>
    <t>iPhone 7 Plus Камера фронтальная - замена</t>
  </si>
  <si>
    <t>iPhone 7 Plus Камера - замена разбитого стекла | *цена за 1шт.</t>
  </si>
  <si>
    <t>iPhone 7 Plus Корпус - замена</t>
  </si>
  <si>
    <t>iPhone 7 Plus Кнопка HOME - восстановление / замена</t>
  </si>
  <si>
    <t>iPhone 7 Plus Кнопки - восстановление / замена | *цена от, требуется диагностика</t>
  </si>
  <si>
    <t>iPhone 7 Plus Динамик полифонический - замена</t>
  </si>
  <si>
    <t>iPhone 7 Plus Динамик слуховой - замена</t>
  </si>
  <si>
    <t>iPhone 7 Plus Микрофон - замена (один из..) | *требуется диагностика</t>
  </si>
  <si>
    <t>iPhone 7 Plus Ремонт платы - восстановление / замена | *цена от, требуется диагностика</t>
  </si>
  <si>
    <t>iPhone 7 Plus Профилактика после воды - восстановление | *цена от, требуется диагностика</t>
  </si>
  <si>
    <t>iPhone 7 Plus Модем - восстановление GSM сети | *цена от, требуется диагностика</t>
  </si>
  <si>
    <t>iPhone 7 Plus WiFi / Bluetooth - восстановление беспроводных сетей | *цена от, требуется диагностика</t>
  </si>
  <si>
    <t>iPhone 8 Диагностика (с пайкой компонентов) | *бесплатно при дальнейшем ремонте</t>
  </si>
  <si>
    <t>iPhone 8 Чистка сеток динамиков и разъема зарядки БЕЗ РАЗБОРА (минимальная)</t>
  </si>
  <si>
    <t>iPhone 8 Чистка сеток динамиков и разъема зарядки С РАЗБОРОМ (максимальная)</t>
  </si>
  <si>
    <t>iPhone 8 Аккумулятор - замена</t>
  </si>
  <si>
    <t>iPhone 8 Разъем зарядки - замена</t>
  </si>
  <si>
    <t>iPhone 8 Дисплей - замена (минимальная)</t>
  </si>
  <si>
    <t>iPhone 8 Дисплей - замена (максимальная)</t>
  </si>
  <si>
    <t>iPhone 8 Дисплей - замена разбитого стекла</t>
  </si>
  <si>
    <t>iPhone 8 Камера основная - замена</t>
  </si>
  <si>
    <t>iPhone 8 Камера фронтальная - замена</t>
  </si>
  <si>
    <t>iPhone 8 Камера - замена разбитого стекла | *цена за 1шт.</t>
  </si>
  <si>
    <t>iPhone 8 Крышка (заднее стекло) - замена на АНАЛОГ</t>
  </si>
  <si>
    <t>iPhone 8 Корпус - замена</t>
  </si>
  <si>
    <t>iPhone 8 Кнопка HOME - восстановление / замена</t>
  </si>
  <si>
    <t>iPhone 8 Кнопки - восстановление / замена | *цена от, требуется диагностика</t>
  </si>
  <si>
    <t>iPhone 8 Динамик полифонический - замена</t>
  </si>
  <si>
    <t>iPhone 8 Динамик слуховой - замена</t>
  </si>
  <si>
    <t>iPhone 8 Микрофон - замена (один из..) | *требуется диагностика</t>
  </si>
  <si>
    <t>iPhone 8 Ремонт платы - восстановление / замена | *цена от, требуется диагностика</t>
  </si>
  <si>
    <t>iPhone 8 Профилактика после воды - восстановление | *цена от, требуется диагностика</t>
  </si>
  <si>
    <t>iPhone 8 Модем - восстановление GSM сети | *цена от, требуется диагностика</t>
  </si>
  <si>
    <t>iPhone 8 WiFi / Bluetooth - восстановление беспроводных сетей | *цена от, требуется диагностика</t>
  </si>
  <si>
    <t>iPhone 8 Plus Диагностика (с пайкой компонентов) | *бесплатно при дальнейшем ремонте</t>
  </si>
  <si>
    <t>iPhone 8 Plus Чистка сеток динамиков и разъема зарядки БЕЗ РАЗБОРА (минимальная)</t>
  </si>
  <si>
    <t>iPhone 8 Plus Чистка сеток динамиков и разъема зарядки С РАЗБОРОМ (максимальная)</t>
  </si>
  <si>
    <t>iPhone 8 Plus Аккумулятор - замена</t>
  </si>
  <si>
    <t>iPhone 8 Plus Разъем зарядки - замена</t>
  </si>
  <si>
    <t>iPhone 8 Plus Дисплей - замена (минимальная)</t>
  </si>
  <si>
    <t>iPhone 8 Plus Дисплей - замена (максимальная)</t>
  </si>
  <si>
    <t>iPhone 8 Plus Дисплей - замена разбитого стекла</t>
  </si>
  <si>
    <t>iPhone 8 Plus Камера основная - замена</t>
  </si>
  <si>
    <t>iPhone 8 Plus Камера фронтальная - замена</t>
  </si>
  <si>
    <t>iPhone 8 Plus Камера - замена разбитого стекла | *цена за 1шт.</t>
  </si>
  <si>
    <t>iPhone 8 Plus Крышка (заднее стекло) - замена на АНАЛОГ</t>
  </si>
  <si>
    <t>iPhone 8 Plus Корпус - замена</t>
  </si>
  <si>
    <t>iPhone 8 Plus Кнопка HOME - восстановление / замена</t>
  </si>
  <si>
    <t>iPhone 8 Plus Кнопки - восстановление / замена | *цена от, требуется диагностика</t>
  </si>
  <si>
    <t>iPhone 8 Plus Динамик полифонический - замена</t>
  </si>
  <si>
    <t>iPhone 8 Plus Динамик слуховой - замена</t>
  </si>
  <si>
    <t>iPhone 8 Plus Микрофон - замена (один из..) | *требуется диагностика</t>
  </si>
  <si>
    <t>iPhone 8 Plus Ремонт платы - восстановление / замена | *цена от, требуется диагностика</t>
  </si>
  <si>
    <t>iPhone 8 Plus Профилактика после воды - восстановление | *цена от, требуется диагностика</t>
  </si>
  <si>
    <t>iPhone 8 Plus Модем - восстановление GSM сети | *цена от, требуется диагностика</t>
  </si>
  <si>
    <t>iPhone 8 Plus WiFi / Bluetooth - восстановление беспроводных сетей | *цена от, требуется диагностика</t>
  </si>
  <si>
    <t>iPhone SE 2020 Диагностика (с пайкой компонентов) | *бесплатно при дальнейшем ремонте</t>
  </si>
  <si>
    <t>iPhone SE 2020 Чистка сеток динамиков и разъема зарядки БЕЗ РАЗБОРА (минимальная)</t>
  </si>
  <si>
    <t>iPhone SE 2020 Чистка сеток динамиков и разъема зарядки С РАЗБОРОМ (максимальная)</t>
  </si>
  <si>
    <t>iPhone SE 2020 Аккумулятор - замена (минимальная)</t>
  </si>
  <si>
    <t>iPhone SE 2020 Аккумулятор - замена (максимальная)</t>
  </si>
  <si>
    <t>iPhone SE 2020 Разъем зарядки - замена</t>
  </si>
  <si>
    <t>iPhone SE 2020 Дисплей - замена (минимальная)</t>
  </si>
  <si>
    <t>iPhone SE 2020 Дисплей - замена (максимальная)</t>
  </si>
  <si>
    <t>iPhone SE 2020 Дисплей - замена разбитого стекла</t>
  </si>
  <si>
    <t>iPhone SE 2020 Камера основная - замена</t>
  </si>
  <si>
    <t>iPhone SE 2020 Камера фронтальная - замена</t>
  </si>
  <si>
    <t>iPhone SE 2020 Камера - замена разбитого стекла | *цена за 1шт.</t>
  </si>
  <si>
    <t>iPhone SE 2020 Крышка (заднее стекло) - замена на АНАЛОГ</t>
  </si>
  <si>
    <t>iPhone SE 2020 Корпус - замена</t>
  </si>
  <si>
    <t>iPhone SE 2020 Кнопка HOME - восстановление / замена</t>
  </si>
  <si>
    <t>iPhone SE 2020 Кнопки - восстановление / замена | *цена от, требуется диагностика</t>
  </si>
  <si>
    <t>iPhone SE 2020 Динамик полифонический - замена</t>
  </si>
  <si>
    <t>iPhone SE 2020 Динамик слуховой - замена</t>
  </si>
  <si>
    <t>iPhone SE 2020 Микрофон - замена (один из..) | *требуется диагностика</t>
  </si>
  <si>
    <t>iPhone SE 2020 Ремонт платы - восстановление / замена | *цена от, требуется диагностика</t>
  </si>
  <si>
    <t>iPhone SE 2020 Профилактика после воды - восстановление | *цена от, требуется диагностика</t>
  </si>
  <si>
    <t>iPhone SE 2020 Модем - восстановление GSM сети | *цена от, требуется диагностика</t>
  </si>
  <si>
    <t>iPhone SE 2020 WiFi / Bluetooth - восстановление беспроводных сетей | *цена от, требуется диагностика</t>
  </si>
  <si>
    <t>iPhone SE 2022 Диагностика (с пайкой компонентов) | *бесплатно при дальнейшем ремонте</t>
  </si>
  <si>
    <t>iPhone SE 2022 Чистка сеток динамиков и разъема зарядки БЕЗ РАЗБОРА (минимальная)</t>
  </si>
  <si>
    <t>iPhone SE 2022 Чистка сеток динамиков и разъема зарядки С РАЗБОРОМ (максимальная)</t>
  </si>
  <si>
    <t>iPhone SE 2022 Аккумулятор - замена (минимальная)</t>
  </si>
  <si>
    <t>iPhone SE 2022 Аккумулятор - замена (максимальная)</t>
  </si>
  <si>
    <t>iPhone SE 2022 Разъем зарядки - замена</t>
  </si>
  <si>
    <t>iPhone SE 2022 Дисплей - замена (минимальная)</t>
  </si>
  <si>
    <t>iPhone SE 2022 Дисплей - замена (максимальная)</t>
  </si>
  <si>
    <t>iPhone SE 2022 Дисплей - замена разбитого стекла</t>
  </si>
  <si>
    <t>iPhone SE 2022 Камера основная - замена</t>
  </si>
  <si>
    <t>iPhone SE 2022 Камера фронтальная - замена</t>
  </si>
  <si>
    <t>iPhone SE 2022 Камера - замена разбитого стекла | *цена за 1шт.</t>
  </si>
  <si>
    <t>iPhone SE 2022 Крышка (заднее стекло) - замена на АНАЛОГ</t>
  </si>
  <si>
    <t>iPhone SE 2022 Корпус - замена</t>
  </si>
  <si>
    <t>iPhone SE 2022 Кнопка HOME - восстановление / замена</t>
  </si>
  <si>
    <t>iPhone SE 2022 Кнопки - восстановление / замена | *цена от, требуется диагностика</t>
  </si>
  <si>
    <t>iPhone SE 2022 Динамик полифонический - замена</t>
  </si>
  <si>
    <t>iPhone SE 2022 Динамик слуховой - замена</t>
  </si>
  <si>
    <t>iPhone SE 2022 Микрофон - замена (один из..) | *требуется диагностика</t>
  </si>
  <si>
    <t>iPhone SE 2022 Ремонт платы - восстановление / замена | *цена от, требуется диагностика</t>
  </si>
  <si>
    <t>iPhone SE 2022 Профилактика после воды - восстановление | *цена от, требуется диагностика</t>
  </si>
  <si>
    <t>iPhone SE 2022 Модем - восстановление GSM сети | *цена от, требуется диагностика</t>
  </si>
  <si>
    <t>iPhone SE 2022 WiFi / Bluetooth - восстановление беспроводных сетей | *цена от, требуется диагностика</t>
  </si>
  <si>
    <t>iPhone XR Диагностика (с пайкой компонентов) | *бесплатно при дальнейшем ремонте</t>
  </si>
  <si>
    <t>iPhone XR Чистка сеток динамиков и разъема зарядки БЕЗ РАЗБОРА (минимальная)</t>
  </si>
  <si>
    <t>iPhone XR Чистка сеток динамиков и разъема зарядки С РАЗБОРОМ (максимальная)</t>
  </si>
  <si>
    <t>iPhone XR Аккумулятор - замена (минимальная)</t>
  </si>
  <si>
    <t>iPhone XR Аккумулятор - замена (максимальная)</t>
  </si>
  <si>
    <t>iPhone XR Разъем зарядки - замена</t>
  </si>
  <si>
    <t>iPhone XR Дисплей - замена (минимальная)</t>
  </si>
  <si>
    <t>iPhone XR Дисплей - замена (максимальная)</t>
  </si>
  <si>
    <t>iPhone XR Камера основная - замена</t>
  </si>
  <si>
    <t>iPhone XR Камера фронтальная - замена</t>
  </si>
  <si>
    <t>iPhone XR Камера - замена разбитого стекла | *цена за 1шт.</t>
  </si>
  <si>
    <t>iPhone XR Face ID - восстановление | *цена от, требуется диагностика</t>
  </si>
  <si>
    <t>iPhone XR Крышка (заднее стекло) - замена на АНАЛОГ</t>
  </si>
  <si>
    <t>iPhone XR Корпус - замена</t>
  </si>
  <si>
    <t>iPhone XR Кнопки - восстановление / замена | *цена от, требуется диагностика</t>
  </si>
  <si>
    <t>iPhone XR Динамик полифонический - замена</t>
  </si>
  <si>
    <t>iPhone XR Динамик слуховой - замена</t>
  </si>
  <si>
    <t>iPhone XR Микрофон - замена (один из..) | *требуется диагностика</t>
  </si>
  <si>
    <t>iPhone XR Ремонт платы - восстановление / замена | *цена от, требуется диагностика</t>
  </si>
  <si>
    <t>iPhone XR Профилактика после воды - восстановление | *цена от, требуется диагностика</t>
  </si>
  <si>
    <t>iPhone XR Модем - восстановление GSM сети | *цена от, требуется диагностика</t>
  </si>
  <si>
    <t>iPhone XR WiFi / Bluetooth - восстановление беспроводных сетей | *цена от, требуется диагностика</t>
  </si>
  <si>
    <t>iPhone X Диагностика (с пайкой компонентов) | *бесплатно при дальнейшем ремонте</t>
  </si>
  <si>
    <t>iPhone X Чистка сеток динамиков и разъема зарядки БЕЗ РАЗБОРА (минимальная)</t>
  </si>
  <si>
    <t>iPhone X Чистка сеток динамиков и разъема зарядки С РАЗБОРОМ (максимальная)</t>
  </si>
  <si>
    <t>iPhone X Аккумулятор - замена</t>
  </si>
  <si>
    <t>iPhone X Разъем зарядки - замена</t>
  </si>
  <si>
    <t>iPhone X Дисплей - замена (минимальная)</t>
  </si>
  <si>
    <t>iPhone X Дисплей - замена (максимальная)</t>
  </si>
  <si>
    <t>iPhone X Дисплей - замена разбитого стекла (минимальная)</t>
  </si>
  <si>
    <t>iPhone X Дисплей - замена разбитого стекла с тачскрином (максимальная)</t>
  </si>
  <si>
    <t>iPhone X Камера основная - замена</t>
  </si>
  <si>
    <t>iPhone X Камера фронтальная - замена</t>
  </si>
  <si>
    <t>iPhone X Камера - замена разбитого стекла | *цена за 1шт.</t>
  </si>
  <si>
    <t>iPhone X Face ID - восстановление | *цена от, требуется диагностика</t>
  </si>
  <si>
    <t>iPhone X Крышка (заднее стекло) - замена на АНАЛОГ</t>
  </si>
  <si>
    <t>iPhone X Корпус - замена</t>
  </si>
  <si>
    <t>iPhone X Кнопки - восстановление / замена | *цена от, требуется диагностика</t>
  </si>
  <si>
    <t>iPhone X Динамик полифонический - замена</t>
  </si>
  <si>
    <t>iPhone X Динамик слуховой - замена</t>
  </si>
  <si>
    <t>iPhone X Микрофон - замена (один из..) | *требуется диагностика</t>
  </si>
  <si>
    <t>iPhone X Ремонт платы - восстановление / замена | *цена от, требуется диагностика</t>
  </si>
  <si>
    <t>iPhone X Профилактика после воды - восстановление | *цена от, требуется диагностика</t>
  </si>
  <si>
    <t>iPhone X Модем - восстановление GSM сети | *цена от, требуется диагностика</t>
  </si>
  <si>
    <t>iPhone X WiFi / Bluetooth - восстановление беспроводных сетей | *цена от, требуется диагностика</t>
  </si>
  <si>
    <t>iPhone XS Диагностика (с пайкой компонентов) | *бесплатно при дальнейшем ремонте</t>
  </si>
  <si>
    <t>iPhone XS Чистка сеток динамиков и разъема зарядки БЕЗ РАЗБОРА (минимальная)</t>
  </si>
  <si>
    <t>iPhone XS Чистка сеток динамиков и разъема зарядки С РАЗБОРОМ (максимальная)</t>
  </si>
  <si>
    <t>iPhone XS Аккумулятор - замена (минимальная)</t>
  </si>
  <si>
    <t>iPhone XS Аккумулятор - замена (максимальная)</t>
  </si>
  <si>
    <t>iPhone XS Разъем зарядки - замена</t>
  </si>
  <si>
    <t>iPhone XS Дисплей - замена (минимальная)</t>
  </si>
  <si>
    <t>iPhone XS Дисплей - замена (максимальная)</t>
  </si>
  <si>
    <t>iPhone XS Дисплей - замена разбитого стекла (минимальная)</t>
  </si>
  <si>
    <t>iPhone XS Дисплей - замена разбитого стекла с тачскрином (максимальная)</t>
  </si>
  <si>
    <t>iPhone XS Камера основная - замена</t>
  </si>
  <si>
    <t>iPhone XS Камера фронтальная - замена</t>
  </si>
  <si>
    <t>iPhone XS Камера - замена разбитого стекла | *цена за 1шт.</t>
  </si>
  <si>
    <t>iPhone XS Face ID - восстановление | *цена от, требуется диагностика</t>
  </si>
  <si>
    <t>iPhone XS Крышка (заднее стекло) - замена на АНАЛОГ</t>
  </si>
  <si>
    <t>iPhone XS Корпус - замена</t>
  </si>
  <si>
    <t>iPhone XS Кнопки - восстановление / замена | *цена от, требуется диагностика</t>
  </si>
  <si>
    <t>iPhone XS Динамик полифонический - замена</t>
  </si>
  <si>
    <t>iPhone XS Динамик слуховой - замена</t>
  </si>
  <si>
    <t>iPhone XS Микрофон - замена (один из..) | *требуется диагностика</t>
  </si>
  <si>
    <t>iPhone XS Ремонт платы - восстановление / замена | *цена от, требуется диагностика</t>
  </si>
  <si>
    <t>iPhone XS Профилактика после воды - восстановление | *цена от, требуется диагностика</t>
  </si>
  <si>
    <t>iPhone XS Модем - восстановление GSM сети | *цена от, требуется диагностика</t>
  </si>
  <si>
    <t>iPhone XS WiFi / Bluetooth - восстановление беспроводных сетей | *цена от, требуется диагностика</t>
  </si>
  <si>
    <t>iPhone XS Max Диагностика (с пайкой компонентов) | *бесплатно при дальнейшем ремонте</t>
  </si>
  <si>
    <t>iPhone XS Max Чистка сеток динамиков и разъема зарядки БЕЗ РАЗБОРА (минимальная)</t>
  </si>
  <si>
    <t>iPhone XS Max Чистка сеток динамиков и разъема зарядки С РАЗБОРОМ (максимальная)</t>
  </si>
  <si>
    <t>iPhone XS Max Аккумулятор - замена (минимальная)</t>
  </si>
  <si>
    <t>iPhone XS Max Аккумулятор - замена (максимальная)</t>
  </si>
  <si>
    <t>iPhone XS Max Разъем зарядки - замена</t>
  </si>
  <si>
    <t>iPhone XS Max Дисплей - замена (минимальная)</t>
  </si>
  <si>
    <t>iPhone XS Max Дисплей - замена (максимальная)</t>
  </si>
  <si>
    <t>iPhone XS Max Дисплей - замена разбитого стекла (минимальная)</t>
  </si>
  <si>
    <t>iPhone XS Max Дисплей - замена разбитого стекла с тачскрином (максимальная)</t>
  </si>
  <si>
    <t>iPhone XS Max Камера основная - замена</t>
  </si>
  <si>
    <t>iPhone XS Max Камера фронтальная - замена</t>
  </si>
  <si>
    <t>iPhone XS Max Камера - замена разбитого стекла | *цена за 1шт.</t>
  </si>
  <si>
    <t>iPhone XS Max Face ID - восстановление | *цена от, требуется диагностика</t>
  </si>
  <si>
    <t>iPhone XS Max Крышка (заднее стекло) - замена на АНАЛОГ</t>
  </si>
  <si>
    <t>iPhone XS Max Корпус - замена</t>
  </si>
  <si>
    <t>iPhone XS Max Кнопки - восстановление / замена | *цена от, требуется диагностика</t>
  </si>
  <si>
    <t>iPhone XS Max Динамик полифонический - замена</t>
  </si>
  <si>
    <t>iPhone XS Max Динамик слуховой - замена</t>
  </si>
  <si>
    <t>iPhone XS Max Микрофон - замена (один из..) | *требуется диагностика</t>
  </si>
  <si>
    <t>iPhone XS Max Ремонт платы - восстановление / замена | *цена от, требуется диагностика</t>
  </si>
  <si>
    <t>iPhone XS Max Профилактика после воды - восстановление | *цена от, требуется диагностика</t>
  </si>
  <si>
    <t>iPhone XS Max Модем - восстановление GSM сети | *цена от, требуется диагностика</t>
  </si>
  <si>
    <t>iPhone XS Max WiFi / Bluetooth - восстановление беспроводных сетей | *цена от, требуется диагностика</t>
  </si>
  <si>
    <t>iPhone 11 Диагностика (с пайкой компонентов) | *бесплатно при дальнейшем ремонте</t>
  </si>
  <si>
    <t>6756746522791</t>
  </si>
  <si>
    <t>iPhone 11 Чистка сеток динамиков и разъема зарядки БЕЗ РАЗБОРА (минимальная)</t>
  </si>
  <si>
    <t>6756746522792</t>
  </si>
  <si>
    <t>iPhone 11 Чистка сеток динамиков и разъема зарядки С РАЗБОРОМ (максимальная)</t>
  </si>
  <si>
    <t>6756746522788</t>
  </si>
  <si>
    <t>iPhone 11 Аккумулятор - замена (минимальная)</t>
  </si>
  <si>
    <t>iPhone 11 Аккумулятор - замена (максимальная)</t>
  </si>
  <si>
    <t>6756746522807</t>
  </si>
  <si>
    <t>iPhone 11 Разъем зарядки - замена</t>
  </si>
  <si>
    <t>iPhone 11 Дисплей - замена (минимальная)</t>
  </si>
  <si>
    <t>iPhone 11 Дисплей - замена (максимальная)</t>
  </si>
  <si>
    <t>6756746522799</t>
  </si>
  <si>
    <t>iPhone 11 Дисплей - замена разбитого стекла (минимальная)</t>
  </si>
  <si>
    <t>iPhone 11 Дисплей - замена разбитого стекла с тачскрином (максимальная)</t>
  </si>
  <si>
    <t>6756746522801</t>
  </si>
  <si>
    <t>iPhone 11 Камера основная - замена</t>
  </si>
  <si>
    <t>6756746522802</t>
  </si>
  <si>
    <t>iPhone 11 Камера фронтальная - замена</t>
  </si>
  <si>
    <t>6756746522800</t>
  </si>
  <si>
    <t>iPhone 11 Камера - замена разбитого стекла | *цена за 1шт.</t>
  </si>
  <si>
    <t>6756746522808</t>
  </si>
  <si>
    <t>iPhone 11 Face ID - восстановление | *цена от, требуется диагностика</t>
  </si>
  <si>
    <t>6756746522804</t>
  </si>
  <si>
    <t>iPhone 11 Крышка (заднее стекло) - замена на АНАЛОГ</t>
  </si>
  <si>
    <t>6756746522803</t>
  </si>
  <si>
    <t>iPhone 11 Корпус - замена</t>
  </si>
  <si>
    <t>6756746522817</t>
  </si>
  <si>
    <t>iPhone 11 Кнопки - восстановление / замена | *цена от, требуется диагностика</t>
  </si>
  <si>
    <t>6756746522793</t>
  </si>
  <si>
    <t>iPhone 11 Динамик полифонический - замена</t>
  </si>
  <si>
    <t>6756746522794</t>
  </si>
  <si>
    <t>iPhone 11 Динамик слуховой - замена</t>
  </si>
  <si>
    <t>6756746522795</t>
  </si>
  <si>
    <t>iPhone 11 Микрофон - замена (один из..) | *требуется диагностика</t>
  </si>
  <si>
    <t>iPhone 11 Ремонт платы - восстановление / замена | *цена от, требуется диагностика</t>
  </si>
  <si>
    <t>6756746522806</t>
  </si>
  <si>
    <t>iPhone 11 Профилактика после воды - восстановление | *цена от, требуется диагностика</t>
  </si>
  <si>
    <t>6756746522826</t>
  </si>
  <si>
    <t>iPhone 11 Модем - восстановление GSM сети | *цена от, требуется диагностика</t>
  </si>
  <si>
    <t>6756746522825</t>
  </si>
  <si>
    <t>iPhone 11 WiFi / Bluetooth - восстановление беспроводных сетей | *цена от, требуется диагностика</t>
  </si>
  <si>
    <t>iPhone 11 Pro Диагностика (с пайкой компонентов) | *бесплатно при дальнейшем ремонте</t>
  </si>
  <si>
    <t>6756746523360</t>
  </si>
  <si>
    <t>iPhone 11 Pro Чистка сеток динамиков и разъема зарядки БЕЗ РАЗБОРА (минимальная)</t>
  </si>
  <si>
    <t>iPhone 11 Pro Чистка сеток динамиков и разъема зарядки С РАЗБОРОМ (максимальная)</t>
  </si>
  <si>
    <t>6756746523357</t>
  </si>
  <si>
    <t>iPhone 11 Pro Аккумулятор - замена (минимальная)</t>
  </si>
  <si>
    <t>iPhone 11 Pro Аккумулятор - замена (максимальная)</t>
  </si>
  <si>
    <t>6756746523376</t>
  </si>
  <si>
    <t>iPhone 11 Pro Разъем зарядки - замена</t>
  </si>
  <si>
    <t>6756746523365</t>
  </si>
  <si>
    <t>iPhone 11 Pro Дисплей - замена (минимальная)</t>
  </si>
  <si>
    <t>iPhone 11 Pro Дисплей - замена (максимальная)</t>
  </si>
  <si>
    <t>6756746523368</t>
  </si>
  <si>
    <t>iPhone 11 Pro Дисплей - замена разбитого стекла (минимальная)</t>
  </si>
  <si>
    <t>iPhone 11 Pro Дисплей - замена разбитого стекла с тачскрином (максимальная)</t>
  </si>
  <si>
    <t>6756746523370</t>
  </si>
  <si>
    <t>iPhone 11 Pro Камера основная - замена</t>
  </si>
  <si>
    <t>6756746523371</t>
  </si>
  <si>
    <t>iPhone 11 Pro Камера фронтальная - замена</t>
  </si>
  <si>
    <t>6756746523369</t>
  </si>
  <si>
    <t>iPhone 11 Pro Камера - замена разбитого стекла | *цена за 1шт.</t>
  </si>
  <si>
    <t>6756746523377</t>
  </si>
  <si>
    <t>iPhone 11 Pro Face ID - восстановление | *цена от, требуется диагностика</t>
  </si>
  <si>
    <t>6756746523373</t>
  </si>
  <si>
    <t>iPhone 11 Pro Крышка (заднее стекло) - замена на АНАЛОГ</t>
  </si>
  <si>
    <t>6756746523372</t>
  </si>
  <si>
    <t>iPhone 11 Pro Корпус - замена</t>
  </si>
  <si>
    <t>6756746523386</t>
  </si>
  <si>
    <t>iPhone 11 Pro Кнопки - восстановление / замена | *цена от, требуется диагностика</t>
  </si>
  <si>
    <t>6756746523362</t>
  </si>
  <si>
    <t>iPhone 11 Pro Динамик полифонический - замена</t>
  </si>
  <si>
    <t>6756746523363</t>
  </si>
  <si>
    <t>iPhone 11 Pro Динамик слуховой - замена</t>
  </si>
  <si>
    <t>6756746523364</t>
  </si>
  <si>
    <t>iPhone 11 Pro Микрофон - замена (один из..) | *требуется диагностика</t>
  </si>
  <si>
    <t>iPhone 11 Pro Ремонт платы - восстановление / замена | *цена от, требуется диагностика</t>
  </si>
  <si>
    <t>6756746523375</t>
  </si>
  <si>
    <t>iPhone 11 Pro Профилактика после воды - восстановление | *цена от, требуется диагностика</t>
  </si>
  <si>
    <t>6756746523395</t>
  </si>
  <si>
    <t>iPhone 11 Pro Модем - восстановление GSM сети | *цена от, требуется диагностика</t>
  </si>
  <si>
    <t>6756746523394</t>
  </si>
  <si>
    <t>iPhone 11 Pro WiFi / Bluetooth - восстановление беспроводных сетей | *цена от, требуется диагностика</t>
  </si>
  <si>
    <t>iPhone 11 Pro Max Диагностика (с пайкой компонентов) | *бесплатно при дальнейшем ремонте</t>
  </si>
  <si>
    <t>6756746523400</t>
  </si>
  <si>
    <t>iPhone 11 Pro Max Чистка сеток динамиков и разъема зарядки БЕЗ РАЗБОРА (минимальная)</t>
  </si>
  <si>
    <t>iPhone 11 Pro Max Чистка сеток динамиков и разъема зарядки С РАЗБОРОМ (максимальная)</t>
  </si>
  <si>
    <t>6756746523397</t>
  </si>
  <si>
    <t>iPhone 11 Pro Max Аккумулятор - замена (минимальная)</t>
  </si>
  <si>
    <t>iPhone 11 Pro Max Аккумулятор - замена (максимальная)</t>
  </si>
  <si>
    <t>6756746523416</t>
  </si>
  <si>
    <t>iPhone 11 Pro Max Разъем зарядки - замена</t>
  </si>
  <si>
    <t>6756746523405</t>
  </si>
  <si>
    <t>iPhone 11 Pro Max Дисплей - замена (минимальная)</t>
  </si>
  <si>
    <t>iPhone 11 Pro Max Дисплей - замена (максимальная)</t>
  </si>
  <si>
    <t>6756746523408</t>
  </si>
  <si>
    <t>iPhone 11 Pro Max Дисплей - замена разбитого стекла (минимальная)</t>
  </si>
  <si>
    <t>iPhone 11 Pro Max Дисплей - замена разбитого стекла с тачскрином (максимальная)</t>
  </si>
  <si>
    <t>6756746523410</t>
  </si>
  <si>
    <t>iPhone 11 Pro Max Камера основная - замена</t>
  </si>
  <si>
    <t>6756746523411</t>
  </si>
  <si>
    <t>iPhone 11 Pro Max Камера фронтальная - замена</t>
  </si>
  <si>
    <t>6756746523409</t>
  </si>
  <si>
    <t>iPhone 11 Pro Max Камера - замена разбитого стекла | *цена за 1шт.</t>
  </si>
  <si>
    <t>6756746523417</t>
  </si>
  <si>
    <t>iPhone 11 Pro Max Face ID - восстановление | *цена от, требуется диагностика</t>
  </si>
  <si>
    <t>6756746523413</t>
  </si>
  <si>
    <t>iPhone 11 Pro Max Крышка (заднее стекло) - замена на АНАЛОГ</t>
  </si>
  <si>
    <t>6756746523412</t>
  </si>
  <si>
    <t>iPhone 11 Pro Max Корпус - замена</t>
  </si>
  <si>
    <t>6756746523426</t>
  </si>
  <si>
    <t>iPhone 11 Pro Max Кнопки - восстановление / замена | *цена от, требуется диагностика</t>
  </si>
  <si>
    <t>6756746523402</t>
  </si>
  <si>
    <t>iPhone 11 Pro Max Динамик полифонический - замена</t>
  </si>
  <si>
    <t>6756746523403</t>
  </si>
  <si>
    <t>iPhone 11 Pro Max Динамик слуховой - замена</t>
  </si>
  <si>
    <t>6756746523404</t>
  </si>
  <si>
    <t>iPhone 11 Pro Max Микрофон - замена (один из..) | *требуется диагностика</t>
  </si>
  <si>
    <t>iPhone 11 Pro Max Ремонт платы - восстановление / замена | *цена от, требуется диагностика</t>
  </si>
  <si>
    <t>6756746523415</t>
  </si>
  <si>
    <t>iPhone 11 Pro Max Профилактика после воды - восстановление | *цена от, требуется диагностика</t>
  </si>
  <si>
    <t>6756746523435</t>
  </si>
  <si>
    <t>iPhone 11 Pro Max Модем - восстановление GSM сети | *цена от, требуется диагностика</t>
  </si>
  <si>
    <t>6756746523434</t>
  </si>
  <si>
    <t>iPhone 11 Pro Max WiFi / Bluetooth - восстановление беспроводных сетей | *цена от, требуется диагностика</t>
  </si>
  <si>
    <t>iPhone 12 Диагностика (с пайкой компонентов) | *бесплатно при дальнейшем ремонте</t>
  </si>
  <si>
    <t>6756746523280</t>
  </si>
  <si>
    <t>iPhone 12 Чистка сеток динамиков и разъема зарядки БЕЗ РАЗБОРА (минимальная)</t>
  </si>
  <si>
    <t>iPhone 12 Чистка сеток динамиков и разъема зарядки С РАЗБОРОМ (максимальная)</t>
  </si>
  <si>
    <t>6756746523277</t>
  </si>
  <si>
    <t>iPhone 12 Аккумулятор - замена (минимальная)</t>
  </si>
  <si>
    <t>iPhone 12 Аккумулятор - замена (максимальная)</t>
  </si>
  <si>
    <t>6756746523296</t>
  </si>
  <si>
    <t>iPhone 12 Разъем зарядки - замена</t>
  </si>
  <si>
    <t>6756746523285</t>
  </si>
  <si>
    <t>iPhone 12 Дисплей - замена (минимальная)</t>
  </si>
  <si>
    <t>iPhone 12 Дисплей - замена (максимальная)</t>
  </si>
  <si>
    <t>6756746523288</t>
  </si>
  <si>
    <t>iPhone 12 Дисплей - замена разбитого стекла (минимальная)</t>
  </si>
  <si>
    <t>iPhone 12 Дисплей - замена разбитого стекла с тачскрином (максимальная)</t>
  </si>
  <si>
    <t>6756746523290</t>
  </si>
  <si>
    <t>iPhone 12 Камера основная - замена</t>
  </si>
  <si>
    <t>6756746523291</t>
  </si>
  <si>
    <t>iPhone 12 Камера фронтальная - замена</t>
  </si>
  <si>
    <t>6756746523289</t>
  </si>
  <si>
    <t>iPhone 12 Камера - замена разбитого стекла | *цена за 1шт.</t>
  </si>
  <si>
    <t>6756746523297</t>
  </si>
  <si>
    <t>iPhone 12 Face ID - восстановление | *цена от, требуется диагностика</t>
  </si>
  <si>
    <t>6756746523293</t>
  </si>
  <si>
    <t>iPhone 12 Крышка (заднее стекло) - замена на АНАЛОГ</t>
  </si>
  <si>
    <t>6756746523292</t>
  </si>
  <si>
    <t>iPhone 12 Корпус - замена</t>
  </si>
  <si>
    <t>6756746523306</t>
  </si>
  <si>
    <t>iPhone 12 Кнопки - восстановление / замена | *цена от, требуется диагностика</t>
  </si>
  <si>
    <t>6756746523282</t>
  </si>
  <si>
    <t>iPhone 12 Динамик полифонический - замена</t>
  </si>
  <si>
    <t>6756746523283</t>
  </si>
  <si>
    <t>iPhone 12 Динамик слуховой - замена</t>
  </si>
  <si>
    <t>6756746523284</t>
  </si>
  <si>
    <t>iPhone 12 Микрофон - замена (один из..) | *требуется диагностика</t>
  </si>
  <si>
    <t>iPhone 12 Ремонт платы - восстановление / замена | *цена от, требуется диагностика</t>
  </si>
  <si>
    <t>6756746523295</t>
  </si>
  <si>
    <t>iPhone 12 Профилактика после воды - восстановление | *цена от, требуется диагностика</t>
  </si>
  <si>
    <t>6756746523315</t>
  </si>
  <si>
    <t>iPhone 12 Модем - восстановление GSM сети | *цена от, требуется диагностика</t>
  </si>
  <si>
    <t>6756746523314</t>
  </si>
  <si>
    <t>iPhone 12 WiFi / Bluetooth - восстановление беспроводных сетей | *цена от, требуется диагностика</t>
  </si>
  <si>
    <t>iPhone 12 Mini Диагностика (с пайкой компонентов) | *бесплатно при дальнейшем ремонте</t>
  </si>
  <si>
    <t>6756746523320</t>
  </si>
  <si>
    <t>iPhone 12 Mini Чистка сеток динамиков и разъема зарядки БЕЗ РАЗБОРА (минимальная)</t>
  </si>
  <si>
    <t>iPhone 12 Mini Чистка сеток динамиков и разъема зарядки С РАЗБОРОМ (максимальная)</t>
  </si>
  <si>
    <t>6756746523317</t>
  </si>
  <si>
    <t>iPhone 12 Mini Аккумулятор - замена (минимальная)</t>
  </si>
  <si>
    <t>iPhone 12 Mini Аккумулятор - замена (максимальная)</t>
  </si>
  <si>
    <t>6756746523336</t>
  </si>
  <si>
    <t>iPhone 12 Mini Разъем зарядки - замена</t>
  </si>
  <si>
    <t>6756746523325</t>
  </si>
  <si>
    <t>iPhone 12 Mini Дисплей - замена (минимальная)</t>
  </si>
  <si>
    <t>iPhone 12 Mini Дисплей - замена (максимальная)</t>
  </si>
  <si>
    <t>6756746523328</t>
  </si>
  <si>
    <t>iPhone 12 Mini Дисплей - замена разбитого стекла (минимальная)</t>
  </si>
  <si>
    <t>iPhone 12 Mini Дисплей - замена разбитого стекла с тачскрином (максимальная)</t>
  </si>
  <si>
    <t>6756746523330</t>
  </si>
  <si>
    <t>iPhone 12 Mini Камера основная - замена</t>
  </si>
  <si>
    <t>6756746523331</t>
  </si>
  <si>
    <t>iPhone 12 Mini Камера фронтальная - замена</t>
  </si>
  <si>
    <t>6756746523329</t>
  </si>
  <si>
    <t>iPhone 12 Mini Камера - замена разбитого стекла | *цена за 1шт.</t>
  </si>
  <si>
    <t>6756746523337</t>
  </si>
  <si>
    <t>iPhone 12 Mini Face ID - восстановление | *цена от, требуется диагностика</t>
  </si>
  <si>
    <t>6756746523333</t>
  </si>
  <si>
    <t>iPhone 12 Mini Крышка (заднее стекло) - замена на АНАЛОГ</t>
  </si>
  <si>
    <t>6756746523332</t>
  </si>
  <si>
    <t>iPhone 12 Mini Корпус - замена</t>
  </si>
  <si>
    <t>6756746523346</t>
  </si>
  <si>
    <t>iPhone 12 Mini Кнопки - восстановление / замена | *цена от, требуется диагностика</t>
  </si>
  <si>
    <t>6756746523322</t>
  </si>
  <si>
    <t>iPhone 12 Mini Динамик полифонический - замена</t>
  </si>
  <si>
    <t>6756746523323</t>
  </si>
  <si>
    <t>iPhone 12 Mini Динамик слуховой - замена</t>
  </si>
  <si>
    <t>6756746523324</t>
  </si>
  <si>
    <t>iPhone 12 Mini Микрофон - замена (один из..) | *требуется диагностика</t>
  </si>
  <si>
    <t>iPhone 12 Mini Ремонт платы - восстановление / замена | *цена от, требуется диагностика</t>
  </si>
  <si>
    <t>6756746523335</t>
  </si>
  <si>
    <t>iPhone 12 Mini Профилактика после воды - восстановление | *цена от, требуется диагностика</t>
  </si>
  <si>
    <t>6756746523355</t>
  </si>
  <si>
    <t>iPhone 12 Mini Модем - восстановление GSM сети | *цена от, требуется диагностика</t>
  </si>
  <si>
    <t>6756746523354</t>
  </si>
  <si>
    <t>iPhone 12 Mini WiFi / Bluetooth - восстановление беспроводных сетей | *цена от, требуется диагностика</t>
  </si>
  <si>
    <t>iPhone 12 Pro Диагностика (с пайкой компонентов) | *бесплатно при дальнейшем ремонте</t>
  </si>
  <si>
    <t>6756746523240</t>
  </si>
  <si>
    <t>iPhone 12 Pro Чистка сеток динамиков и разъема зарядки БЕЗ РАЗБОРА (минимальная)</t>
  </si>
  <si>
    <t>iPhone 12 Pro Чистка сеток динамиков и разъема зарядки С РАЗБОРОМ (максимальная)</t>
  </si>
  <si>
    <t>6756746523237</t>
  </si>
  <si>
    <t>iPhone 12 Pro Аккумулятор - замена (минимальная)</t>
  </si>
  <si>
    <t>iPhone 12 Pro Аккумулятор - замена (максимальная)</t>
  </si>
  <si>
    <t>6756746523256</t>
  </si>
  <si>
    <t>iPhone 12 Pro Разъем зарядки - замена</t>
  </si>
  <si>
    <t>6756746523245</t>
  </si>
  <si>
    <t>iPhone 12 Pro Дисплей - замена (минимальная)</t>
  </si>
  <si>
    <t>iPhone 12 Pro Дисплей - замена (максимальная)</t>
  </si>
  <si>
    <t>6756746523248</t>
  </si>
  <si>
    <t>iPhone 12 Pro Дисплей - замена разбитого стекла (минимальная)</t>
  </si>
  <si>
    <t>iPhone 12 Pro Дисплей - замена разбитого стекла с тачскрином (максимальная)</t>
  </si>
  <si>
    <t>6756746523250</t>
  </si>
  <si>
    <t>iPhone 12 Pro Камера основная - замена</t>
  </si>
  <si>
    <t>6756746523251</t>
  </si>
  <si>
    <t>iPhone 12 Pro Камера фронтальная - замена</t>
  </si>
  <si>
    <t>6756746523249</t>
  </si>
  <si>
    <t>iPhone 12 Pro Камера - замена разбитого стекла | *цена за 1шт.</t>
  </si>
  <si>
    <t>6756746523257</t>
  </si>
  <si>
    <t>iPhone 12 Pro Face ID - восстановление | *цена от, требуется диагностика</t>
  </si>
  <si>
    <t>6756746523253</t>
  </si>
  <si>
    <t>iPhone 12 Pro Крышка (заднее стекло) - замена на АНАЛОГ</t>
  </si>
  <si>
    <t>6756746523252</t>
  </si>
  <si>
    <t>iPhone 12 Pro Корпус - замена</t>
  </si>
  <si>
    <t>6756746523266</t>
  </si>
  <si>
    <t>iPhone 12 Pro Кнопки - восстановление / замена | *цена от, требуется диагностика</t>
  </si>
  <si>
    <t>6756746523242</t>
  </si>
  <si>
    <t>iPhone 12 Pro Динамик полифонический - замена</t>
  </si>
  <si>
    <t>6756746523243</t>
  </si>
  <si>
    <t>iPhone 12 Pro Динамик слуховой - замена</t>
  </si>
  <si>
    <t>6756746523244</t>
  </si>
  <si>
    <t>iPhone 12 Pro Микрофон - замена (один из..) | *требуется диагностика</t>
  </si>
  <si>
    <t>iPhone 12 Pro Ремонт платы - восстановление / замена | *цена от, требуется диагностика</t>
  </si>
  <si>
    <t>6756746523255</t>
  </si>
  <si>
    <t>iPhone 12 Pro Профилактика после воды - восстановление | *цена от, требуется диагностика</t>
  </si>
  <si>
    <t>6756746523275</t>
  </si>
  <si>
    <t>iPhone 12 Pro Модем - восстановление GSM сети | *цена от, требуется диагностика</t>
  </si>
  <si>
    <t>6756746523274</t>
  </si>
  <si>
    <t>iPhone 12 Pro WiFi / Bluetooth - восстановление беспроводных сетей | *цена от, требуется диагностика</t>
  </si>
  <si>
    <t>iPhone 12 Pro Max Диагностика (с пайкой компонентов) | *бесплатно при дальнейшем ремонте</t>
  </si>
  <si>
    <t>6756746523200</t>
  </si>
  <si>
    <t>iPhone 12 Pro Max Чистка сеток динамиков и разъема зарядки БЕЗ РАЗБОРА (минимальная)</t>
  </si>
  <si>
    <t>iPhone 12 Pro Max Чистка сеток динамиков и разъема зарядки С РАЗБОРОМ (максимальная)</t>
  </si>
  <si>
    <t>6756746523197</t>
  </si>
  <si>
    <t>iPhone 12 Pro Max Аккумулятор - замена (минимальная)</t>
  </si>
  <si>
    <t>iPhone 12 Pro Max Аккумулятор - замена (максимальная)</t>
  </si>
  <si>
    <t>6756746523216</t>
  </si>
  <si>
    <t>iPhone 12 Pro Max Разъем зарядки - замена</t>
  </si>
  <si>
    <t>6756746523205</t>
  </si>
  <si>
    <t>iPhone 12 Pro Max Дисплей - замена (минимальная)</t>
  </si>
  <si>
    <t>iPhone 12 Pro Max Дисплей - замена (максимальная)</t>
  </si>
  <si>
    <t>6756746523208</t>
  </si>
  <si>
    <t>iPhone 12 Pro Max Дисплей - замена разбитого стекла (минимальная)</t>
  </si>
  <si>
    <t>iPhone 12 Pro Max Дисплей - замена разбитого стекла с тачскрином (максимальная)</t>
  </si>
  <si>
    <t>6756746523210</t>
  </si>
  <si>
    <t>iPhone 12 Pro Max Камера основная - замена</t>
  </si>
  <si>
    <t>6756746523211</t>
  </si>
  <si>
    <t>iPhone 12 Pro Max Камера фронтальная - замена</t>
  </si>
  <si>
    <t>6756746523209</t>
  </si>
  <si>
    <t>iPhone 12 Pro Max Камера - замена разбитого стекла | *цена за 1шт.</t>
  </si>
  <si>
    <t>6756746523217</t>
  </si>
  <si>
    <t>iPhone 12 Pro Max Face ID - восстановление | *цена от, требуется диагностика</t>
  </si>
  <si>
    <t>6756746523213</t>
  </si>
  <si>
    <t>iPhone 12 Pro Max Крышка (заднее стекло) - замена на АНАЛОГ</t>
  </si>
  <si>
    <t>6756746523212</t>
  </si>
  <si>
    <t>iPhone 12 Pro Max Корпус - замена</t>
  </si>
  <si>
    <t>6756746523226</t>
  </si>
  <si>
    <t>iPhone 12 Pro Max Кнопки - восстановление / замена | *цена от, требуется диагностика</t>
  </si>
  <si>
    <t>6756746523202</t>
  </si>
  <si>
    <t>iPhone 12 Pro Max Динамик полифонический - замена</t>
  </si>
  <si>
    <t>6756746523203</t>
  </si>
  <si>
    <t>iPhone 12 Pro Max Динамик слуховой - замена</t>
  </si>
  <si>
    <t>6756746523204</t>
  </si>
  <si>
    <t>iPhone 12 Pro Max Микрофон - замена (один из..) | *требуется диагностика</t>
  </si>
  <si>
    <t>iPhone 12 Pro Max Ремонт платы - восстановление / замена | *цена от, требуется диагностика</t>
  </si>
  <si>
    <t>6756746523215</t>
  </si>
  <si>
    <t>iPhone 12 Pro Max Профилактика после воды - восстановление | *цена от, требуется диагностика</t>
  </si>
  <si>
    <t>6756746523235</t>
  </si>
  <si>
    <t>iPhone 12 Pro Max Модем - восстановление GSM сети | *цена от, требуется диагностика</t>
  </si>
  <si>
    <t>6756746523234</t>
  </si>
  <si>
    <t>iPhone 12 Pro Max WiFi / Bluetooth - восстановление беспроводных сетей | *цена от, требуется диагностика</t>
  </si>
  <si>
    <t>iPhone 13 Диагностика (с пайкой компонентов) | *бесплатно при дальнейшем ремонте</t>
  </si>
  <si>
    <t>6756746523113</t>
  </si>
  <si>
    <t>iPhone 13 Чистка сеток динамиков и разъема зарядки БЕЗ РАЗБОРА (минимальная)</t>
  </si>
  <si>
    <t>iPhone 13 Чистка сеток динамиков и разъема зарядки С РАЗБОРОМ (максимальная)</t>
  </si>
  <si>
    <t>6756746523110</t>
  </si>
  <si>
    <t>iPhone 13 Аккумулятор - замена (минимальная)</t>
  </si>
  <si>
    <t>iPhone 13 Аккумулятор - замена (максимальная)</t>
  </si>
  <si>
    <t>6756746523131</t>
  </si>
  <si>
    <t>iPhone 13 Разъем зарядки - замена</t>
  </si>
  <si>
    <t>6756746523118</t>
  </si>
  <si>
    <t>iPhone 13 Дисплей - замена (минимальная)</t>
  </si>
  <si>
    <t>iPhone 13 Дисплей - замена (максимальная)</t>
  </si>
  <si>
    <t>6756746523121</t>
  </si>
  <si>
    <t>iPhone 13 Дисплей - замена разбитого стекла (минимальная)</t>
  </si>
  <si>
    <t>6756746523123</t>
  </si>
  <si>
    <t>iPhone 13 Камера основная - замена</t>
  </si>
  <si>
    <t>6756746523124</t>
  </si>
  <si>
    <t>iPhone 13 Камера фронтальная - замена</t>
  </si>
  <si>
    <t>6756746523122</t>
  </si>
  <si>
    <t>iPhone 13 Камера - замена разбитого стекла | *цена за 1шт.</t>
  </si>
  <si>
    <t>6756746523132</t>
  </si>
  <si>
    <t>iPhone 13 Face ID - восстановление | *цена от, требуется диагностика</t>
  </si>
  <si>
    <t>6756746523127</t>
  </si>
  <si>
    <t>iPhone 13 Крышка (заднее стекло) - замена на АНАЛОГ</t>
  </si>
  <si>
    <t>6756746523125</t>
  </si>
  <si>
    <t>iPhone 13 Корпус - замена</t>
  </si>
  <si>
    <t>6756746523142</t>
  </si>
  <si>
    <t>iPhone 13 Кнопки - восстановление / замена | *цена от, требуется диагностика</t>
  </si>
  <si>
    <t>6756746523115</t>
  </si>
  <si>
    <t>iPhone 13 Динамик полифонический - замена</t>
  </si>
  <si>
    <t>6756746523116</t>
  </si>
  <si>
    <t>iPhone 13 Динамик слуховой - замена</t>
  </si>
  <si>
    <t>6756746523117</t>
  </si>
  <si>
    <t>iPhone 13 Микрофон - замена (один из..) | *требуется диагностика</t>
  </si>
  <si>
    <t>iPhone 13 Ремонт платы - восстановление / замена | *цена от, требуется диагностика</t>
  </si>
  <si>
    <t>6756746523130</t>
  </si>
  <si>
    <t>iPhone 13 Профилактика после воды - восстановление | *цена от, требуется диагностика</t>
  </si>
  <si>
    <t>6756746523152</t>
  </si>
  <si>
    <t>iPhone 13 Модем - восстановление GSM сети | *цена от, требуется диагностика</t>
  </si>
  <si>
    <t>6756746523151</t>
  </si>
  <si>
    <t>iPhone 13 WiFi / Bluetooth - восстановление беспроводных сетей | *цена от, требуется диагностика</t>
  </si>
  <si>
    <t>iPhone 13 Mini Диагностика (с пайкой компонентов) | *бесплатно при дальнейшем ремонте</t>
  </si>
  <si>
    <t>6756746523157</t>
  </si>
  <si>
    <t>iPhone 13 Mini Чистка сеток динамиков и разъема зарядки БЕЗ РАЗБОРА (минимальная)</t>
  </si>
  <si>
    <t>iPhone 13 Mini Чистка сеток динамиков и разъема зарядки С РАЗБОРОМ (максимальная)</t>
  </si>
  <si>
    <t>6756746523154</t>
  </si>
  <si>
    <t>iPhone 13 Mini Аккумулятор - замена (минимальная)</t>
  </si>
  <si>
    <t>iPhone 13 Mini Аккумулятор - замена (максимальная)</t>
  </si>
  <si>
    <t>6756746523174</t>
  </si>
  <si>
    <t>iPhone 13 Mini Разъем зарядки - замена</t>
  </si>
  <si>
    <t>6756746523162</t>
  </si>
  <si>
    <t>iPhone 13 Mini Дисплей - замена (минимальная)</t>
  </si>
  <si>
    <t>iPhone 13 Mini Дисплей - замена (максимальная)</t>
  </si>
  <si>
    <t>6756746523165</t>
  </si>
  <si>
    <t>iPhone 13 Mini Дисплей - замена разбитого стекла (минимальная)</t>
  </si>
  <si>
    <t>6756746523167</t>
  </si>
  <si>
    <t>iPhone 13 Mini Камера основная - замена</t>
  </si>
  <si>
    <t>6756746523168</t>
  </si>
  <si>
    <t>iPhone 13 Mini Камера фронтальная - замена</t>
  </si>
  <si>
    <t>6756746523166</t>
  </si>
  <si>
    <t>iPhone 13 Mini Камера - замена разбитого стекла | *цена за 1шт.</t>
  </si>
  <si>
    <t>6756746523175</t>
  </si>
  <si>
    <t>iPhone 13 Mini Face ID - восстановление | *цена от, требуется диагностика</t>
  </si>
  <si>
    <t>6756746523171</t>
  </si>
  <si>
    <t>iPhone 13 Mini Крышка (заднее стекло) - замена на АНАЛОГ</t>
  </si>
  <si>
    <t>6756746523169</t>
  </si>
  <si>
    <t>iPhone 13 Mini Корпус - замена</t>
  </si>
  <si>
    <t>6756746523185</t>
  </si>
  <si>
    <t>iPhone 13 Mini Кнопки - восстановление / замена | *цена от, требуется диагностика</t>
  </si>
  <si>
    <t>6756746523159</t>
  </si>
  <si>
    <t>iPhone 13 Mini Динамик полифонический - замена</t>
  </si>
  <si>
    <t>6756746523160</t>
  </si>
  <si>
    <t>iPhone 13 Mini Динамик слуховой - замена</t>
  </si>
  <si>
    <t>6756746523161</t>
  </si>
  <si>
    <t>iPhone 13 Mini Микрофон - замена (один из..) | *требуется диагностика</t>
  </si>
  <si>
    <t>iPhone 13 Mini Ремонт платы - восстановление / замена | *цена от, требуется диагностика</t>
  </si>
  <si>
    <t>6756746523173</t>
  </si>
  <si>
    <t>iPhone 13 Mini Профилактика после воды - восстановление | *цена от, требуется диагностика</t>
  </si>
  <si>
    <t>6756746523195</t>
  </si>
  <si>
    <t>iPhone 13 Mini Модем - восстановление GSM сети | *цена от, требуется диагностика</t>
  </si>
  <si>
    <t>6756746523194</t>
  </si>
  <si>
    <t>iPhone 13 Mini WiFi / Bluetooth - восстановление беспроводных сетей | *цена от, требуется диагностика</t>
  </si>
  <si>
    <t>iPhone 13 Pro Диагностика (с пайкой компонентов) | *бесплатно при дальнейшем ремонте</t>
  </si>
  <si>
    <t>6756746523070</t>
  </si>
  <si>
    <t>iPhone 13 Pro Чистка сеток динамиков и разъема зарядки БЕЗ РАЗБОРА (минимальная)</t>
  </si>
  <si>
    <t>iPhone 13 Pro Чистка сеток динамиков и разъема зарядки С РАЗБОРОМ (максимальная)</t>
  </si>
  <si>
    <t>6756746523067</t>
  </si>
  <si>
    <t>iPhone 13 Pro Аккумулятор - замена (минимальная)</t>
  </si>
  <si>
    <t>iPhone 13 Pro Аккумулятор - замена (максимальная)</t>
  </si>
  <si>
    <t>6756746523086</t>
  </si>
  <si>
    <t>iPhone 13 Pro Разъем зарядки - замена</t>
  </si>
  <si>
    <t>6756746523075</t>
  </si>
  <si>
    <t>iPhone 13 Pro Дисплей - замена (минимальная)</t>
  </si>
  <si>
    <t>iPhone 13 Pro Дисплей - замена (максимальная)</t>
  </si>
  <si>
    <t>6756746523078</t>
  </si>
  <si>
    <t>iPhone 13 Pro Дисплей - замена разбитого стекла (минимальная)</t>
  </si>
  <si>
    <t>6756746523080</t>
  </si>
  <si>
    <t>iPhone 13 Pro Камера основная - замена</t>
  </si>
  <si>
    <t>6756746523081</t>
  </si>
  <si>
    <t>iPhone 13 Pro Камера фронтальная - замена</t>
  </si>
  <si>
    <t>6756746523079</t>
  </si>
  <si>
    <t>iPhone 13 Pro Камера - замена разбитого стекла | *цена за 1шт.</t>
  </si>
  <si>
    <t>6756746523087</t>
  </si>
  <si>
    <t>iPhone 13 Pro Face ID - восстановление | *цена от, требуется диагностика</t>
  </si>
  <si>
    <t>6756746523083</t>
  </si>
  <si>
    <t>iPhone 13 Pro Крышка (заднее стекло) - замена на АНАЛОГ</t>
  </si>
  <si>
    <t>6756746523082</t>
  </si>
  <si>
    <t>iPhone 13 Pro Корпус - замена</t>
  </si>
  <si>
    <t>6756746523098</t>
  </si>
  <si>
    <t>iPhone 13 Pro Кнопки - восстановление / замена | *цена от, требуется диагностика</t>
  </si>
  <si>
    <t>6756746523072</t>
  </si>
  <si>
    <t>iPhone 13 Pro Динамик полифонический - замена</t>
  </si>
  <si>
    <t>6756746523073</t>
  </si>
  <si>
    <t>iPhone 13 Pro Динамик слуховой - замена</t>
  </si>
  <si>
    <t>6756746523074</t>
  </si>
  <si>
    <t>iPhone 13 Pro Микрофон - замена (один из..) | *требуется диагностика</t>
  </si>
  <si>
    <t>iPhone 13 Pro Ремонт платы - восстановление / замена | *цена от, требуется диагностика</t>
  </si>
  <si>
    <t>6756746523085</t>
  </si>
  <si>
    <t>iPhone 13 Pro Профилактика после воды - восстановление | *цена от, требуется диагностика</t>
  </si>
  <si>
    <t>6756746523108</t>
  </si>
  <si>
    <t>iPhone 13 Pro Модем - восстановление GSM сети | *цена от, требуется диагностика</t>
  </si>
  <si>
    <t>6756746523107</t>
  </si>
  <si>
    <t>iPhone 13 Pro WiFi / Bluetooth - восстановление беспроводных сетей | *цена от, требуется диагностика</t>
  </si>
  <si>
    <t>iPhone 13 Pro Max Диагностика (с пайкой компонентов) | *бесплатно при дальнейшем ремонте</t>
  </si>
  <si>
    <t>6756746523029</t>
  </si>
  <si>
    <t>iPhone 13 Pro Max Чистка сеток динамиков и разъема зарядки БЕЗ РАЗБОРА (минимальная)</t>
  </si>
  <si>
    <t>iPhone 13 Pro Max Чистка сеток динамиков и разъема зарядки С РАЗБОРОМ (максимальная)</t>
  </si>
  <si>
    <t>6756746523026</t>
  </si>
  <si>
    <t>iPhone 13 Pro Max Аккумулятор - замена (минимальная)</t>
  </si>
  <si>
    <t>iPhone 13 Pro Max Аккумулятор - замена (максимальная)</t>
  </si>
  <si>
    <t>6756746523045</t>
  </si>
  <si>
    <t>iPhone 13 Pro Max Разъем зарядки - замена</t>
  </si>
  <si>
    <t>6756746523034</t>
  </si>
  <si>
    <t>iPhone 13 Pro Max Дисплей - замена (минимальная)</t>
  </si>
  <si>
    <t>iPhone 13 Pro Max Дисплей - замена (максимальная)</t>
  </si>
  <si>
    <t>6756746523037</t>
  </si>
  <si>
    <t>iPhone 13 Pro Max Дисплей - замена разбитого стекла (минимальная)</t>
  </si>
  <si>
    <t>6756746523039</t>
  </si>
  <si>
    <t>iPhone 13 Pro Max Камера основная - замена</t>
  </si>
  <si>
    <t>6756746523040</t>
  </si>
  <si>
    <t>iPhone 13 Pro Max Камера фронтальная - замена</t>
  </si>
  <si>
    <t>6756746523038</t>
  </si>
  <si>
    <t>iPhone 13 Pro Max Камера - замена разбитого стекла | *цена за 1шт.</t>
  </si>
  <si>
    <t>6756746523046</t>
  </si>
  <si>
    <t>iPhone 13 Pro Max Face ID - восстановление | *цена от, требуется диагностика</t>
  </si>
  <si>
    <t>6756746523042</t>
  </si>
  <si>
    <t>iPhone 13 Pro Max Крышка (заднее стекло) - замена на АНАЛОГ</t>
  </si>
  <si>
    <t>6756746523041</t>
  </si>
  <si>
    <t>iPhone 13 Pro Max Корпус - замена</t>
  </si>
  <si>
    <t>6756746523055</t>
  </si>
  <si>
    <t>iPhone 13 Pro Max Кнопки - восстановление / замена | *цена от, требуется диагностика</t>
  </si>
  <si>
    <t>6756746523031</t>
  </si>
  <si>
    <t>iPhone 13 Pro Max Динамик полифонический - замена</t>
  </si>
  <si>
    <t>6756746523032</t>
  </si>
  <si>
    <t>iPhone 13 Pro Max Динамик слуховой - замена</t>
  </si>
  <si>
    <t>6756746523033</t>
  </si>
  <si>
    <t>iPhone 13 Pro Max Микрофон - замена (один из..) | *требуется диагностика</t>
  </si>
  <si>
    <t>iPhone 13 Pro Max Ремонт платы - восстановление / замена | *цена от, требуется диагностика</t>
  </si>
  <si>
    <t>6756746523044</t>
  </si>
  <si>
    <t>iPhone 13 Pro Max Профилактика после воды - восстановление | *цена от, требуется диагностика</t>
  </si>
  <si>
    <t>6756746523065</t>
  </si>
  <si>
    <t>iPhone 13 Pro Max Модем - восстановление GSM сети | *цена от, требуется диагностика</t>
  </si>
  <si>
    <t>6756746523063</t>
  </si>
  <si>
    <t>iPhone 13 Pro Max WiFi / Bluetooth - восстановление беспроводных сетей | *цена от, требуется диагностика</t>
  </si>
  <si>
    <t>iPhone 14 Диагностика (с пайкой компонентов) | *бесплатно при дальнейшем ремонте</t>
  </si>
  <si>
    <t>6756746522987</t>
  </si>
  <si>
    <t>iPhone 14 Чистка сеток динамиков и разъема зарядки БЕЗ РАЗБОРА (минимальная)</t>
  </si>
  <si>
    <t>iPhone 14 Чистка сеток динамиков и разъема зарядки С РАЗБОРОМ (максимальная)</t>
  </si>
  <si>
    <t>6756746522984</t>
  </si>
  <si>
    <t>iPhone 14 Аккумулятор - замена (минимальная)</t>
  </si>
  <si>
    <t>iPhone 14 Аккумулятор - замена (максимальная)</t>
  </si>
  <si>
    <t>6756746523003</t>
  </si>
  <si>
    <t>iPhone 14 Разъем зарядки - замена</t>
  </si>
  <si>
    <t>6756746522992</t>
  </si>
  <si>
    <t>iPhone 14 Дисплей - замена (минимальная)</t>
  </si>
  <si>
    <t>iPhone 14 Дисплей - замена (максимальная)</t>
  </si>
  <si>
    <t>6756746522995</t>
  </si>
  <si>
    <t>iPhone 14 Дисплей - замена разбитого стекла</t>
  </si>
  <si>
    <t>6756746522997</t>
  </si>
  <si>
    <t>iPhone 14 Камера основная - замена</t>
  </si>
  <si>
    <t>6756746522998</t>
  </si>
  <si>
    <t>iPhone 14 Камера фронтальная - замена</t>
  </si>
  <si>
    <t>6756746522996</t>
  </si>
  <si>
    <t>iPhone 14 Камера - замена разбитого стекла | *цена за 1шт.</t>
  </si>
  <si>
    <t>6756746523004</t>
  </si>
  <si>
    <t>iPhone 14 Face ID - восстановление | *цена от, требуется диагностика</t>
  </si>
  <si>
    <t>6756746523000</t>
  </si>
  <si>
    <t>iPhone 14 Крышка (заднее стекло) - замена на АНАЛОГ</t>
  </si>
  <si>
    <t>6756746522999</t>
  </si>
  <si>
    <t>iPhone 14 Корпус - замена</t>
  </si>
  <si>
    <t>6756746523014</t>
  </si>
  <si>
    <t>iPhone 14 Кнопки - восстановление / замена | *цена от, требуется диагностика</t>
  </si>
  <si>
    <t>6756746522989</t>
  </si>
  <si>
    <t>iPhone 14 Динамик полифонический - замена</t>
  </si>
  <si>
    <t>6756746522990</t>
  </si>
  <si>
    <t>iPhone 14 Динамик слуховой - замена</t>
  </si>
  <si>
    <t>6756746522991</t>
  </si>
  <si>
    <t>iPhone 14 Микрофон - замена (один из..) | *требуется диагностика</t>
  </si>
  <si>
    <t>iPhone 14 Ремонт платы - восстановление / замена | *цена от, требуется диагностика</t>
  </si>
  <si>
    <t>6756746523002</t>
  </si>
  <si>
    <t>iPhone 14 Профилактика после воды - восстановление | *цена от, требуется диагностика</t>
  </si>
  <si>
    <t>6756746523024</t>
  </si>
  <si>
    <t>iPhone 14 Модем - восстановление GSM сети | *цена от, требуется диагностика</t>
  </si>
  <si>
    <t>6756746523023</t>
  </si>
  <si>
    <t>iPhone 14 WiFi / Bluetooth - восстановление беспроводных сетей | *цена от, требуется диагностика</t>
  </si>
  <si>
    <t>iPhone 14 Plus Диагностика (с пайкой компонентов) | *бесплатно при дальнейшем ремонте</t>
  </si>
  <si>
    <t>6756746522945</t>
  </si>
  <si>
    <t>iPhone 14 Plus Чистка сеток динамиков и разъема зарядки БЕЗ РАЗБОРА (минимальная)</t>
  </si>
  <si>
    <t>iPhone 14 Plus Чистка сеток динамиков и разъема зарядки С РАЗБОРОМ (максимальная)</t>
  </si>
  <si>
    <t>6756746522942</t>
  </si>
  <si>
    <t>iPhone 14 Plus Аккумулятор - замена (минимальная)</t>
  </si>
  <si>
    <t>iPhone 14 Plus Аккумулятор - замена (максимальная)</t>
  </si>
  <si>
    <t>6756746522961</t>
  </si>
  <si>
    <t>iPhone 14 Plus Разъем зарядки - замена</t>
  </si>
  <si>
    <t>6756746522950</t>
  </si>
  <si>
    <t>iPhone 14 Plus Дисплей - замена (минимальная)</t>
  </si>
  <si>
    <t>iPhone 14 Plus Дисплей - замена (максимальная)</t>
  </si>
  <si>
    <t>6756746522953</t>
  </si>
  <si>
    <t>iPhone 14 Plus Дисплей - замена разбитого стекла</t>
  </si>
  <si>
    <t>6756746522955</t>
  </si>
  <si>
    <t>iPhone 14 Plus Камера основная - замена</t>
  </si>
  <si>
    <t>6756746522956</t>
  </si>
  <si>
    <t>iPhone 14 Plus Камера фронтальная - замена</t>
  </si>
  <si>
    <t>6756746522954</t>
  </si>
  <si>
    <t>iPhone 14 Plus Камера - замена разбитого стекла | *цена за 1шт.</t>
  </si>
  <si>
    <t>6756746522962</t>
  </si>
  <si>
    <t>iPhone 14 Plus Face ID - восстановление | *цена от, требуется диагностика</t>
  </si>
  <si>
    <t>6756746522958</t>
  </si>
  <si>
    <t>iPhone 14 Plus Крышка (заднее стекло) - замена на АНАЛОГ</t>
  </si>
  <si>
    <t>6756746522957</t>
  </si>
  <si>
    <t>iPhone 14 Plus Корпус - замена</t>
  </si>
  <si>
    <t>6756746522972</t>
  </si>
  <si>
    <t>iPhone 14 Plus Кнопки - восстановление / замена | *цена от, требуется диагностика</t>
  </si>
  <si>
    <t>6756746522947</t>
  </si>
  <si>
    <t>iPhone 14 Plus Динамик полифонический - замена</t>
  </si>
  <si>
    <t>6756746522948</t>
  </si>
  <si>
    <t>iPhone 14 Plus Динамик слуховой - замена</t>
  </si>
  <si>
    <t>6756746522949</t>
  </si>
  <si>
    <t>iPhone 14 Plus Микрофон - замена (один из..) | *требуется диагностика</t>
  </si>
  <si>
    <t>iPhone 14 Plus Ремонт платы - восстановление / замена | *цена от, требуется диагностика</t>
  </si>
  <si>
    <t>6756746522960</t>
  </si>
  <si>
    <t>iPhone 14 Plus Профилактика после воды - восстановление | *цена от, требуется диагностика</t>
  </si>
  <si>
    <t>6756746522982</t>
  </si>
  <si>
    <t>iPhone 14 Plus Модем - восстановление GSM сети | *цена от, требуется диагностика</t>
  </si>
  <si>
    <t>6756746522981</t>
  </si>
  <si>
    <t>iPhone 14 Plus WiFi / Bluetooth - восстановление беспроводных сетей | *цена от, требуется диагностика</t>
  </si>
  <si>
    <t>iPhone 14 Pro Диагностика (с пайкой компонентов) | *бесплатно при дальнейшем ремонте</t>
  </si>
  <si>
    <t>6756746522902</t>
  </si>
  <si>
    <t>iPhone 14 Pro Чистка сеток динамиков и разъема зарядки БЕЗ РАЗБОРА (минимальная)</t>
  </si>
  <si>
    <t>iPhone 14 Pro Чистка сеток динамиков и разъема зарядки С РАЗБОРОМ (максимальная)</t>
  </si>
  <si>
    <t>6756746522899</t>
  </si>
  <si>
    <t>iPhone 14 Pro Аккумулятор - замена (минимальная)</t>
  </si>
  <si>
    <t>iPhone 14 Pro Аккумулятор - замена (максимальная)</t>
  </si>
  <si>
    <t>6756746522918</t>
  </si>
  <si>
    <t>iPhone 14 Pro Разъем зарядки - замена</t>
  </si>
  <si>
    <t>6756746522907</t>
  </si>
  <si>
    <t>iPhone 14 Pro Дисплей - замена (минимальная)</t>
  </si>
  <si>
    <t>iPhone 14 Pro Дисплей - замена (максимальная)</t>
  </si>
  <si>
    <t>6756746522910</t>
  </si>
  <si>
    <t>iPhone 14 Pro Дисплей - замена разбитого стекла</t>
  </si>
  <si>
    <t>6756746522912</t>
  </si>
  <si>
    <t>iPhone 14 Pro Камера основная - замена</t>
  </si>
  <si>
    <t>6756746522913</t>
  </si>
  <si>
    <t>iPhone 14 Pro Камера фронтальная - замена</t>
  </si>
  <si>
    <t>6756746522911</t>
  </si>
  <si>
    <t>iPhone 14 Pro Камера - замена разбитого стекла | *цена за 1шт.</t>
  </si>
  <si>
    <t>6756746522919</t>
  </si>
  <si>
    <t>iPhone 14 Pro Face ID - восстановление | *цена от, требуется диагностика</t>
  </si>
  <si>
    <t>6756746522915</t>
  </si>
  <si>
    <t>iPhone 14 Pro Крышка (заднее стекло) - замена на АНАЛОГ</t>
  </si>
  <si>
    <t>6756746522914</t>
  </si>
  <si>
    <t>iPhone 14 Pro Корпус - замена</t>
  </si>
  <si>
    <t>6756746522930</t>
  </si>
  <si>
    <t>iPhone 14 Pro Кнопки - восстановление / замена | *цена от, требуется диагностика</t>
  </si>
  <si>
    <t>6756746522904</t>
  </si>
  <si>
    <t>iPhone 14 Pro Динамик полифонический - замена</t>
  </si>
  <si>
    <t>6756746522905</t>
  </si>
  <si>
    <t>iPhone 14 Pro Динамик слуховой - замена</t>
  </si>
  <si>
    <t>6756746522906</t>
  </si>
  <si>
    <t>iPhone 14 Pro Микрофон - замена (один из..) | *требуется диагностика</t>
  </si>
  <si>
    <t>iPhone 14 Pro Ремонт платы - восстановление / замена | *цена от, требуется диагностика</t>
  </si>
  <si>
    <t>6756746522917</t>
  </si>
  <si>
    <t>iPhone 14 Pro Профилактика после воды - восстановление | *цена от, требуется диагностика</t>
  </si>
  <si>
    <t>6756746522940</t>
  </si>
  <si>
    <t>iPhone 14 Pro Модем - восстановление GSM сети | *цена от, требуется диагностика</t>
  </si>
  <si>
    <t>6756746522939</t>
  </si>
  <si>
    <t>iPhone 14 Pro WiFi / Bluetooth - восстановление беспроводных сетей | *цена от, требуется диагностика</t>
  </si>
  <si>
    <t>iPhone 14 Pro Max Диагностика (с пайкой компонентов) | *бесплатно при дальнейшем ремонте</t>
  </si>
  <si>
    <t>6756746522861</t>
  </si>
  <si>
    <t>iPhone 14 Pro Max Чистка сеток динамиков и разъема зарядки БЕЗ РАЗБОРА (минимальная)</t>
  </si>
  <si>
    <t>iPhone 14 Pro Max Чистка сеток динамиков и разъема зарядки С РАЗБОРОМ (максимальная)</t>
  </si>
  <si>
    <t>6756746522858</t>
  </si>
  <si>
    <t>iPhone 14 Pro Max Аккумулятор - замена (минимальная)</t>
  </si>
  <si>
    <t>iPhone 14 Pro Max Аккумулятор - замена (максимальная)</t>
  </si>
  <si>
    <t>6756746522877</t>
  </si>
  <si>
    <t>iPhone 14 Pro Max Разъем зарядки - замена</t>
  </si>
  <si>
    <t>6756746522866</t>
  </si>
  <si>
    <t>iPhone 14 Pro Max Дисплей - замена (минимальная)</t>
  </si>
  <si>
    <t>iPhone 14 Pro Max Дисплей - замена (максимальная)</t>
  </si>
  <si>
    <t>6756746522869</t>
  </si>
  <si>
    <t>iPhone 14 Pro Max Дисплей - замена разбитого стекла</t>
  </si>
  <si>
    <t>6756746522871</t>
  </si>
  <si>
    <t>iPhone 14 Pro Max Камера основная - замена</t>
  </si>
  <si>
    <t>6756746522872</t>
  </si>
  <si>
    <t>iPhone 14 Pro Max Камера фронтальная - замена</t>
  </si>
  <si>
    <t>6756746522870</t>
  </si>
  <si>
    <t>iPhone 14 Pro Max Камера - замена разбитого стекла | *цена за 1шт.</t>
  </si>
  <si>
    <t>6756746522878</t>
  </si>
  <si>
    <t>iPhone 14 Pro Max Face ID - восстановление | *цена от, требуется диагностика</t>
  </si>
  <si>
    <t>6756746522874</t>
  </si>
  <si>
    <t>iPhone 14 Pro Max Крышка (заднее стекло) - замена на АНАЛОГ</t>
  </si>
  <si>
    <t>6756746522873</t>
  </si>
  <si>
    <t>iPhone 14 Pro Max Корпус - замена</t>
  </si>
  <si>
    <t>6756746522887</t>
  </si>
  <si>
    <t>iPhone 14 Pro Max Кнопки - восстановление / замена | *цена от, требуется диагностика</t>
  </si>
  <si>
    <t>6756746522863</t>
  </si>
  <si>
    <t>iPhone 14 Pro Max Динамик полифонический - замена</t>
  </si>
  <si>
    <t>6756746522864</t>
  </si>
  <si>
    <t>iPhone 14 Pro Max Динамик слуховой - замена</t>
  </si>
  <si>
    <t>6756746522865</t>
  </si>
  <si>
    <t>iPhone 14 Pro Max Микрофон - замена (один из..) | *требуется диагностика</t>
  </si>
  <si>
    <t>iPhone 14 Pro Max Ремонт платы - восстановление / замена | *цена от, требуется диагностика</t>
  </si>
  <si>
    <t>6756746522876</t>
  </si>
  <si>
    <t>iPhone 14 Pro Max Профилактика после воды - восстановление | *цена от, требуется диагностика</t>
  </si>
  <si>
    <t>6756746522897</t>
  </si>
  <si>
    <t>iPhone 14 Pro Max Модем - восстановление GSM сети | *цена от, требуется диагностика</t>
  </si>
  <si>
    <t>6756746522896</t>
  </si>
  <si>
    <t>iPhone 14 Pro Max WiFi / Bluetooth - восстановление беспроводных сетей | *цена от, требуется диагностика</t>
  </si>
  <si>
    <t>iPhone 15 Диагностика (с пайкой компонентов) | *бесплатно при дальнейшем ремонте</t>
  </si>
  <si>
    <t>78212978527243108</t>
  </si>
  <si>
    <t>iPhone 15 Чистка сеток динамиков и разъема зарядки БЕЗ РАЗБОРА (минимальная)</t>
  </si>
  <si>
    <t>iPhone 15 Чистка сеток динамиков и разъема зарядки С РАЗБОРОМ (максимальная)</t>
  </si>
  <si>
    <t>iPhone 15 Аккумулятор - замена (минимальная)</t>
  </si>
  <si>
    <t>iPhone 15 Аккумулятор - замена (максимальная)</t>
  </si>
  <si>
    <t>iPhone 15 Разъем зарядки - замена</t>
  </si>
  <si>
    <t>iPhone 15 Дисплей - замена (минимальная)</t>
  </si>
  <si>
    <t>iPhone 15 Дисплей - замена (максимальная)</t>
  </si>
  <si>
    <t>iPhone 15 Дисплей - замена разбитого стекла</t>
  </si>
  <si>
    <t>iPhone 15 Камера основная - замена</t>
  </si>
  <si>
    <t>iPhone 15 Камера фронтальная - замена</t>
  </si>
  <si>
    <t>iPhone 15 Камера - замена разбитого стекла | *цена за 1шт.</t>
  </si>
  <si>
    <t>iPhone 15 Face ID - восстановление | *цена от, требуется диагностика</t>
  </si>
  <si>
    <t>iPhone 15 Крышка (заднее стекло) - замена (минимальная)</t>
  </si>
  <si>
    <t>iPhone 15 Крышка (заднее стекло) - замена (максимальная)</t>
  </si>
  <si>
    <t>iPhone 15 Корпус - замена</t>
  </si>
  <si>
    <t>iPhone 15 Кнопки - восстановление / замена | *цена от, требуется диагностика</t>
  </si>
  <si>
    <t>iPhone 15 Динамик полифонический - замена</t>
  </si>
  <si>
    <t>iPhone 15 Динамик слуховой - замена</t>
  </si>
  <si>
    <t>iPhone 15 Микрофон - замена (один из..) | *требуется диагностика</t>
  </si>
  <si>
    <t>iPhone 15 Ремонт платы - восстановление / замена | *цена от, требуется диагностика</t>
  </si>
  <si>
    <t>iPhone 15 Профилактика после воды - восстановление | *цена от, требуется диагностика</t>
  </si>
  <si>
    <t>782129785272453942</t>
  </si>
  <si>
    <t>iPhone 15 Модем - восстановление GSM сети | *цена от, требуется диагностика</t>
  </si>
  <si>
    <t>78212978527243129</t>
  </si>
  <si>
    <t>iPhone 15 WiFi / Bluetooth - восстановление беспроводных сетей | *цена от, требуется диагностика</t>
  </si>
  <si>
    <t>iPhone 15 Plus Диагностика (с пайкой компонентов) | *бесплатно при дальнейшем ремонте</t>
  </si>
  <si>
    <t>78212978527243085</t>
  </si>
  <si>
    <t>iPhone 15 Plus Чистка сеток динамиков и разъема зарядки БЕЗ РАЗБОРА (минимальная)</t>
  </si>
  <si>
    <t>iPhone 15 Plus Чистка сеток динамиков и разъема зарядки С РАЗБОРОМ (максимальная)</t>
  </si>
  <si>
    <t>iPhone 15 Plus Аккумулятор - замена (минимальная)</t>
  </si>
  <si>
    <t>iPhone 15 Plus Аккумулятор - замена (максимальная)</t>
  </si>
  <si>
    <t>iPhone 15 Plus Разъем зарядки - замена</t>
  </si>
  <si>
    <t>iPhone 15 Plus Дисплей - замена (минимальная)</t>
  </si>
  <si>
    <t>iPhone 15 Plus Дисплей - замена разбитого стекла</t>
  </si>
  <si>
    <t>iPhone 15 Plus Камера основная - замена</t>
  </si>
  <si>
    <t>iPhone 15 Plus Камера фронтальная - замена</t>
  </si>
  <si>
    <t>iPhone 15 Plus Камера - замена разбитого стекла | *цена за 1шт.</t>
  </si>
  <si>
    <t>iPhone 15 Plus Face ID - восстановление | *цена от, требуется диагностика</t>
  </si>
  <si>
    <t>iPhone 15 Plus Крышка (заднее стекло) - замена (минимальная)</t>
  </si>
  <si>
    <t>iPhone 15 Plus Корпус - замена</t>
  </si>
  <si>
    <t>iPhone 15 Plus Кнопки - восстановление / замена | *цена от, требуется диагностика</t>
  </si>
  <si>
    <t>iPhone 15 Plus Динамик полифонический - замена</t>
  </si>
  <si>
    <t>iPhone 15 Plus Динамик слуховой - замена</t>
  </si>
  <si>
    <t>iPhone 15 Plus Микрофон - замена (один из..) | *требуется диагностика</t>
  </si>
  <si>
    <t>iPhone 15 Plus Ремонт платы - восстановление / замена | *цена от, требуется диагностика</t>
  </si>
  <si>
    <t>iPhone 15 Plus Профилактика после воды - восстановление | *цена от, требуется диагностика</t>
  </si>
  <si>
    <t>782129785272453983</t>
  </si>
  <si>
    <t>iPhone 15 Plus Модем - восстановление GSM сети | *цена от, требуется диагностика</t>
  </si>
  <si>
    <t>782129785272453982</t>
  </si>
  <si>
    <t>iPhone 15 Plus WiFi / Bluetooth - восстановление беспроводных сетей | *цена от, требуется диагностика</t>
  </si>
  <si>
    <t>iPhone 15 Pro Диагностика (с пайкой компонентов) | *бесплатно при дальнейшем ремонте</t>
  </si>
  <si>
    <t>78212978527243057</t>
  </si>
  <si>
    <t>iPhone 15 Pro Чистка сеток динамиков и разъема зарядки БЕЗ РАЗБОРА (минимальная)</t>
  </si>
  <si>
    <t>iPhone 15 Pro Чистка сеток динамиков и разъема зарядки С РАЗБОРОМ (максимальная)</t>
  </si>
  <si>
    <t>iPhone 15 Pro Аккумулятор - замена (минимальная)</t>
  </si>
  <si>
    <t>iPhone 15 Pro Аккумулятор - замена (максимальная)</t>
  </si>
  <si>
    <t>iPhone 15 Pro Разъем зарядки - замена</t>
  </si>
  <si>
    <t>iPhone 15 Pro Дисплей - замена (минимальная)</t>
  </si>
  <si>
    <t>iPhone 15 Pro Дисплей - замена (максимальная)</t>
  </si>
  <si>
    <t>iPhone 15 Pro Дисплей - замена разбитого стекла</t>
  </si>
  <si>
    <t>iPhone 15 Pro Камера основная - замена</t>
  </si>
  <si>
    <t>iPhone 15 Pro Камера фронтальная - замена</t>
  </si>
  <si>
    <t>iPhone 15 Pro Камера - замена разбитого стекла | *цена за 1шт.</t>
  </si>
  <si>
    <t>iPhone 15 Pro Face ID - восстановление | *цена от, требуется диагностика</t>
  </si>
  <si>
    <t>iPhone 15 Pro Крышка (заднее стекло) - замена (минимальная)</t>
  </si>
  <si>
    <t>iPhone 15 Pro Крышка (заднее стекло) - замена (максимальная)</t>
  </si>
  <si>
    <t>iPhone 15 Pro Корпус - замена</t>
  </si>
  <si>
    <t>iPhone 15 Pro Кнопки - восстановление / замена | *цена от, требуется диагностика</t>
  </si>
  <si>
    <t>iPhone 15 Pro Динамик полифонический - замена</t>
  </si>
  <si>
    <t>iPhone 15 Pro Динамик слуховой - замена</t>
  </si>
  <si>
    <t>iPhone 15 Pro Микрофон - замена (один из..) | *требуется диагностика</t>
  </si>
  <si>
    <t>iPhone 15 Pro Ремонт платы - восстановление / замена | *цена от, требуется диагностика</t>
  </si>
  <si>
    <t>iPhone 15 Pro Профилактика после воды - восстановление | *цена от, требуется диагностика</t>
  </si>
  <si>
    <t>782129785272453955</t>
  </si>
  <si>
    <t>iPhone 15 Pro Модем - восстановление GSM сети | *цена от, требуется диагностика</t>
  </si>
  <si>
    <t>78212978527243081</t>
  </si>
  <si>
    <t>iPhone 15 Pro WiFi / Bluetooth - восстановление беспроводных сетей | *цена от, требуется диагностика</t>
  </si>
  <si>
    <t>iPhone 15 Pro Max Диагностика (с пайкой компонентов) | *бесплатно при дальнейшем ремонте</t>
  </si>
  <si>
    <t>78212978527243030</t>
  </si>
  <si>
    <t>iPhone 15 Pro Max Чистка сеток динамиков и разъема зарядки БЕЗ РАЗБОРА (минимальная)</t>
  </si>
  <si>
    <t>iPhone 15 Pro Max Чистка сеток динамиков и разъема зарядки С РАЗБОРОМ (максимальная)</t>
  </si>
  <si>
    <t>iPhone 15 Pro Max Аккумулятор - замена (минимальная)</t>
  </si>
  <si>
    <t>iPhone 15 Pro Max Аккумулятор - замена (максимальная)</t>
  </si>
  <si>
    <t>iPhone 15 Pro Max Разъем зарядки - замена</t>
  </si>
  <si>
    <t>iPhone 15 Pro Max Дисплей - замена (минимальная)</t>
  </si>
  <si>
    <t>iPhone 15 Pro Max Дисплей - замена (максимальная)</t>
  </si>
  <si>
    <t>iPhone 15 Pro Max Дисплей - замена разбитого стекла</t>
  </si>
  <si>
    <t>iPhone 15 Pro Max Камера основная - замена</t>
  </si>
  <si>
    <t>iPhone 15 Pro Max Камера фронтальная - замена</t>
  </si>
  <si>
    <t>iPhone 15 Pro Max Камера - замена разбитого стекла | *цена за 1шт.</t>
  </si>
  <si>
    <t>iPhone 15 Pro Max Face ID - восстановление | *цена от, требуется диагностика</t>
  </si>
  <si>
    <t>iPhone 15 Pro Max Крышка (заднее стекло) - замена (минимальная)</t>
  </si>
  <si>
    <t>iPhone 15 Pro Max Крышка (заднее стекло) - замена (максимальная)</t>
  </si>
  <si>
    <t>iPhone 15 Pro Max Корпус - замена</t>
  </si>
  <si>
    <t>iPhone 15 Pro Max Кнопки - восстановление / замена | *цена от, требуется диагностика</t>
  </si>
  <si>
    <t>iPhone 15 Pro Max Динамик полифонический - замена</t>
  </si>
  <si>
    <t>iPhone 15 Pro Max Динамик слуховой - замена</t>
  </si>
  <si>
    <t>iPhone 15 Pro Max Микрофон - замена (один из..) | *требуется диагностика</t>
  </si>
  <si>
    <t>iPhone 15 Pro Max Ремонт платы - восстановление / замена | *цена от, требуется диагностика</t>
  </si>
  <si>
    <t>iPhone 15 Pro Max Профилактика после воды - восстановление | *цена от, требуется диагностика</t>
  </si>
  <si>
    <t>782129785272453968</t>
  </si>
  <si>
    <t>iPhone 15 Pro Max Модем - восстановление GSM сети | *цена от, требуется диагностика</t>
  </si>
  <si>
    <t>78212978527243053</t>
  </si>
  <si>
    <t>iPhone 15 Pro Max WiFi / Bluetooth - восстановление беспроводных сетей | *цена от, требуется диагностика</t>
  </si>
  <si>
    <t>iPhone 16 Диагностика (с пайкой компонентов) | *бесплатно при дальнейшем ремонте</t>
  </si>
  <si>
    <t>782129785272454064</t>
  </si>
  <si>
    <t>iPhone 16 Чистка сеток динамиков и разъема зарядки БЕЗ РАЗБОРА (минимальная)</t>
  </si>
  <si>
    <t>iPhone 16 Чистка сеток динамиков и разъема зарядки С РАЗБОРОМ (максимальная)</t>
  </si>
  <si>
    <t>iPhone 16 Аккумулятор - замена (минимальная)</t>
  </si>
  <si>
    <t>iPhone 16 Аккумулятор - замена (максимальная)</t>
  </si>
  <si>
    <t>iPhone 16 Разъем зарядки - замена</t>
  </si>
  <si>
    <t>iPhone 16 Дисплей - замена (минимальная)</t>
  </si>
  <si>
    <t>iPhone 16 Дисплей - замена (максимальная)</t>
  </si>
  <si>
    <t>iPhone 16 Дисплей - замена разбитого стекла</t>
  </si>
  <si>
    <t>iPhone 16 Камера основная - замена</t>
  </si>
  <si>
    <t>iPhone 16 Камера фронтальная - замена</t>
  </si>
  <si>
    <t>iPhone 16 Камера - замена разбитого стекла | *цена за 1шт.</t>
  </si>
  <si>
    <t>iPhone 16 Face ID - восстановление | *цена от, требуется диагностика</t>
  </si>
  <si>
    <t>iPhone 16 Крышка (заднее стекло) - замена (минимальная)</t>
  </si>
  <si>
    <t>iPhone 16 Крышка (заднее стекло) - замена (максимальная)</t>
  </si>
  <si>
    <t>iPhone 16 Корпус - замена</t>
  </si>
  <si>
    <t>iPhone 16 Кнопки - восстановление / замена | *цена от, требуется диагностика</t>
  </si>
  <si>
    <t>iPhone 16 Динамик полифонический - замена</t>
  </si>
  <si>
    <t>iPhone 16 Динамик слуховой - замена</t>
  </si>
  <si>
    <t>iPhone 16 Микрофон - замена (один из..) | *требуется диагностика</t>
  </si>
  <si>
    <t>iPhone 16 Ремонт платы - восстановление / замена | *цена от, требуется диагностика</t>
  </si>
  <si>
    <t>iPhone 16 Профилактика после воды - восстановление | *цена от, требуется диагностика</t>
  </si>
  <si>
    <t>782129785272454182</t>
  </si>
  <si>
    <t>iPhone 16 Модем - восстановление GSM сети | *цена от, требуется диагностика</t>
  </si>
  <si>
    <t>782129785272454178</t>
  </si>
  <si>
    <t>iPhone 16 WiFi / Bluetooth - восстановление беспроводных сетей | *цена от, требуется диагностика</t>
  </si>
  <si>
    <t>iPhone 16E Диагностика (с пайкой компонентов) | *бесплатно при дальнейшем ремонте</t>
  </si>
  <si>
    <t>782129785272454078</t>
  </si>
  <si>
    <t>iPhone 16E Чистка сеток динамиков и разъема зарядки БЕЗ РАЗБОРА (минимальная)</t>
  </si>
  <si>
    <t>iPhone 16E Чистка сеток динамиков и разъема зарядки С РАЗБОРОМ (максимальная)</t>
  </si>
  <si>
    <t>iPhone 16E Аккумулятор - замена</t>
  </si>
  <si>
    <t>iPhone 16E Разъем зарядки - замена</t>
  </si>
  <si>
    <t>iPhone 16E Дисплей - замена (минимальная)</t>
  </si>
  <si>
    <t>iPhone 16E Дисплей - замена разбитого стекла</t>
  </si>
  <si>
    <t>iPhone 16E Камера основная - замена</t>
  </si>
  <si>
    <t>iPhone 16E Камера фронтальная - замена</t>
  </si>
  <si>
    <t>iPhone 16E Камера - замена разбитого стекла | *цена за 1шт.</t>
  </si>
  <si>
    <t>iPhone 16E Face ID - восстановление | *цена от, требуется диагностика</t>
  </si>
  <si>
    <t>iPhone 16E Крышка (заднее стекло) - замена</t>
  </si>
  <si>
    <t>iPhone 16E Корпус - замена</t>
  </si>
  <si>
    <t>iPhone 16E Кнопки - восстановление / замена | *цена от, требуется диагностика</t>
  </si>
  <si>
    <t>iPhone 16E Динамик полифонический - замена</t>
  </si>
  <si>
    <t>iPhone 16E Динамик слуховой - замена</t>
  </si>
  <si>
    <t>iPhone 16E Микрофон - замена (один из..) | *требуется диагностика</t>
  </si>
  <si>
    <t>iPhone 16E Ремонт платы - восстановление / замена | *цена от, требуется диагностика</t>
  </si>
  <si>
    <t>iPhone 16E Профилактика после воды - восстановление | *цена от, требуется диагностика</t>
  </si>
  <si>
    <t>782129785272454180</t>
  </si>
  <si>
    <t>iPhone 16E Модем - восстановление GSM сети | *цена от, требуется диагностика</t>
  </si>
  <si>
    <t>782129785272454201</t>
  </si>
  <si>
    <t>iPhone 16E WiFi / Bluetooth - восстановление беспроводных сетей | *цена от, требуется диагностика</t>
  </si>
  <si>
    <t>iPhone 16 Plus Диагностика (с пайкой компонентов) | *бесплатно при дальнейшем ремонте</t>
  </si>
  <si>
    <t>782129785272454152</t>
  </si>
  <si>
    <t>iPhone 16 Plus Чистка сеток динамиков и разъема зарядки БЕЗ РАЗБОРА (минимальная)</t>
  </si>
  <si>
    <t>iPhone 16 Plus Чистка сеток динамиков и разъема зарядки С РАЗБОРОМ (максимальная)</t>
  </si>
  <si>
    <t>iPhone 16 Plus Аккумулятор - замена (минимальная)</t>
  </si>
  <si>
    <t>iPhone 16 Plus Аккумулятор - замена (максимальная)</t>
  </si>
  <si>
    <t>iPhone 16 Plus Разъем зарядки - замена</t>
  </si>
  <si>
    <t>iPhone 16 Plus Дисплей - замена (минимальная)</t>
  </si>
  <si>
    <t>iPhone 16 Plus Дисплей - замена разбитого стекла</t>
  </si>
  <si>
    <t>iPhone 16 Plus Камера основная - замена</t>
  </si>
  <si>
    <t>iPhone 16 Plus Камера фронтальная - замена</t>
  </si>
  <si>
    <t>iPhone 16 Plus Камера - замена разбитого стекла | *цена за 1шт.</t>
  </si>
  <si>
    <t>iPhone 16 Plus Face ID - восстановление | *цена от, требуется диагностика</t>
  </si>
  <si>
    <t>iPhone 16 Plus Крышка (заднее стекло) - замена (минимальная)</t>
  </si>
  <si>
    <t>iPhone 16 Plus Корпус - замена</t>
  </si>
  <si>
    <t>iPhone 16 Plus Кнопки - восстановление / замена | *цена от, требуется диагностика</t>
  </si>
  <si>
    <t>iPhone 16 Plus Динамик полифонический - замена</t>
  </si>
  <si>
    <t>iPhone 16 Plus Динамик слуховой - замена</t>
  </si>
  <si>
    <t>iPhone 16 Plus Микрофон - замена (один из..) | *требуется диагностика</t>
  </si>
  <si>
    <t>iPhone 16 Plus Ремонт платы - восстановление / замена | *цена от, требуется диагностика</t>
  </si>
  <si>
    <t>iPhone 16 Plus Профилактика после воды - восстановление | *цена от, требуется диагностика</t>
  </si>
  <si>
    <t>782129785272454118</t>
  </si>
  <si>
    <t>iPhone 16 Plus Модем - восстановление GSM сети | *цена от, требуется диагностика</t>
  </si>
  <si>
    <t>782129785272454137</t>
  </si>
  <si>
    <t>iPhone 16 Plus WiFi / Bluetooth - восстановление беспроводных сетей | *цена от, требуется диагностика</t>
  </si>
  <si>
    <t>iPhone 16 Pro Диагностика (с пайкой компонентов) | *бесплатно при дальнейшем ремонте</t>
  </si>
  <si>
    <t>782129785272454104</t>
  </si>
  <si>
    <t>iPhone 16 Pro Чистка сеток динамиков и разъема зарядки БЕЗ РАЗБОРА (минимальная)</t>
  </si>
  <si>
    <t>iPhone 16 Pro Чистка сеток динамиков и разъема зарядки С РАЗБОРОМ (максимальная)</t>
  </si>
  <si>
    <t>iPhone 16 Pro Аккумулятор - замена (минимальная)</t>
  </si>
  <si>
    <t>iPhone 16 Pro Аккумулятор - замена (максимальная)</t>
  </si>
  <si>
    <t>iPhone 16 Pro Разъем зарядки - замена</t>
  </si>
  <si>
    <t>iPhone 16 Pro Дисплей - замена (минимальная)</t>
  </si>
  <si>
    <t>iPhone 16 Pro Дисплей - замена (максимальная)</t>
  </si>
  <si>
    <t>iPhone 16 Pro Дисплей - замена разбитого стекла</t>
  </si>
  <si>
    <t>iPhone 16 Pro Камера основная - замена</t>
  </si>
  <si>
    <t>iPhone 16 Pro Камера фронтальная - замена</t>
  </si>
  <si>
    <t>iPhone 16 Pro Камера - замена разбитого стекла | *цена за 1шт.</t>
  </si>
  <si>
    <t>iPhone 16 Pro Face ID - восстановление | *цена от, требуется диагностика</t>
  </si>
  <si>
    <t>iPhone 16 Pro Крышка (заднее стекло) - замена (минимальная)</t>
  </si>
  <si>
    <t>iPhone 16 Pro Крышка (заднее стекло) - замена (максимальная)</t>
  </si>
  <si>
    <t>iPhone 16 Pro Корпус - замена</t>
  </si>
  <si>
    <t>iPhone 16 Pro Кнопки - восстановление / замена | *цена от, требуется диагностика</t>
  </si>
  <si>
    <t>iPhone 16 Pro Динамик полифонический - замена</t>
  </si>
  <si>
    <t>iPhone 16 Pro Динамик слуховой - замена</t>
  </si>
  <si>
    <t>iPhone 16 Pro Микрофон - замена (один из..) | *требуется диагностика</t>
  </si>
  <si>
    <t>iPhone 16 Pro Ремонт платы - восстановление / замена | *цена от, требуется диагностика</t>
  </si>
  <si>
    <t>iPhone 16 Pro Профилактика после воды - восстановление | *цена от, требуется диагностика</t>
  </si>
  <si>
    <t>782129785272454165</t>
  </si>
  <si>
    <t>iPhone 16 Pro Модем - восстановление GSM сети | *цена от, требуется диагностика</t>
  </si>
  <si>
    <t>782129785272454157</t>
  </si>
  <si>
    <t>iPhone 16 Pro WiFi / Bluetooth - восстановление беспроводных сетей | *цена от, требуется диагностика</t>
  </si>
  <si>
    <t>iPhone 16 Pro Max Диагностика (с пайкой компонентов) | *бесплатно при дальнейшем ремонте</t>
  </si>
  <si>
    <t>782129785272454175</t>
  </si>
  <si>
    <t>iPhone 16 Pro Max Чистка сеток динамиков и разъема зарядки БЕЗ РАЗБОРА (минимальная)</t>
  </si>
  <si>
    <t>iPhone 16 Pro Max Чистка сеток динамиков и разъема зарядки С РАЗБОРОМ (максимальная)</t>
  </si>
  <si>
    <t>iPhone 16 Pro Max Аккумулятор - замена (минимальная)</t>
  </si>
  <si>
    <t>iPhone 16 Pro Max Аккумулятор - замена (максимальная)</t>
  </si>
  <si>
    <t>iPhone 16 Pro Max Разъем зарядки - замена</t>
  </si>
  <si>
    <t>iPhone 16 Pro Max Дисплей - замена (минимальная)</t>
  </si>
  <si>
    <t>iPhone 16 Pro Max Дисплей - замена (максимальная)</t>
  </si>
  <si>
    <t>iPhone 16 Pro Max Дисплей - замена разбитого стекла</t>
  </si>
  <si>
    <t>iPhone 16 Pro Max Камера основная - замена</t>
  </si>
  <si>
    <t>iPhone 16 Pro Max Камера фронтальная - замена</t>
  </si>
  <si>
    <t>iPhone 16 Pro Max Камера - замена разбитого стекла | *цена за 1шт.</t>
  </si>
  <si>
    <t>iPhone 16 Pro Max Face ID - восстановление | *цена от, требуется диагностика</t>
  </si>
  <si>
    <t>iPhone 16 Pro Max Крышка (заднее стекло) - замена (минимальная)</t>
  </si>
  <si>
    <t>iPhone 16 Pro Max Крышка (заднее стекло) - замена (максимальная)</t>
  </si>
  <si>
    <t>iPhone 16 Pro Max Корпус - замена</t>
  </si>
  <si>
    <t>iPhone 16 Pro Max Кнопки - восстановление / замена | *цена от, требуется диагностика</t>
  </si>
  <si>
    <t>iPhone 16 Pro Max Динамик полифонический - замена</t>
  </si>
  <si>
    <t>iPhone 16 Pro Max Динамик слуховой - замена</t>
  </si>
  <si>
    <t>iPhone 16 Pro Max Микрофон - замена (один из..) | *требуется диагностика</t>
  </si>
  <si>
    <t>iPhone 16 Pro Max Ремонт платы - восстановление / замена | *цена от, требуется диагностика</t>
  </si>
  <si>
    <t>iPhone 16 Pro Max Профилактика после воды - восстановление | *цена от, требуется диагностика</t>
  </si>
  <si>
    <t>782129785272454092</t>
  </si>
  <si>
    <t>iPhone 16 Pro Max Модем - восстановление GSM сети | *цена от, требуется диагностика</t>
  </si>
  <si>
    <t>782129785272454094</t>
  </si>
  <si>
    <t>iPhone 16 Pro Max WiFi / Bluetooth - восстановление беспроводных сетей | *цена от, требуется диагностика</t>
  </si>
  <si>
    <t>iPhone 17 Диагностика (с пайкой компонентов) | *бесплатно при дальнейшем ремонте</t>
  </si>
  <si>
    <t>782129785272454549</t>
  </si>
  <si>
    <t>iPhone 17 Чистка сеток динамиков и разъема зарядки БЕЗ РАЗБОРА (минимальная)</t>
  </si>
  <si>
    <t>iPhone 17 Чистка сеток динамиков и разъема зарядки С РАЗБОРОМ (максимальная)</t>
  </si>
  <si>
    <t>iPhone 17 Аккумулятор - замена (минимальная)</t>
  </si>
  <si>
    <t>iPhone 17 Разъем зарядки - замена</t>
  </si>
  <si>
    <t>iPhone 17 Дисплей - замена (минимальная)</t>
  </si>
  <si>
    <t>iPhone 17 Дисплей - замена (максимальная)</t>
  </si>
  <si>
    <t>iPhone 17 Дисплей - замена разбитого стекла</t>
  </si>
  <si>
    <t>iPhone 17 Камера основная - замена</t>
  </si>
  <si>
    <t>iPhone 17 Камера фронтальная - замена</t>
  </si>
  <si>
    <t>iPhone 17 Камера - замена разбитого стекла | *цена за 1шт.</t>
  </si>
  <si>
    <t>iPhone 17 Face ID - восстановление | *цена от, требуется диагностика</t>
  </si>
  <si>
    <t>iPhone 17 Крышка (заднее стекло) - замена (минимальная)</t>
  </si>
  <si>
    <t>iPhone 17 Крышка (заднее стекло) - замена (максимальная)</t>
  </si>
  <si>
    <t>iPhone 17 Корпус - замена</t>
  </si>
  <si>
    <t>iPhone 17 Кнопки - восстановление / замена | *цена от, требуется диагностика</t>
  </si>
  <si>
    <t>iPhone 17 Динамик полифонический - замена</t>
  </si>
  <si>
    <t>iPhone 17 Динамик слуховой - замена</t>
  </si>
  <si>
    <t>iPhone 17 Микрофон - замена (один из..) | *требуется диагностика</t>
  </si>
  <si>
    <t>iPhone 17 Ремонт платы - восстановление / замена | *цена от, требуется диагностика</t>
  </si>
  <si>
    <t>iPhone 17 Профилактика после воды - восстановление | *цена от, требуется диагностика</t>
  </si>
  <si>
    <t>782129785272454554</t>
  </si>
  <si>
    <t>iPhone 17 Модем - восстановление GSM сети | *цена от, требуется диагностика</t>
  </si>
  <si>
    <t>782129785272454574</t>
  </si>
  <si>
    <t>iPhone 17 WiFi / Bluetooth - восстановление беспроводных сетей | *цена от, требуется диагностика</t>
  </si>
  <si>
    <t>iPhone 17 Air Диагностика (с пайкой компонентов) | *бесплатно при дальнейшем ремонте</t>
  </si>
  <si>
    <t>782129785272454592</t>
  </si>
  <si>
    <t>iPhone 17 Air Чистка сеток динамиков и разъема зарядки БЕЗ РАЗБОРА (минимальная)</t>
  </si>
  <si>
    <t>iPhone 17 Air Чистка сеток динамиков и разъема зарядки С РАЗБОРОМ (максимальная)</t>
  </si>
  <si>
    <t>iPhone 17 Air Аккумулятор - замена (минимальная)</t>
  </si>
  <si>
    <t>iPhone 17 Air Разъем зарядки - замена</t>
  </si>
  <si>
    <t>iPhone 17 Air Дисплей - замена (минимальная)</t>
  </si>
  <si>
    <t>iPhone 17 Air Дисплей - замена (максимальная)</t>
  </si>
  <si>
    <t>iPhone 17 Air Дисплей - замена разбитого стекла</t>
  </si>
  <si>
    <t>iPhone 17 Air Камера основная - замена</t>
  </si>
  <si>
    <t>iPhone 17 Air Камера фронтальная - замена</t>
  </si>
  <si>
    <t>iPhone 17 Air Камера - замена разбитого стекла | *цена за 1шт.</t>
  </si>
  <si>
    <t>iPhone 17 Air Face ID - восстановление | *цена от, требуется диагностика</t>
  </si>
  <si>
    <t>iPhone 17 Air Крышка (заднее стекло) - замена (максимальная)</t>
  </si>
  <si>
    <t>!!!!</t>
  </si>
  <si>
    <t>iPhone 17 Air Корпус - замена</t>
  </si>
  <si>
    <t>iPhone 17 Air Кнопки - восстановление / замена | *цена от, требуется диагностика</t>
  </si>
  <si>
    <t>iPhone 17 Air Динамик полифонический - замена</t>
  </si>
  <si>
    <t>iPhone 17 Air Динамик слуховой - замена</t>
  </si>
  <si>
    <t>iPhone 17 Air Микрофон - замена (один из..) | *требуется диагностика</t>
  </si>
  <si>
    <t>iPhone 17 Air Ремонт платы - восстановление / замена | *цена от, требуется диагностика</t>
  </si>
  <si>
    <t>iPhone 17 Air Профилактика после воды - восстановление | *цена от, требуется диагностика</t>
  </si>
  <si>
    <t>782129785272454580</t>
  </si>
  <si>
    <t>iPhone 17 Air Модем - восстановление GSM сети | *цена от, требуется диагностика</t>
  </si>
  <si>
    <t>782129785272454598</t>
  </si>
  <si>
    <t>iPhone 17 Air WiFi / Bluetooth - восстановление беспроводных сетей | *цена от, требуется диагностика</t>
  </si>
  <si>
    <t>iPhone 17 Pro Диагностика (с пайкой компонентов) | *бесплатно при дальнейшем ремонте</t>
  </si>
  <si>
    <t>782129785272454567</t>
  </si>
  <si>
    <t>iPhone 17 Pro Чистка сеток динамиков и разъема зарядки БЕЗ РАЗБОРА (минимальная)</t>
  </si>
  <si>
    <t>iPhone 17 Pro Чистка сеток динамиков и разъема зарядки С РАЗБОРОМ (максимальная)</t>
  </si>
  <si>
    <t>iPhone 17 Pro Аккумулятор - замена (минимальная)</t>
  </si>
  <si>
    <t>iPhone 17 Pro Разъем зарядки - замена</t>
  </si>
  <si>
    <t>iPhone 17 Pro Дисплей - замена (минимальная)</t>
  </si>
  <si>
    <t>iPhone 17 Pro Дисплей - замена (максимальная)</t>
  </si>
  <si>
    <t>iPhone 17 Pro Дисплей - замена разбитого стекла</t>
  </si>
  <si>
    <t>iPhone 17 Pro Камера основная - замена</t>
  </si>
  <si>
    <t>iPhone 17 Pro Камера фронтальная - замена</t>
  </si>
  <si>
    <t>iPhone 17 Pro Камера - замена разбитого стекла | *цена за 1шт.</t>
  </si>
  <si>
    <t>iPhone 17 Pro Face ID - восстановление | *цена от, требуется диагностика</t>
  </si>
  <si>
    <t>iPhone 17 Pro Крышка (заднее стекло) - замена (минимальная)</t>
  </si>
  <si>
    <t>iPhone 17 Pro Крышка (заднее стекло) - замена (максимальная)</t>
  </si>
  <si>
    <t>iPhone 17 Pro Корпус - замена</t>
  </si>
  <si>
    <t>iPhone 17 Pro Кнопки - восстановление / замена | *цена от, требуется диагностика</t>
  </si>
  <si>
    <t>iPhone 17 Pro Динамик полифонический - замена</t>
  </si>
  <si>
    <t>iPhone 17 Pro Динамик слуховой - замена</t>
  </si>
  <si>
    <t>iPhone 17 Pro Микрофон - замена (один из..) | *требуется диагностика</t>
  </si>
  <si>
    <t>iPhone 17 Pro Ремонт платы - восстановление / замена | *цена от, требуется диагностика</t>
  </si>
  <si>
    <t>iPhone 17 Pro Профилактика после воды - восстановление | *цена от, требуется диагностика</t>
  </si>
  <si>
    <t>782129785272454624</t>
  </si>
  <si>
    <t>iPhone 17 Pro Модем - восстановление GSM сети | *цена от, требуется диагностика</t>
  </si>
  <si>
    <t>782129785272454646</t>
  </si>
  <si>
    <t>iPhone 17 Pro WiFi / Bluetooth - восстановление беспроводных сетей | *цена от, требуется диагностика</t>
  </si>
  <si>
    <t>iPhone 17 Pro Max Диагностика (с пайкой компонентов) | *бесплатно при дальнейшем ремонте</t>
  </si>
  <si>
    <t>782129785272454643</t>
  </si>
  <si>
    <t>iPhone 17 Pro Max Чистка сеток динамиков и разъема зарядки БЕЗ РАЗБОРА (минимальная)</t>
  </si>
  <si>
    <t>iPhone 17 Pro Max Чистка сеток динамиков и разъема зарядки С РАЗБОРОМ (максимальная)</t>
  </si>
  <si>
    <t>iPhone 17 Pro Max Аккумулятор - замена (минимальная)</t>
  </si>
  <si>
    <t>iPhone 17 Pro Max Разъем зарядки - замена</t>
  </si>
  <si>
    <t>iPhone 17 Pro Max Дисплей - замена (минимальная)</t>
  </si>
  <si>
    <t>iPhone 17 Pro Max Дисплей - замена (максимальная)</t>
  </si>
  <si>
    <t>iPhone 17 Pro Max Дисплей - замена разбитого стекла</t>
  </si>
  <si>
    <t>iPhone 17 Pro Max Камера основная - замена</t>
  </si>
  <si>
    <t>iPhone 17 Pro Max Камера фронтальная - замена</t>
  </si>
  <si>
    <t>iPhone 17 Pro Max Камера - замена разбитого стекла | *цена за 1шт.</t>
  </si>
  <si>
    <t>iPhone 17 Pro Max Face ID - восстановление | *цена от, требуется диагностика</t>
  </si>
  <si>
    <t>iPhone 17 Pro Max Крышка (заднее стекло) - замена (минимальная)</t>
  </si>
  <si>
    <t>iPhone 17 Pro Max Крышка (заднее стекло) - замена (максимальная)</t>
  </si>
  <si>
    <t>iPhone 17 Pro Max Корпус - замена</t>
  </si>
  <si>
    <t>iPhone 17 Pro Max Кнопки - восстановление / замена | *цена от, требуется диагностика</t>
  </si>
  <si>
    <t>iPhone 17 Pro Max Динамик полифонический - замена</t>
  </si>
  <si>
    <t>iPhone 17 Pro Max Динамик слуховой - замена</t>
  </si>
  <si>
    <t>iPhone 17 Pro Max Микрофон - замена (один из..) | *требуется диагностика</t>
  </si>
  <si>
    <t>iPhone 17 Pro Max Ремонт платы - восстановление / замена | *цена от, требуется диагностика</t>
  </si>
  <si>
    <t>iPhone 17 Pro Max Профилактика после воды - восстановление | *цена от, требуется диагностика</t>
  </si>
  <si>
    <t>782129785272454587</t>
  </si>
  <si>
    <t>iPhone 17 Pro Max Модем - восстановление GSM сети | *цена от, требуется диагностика</t>
  </si>
  <si>
    <t>782129785272454622</t>
  </si>
  <si>
    <t>iPhone 17 Pro Max WiFi / Bluetooth - восстановление беспроводных сетей | *цена от, требуется диагностика</t>
  </si>
  <si>
    <t>КОЭФИЦИЕНТ МОДЕЛИ</t>
  </si>
  <si>
    <t>НАДБАВКА ДЛЯ PRO СЕРИИ</t>
  </si>
  <si>
    <t>НАИМЕНОВАНИЕ | МОДЕЛЬ</t>
  </si>
  <si>
    <t>НЕ ЗАВИСИТ ОТ МОДЕЛИ</t>
  </si>
  <si>
    <t>13                   13 Mini</t>
  </si>
  <si>
    <t>Прошивка - БЕЗ РЕЗЕРВНОЙ копии</t>
  </si>
  <si>
    <t>Сопровождение - ремонт устройства *</t>
  </si>
  <si>
    <t>Сопровождение - обмен устройства *</t>
  </si>
  <si>
    <t>Схематическая работа *</t>
  </si>
  <si>
    <t>Компонентный ремонт *</t>
  </si>
  <si>
    <t>Модульный ремонт *</t>
  </si>
  <si>
    <t xml:space="preserve">Диагностика (с пайкой компонентов) | *бесплатно при дальнейшем ремонте </t>
  </si>
  <si>
    <t xml:space="preserve">Влагозащита (этап 1) - восстановление </t>
  </si>
  <si>
    <t xml:space="preserve">Влагозащита (этап 2) - восстановление </t>
  </si>
  <si>
    <t>Аккумулятор - замена</t>
  </si>
  <si>
    <t>Аккумулятор - устранение уведомления о замене</t>
  </si>
  <si>
    <t xml:space="preserve">Дисплей - замена </t>
  </si>
  <si>
    <t>Face ID - восстановление | *требуется диагностика</t>
  </si>
  <si>
    <t>Крышка (заднее стекло) - замена</t>
  </si>
  <si>
    <t xml:space="preserve">Корпус - замена </t>
  </si>
  <si>
    <t>Стекло камеры - замена | *цена за 1шт.</t>
  </si>
  <si>
    <t>Кнопка HOME - восстановление / замена * требуется диагностика</t>
  </si>
  <si>
    <t>Кнопки - восстановление / замена | *требуется диагностика</t>
  </si>
  <si>
    <t>Динамик полифонический - замена</t>
  </si>
  <si>
    <t>Динамик слуховой - замена</t>
  </si>
  <si>
    <t>Микрофон - замена | *требуется диагностика</t>
  </si>
  <si>
    <t>Вибромотор - замена</t>
  </si>
  <si>
    <t>Ремонт платы - восстановление / замена | *требуется диагностика</t>
  </si>
  <si>
    <t>Профилактика после воды - восстановление | *требуется диагностика</t>
  </si>
  <si>
    <t>Модем - восстановление GSM сети | *требуется диагностика</t>
  </si>
  <si>
    <t>WiFi / Bluetooth - восстановление беспроводных сетей | *требуется диагностика</t>
  </si>
  <si>
    <t>Обновлено: 05.05.2026 11:44</t>
  </si>
  <si>
    <t>iPhone 5 Диагностика</t>
  </si>
  <si>
    <t>1 мес.</t>
  </si>
  <si>
    <t>iPhone 5 Защитное стекло</t>
  </si>
  <si>
    <t>iPhone 5 Переклейка (восстановление) вашего дисплея</t>
  </si>
  <si>
    <t>iPhone 5 Замена дисплея (оригинал)</t>
  </si>
  <si>
    <t>iPhone 5 Замена дисплея (аналог)</t>
  </si>
  <si>
    <t>iPhone 5 Замена динамика</t>
  </si>
  <si>
    <t>iPhone 5 Замена микрофона</t>
  </si>
  <si>
    <t>iPhone 5 Ремонт кнопки включения</t>
  </si>
  <si>
    <t>iPhone 5 Ремонт кнопок громкости</t>
  </si>
  <si>
    <t>iPhone 5 Замена аккумулятора (1440mAh) 3.8V Standard</t>
  </si>
  <si>
    <t>iPhone 5 Замена аккумулятора (1800mAh) 3.8V HC (повышенная емкость)</t>
  </si>
  <si>
    <t>iPhone 5 Замена основной камеры</t>
  </si>
  <si>
    <t>iPhone 5 Замена фронтальной камеры</t>
  </si>
  <si>
    <t>iPhone 5 Замена разъема наушников</t>
  </si>
  <si>
    <t>iPhone 5 Ремонт WI-FI</t>
  </si>
  <si>
    <t>iPhone 5 Замена кнопки Home</t>
  </si>
  <si>
    <t>iPhone 5 Замена корпуса</t>
  </si>
  <si>
    <t>iPhone 5 Прошивка</t>
  </si>
  <si>
    <t>iPhone 5 Разъем питания</t>
  </si>
  <si>
    <t>iPhone 5 Замена вибромотора</t>
  </si>
  <si>
    <t>iPhone 5 Разблокировка</t>
  </si>
  <si>
    <t>iPhone 5C Диагностика</t>
  </si>
  <si>
    <t>iPhone 5C Защитное стекло</t>
  </si>
  <si>
    <t>iPhone 5C Переклейка (восстановление) вашего дисплея</t>
  </si>
  <si>
    <t>iPhone 5C Замена дисплея (оригинал)</t>
  </si>
  <si>
    <t>iPhone 5C Замена дисплея (аналог)</t>
  </si>
  <si>
    <t>iPhone 5C Замена динамика</t>
  </si>
  <si>
    <t>iPhone 5C Замена микрофона</t>
  </si>
  <si>
    <t>iPhone 5C Ремонт кнопки включения</t>
  </si>
  <si>
    <t>iPhone 5C Ремонт кнопок громкости</t>
  </si>
  <si>
    <t>iPhone 5C Замена аккумулятора (1560mAh) 3.8V Standard</t>
  </si>
  <si>
    <t>iPhone 5C Замена аккумулятора (1800mAh) 3.8V HC (повышенная емкость)</t>
  </si>
  <si>
    <t>iPhone 5C Замена основной камеры</t>
  </si>
  <si>
    <t>iPhone 5C Замена фронтальной камеры</t>
  </si>
  <si>
    <t>iPhone 5C Замена разъема наушников</t>
  </si>
  <si>
    <t>iPhone 5C Ремонт WI-FI</t>
  </si>
  <si>
    <t>iPhone 5C Замена кнопки Home</t>
  </si>
  <si>
    <t>iPhone 5C Прошивка</t>
  </si>
  <si>
    <t>iPhone 5C Замена корпуса</t>
  </si>
  <si>
    <t>iPhone 5C Разъем питания</t>
  </si>
  <si>
    <t>iPhone 5C Замена вибромотора</t>
  </si>
  <si>
    <t>iPhone 5C Разблокировка</t>
  </si>
  <si>
    <t>iPhone 5S Диагностика</t>
  </si>
  <si>
    <t>iPhone 5S Защитное стекло</t>
  </si>
  <si>
    <t>iPhone 5S Переклейка (восстановление) вашего дисплея</t>
  </si>
  <si>
    <t>iPhone 5S Замена дисплея (оригинал)</t>
  </si>
  <si>
    <t>iPhone 5S Замена дисплея (аналог)</t>
  </si>
  <si>
    <t>iPhone 5S Замена динамика</t>
  </si>
  <si>
    <t>iPhone 5S Замена микрофона</t>
  </si>
  <si>
    <t>iPhone 5S Ремонт кнопки включения</t>
  </si>
  <si>
    <t>iPhone 5S Ремонт кнопок громкости</t>
  </si>
  <si>
    <t>iPhone 5S Замена аккумулятора (1560mAh) 3.8V Standard</t>
  </si>
  <si>
    <t>iPhone 5S Замена аккумулятора (1800mAh) 3.8V HC (повышенная емкость)</t>
  </si>
  <si>
    <t>iPhone 5S Замена основной камеры</t>
  </si>
  <si>
    <t>iPhone 5S Замена фронтальной камеры</t>
  </si>
  <si>
    <t>iPhone 5S Замена разъема наушников</t>
  </si>
  <si>
    <t>iPhone 5S Ремонт WI-FI</t>
  </si>
  <si>
    <t>iPhone 5S Замена кнопки Home</t>
  </si>
  <si>
    <t>iPhone 5S Замена корпуса</t>
  </si>
  <si>
    <t>iPhone 5S Прошивка</t>
  </si>
  <si>
    <t>iPhone 5S Разъем питания</t>
  </si>
  <si>
    <t>iPhone 5S Замена вибромотора</t>
  </si>
  <si>
    <t>iPhone 5S Разблокировка</t>
  </si>
  <si>
    <t>iPhone SE</t>
  </si>
  <si>
    <t>iPhone SE Диагностика</t>
  </si>
  <si>
    <t>iPhone SE Переклейка вашего дисплея</t>
  </si>
  <si>
    <t>iPhone SE Замена дисплея (оригинал)</t>
  </si>
  <si>
    <t>iPhone SE Замена дисплея (аналог)</t>
  </si>
  <si>
    <t>iPhone SE Замена динамика</t>
  </si>
  <si>
    <t>iPhone SE Замена микрофона</t>
  </si>
  <si>
    <t>iPhone SE Замена кнопки включения</t>
  </si>
  <si>
    <t>iPhone SE Замена кнопок громкости</t>
  </si>
  <si>
    <t>iPhone SE Замена аккумулятора (1624mAh) 3.82V Standard</t>
  </si>
  <si>
    <t>iPhone SE Замена аккумулятора (2010mAh) 3.82V HC (повышенная емкость)</t>
  </si>
  <si>
    <t>iPhone SE Замена основной камеры</t>
  </si>
  <si>
    <t>iPhone SE Замена фронтальной камеры</t>
  </si>
  <si>
    <t>iPhone SE Замена разъема наушников</t>
  </si>
  <si>
    <t>iPhone SE Ремонт WI-FI</t>
  </si>
  <si>
    <t>iPhone SE Замена кнопки Home</t>
  </si>
  <si>
    <t>iPhone SE Замена корпуса</t>
  </si>
  <si>
    <t>iPhone SE Прошивка</t>
  </si>
  <si>
    <t>iPhone SE Разъем питания</t>
  </si>
  <si>
    <t>iPhone SE Замена вибромотора</t>
  </si>
  <si>
    <t>iPhone SE Разблокировка</t>
  </si>
  <si>
    <t>iPhone 6 Диагностика</t>
  </si>
  <si>
    <t>iPhone 6 Переклейка (восстановление) вашего дисплея</t>
  </si>
  <si>
    <t>iPhone 6 Замена дисплея (оригинал)</t>
  </si>
  <si>
    <t>iPhone 6 Замена дисплея (аналог)</t>
  </si>
  <si>
    <t>iPhone 6 Замена динамика</t>
  </si>
  <si>
    <t>iPhone 6 Замена микрофона</t>
  </si>
  <si>
    <t>iPhone 6 Замена кнопки включения</t>
  </si>
  <si>
    <t>iPhone 6 Замена кнопок громкости</t>
  </si>
  <si>
    <t>iPhone 6 Замена аккумулятора (1810mAh) 3.82V Standard</t>
  </si>
  <si>
    <t>iPhone 6 Замена аккумулятора (2300mAh) 3.82V HC (повышенная емкость)</t>
  </si>
  <si>
    <t>iPhone 6 Замена основной камеры</t>
  </si>
  <si>
    <t>iPhone 6 Замена фронтальной камеры</t>
  </si>
  <si>
    <t>iPhone 6 Замена разъема наушников</t>
  </si>
  <si>
    <t>iPhone 6 Ремонт WI-FI</t>
  </si>
  <si>
    <t>iPhone 6 Замена кнопки Home</t>
  </si>
  <si>
    <t>iPhone 6 Замена корпуса</t>
  </si>
  <si>
    <t>iPhone 6 Прошивка</t>
  </si>
  <si>
    <t>iPhone 6 Разъем питания</t>
  </si>
  <si>
    <t>iPhone 6 Замена вибромотора</t>
  </si>
  <si>
    <t>iPhone 6 Разблокировка</t>
  </si>
  <si>
    <t>iPhone 6 Замена стекла камеры</t>
  </si>
  <si>
    <t>iPhone 6 Plus Диагностика</t>
  </si>
  <si>
    <t>iPhone 6 Plus Переклейка (восстановление) вашего дисплея</t>
  </si>
  <si>
    <t>iPhone 6 Plus Замена дисплея (оригинал)</t>
  </si>
  <si>
    <t>iPhone 6 Plus Замена дисплея (аналог)</t>
  </si>
  <si>
    <t>iPhone 6 Plus Замена динамика</t>
  </si>
  <si>
    <t>iPhone 6 Plus Замена микрофона</t>
  </si>
  <si>
    <t>iPhone 6 Plus Замена кнопки включения</t>
  </si>
  <si>
    <t>iPhone 6 Plus Замена кнопок громкости</t>
  </si>
  <si>
    <t>iPhone 6 Plus Замена аккумулятора (2915mAh) 3.82V Standard</t>
  </si>
  <si>
    <t>iPhone 6 Plus Замена аккумулятора (3410mAh) 3.82V HC (повышенная емкость)</t>
  </si>
  <si>
    <t>iPhone 6 Plus Замена основной камеры</t>
  </si>
  <si>
    <t>iPhone 6 Plus Замена фронтальной камеры</t>
  </si>
  <si>
    <t>iPhone 6 Plus Замена разъема наушников</t>
  </si>
  <si>
    <t>iPhone 6 Plus Ремонт WI-FI</t>
  </si>
  <si>
    <t>iPhone 6 Plus Замена кнопки Home</t>
  </si>
  <si>
    <t>iPhone 6 Plus Замена корпуса</t>
  </si>
  <si>
    <t>iPhone 6 Plus Прошивка</t>
  </si>
  <si>
    <t>iPhone 6 Plus Замена вибромотора</t>
  </si>
  <si>
    <t>iPhone 6 Plus Разблокировка</t>
  </si>
  <si>
    <t>iPhone 6 Plus Разъем питания</t>
  </si>
  <si>
    <t>iPhone 6 Plus Замена стекла камеры</t>
  </si>
  <si>
    <t>iPhone 6S Диагностика</t>
  </si>
  <si>
    <t>iPhone 6S Переклейка (восстановление) вашего дисплея</t>
  </si>
  <si>
    <t>iPhone 6S Замена дисплея (оригинал)</t>
  </si>
  <si>
    <t>iPhone 6S Замена дисплея (аналог)</t>
  </si>
  <si>
    <t>iPhone 6S Замена динамика</t>
  </si>
  <si>
    <t>iPhone 6S Замена микрофона</t>
  </si>
  <si>
    <t>iPhone 6S Замена кнопки включения</t>
  </si>
  <si>
    <t>iPhone 6S Замена кнопок громкости</t>
  </si>
  <si>
    <t>iPhone 6S Замена аккумулятора (1715mAh) 3.82V Standard</t>
  </si>
  <si>
    <t>iPhone 6S Замена аккумулятора (2510mAh) 3.82V HC (повышенная емкость)</t>
  </si>
  <si>
    <t>iPhone 6S Замена основной камеры</t>
  </si>
  <si>
    <t>iPhone 6S Замена фронтальной камеры</t>
  </si>
  <si>
    <t>iPhone 6S Замена разъема наушников</t>
  </si>
  <si>
    <t>iPhone 6S Ремонт WI-FI</t>
  </si>
  <si>
    <t>iPhone 6S Замена кнопки Home</t>
  </si>
  <si>
    <t>iPhone 6S Замена корпуса</t>
  </si>
  <si>
    <t>iPhone 6S Прошивка</t>
  </si>
  <si>
    <t>iPhone 6S Разъем питания</t>
  </si>
  <si>
    <t>iPhone 6S Замена вибромотора</t>
  </si>
  <si>
    <t>iPhone 6S Разблокировка</t>
  </si>
  <si>
    <t>iPhone 6S Замена стекла камеры</t>
  </si>
  <si>
    <t>iPhone 6S Plus Диагностика</t>
  </si>
  <si>
    <t>iPhone 6S Plus Переклейка (восстановление) вашего дисплея</t>
  </si>
  <si>
    <t>iPhone 6S Plus Замена дисплея (аналог)</t>
  </si>
  <si>
    <t>iPhone 6S Plus Замена дисплея (оригинал)</t>
  </si>
  <si>
    <t>iPhone 6S Plus Замена динамика</t>
  </si>
  <si>
    <t>iPhone 6S Plus Замена микрофона</t>
  </si>
  <si>
    <t>iPhone 6S Plus Замена кнопки включения</t>
  </si>
  <si>
    <t>iPhone 6S Plus Замена кнопок громкости</t>
  </si>
  <si>
    <t>iPhone 6S Plus Замена аккумулятора  (2750mAh) 3.82V Standard</t>
  </si>
  <si>
    <t>iPhone 6S Plus Замена аккумулятора (3510mAh) 3.82V HC (повышенная емкость)</t>
  </si>
  <si>
    <t>iPhone 6S Plus Замена основной камеры</t>
  </si>
  <si>
    <t>iPhone 6S Plus Замена фронтальной камеры</t>
  </si>
  <si>
    <t>iPhone 6S Plus Замена разъема наушников</t>
  </si>
  <si>
    <t>iPhone 6S Plus Ремонт WI-FI</t>
  </si>
  <si>
    <t>iPhone 6S Plus Замена кнопки Home</t>
  </si>
  <si>
    <t>iPhone 6S Plus Замена корпуса</t>
  </si>
  <si>
    <t>iPhone 6S Plus Прошивка</t>
  </si>
  <si>
    <t>iPhone 6S Plus Разъем питания</t>
  </si>
  <si>
    <t>iPhone 6S Plus Замена вибромотора</t>
  </si>
  <si>
    <t>iPhone 6S Plus Разблокировка</t>
  </si>
  <si>
    <t>iPhone 6S Plus Замена стекла камеры</t>
  </si>
  <si>
    <t>iPhone 7 Диагностика</t>
  </si>
  <si>
    <t>iPhone 7 Переклейка (восстановление) вашего дисплея</t>
  </si>
  <si>
    <t>iPhone 7 Замена дисплея (оригинал)</t>
  </si>
  <si>
    <t>iPhone 7 Замена дисплея (аналог)</t>
  </si>
  <si>
    <t>iPhone 7 Замена динамика</t>
  </si>
  <si>
    <t>iPhone 7 Замена микрофона</t>
  </si>
  <si>
    <t>iPhone 7 Замена кнопки включения</t>
  </si>
  <si>
    <t>iPhone 7 Замена кнопок громкости</t>
  </si>
  <si>
    <t>iPhone 7 Замена аккумулятора (1960mAh) 3.8V Standard</t>
  </si>
  <si>
    <t>iPhone 7 Замена аккумулятора (2200mAh) 3.8V HC (повышенная емкость)</t>
  </si>
  <si>
    <t>iPhone 7 Замена основной камеры</t>
  </si>
  <si>
    <t>iPhone 7 Замена фронтальной камеры</t>
  </si>
  <si>
    <t>iPhone 7 Ремонт WI-FI</t>
  </si>
  <si>
    <t>iPhone 7 Замена кнопки Home</t>
  </si>
  <si>
    <t>iPhone 7 Замена корпуса</t>
  </si>
  <si>
    <t>iPhone 7 Прошивка</t>
  </si>
  <si>
    <t>iPhone 7 Разъем питания</t>
  </si>
  <si>
    <t>iPhone 7 Замена вибромотора</t>
  </si>
  <si>
    <t>iPhone 7 Замена стекла камеры</t>
  </si>
  <si>
    <t>iPhone 7 Plus Диагностика</t>
  </si>
  <si>
    <t>iPhone 7 Plus Переклейка (восстановление) вашего дисплея</t>
  </si>
  <si>
    <t>iPhone 7 Plus Замена дисплея (оригинал)</t>
  </si>
  <si>
    <t>iPhone 7 Plus Замена дисплея (аналог)</t>
  </si>
  <si>
    <t>iPhone 7 Plus Замена аккумулятора (2910mAh) 3.82V Standard</t>
  </si>
  <si>
    <t>iPhone 7 Plus Замена аккумулятора (3410mAh) 3.82V HC (повышенная емкость)</t>
  </si>
  <si>
    <t>iPhone 7 Plus Замена микрофона</t>
  </si>
  <si>
    <t>iPhone 7 Plus Замена кнопки включения</t>
  </si>
  <si>
    <t>iPhone 7 Plus Замена кнопок громкости</t>
  </si>
  <si>
    <t>iPhone 7 Plus Чистка от попадания жидкости</t>
  </si>
  <si>
    <t>iPhone 7 Plus Замена основной камеры</t>
  </si>
  <si>
    <t>iPhone 7 Plus Замена фронтальной камеры</t>
  </si>
  <si>
    <t>iPhone 7 Plus Ремонт WI-FI</t>
  </si>
  <si>
    <t>iPhone 7 Plus Замена кнопки Home</t>
  </si>
  <si>
    <t>iPhone 7 Plus Замена корпуса</t>
  </si>
  <si>
    <t>iPhone 7 Plus Прошивка</t>
  </si>
  <si>
    <t>iPhone 7 Plus Разъем питания</t>
  </si>
  <si>
    <t>iPhone 7 Plus Замена вибромотора</t>
  </si>
  <si>
    <t>iPhone 7 Plus Замена стекла камеры</t>
  </si>
  <si>
    <t>iPhone 8 Диагностика</t>
  </si>
  <si>
    <t>iPhone 8 Переклейка (восстановление) вашего дисплея</t>
  </si>
  <si>
    <t>iPhone 8 Замена дисплея (оригинал)</t>
  </si>
  <si>
    <t>iPhone 8 Замена дисплея (аналог)</t>
  </si>
  <si>
    <t>iPhone 8 Замена задней крышки</t>
  </si>
  <si>
    <t>iPhone 8 Замена аккумулятора (1821mAh) 3.8V Standard</t>
  </si>
  <si>
    <t>iPhone 8 Замена аккумулятора (2100mAh) 3.8V HC (повышенная емкость)</t>
  </si>
  <si>
    <t>iPhone 8 Замена кнопки Home</t>
  </si>
  <si>
    <t>iPhone 8 Замена динамика</t>
  </si>
  <si>
    <t>iPhone 8 Замена разъема питания</t>
  </si>
  <si>
    <t>iPhone 8 Замена корпуса</t>
  </si>
  <si>
    <t>iPhone 8 Замена основной камеры</t>
  </si>
  <si>
    <t>iPhone 8 Замена стекла камеры</t>
  </si>
  <si>
    <t>iPhone 8 Plus Диагностика</t>
  </si>
  <si>
    <t>iPhone 8 Plus Переклейка (восстановление) вашего дисплея</t>
  </si>
  <si>
    <t>iPhone 8 Plus Замена дисплея (оригинал)</t>
  </si>
  <si>
    <t>iPhone 8 Plus Замена дисплея (аналог)</t>
  </si>
  <si>
    <t>iPhone 8 Plus Замена задней крышки</t>
  </si>
  <si>
    <t>iPhone 8 Plus Замена аккумулятора  (2691mAh) 3.82V Standard</t>
  </si>
  <si>
    <t>iPhone 8 Plus Замена аккумулятора (3150mAh) 3.82V HC (повышенная емкость)</t>
  </si>
  <si>
    <t>iPhone 8 Plus Замена разъема питания</t>
  </si>
  <si>
    <t>iPhone 8 Plus Замена кнопки Home</t>
  </si>
  <si>
    <t>iPhone 8 Plus Замена динамика</t>
  </si>
  <si>
    <t>iPhone 8 Plus Ремонт кнопки включения</t>
  </si>
  <si>
    <t>iPhone 8 Plus Замена фронтальной камеры</t>
  </si>
  <si>
    <t>iPhone 8 Plus Замена корпуса</t>
  </si>
  <si>
    <t>iPhone 8 Plus Замена основной камеры</t>
  </si>
  <si>
    <t>iPhone 8 Plus Замена стекла камеры</t>
  </si>
  <si>
    <t>iPhone SE 2020 Диагностика</t>
  </si>
  <si>
    <t>iPhone SE 2020 Замена дисплея (оригинал)</t>
  </si>
  <si>
    <t>iPhone SE 2020 Замена дисплея (аналог)</t>
  </si>
  <si>
    <t>iPhone SE 2020 Переклейка (восстановление) вашего дисплея</t>
  </si>
  <si>
    <t>iPhone SE 2020 Замена задней крышки</t>
  </si>
  <si>
    <t>iPhone SE 2020 Замена аккумулятора (1821mAh) 3.8V Standard</t>
  </si>
  <si>
    <t>iPhone SE 2020 Замена аккумулятора (2100mAh) 3.8V HC (повышенная емкость)</t>
  </si>
  <si>
    <t>iPhone SE 2020 Замена кнопки Home</t>
  </si>
  <si>
    <t>iPhone SE 2020 Замена основной камеры</t>
  </si>
  <si>
    <t>iPhone SE 2020 Замена фронтальной камеры</t>
  </si>
  <si>
    <t>iPhone SE 2020 Замена разъема питания</t>
  </si>
  <si>
    <t>iPhone SE 2020 Замена корпуса</t>
  </si>
  <si>
    <t>iPhone SE 2020 Замена слухового динамика</t>
  </si>
  <si>
    <t>iPhone SE 2020 Замена стекла камеры</t>
  </si>
  <si>
    <t>iPhone XR Диагностика</t>
  </si>
  <si>
    <t>iPhone XR Замена дисплея (оригинал)</t>
  </si>
  <si>
    <t>iPhone XR Замена дисплея (аналог)</t>
  </si>
  <si>
    <t>iPhone XR Замена корпуса</t>
  </si>
  <si>
    <t>iPhone XR Замена аккумулятора (2942mAh) 3.81V Standard</t>
  </si>
  <si>
    <t>iPhone XR Замена аккумулятора (3510mAh) 3.81V HC (повышенная емкость)</t>
  </si>
  <si>
    <t>iPhone XR Замена стекла камеры</t>
  </si>
  <si>
    <t>iPhone XR Замена разъема питания</t>
  </si>
  <si>
    <t>iPhone XR Ремонт (восстановление) Face id</t>
  </si>
  <si>
    <t>iPhone XR Замена основной камеры</t>
  </si>
  <si>
    <t>iPhone XR Замена задней крышки</t>
  </si>
  <si>
    <t>iPhone X Диагностика</t>
  </si>
  <si>
    <t>iPhone X Переклейка (восстановление) вашего дисплея</t>
  </si>
  <si>
    <t>iPhone X Замена дисплея (оригинал)</t>
  </si>
  <si>
    <t>iPhone X Замена дисплея (аналог)</t>
  </si>
  <si>
    <t>iPhone X Замена аккумулятора (2716mAh) 3.81V Standard</t>
  </si>
  <si>
    <t>iPhone X Замена аккумулятора (3500mAh) 3.81V HC (повышенная емкость)</t>
  </si>
  <si>
    <t>iPhone X Замена фронтальной камеры</t>
  </si>
  <si>
    <t>iPhone X Замена основной камеры</t>
  </si>
  <si>
    <t>iPhone X Замена разъема питания</t>
  </si>
  <si>
    <t>iPhone X Замена корпуса</t>
  </si>
  <si>
    <t>iPhone X Замена задней крышки</t>
  </si>
  <si>
    <t>iPhone X Замена стекла камеры</t>
  </si>
  <si>
    <t>iPhone X Ремонт (восстановление) Face id</t>
  </si>
  <si>
    <t>iPhone X Замена кнопки включения</t>
  </si>
  <si>
    <t>iPhone X Замена динамика</t>
  </si>
  <si>
    <t>iPhone XS Диагностика</t>
  </si>
  <si>
    <t>iPhone XS Замена дисплея (оригинал)</t>
  </si>
  <si>
    <t>iPhone XS Замена дисплея (аналог)</t>
  </si>
  <si>
    <t>iPhone XS Замена задней крышки</t>
  </si>
  <si>
    <t>iPhone XS Переклейка (восстановление) вашего дисплея</t>
  </si>
  <si>
    <t>iPhone XS Замена корпуса</t>
  </si>
  <si>
    <t>iPhone XS Замена аккумулятора (2658mAh) 3.81V Standard</t>
  </si>
  <si>
    <t>iPhone XS Замена аккумулятора (3010mAh) 3.81V HC (повышенная емкость)</t>
  </si>
  <si>
    <t>iPhone XS Замена разъема питания</t>
  </si>
  <si>
    <t>iPhone XS Замена стекла камеры</t>
  </si>
  <si>
    <t>iPhone XS Ремонт (восстановление) Face id</t>
  </si>
  <si>
    <t>iPhone XS Замена основной камеры</t>
  </si>
  <si>
    <t>iPhone XS Замена динамика</t>
  </si>
  <si>
    <t>iPhone XS Max Диагностика</t>
  </si>
  <si>
    <t>iPhone XS Max Замена дисплея (оригинал)</t>
  </si>
  <si>
    <t>iPhone XS Max Замена дисплея (аналог)</t>
  </si>
  <si>
    <t>iPhone XS Max Переклейка (восстановление) вашего дисплея</t>
  </si>
  <si>
    <t>iPhone XS Max Замена задней крышки</t>
  </si>
  <si>
    <t>iPhone XS Max Замена корпуса</t>
  </si>
  <si>
    <t>iPhone XS Max Замена аккумулятора (3174mAh) 3.81V Standard</t>
  </si>
  <si>
    <t>iPhone XS Max Замена аккумулятора (3710mAh) 3.81V HC (повышенная емкость)</t>
  </si>
  <si>
    <t>iPhone XS Max Замена разъема питания</t>
  </si>
  <si>
    <t>iPhone XS Max Замена стекла камеры</t>
  </si>
  <si>
    <t>iPhone XS Max Замена основной камеры</t>
  </si>
  <si>
    <t>iPhone XS Max Ремонт (восстановление) Face id</t>
  </si>
  <si>
    <t>iPhone XS Max Замена динамика</t>
  </si>
  <si>
    <t>iPhone 11 Диагностика</t>
  </si>
  <si>
    <t>iPhone 11 Замена дисплея (оригинал)</t>
  </si>
  <si>
    <t>iPhone 11 Переклейка (восстановление) вашего дисплея</t>
  </si>
  <si>
    <t>iPhone 11 Замена задней крышки</t>
  </si>
  <si>
    <t>iPhone 11 Замена дисплея (аналог)</t>
  </si>
  <si>
    <t>iPhone 11 Замена основной камеры</t>
  </si>
  <si>
    <t>iPhone 11 Замена стекла камеры</t>
  </si>
  <si>
    <t>iPhone 11 Замена аккумулятора (3110 mAh) Standard</t>
  </si>
  <si>
    <t>iPhone 11 Замена аккумулятора (3510 mAh) HC (повышенная емкость)</t>
  </si>
  <si>
    <t>iPhone 11 Ремонт (восстановление) Face id</t>
  </si>
  <si>
    <t>iPhone 11 Замена разъема питания</t>
  </si>
  <si>
    <t>iPhone 11 Замена динамика</t>
  </si>
  <si>
    <t>iPhone 11 Замена корпуса</t>
  </si>
  <si>
    <t>iPhone 11 Pro Диагностика</t>
  </si>
  <si>
    <t>iPhone 11 Pro Замена дисплея (оригинал)</t>
  </si>
  <si>
    <t>iPhone 11 Pro Переклейка (восстановление) вашего дисплея</t>
  </si>
  <si>
    <t>iPhone 11 Pro Замена задней крышки</t>
  </si>
  <si>
    <t>iPhone 11 Pro Замена основной камеры</t>
  </si>
  <si>
    <t>iPhone 11 Pro Замена дисплея (аналог)</t>
  </si>
  <si>
    <t>iPhone 11 Pro Замена стекла камеры</t>
  </si>
  <si>
    <t>iPhone 11 Pro Замена аккумулятора (3046 mAh) Standard</t>
  </si>
  <si>
    <t>iPhone 11 Pro Замена аккумулятора (3410mAh) 3.81V HC (повышенная емкость)</t>
  </si>
  <si>
    <t>iPhone 11 Pro Замена разъема питания</t>
  </si>
  <si>
    <t>iPhone 11 Pro Ремонт (восстановление) Face id</t>
  </si>
  <si>
    <t>iPhone 11 Pro Замена динамика</t>
  </si>
  <si>
    <t>iPhone 11 Pro Замена корпуса</t>
  </si>
  <si>
    <t>iPhone 11 Pro Max Диагностика</t>
  </si>
  <si>
    <t>iPhone 11 Pro Max Замена дисплея (оригинал)</t>
  </si>
  <si>
    <t>iPhone 11 Pro Max Переклейка (восстановление) вашего дисплея</t>
  </si>
  <si>
    <t>iPhone 11 Pro Max Замена задней крышки</t>
  </si>
  <si>
    <t>iPhone 11 Pro Max Замена дисплея (аналог)</t>
  </si>
  <si>
    <t>iPhone 11 Pro Max Замена стекла камеры</t>
  </si>
  <si>
    <t>iPhone 11 Pro Max Замена аккумулятора (3969 mAh) Standard</t>
  </si>
  <si>
    <t>iPhone 11 Pro Max Замена аккумулятора 4500mAh) 3.81V HC (повышенная емкость)</t>
  </si>
  <si>
    <t>iPhone 11 Pro Max Замена основной камеры</t>
  </si>
  <si>
    <t>iPhone 11 Pro Max Замена разъема питания</t>
  </si>
  <si>
    <t>iPhone 11 Pro Max Ремонт (восстановление) Face id</t>
  </si>
  <si>
    <t>iPhone 11 Pro Max Замена динамика</t>
  </si>
  <si>
    <t>iPhone 11 Pro Max Замена корпуса</t>
  </si>
  <si>
    <t>iPhone 12 Диагностика</t>
  </si>
  <si>
    <t>iPhone 12 Замена дисплея (оригинал)</t>
  </si>
  <si>
    <t>iPhone 12 Переклейка (восстановление) вашего дисплея</t>
  </si>
  <si>
    <t>iPhone 12 Замена дисплея (аналог)</t>
  </si>
  <si>
    <t>iPhone 12 Замена задней крышки</t>
  </si>
  <si>
    <t>iPhone 12 Замена корпуса</t>
  </si>
  <si>
    <t>iPhone 12 Замена аккумулятора (2815 mAh) Standard</t>
  </si>
  <si>
    <t>iPhone 12 Замена аккумулятора (3310mAh) (повышенная емкость)</t>
  </si>
  <si>
    <t>iPhone 12 Ремонт (восстановление) Face id</t>
  </si>
  <si>
    <t>iPhone 12 Замена основной камеры</t>
  </si>
  <si>
    <t>iPhone 12 Замена разъема питания</t>
  </si>
  <si>
    <t>iPhone 12 Замена стекла камеры</t>
  </si>
  <si>
    <t>iPhone 12 Замена динамика</t>
  </si>
  <si>
    <t>iPhone 12 Mini Диагностика</t>
  </si>
  <si>
    <t>iPhone 12 Mini Замена дисплея (оригинал)</t>
  </si>
  <si>
    <t>iPhone 12 Mini Замена дисплея (аналог)</t>
  </si>
  <si>
    <t>iPhone 12 Mini Переклейка (восстановление) вашего дисплея</t>
  </si>
  <si>
    <t>iPhone 12 Mini Замена задней крышки</t>
  </si>
  <si>
    <t>iPhone 12 Mini Замена корпуса</t>
  </si>
  <si>
    <t>iPhone 12 Mini Замена аккумулятора (2227 mAh) Standart</t>
  </si>
  <si>
    <t>iPhone 12 Mini Замена аккумулятора (2510 mAh) HC (повышенная емкость)</t>
  </si>
  <si>
    <t>iPhone 12 Mini Ремонт (восстановление) Face id</t>
  </si>
  <si>
    <t>iPhone 12 Mini Замена основной камеры</t>
  </si>
  <si>
    <t>iPhone 12 Mini Замена разъема питания</t>
  </si>
  <si>
    <t>iPhone 12 Mini Замена динамика</t>
  </si>
  <si>
    <t>iPhone 12 Mini Замена стекла камеры</t>
  </si>
  <si>
    <t>iPhone 12 Pro Диагностика</t>
  </si>
  <si>
    <t>iPhone 12 Pro Замена дисплея (оригинал)</t>
  </si>
  <si>
    <t>iPhone 12 Pro Замена дисплея (аналог)</t>
  </si>
  <si>
    <t>iPhone 12 Pro Переклейка (восстановление) вашего дисплея</t>
  </si>
  <si>
    <t>iPhone 12 Pro Замена задней крышки</t>
  </si>
  <si>
    <t>iPhone 12 Pro Замена корпуса</t>
  </si>
  <si>
    <t>iPhone 12 Pro Замена аккумулятора (2815 mAh) Standard</t>
  </si>
  <si>
    <t>iPhone 12 Pro Замена аккумулятора (3310mAh) (повышенная емкость)</t>
  </si>
  <si>
    <t>iPhone 12 Pro Ремонт (восстановление) Face id</t>
  </si>
  <si>
    <t>iPhone 12 Pro Замена основной камеры</t>
  </si>
  <si>
    <t>iPhone 12 Pro Замена разъема питания</t>
  </si>
  <si>
    <t>iPhone 12 Pro Замена стекла камеры</t>
  </si>
  <si>
    <t>iPhone 12 Pro Замена динамика</t>
  </si>
  <si>
    <t>iPhone 12 Pro Max Замена дисплея (оригинал)</t>
  </si>
  <si>
    <t>iPhone 12 Pro Max Замена дисплея (аналог)</t>
  </si>
  <si>
    <t>iPhone 12 Pro Max Переклейка (восстановление) вашего дисплея</t>
  </si>
  <si>
    <t>iPhone 12 Pro Max Замена задней крышки</t>
  </si>
  <si>
    <t>iPhone 12 Pro Max Замена корпуса</t>
  </si>
  <si>
    <t>iPhone 12 Pro Max Замена аккумулятора (3687 mAh) Standart</t>
  </si>
  <si>
    <t>iPhone 12 Pro Max Замена аккумулятора (4410 mAh) повышенная емкость</t>
  </si>
  <si>
    <t>iPhone 12 Pro Max Ремонт (восстановление) Face id</t>
  </si>
  <si>
    <t>iPhone 12 Pro Max Замена основной камеры</t>
  </si>
  <si>
    <t>iPhone 12 Pro Max Замена разъема питания</t>
  </si>
  <si>
    <t>iPhone 12 Pro Max Замена динамика</t>
  </si>
  <si>
    <t>iPhone 12 Pro Max Замена стекла камеры</t>
  </si>
  <si>
    <t>iPhone 13 Диагностика</t>
  </si>
  <si>
    <t>iPhone 13 Замена дисплея (оригинал)</t>
  </si>
  <si>
    <t>3 мес.</t>
  </si>
  <si>
    <t>iPhone 13 Замена дисплея (аналог)</t>
  </si>
  <si>
    <t>iPhone 13 Переклейка (восстановление) вашего дисплея</t>
  </si>
  <si>
    <t>iPhone 13 Замена задней крышки</t>
  </si>
  <si>
    <t>iPhone 13 Замена корпуса</t>
  </si>
  <si>
    <t>iPhone 13 Замена аккумулятора (3227 mAh) Standart</t>
  </si>
  <si>
    <t>iPhone 13 Замена аккумулятора (3510 mAh) HC (повышенная емкость)</t>
  </si>
  <si>
    <t>iPhone 13 Замена стекла камеры</t>
  </si>
  <si>
    <t>iPhone 13 Ремонт (восстановление) Face id</t>
  </si>
  <si>
    <t>iPhone 13 Замена основной камеры</t>
  </si>
  <si>
    <t>iPhone 13 Замена разъема питания</t>
  </si>
  <si>
    <t>iPhone 13 Замена динамика</t>
  </si>
  <si>
    <t>iPhone 13 Mini Диагностика</t>
  </si>
  <si>
    <t>iPhone 13 Mini Замена дисплея (оригинал)</t>
  </si>
  <si>
    <t>iPhone 13 Mini Замена дисплея (аналог)</t>
  </si>
  <si>
    <t>iPhone 13 Mini Переклейка (восстановление) вашего дисплея</t>
  </si>
  <si>
    <t>iPhone 13 Mini Замена задней крышки</t>
  </si>
  <si>
    <t>iPhone 13 Mini Замена корпуса</t>
  </si>
  <si>
    <t>iPhone 13 Mini Замена аккумулятора  (2406 mAh) Standard</t>
  </si>
  <si>
    <t>iPhone 13 Mini Замена аккумулятора (2550 mAh) HC (повышенная емкость)</t>
  </si>
  <si>
    <t>iPhone 13 Mini Замена стекла камеры</t>
  </si>
  <si>
    <t>iPhone 13 Mini Ремонт (восстановление) Face id</t>
  </si>
  <si>
    <t>iPhone 13 Mini Замена основной камеры</t>
  </si>
  <si>
    <t>iPhone 13 Mini Замена разъема питания</t>
  </si>
  <si>
    <t>iPhone 13 Mini Замена динамика</t>
  </si>
  <si>
    <t>iPhone 13 Pro Диагностика</t>
  </si>
  <si>
    <t>iPhone 13 Pro Замена дисплея (оригинал)</t>
  </si>
  <si>
    <t>iPhone 13 Pro Замена дисплея (аналог)</t>
  </si>
  <si>
    <t>iPhone 13 Pro Переклейка (восстановление) вашего дисплея</t>
  </si>
  <si>
    <t>iPhone 13 Pro Замена задней крышки</t>
  </si>
  <si>
    <t>iPhone 13 Pro Замена корпуса</t>
  </si>
  <si>
    <t>iPhone 13 Pro Замена аккумулятора (3095 mah) Standard</t>
  </si>
  <si>
    <t>iPhone 13 Pro Замена аккумулятора (3410 mAh) HC (повышенная емкость)</t>
  </si>
  <si>
    <t>iPhone 13 Pro Замена стекла камеры</t>
  </si>
  <si>
    <t>iPhone 13 Pro Ремонт (восстановление) Face id</t>
  </si>
  <si>
    <t>iPhone 13 Pro Замена основной камеры</t>
  </si>
  <si>
    <t>iPhone 13 Pro Замена разъема питания</t>
  </si>
  <si>
    <t>iPhone 13 Pro Замена динамика</t>
  </si>
  <si>
    <t>iPhone 13 Pro Max Диагностика</t>
  </si>
  <si>
    <t>iPhone 13 Pro Max Замена дисплея (оригинал)</t>
  </si>
  <si>
    <t>iPhone 13 Pro Max Замена дисплея (аналог)</t>
  </si>
  <si>
    <t>iPhone 13 Pro Max Переклейка (восстановление) вашего дисплея</t>
  </si>
  <si>
    <t>iPhone 13 Pro Max Замена задней крышки</t>
  </si>
  <si>
    <t>iPhone 13 Pro Max Замена корпуса</t>
  </si>
  <si>
    <t>iPhone 13 Pro Max Замена аккумулятора (4352 mAh) Standart</t>
  </si>
  <si>
    <t>iPhone 13 Pro Max Замена аккумулятора (4750 mAh) HC (повышенная емкость)</t>
  </si>
  <si>
    <t>iPhone 13 Pro Max Замена стекла камеры</t>
  </si>
  <si>
    <t>iPhone 13 Pro Max Ремонт (восстановление) Face id</t>
  </si>
  <si>
    <t>iPhone 13 Pro Max Замена основной камеры</t>
  </si>
  <si>
    <t>iPhone 13 Pro Max Замена разъема питания</t>
  </si>
  <si>
    <t>iPhone 13 Pro Max Замена динамика</t>
  </si>
  <si>
    <t>iPhone 14 Диагностика</t>
  </si>
  <si>
    <t>iPhone 14 Замена дисплея (оригинал)</t>
  </si>
  <si>
    <t>iPhone 14 Замена дисплея (аналог)</t>
  </si>
  <si>
    <t>iPhone 14 Переклейка (восстановление) вашего дисплея</t>
  </si>
  <si>
    <t>iPhone 14 Замена корпуса</t>
  </si>
  <si>
    <t>iPhone 14 Замена задней крышки</t>
  </si>
  <si>
    <t>iPhone 14 Замена аккумулятора</t>
  </si>
  <si>
    <t>iPhone 14 Замена основной камеры</t>
  </si>
  <si>
    <t>iPhone 14 Plus Диагностика</t>
  </si>
  <si>
    <t>iPhone 14 Plus Замена дисплея (оригинал)</t>
  </si>
  <si>
    <t>iPhone 14 Plus Замена дисплея (аналог)</t>
  </si>
  <si>
    <t>iPhone 14 Plus Переклейка (восстановление) вашего дисплея</t>
  </si>
  <si>
    <t>iPhone 14 Plus Замена корпуса</t>
  </si>
  <si>
    <t>iPhone 14 Plus Замена задней крышки</t>
  </si>
  <si>
    <t>iPhone 14 Plus Замена аккумулятора</t>
  </si>
  <si>
    <t>iPhone 14 Plus Замена основной камеры</t>
  </si>
  <si>
    <t>iPhone 14 Pro Диагностика</t>
  </si>
  <si>
    <t>iPhone 14 Pro Замена дисплея (оригинал)</t>
  </si>
  <si>
    <t>iPhone 14 Pro Замена дисплея (аналог)</t>
  </si>
  <si>
    <t>iPhone 14 Pro Переклейка (восстановление) вашего дисплея</t>
  </si>
  <si>
    <t>iPhone 14 Pro Замена корпуса</t>
  </si>
  <si>
    <t>iPhone 14 Pro Замена задней крышки</t>
  </si>
  <si>
    <t>iPhone 14 Pro Замена аккумулятора</t>
  </si>
  <si>
    <t>iPhone 14 Pro Замена основной камеры</t>
  </si>
  <si>
    <t>iPhone 14 Pro Max Диагностика</t>
  </si>
  <si>
    <t>iPhone 14 Pro Max Замена дисплея (оригинал)</t>
  </si>
  <si>
    <t>iPhone 14 Pro Max Замена дисплея (аналог)</t>
  </si>
  <si>
    <t>iPhone 14 Pro Max Переклейка (восстановление) вашего дисплея</t>
  </si>
  <si>
    <t>iPhone 14 Pro Max Замена корпуса</t>
  </si>
  <si>
    <t>iPhone 14 Pro Max Замена задней крышки</t>
  </si>
  <si>
    <t>iPhone 14 Pro Max Замена аккумулятора</t>
  </si>
  <si>
    <t>iPhone 14 Pro Max Замена основной камеры</t>
  </si>
  <si>
    <t>iPhone 15 Диагностика</t>
  </si>
  <si>
    <t>iPhone 15 Замена дисплея (оригинал)</t>
  </si>
  <si>
    <t>iPhone 15 Замена дисплея (аналог)</t>
  </si>
  <si>
    <t>iPhone 15 Переклейка (восстановление) вашего дисплея</t>
  </si>
  <si>
    <t>iPhone 15 Замена аккумулятора</t>
  </si>
  <si>
    <t>iPhone 15 Замена средней части корпуса</t>
  </si>
  <si>
    <t>iPhone 15 Замена задней крышки</t>
  </si>
  <si>
    <t>iPhone 15 Замена основной камеры</t>
  </si>
  <si>
    <t>iPhone 15 Ремонт/замена фронтальной камеры</t>
  </si>
  <si>
    <t>iPhone 15 Замена стекла камеры</t>
  </si>
  <si>
    <t>iPhone 15 Plus Диагностика</t>
  </si>
  <si>
    <t>iPhone 15 Plus Замена дисплея (оригинал)</t>
  </si>
  <si>
    <t>iPhone 15 Plus Замена дисплея (аналог)</t>
  </si>
  <si>
    <t>iPhone 15 Plus Переклейка (восстановление) вашего дисплея</t>
  </si>
  <si>
    <t>iPhone 15 Plus Замена аккумулятора</t>
  </si>
  <si>
    <t>iPhone 15 Plus Замена средней корпуса</t>
  </si>
  <si>
    <t>iPhone 15 Plus Замена задней крышки</t>
  </si>
  <si>
    <t>iPhone 15 Plus Замена основной камеры</t>
  </si>
  <si>
    <t>iPhone 15 Plus Ремонт/замена фронтальной камеры</t>
  </si>
  <si>
    <t>iPhone 15 Plus Замена стекла камеры</t>
  </si>
  <si>
    <t>iPhone 15 Pro Диагностика</t>
  </si>
  <si>
    <t>iPhone 15 Pro Замена дисплея (оригинал)</t>
  </si>
  <si>
    <t>iPhone 15 Pro Замена дисплея (аналог)</t>
  </si>
  <si>
    <t>iPhone 15 Pro Переклейка (восстановление) вашего дисплея</t>
  </si>
  <si>
    <t>iPhone 15 Pro Замена аккумулятора</t>
  </si>
  <si>
    <t>iPhone 15 Pro Замена средней части корпуса</t>
  </si>
  <si>
    <t>iPhone 15 Pro Замена задней крышки</t>
  </si>
  <si>
    <t>iPhone 15 Pro Замена основной камеры</t>
  </si>
  <si>
    <t>iPhone 15 Pro Ремонт/замена фронтальной камеры</t>
  </si>
  <si>
    <t>iPhone 15 Pro Замена стекла камеры</t>
  </si>
  <si>
    <t>iPhone 15 Pro Max Диагностика</t>
  </si>
  <si>
    <t>iPhone 15 Pro Max Замена дисплея (оригинал)</t>
  </si>
  <si>
    <t>iPhone 15 Pro Max Замена дисплея (аналог)</t>
  </si>
  <si>
    <t>iPhone 15 Pro Max Переклейка (восстановление) вашего дисплея</t>
  </si>
  <si>
    <t>iPhone 15 Pro Max Замена аккумулятора</t>
  </si>
  <si>
    <t>iPhone 15 Pro Max Замена средней части корпуса</t>
  </si>
  <si>
    <t>iPhone 15 Pro Max Замена задней крышки</t>
  </si>
  <si>
    <t>iPhone 15 Pro Max Замена основной камеры</t>
  </si>
  <si>
    <t>iPhone 15 Pro Max Ремонт/замена фронтальной камеры</t>
  </si>
  <si>
    <t>iPhone 15 Pro Max Замена стекла камеры</t>
  </si>
  <si>
    <t>iPhone 16 Диагностика</t>
  </si>
  <si>
    <t>iPhone 16 Замена дисплея (оригинал)</t>
  </si>
  <si>
    <t>iPhone 16 Замена дисплея (аналог)</t>
  </si>
  <si>
    <t>iPhone 16 Переклейка (восстановление) вашего дисплея</t>
  </si>
  <si>
    <t>iPhone 16 Замена аккумулятора</t>
  </si>
  <si>
    <t>iPhone 16 Замена средней части корпуса</t>
  </si>
  <si>
    <t>iPhone 16 Замена задней крышки</t>
  </si>
  <si>
    <t>iPhone 16 Замена основной камеры</t>
  </si>
  <si>
    <t>iPhone 16 Ремонт/замена фронтальной камеры</t>
  </si>
  <si>
    <t>iPhone 16 Замена стекла камеры</t>
  </si>
  <si>
    <t>iPhone 16 Plus Диагностика</t>
  </si>
  <si>
    <t>iPhone 16 Plus Замена дисплея (оригинал)</t>
  </si>
  <si>
    <t>iPhone 16 Plus Замена дисплея (аналог)</t>
  </si>
  <si>
    <t>iPhone 16 Plus Переклейка (восстановление) вашего дисплея</t>
  </si>
  <si>
    <t>iPhone 16 Plus Замена аккумулятора</t>
  </si>
  <si>
    <t>iPhone 16 Plus Замена средней корпуса</t>
  </si>
  <si>
    <t>iPhone 16 Plus Замена задней крышки</t>
  </si>
  <si>
    <t>iPhone 16 Plus Замена основной камеры</t>
  </si>
  <si>
    <t>iPhone 16 Plus Ремонт/замена фронтальной камеры</t>
  </si>
  <si>
    <t>iPhone 16 Plus Замена стекла камеры</t>
  </si>
  <si>
    <t>iPhone 16 Pro Диагностика</t>
  </si>
  <si>
    <t>iPhone 16 Pro Замена дисплея (оригинал)</t>
  </si>
  <si>
    <t>iPhone 16 Pro Замена дисплея (аналог)</t>
  </si>
  <si>
    <t>iPhone 16 Pro Переклейка (восстановление) вашего дисплея</t>
  </si>
  <si>
    <t>iPhone 16 Pro Замена аккумулятора</t>
  </si>
  <si>
    <t>iPhone 16 Pro Замена средней части корпуса</t>
  </si>
  <si>
    <t>iPhone 16 Pro Замена задней крышки</t>
  </si>
  <si>
    <t>iPhone 16 Pro Замена основной камеры</t>
  </si>
  <si>
    <t>iPhone 16 Pro Ремонт/замена фронтальной камеры</t>
  </si>
  <si>
    <t>iPhone 16 Pro Замена стекла камеры</t>
  </si>
  <si>
    <t>iPhone 16 Pro Max Диагностика</t>
  </si>
  <si>
    <t>iPhone 16 Pro Max Замена дисплея (оригинал)</t>
  </si>
  <si>
    <t>iPhone 16 Pro Max Замена дисплея (аналог)</t>
  </si>
  <si>
    <t>iPhone 16 Pro Max Переклейка (восстановление) вашего дисплея</t>
  </si>
  <si>
    <t>iPhone 16 Pro Max Замена аккумулятора</t>
  </si>
  <si>
    <t>iPhone 16 Pro Max Замена средней части корпуса</t>
  </si>
  <si>
    <t>iPhone 16 Pro Max Замена задней крышки</t>
  </si>
  <si>
    <t>iPhone 16 Pro Max Замена основной камеры</t>
  </si>
  <si>
    <t>iPhone 16 Pro Max Ремонт/замена фронтальной камеры</t>
  </si>
  <si>
    <t>iPhone 16 Pro Max Замена стекла камеры</t>
  </si>
  <si>
    <t>iPhone 17 Диагностика</t>
  </si>
  <si>
    <t>iPhone 17 Air Диагностика</t>
  </si>
  <si>
    <t>iPhone 17 Pro Диагностика</t>
  </si>
  <si>
    <t>iPhone 17 Pro Max Диагностика</t>
  </si>
  <si>
    <t>ПАРСИНГ</t>
  </si>
  <si>
    <t>ICOMPONENTS</t>
  </si>
  <si>
    <t>MOS - LCD</t>
  </si>
  <si>
    <t xml:space="preserve">НАЦЕНКА В РУБЛЯХ </t>
  </si>
  <si>
    <t>ЦЕНЫ НА ЗАПЧАСТИ</t>
  </si>
  <si>
    <t>НАИМЕНОВАНИЕ ЗАПЧАСТИ</t>
  </si>
  <si>
    <t>ID ЗАПЧАСТИ</t>
  </si>
  <si>
    <t xml:space="preserve">МОДЕЛЬ </t>
  </si>
  <si>
    <t>КАТЕГОРИЯ</t>
  </si>
  <si>
    <t>НАИМЕНОВАНИЕ НА САЙТЕ ICOMPONENTS</t>
  </si>
  <si>
    <t>СТАРАЯ ЦЕНА ЗАПЧАСТИ ICOMPONENTS</t>
  </si>
  <si>
    <t>АКТ. ЦЕНА ЗАПЧАСТИ ICOMPONENTS</t>
  </si>
  <si>
    <t>НАИМЕНОВАНИЕ В ПРАЙСЕ MOS - LCD</t>
  </si>
  <si>
    <t>СТАРАЯ ЦЕНА ЗАПЧАСТИ MOS - LCD</t>
  </si>
  <si>
    <t>АКТ. ЦЕНА        ЗАПЧАСТИ        MOS - LCD</t>
  </si>
  <si>
    <t>НАЦЕНКА НА ЗАПЧАСТЬ</t>
  </si>
  <si>
    <t>ИТОГОВАЯ СТОИМОСТЬ ЗАПЧАСТИ (ПРАЙС)</t>
  </si>
  <si>
    <t>ИТОГОВАЯ СТОИМОСТЬ ЗАПЧАСТИ (РЕМОНЛАЙН)</t>
  </si>
  <si>
    <t>ССЫЛКА НА ЗАПЧАСТЬ ICOMPONENTS</t>
  </si>
  <si>
    <t>ДАТА ПАРСИНГА</t>
  </si>
  <si>
    <t>НАЦЕНКА В РУБЛЯХ ICOMPONENTS</t>
  </si>
  <si>
    <t>НАЦЕНКА В РУБЛЯХ             MOS - LCD</t>
  </si>
  <si>
    <t>Артикул</t>
  </si>
  <si>
    <t>Категория</t>
  </si>
  <si>
    <t>Серийный учет</t>
  </si>
  <si>
    <t>Длина</t>
  </si>
  <si>
    <t>Ширина</t>
  </si>
  <si>
    <t>Высота</t>
  </si>
  <si>
    <t>Единица измерения размеров</t>
  </si>
  <si>
    <t>Вес</t>
  </si>
  <si>
    <t>Единица веса</t>
  </si>
  <si>
    <t>ID поставщика по умолчанию</t>
  </si>
  <si>
    <t>Имя поставщика по умолчанию</t>
  </si>
  <si>
    <t>iPhone 5 [BAT] Аккумулятор - Аналог ORIG</t>
  </si>
  <si>
    <t>161 990</t>
  </si>
  <si>
    <t>Аккумулятор</t>
  </si>
  <si>
    <t>iPhone 5 - аккумуляторная батарея (АКБ), ORIG</t>
  </si>
  <si>
    <t>https://icomponents.ru/catalog/iphone/iphone_5/iphone_5_akkumulyatornaya_batareya_akb_orig/</t>
  </si>
  <si>
    <t>Сервис &gt; Ремонт Apple &gt; Ремонт iPhone &gt; 5</t>
  </si>
  <si>
    <t>да</t>
  </si>
  <si>
    <t>нет</t>
  </si>
  <si>
    <t>iPhone 5C / 5S [BAT] Аккумулятор - Аналог ORIG</t>
  </si>
  <si>
    <t>162 011</t>
  </si>
  <si>
    <t>iPhone 5s - аккумуляторная батарея (АКБ), ORIG</t>
  </si>
  <si>
    <t>https://icomponents.ru/catalog/iphone/iphone_5s/iphone_5s_akkumulyatornaya_batareya_akb_orig/</t>
  </si>
  <si>
    <t>Сервис &gt; Ремонт Apple &gt; Ремонт iPhone &gt; 5C</t>
  </si>
  <si>
    <t>iPhone SE 2016 [BAT] Аккумулятор - Аналог ORIG</t>
  </si>
  <si>
    <t>4643 101</t>
  </si>
  <si>
    <t>iPhone SE - Аккумуляторная батарея (АКБ), ORIG</t>
  </si>
  <si>
    <t>https://icomponents.ru/catalog/iphone/iphone_se/iphone_se_akkumulyatornaya_batareya_akb_orig/</t>
  </si>
  <si>
    <t>Сервис &gt; Ремонт Apple &gt; Ремонт iPhone &gt; SE2016</t>
  </si>
  <si>
    <t>iPhone 6 [BAT] Аккумулятор - Аналог ORIG</t>
  </si>
  <si>
    <t>228 700</t>
  </si>
  <si>
    <t>iPhone 6 - аккумуляторная батарея (АКБ), ORIG</t>
  </si>
  <si>
    <t>https://icomponents.ru/catalog/iphone/iphone_6/iphone_6_akkumulyatornaya_batareya_akb_orig/</t>
  </si>
  <si>
    <t>Сервис &gt; Ремонт Apple &gt; Ремонт iPhone &gt; 6</t>
  </si>
  <si>
    <t>iPhone 6 Plus [BAT] Аккумулятор - Аналог ORIG</t>
  </si>
  <si>
    <t>202 322</t>
  </si>
  <si>
    <t>iPhone 6+ - Аккумуляторная батарея (АКБ), ORIG</t>
  </si>
  <si>
    <t>https://icomponents.ru/catalog/iphone/iphone_6_2/iphone_6_akkumulyatornaya_batareya_akb_orig_2/</t>
  </si>
  <si>
    <t>Сервис &gt; Ремонт Apple &gt; Ремонт iPhone &gt; 6 Plus</t>
  </si>
  <si>
    <t>iPhone 6S [BAT] Аккумулятор - Аналог ORIG</t>
  </si>
  <si>
    <t>2342 214</t>
  </si>
  <si>
    <t>iPhone 6s - Аккумуляторная батарея (АКБ), ORIG</t>
  </si>
  <si>
    <t>https://icomponents.ru/catalog/iphone/iphone_6s_2/iphone_6s_akkumulyatornaya_batareya_akb_orig/</t>
  </si>
  <si>
    <t>Сервис &gt; Ремонт Apple &gt; Ремонт iPhone &gt; 6S</t>
  </si>
  <si>
    <t>iPhone 6S Plus [BAT] Аккумулятор - Аналог ORIG</t>
  </si>
  <si>
    <t>531 290</t>
  </si>
  <si>
    <t>iPhone 6s+ - Аккумуляторная батарея (АКБ), ORIG</t>
  </si>
  <si>
    <t>https://icomponents.ru/catalog/iphone/iphone_6s/iphone_6s_akkumulyatornaya_batareya_akb_orig_2/</t>
  </si>
  <si>
    <t>Сервис &gt; Ремонт Apple &gt; Ремонт iPhone &gt; 6S Plus</t>
  </si>
  <si>
    <t>iPhone 7 [BAT] Аккумулятор - Аналог ORIG</t>
  </si>
  <si>
    <t>5032 428</t>
  </si>
  <si>
    <t>iPhone 7 - Аккумуляторная батарея (АКБ), ORIG</t>
  </si>
  <si>
    <t>https://icomponents.ru/catalog/iphone/iphone_7_2/iphone_7_akkumulyatornaya_batareya_akb_orig/</t>
  </si>
  <si>
    <t>Сервис &gt; Ремонт Apple &gt; Ремонт iPhone &gt; 7</t>
  </si>
  <si>
    <t>iPhone 7 Plus [BAT] Аккумулятор - Аналог ORIG</t>
  </si>
  <si>
    <t>5032 427</t>
  </si>
  <si>
    <t>iPhone 7+ - Аккумуляторная батарея (АКБ), ORIG</t>
  </si>
  <si>
    <t>https://icomponents.ru/catalog/iphone/iphone_7/iphone_7_akkumulyatornaya_batareya_akb_orig_2/</t>
  </si>
  <si>
    <t>Сервис &gt; Ремонт Apple &gt; Ремонт iPhone &gt; 7 Plus</t>
  </si>
  <si>
    <t>iPhone 8 [BAT] Аккумулятор - Аналог ORIG</t>
  </si>
  <si>
    <t>9340 394</t>
  </si>
  <si>
    <t>iPhone 8 - Аккумуляторная батарея (АКБ), ORIG</t>
  </si>
  <si>
    <t>https://icomponents.ru/catalog/iphone/iphone_8_se2020/iphone_8_akkumulyatornaya_batareya_akb_orig/</t>
  </si>
  <si>
    <t>Сервис &gt; Ремонт Apple &gt; Ремонт iPhone &gt; 8</t>
  </si>
  <si>
    <t>iPhone 8 Plus [BAT] Аккумулятор - Аналог ORIG</t>
  </si>
  <si>
    <t>9340 395</t>
  </si>
  <si>
    <t>iPhone 8+ - Аккумуляторная батарея (АКБ), ORIG</t>
  </si>
  <si>
    <t>https://icomponents.ru/catalog/iphone/iphone_8/iphone_8_akkumulyatornaya_batareya_akb_orig_2/</t>
  </si>
  <si>
    <t>Сервис &gt; Ремонт Apple &gt; Ремонт iPhone &gt; 8 Plus</t>
  </si>
  <si>
    <t>iPhone SE 2020 [BAT] Аккумулятор - Аналог ORIG (неизвестная деталь)</t>
  </si>
  <si>
    <t>20630 753</t>
  </si>
  <si>
    <t>iPhone SE 2020 - Аккумуляторная батарея (АКБ), ORIG</t>
  </si>
  <si>
    <t>https://icomponents.ru/catalog/iphone/iphone_8_se2020/iphone_se_2020_akkumulyatornaya_batareya_akb_orig/</t>
  </si>
  <si>
    <t>Сервис &gt; Ремонт Apple &gt; Ремонт iPhone &gt; SE 2020</t>
  </si>
  <si>
    <t>iPhone SE 2022 [BAT] Аккумулятор - Аналог ORIG (неизвестная деталь)</t>
  </si>
  <si>
    <t>39320 338</t>
  </si>
  <si>
    <t>iPhone SE 2022 - Аккумуляторная батарея (АКБ), ORIG</t>
  </si>
  <si>
    <t>https://icomponents.ru/catalog/iphone/iphone_8_se2020/iphone_se_2022_akkumulyatornaya_batareya_akb_orig/</t>
  </si>
  <si>
    <t>Сервис &gt; Ремонт Apple &gt; Ремонт iPhone &gt; SE 2022</t>
  </si>
  <si>
    <t>iPhone XR [BAT] Аккумулятор - Аналог ORIG (неизвестная деталь)</t>
  </si>
  <si>
    <t>14471 928</t>
  </si>
  <si>
    <t>iPhone XR - Аккумуляторная батарея + скотч (АКБ), ORIG</t>
  </si>
  <si>
    <t>https://icomponents.ru/catalog/iphone/iphone_xr/iphone_xr_akkumulyatornaya_batareya_skotch_akb_orig/</t>
  </si>
  <si>
    <t>Сервис &gt; Ремонт Apple &gt; Ремонт iPhone &gt; XR</t>
  </si>
  <si>
    <t>iPhone XR [BAT] Аккумулятор - Банка ORIG</t>
  </si>
  <si>
    <t>25421 837</t>
  </si>
  <si>
    <t>iPhone XR - Банка АКБ с комплектом наклеек без шлейфа</t>
  </si>
  <si>
    <t>https://icomponents.ru/catalog/iphone/iphone_xr/iphone_xr_banka_akb_s_komplektom_nakleek_bez_shleyfa/</t>
  </si>
  <si>
    <t>iPhone X [BAT] Аккумулятор - Аналог ORIG</t>
  </si>
  <si>
    <t>9109 216</t>
  </si>
  <si>
    <t>iPhone X - Аккумуляторная батарея + скотч (АКБ), ORIG</t>
  </si>
  <si>
    <t>https://icomponents.ru/catalog/iphone/iphone_x/iphone_x_akkumulyatornaya_batareya_skotch_akb_orig/</t>
  </si>
  <si>
    <t>Сервис &gt; Ремонт Apple &gt; Ремонт iPhone &gt; X</t>
  </si>
  <si>
    <t>iPhone XS [BAT] Аккумулятор - Аналог ORIG (неизвестная деталь)</t>
  </si>
  <si>
    <t>14197 590</t>
  </si>
  <si>
    <t>iPhone XS - Аккумуляторная батарея + скотч (АКБ), ORIG</t>
  </si>
  <si>
    <t>https://icomponents.ru/catalog/iphone/iphone_xs/iphone_xs_akkumulyatornaya_batareya_skotch_akb_orig/</t>
  </si>
  <si>
    <t>Сервис &gt; Ремонт Apple &gt; Ремонт iPhone &gt; XS</t>
  </si>
  <si>
    <t>iPhone XS [BAT] Аккумулятор - Банка ORIG</t>
  </si>
  <si>
    <t>25245 934</t>
  </si>
  <si>
    <t>iPhone XS - Банка АКБ с комплектом наклеек без шлейфа</t>
  </si>
  <si>
    <t>https://icomponents.ru/catalog/iphone/iphone_xs/iphone_xs_banka_akb_s_komplektom_nakleek_bez_shleyfa/</t>
  </si>
  <si>
    <t>iPhone XS Max [BAT] Аккумулятор - Аналог ORIG (неизвестная деталь)</t>
  </si>
  <si>
    <t>14197 591</t>
  </si>
  <si>
    <t>iPhone XS MAX - Аккумуляторная батарея + скотч (АКБ), ORIG</t>
  </si>
  <si>
    <t>https://icomponents.ru/catalog/iphone/iphone_xs_max/iphone_xs_max_akkumulyatornaya_batareya_skotch_akb_orig/</t>
  </si>
  <si>
    <t>Сервис &gt; Ремонт Apple &gt; Ремонт iPhone &gt; XS Max</t>
  </si>
  <si>
    <t>iPhone XS Max [BAT] Аккумулятор - Банка ORIG</t>
  </si>
  <si>
    <t>25245 979</t>
  </si>
  <si>
    <t>iPhone XS Max - Банка АКБ с комплектом наклеек без шлейфа</t>
  </si>
  <si>
    <t>https://icomponents.ru/catalog/iphone/iphone_xs_max/iphone_xs_max_banka_akb_s_komplektom_nakleek_bez_shleyfa/</t>
  </si>
  <si>
    <t>iPhone 11 [BAT] Аккумулятор - Аналог ORIG (неизвестная деталь)</t>
  </si>
  <si>
    <t>24010 460</t>
  </si>
  <si>
    <t>iPhone 11 - Аккумуляторная батарея + скотч (АКБ), ORIG</t>
  </si>
  <si>
    <t>https://icomponents.ru/catalog/iphone/iphone_11/iphone_11_akkumulyatornaya_batareya_skotch_akb_orig/</t>
  </si>
  <si>
    <t>Сервис &gt; Ремонт Apple &gt; Ремонт iPhone &gt; 11</t>
  </si>
  <si>
    <t>iPhone 11 [BAT] Аккумулятор - Банка ORIG</t>
  </si>
  <si>
    <t>37706 712</t>
  </si>
  <si>
    <t>iPhone 11 - Банка АКБ с комплектом наклеек без шлейфа</t>
  </si>
  <si>
    <t>https://icomponents.ru/catalog/iphone/iphone_11/iphone_11_banka_akb_s_komplektom_nakleek_bez_shleyfa/</t>
  </si>
  <si>
    <t>iPhone 11 Pro [BAT] Аккумулятор - Аналог ORIG (неизвестная деталь)</t>
  </si>
  <si>
    <t>22608 232</t>
  </si>
  <si>
    <t>iPhone 11 Pro - Аккумуляторная батарея + скотч (АКБ), ORIG</t>
  </si>
  <si>
    <t>https://icomponents.ru/catalog/iphone/iphone_11_pro/iphone_11_pro_akkumulyatornaya_batareya_skotch_akb_orig/</t>
  </si>
  <si>
    <t>Сервис &gt; Ремонт Apple &gt; Ремонт iPhone &gt; 11 Pro</t>
  </si>
  <si>
    <t>iPhone 11 Pro [BAT] Аккумулятор - Банка ORIG</t>
  </si>
  <si>
    <t>25246 105</t>
  </si>
  <si>
    <t>iPhone 11 Pro - Банка АКБ с комплектом наклеек без шлейфа</t>
  </si>
  <si>
    <t>https://icomponents.ru/catalog/iphone/iphone_11_pro/iphone_11_pro_banka_akb_s_komplektom_nakleek_bez_shleyfa/</t>
  </si>
  <si>
    <t>iPhone 11 Pro Max [BAT] Аккумулятор - Аналог ORIG (неизвестная деталь)</t>
  </si>
  <si>
    <t>25246 314</t>
  </si>
  <si>
    <t>iPhone 11 Pro Max - Аккумуляторная батарея + скотч (АКБ), ORIG</t>
  </si>
  <si>
    <t>https://icomponents.ru/catalog/iphone/iphone_11_pro_max/iphone_11_pro_max_akkumulyatornaya_batareya_skotch_akb_orig/</t>
  </si>
  <si>
    <t>Сервис &gt; Ремонт Apple &gt; Ремонт iPhone &gt; 11 Pro Max</t>
  </si>
  <si>
    <t>iPhone 11 Pro Max [BAT] Аккумулятор - Банка ORIG</t>
  </si>
  <si>
    <t>25246 276</t>
  </si>
  <si>
    <t>iPhone 11 Pro Max - Банка АКБ с комплектом наклеек без шлейфа</t>
  </si>
  <si>
    <t>https://icomponents.ru/catalog/iphone/iphone_11_pro_max/iphone_11_pro_max_banka_akb_s_komplektom_nakleek_bez_shleyfa/</t>
  </si>
  <si>
    <t>iPhone 12 / 12 Pro [BAT] Аккумулятор - Сервисный оригинал (подлинное)</t>
  </si>
  <si>
    <t>56218 909</t>
  </si>
  <si>
    <t>iPhone 12 / 12 Pro - Аккумуляторная батарея (АКБ) Service Pack ORIG</t>
  </si>
  <si>
    <t>https://icomponents.ru/catalog/iphone/iphone_12_pro/iphone_12_12_pro_akkumulyatornaya_batareya_akb_service_pack_orig/</t>
  </si>
  <si>
    <t>Сервис &gt; Ремонт Apple &gt; Ремонт iPhone &gt; 12</t>
  </si>
  <si>
    <t>iPhone 12 / 12 Pro [BAT] Аккумулятор - Снятый оригинал (бу)</t>
  </si>
  <si>
    <t>50284 788</t>
  </si>
  <si>
    <t>iPhone 12/12 Pro - Аккумулятор снятый ORIG (привязка б/у, 100% емкость)</t>
  </si>
  <si>
    <t>https://icomponents.ru/catalog/iphone/iphone_12_pro/iphone_12_12_pro_akkumulyator_snyatyy_orig_privyazka_b_u_100_emkost/</t>
  </si>
  <si>
    <t>iPhone 12 / 12 Pro [BAT] Аккумулятор - Аналог ORIG (подлинное)</t>
  </si>
  <si>
    <t>iPhone 12 / 12 Pro - Аккумулятор (Подлинная деталь / GENUINE NEW) повышенная емкость 3320 mAh</t>
  </si>
  <si>
    <t>https://icomponents.ru/catalog/iphone/iphone_12/iphone_12_12_pro_akkumulyator_podlinnaya_detal_genuine_new_povyshennaya_emkost_3320_mah/</t>
  </si>
  <si>
    <t>iPhone 12 / 12 Pro [BAT] Аккумулятор - Аналог ORIG (бу)</t>
  </si>
  <si>
    <t>53722 989</t>
  </si>
  <si>
    <t>iPhone 12 / 12 Pro - Аккумулятор (АКБ) PREMIUM CLEAN (iOS 18-26)</t>
  </si>
  <si>
    <t>https://icomponents.ru/catalog/iphone/iphone_12_pro/iphone_12_12_pro_akkumulyator_akb_premium_clean_ios_18_26/</t>
  </si>
  <si>
    <t>iPhone 12 / 12 Pro [BAT] Аккумулятор - Аналог ORIG (неизвестная деталь)</t>
  </si>
  <si>
    <t>25533 073</t>
  </si>
  <si>
    <t>iPhone 12/12 Pro - Аккумуляторная батарея + скотч (АКБ), ORIG</t>
  </si>
  <si>
    <t>https://icomponents.ru/catalog/iphone/iphone_12_pro/iphone_12_12_pro_akkumulyatornaya_batareya_skotch_akb_orig/</t>
  </si>
  <si>
    <t>iPhone 12 / 12 Pro [BAT] Аккумулятор - Банка ORIG</t>
  </si>
  <si>
    <t>34675 484</t>
  </si>
  <si>
    <t>iPhone 12/12 Pro - Банка АКБ с комплектом наклеек без шлейфа</t>
  </si>
  <si>
    <t>https://icomponents.ru/catalog/iphone/iphone_12/iphone_12_12_pro_banka_akb_s_komplektom_nakleek_bez_shleyfa/</t>
  </si>
  <si>
    <t>iPhone 12 Mini [BAT] Аккумулятор - Сервисный оригинал (подлинное)</t>
  </si>
  <si>
    <t>56218 967</t>
  </si>
  <si>
    <t>iPhone 12 mini - Аккумуляторная батарея (АКБ) Service Pack ORIG</t>
  </si>
  <si>
    <t>https://icomponents.ru/catalog/iphone/iphone_12_mini/iphone_12_mini_akkumulyatornaya_batareya_akb_service_pack_orig/</t>
  </si>
  <si>
    <t>Сервис &gt; Ремонт Apple &gt; Ремонт iPhone &gt; 12 Mini</t>
  </si>
  <si>
    <t>iPhone 12 Mini [BAT] Аккумулятор - Аналог ORIG (подлинное)</t>
  </si>
  <si>
    <t>iPhone 12 mini - Аккумулятор (Подлинная деталь / GENUINE NEW) повышенная емкость 2520 mAh</t>
  </si>
  <si>
    <t>https://icomponents.ru/catalog/iphone/iphone_12_mini/iphone_12_mini_akkumulyator_podlinnaya_detal_genuine_new_povyshennaya_emkost_2520_mah/</t>
  </si>
  <si>
    <t>iPhone 12 Mini [BAT] Аккумулятор - Аналог ORIG (бу)</t>
  </si>
  <si>
    <t>55547 035</t>
  </si>
  <si>
    <t>iPhone 12 mini - Аккумулятор (АКБ) PREMIUM CLEAN (iOS 18-26)</t>
  </si>
  <si>
    <t>https://icomponents.ru/catalog/iphone/iphone_12_mini/iphone_12_mini_akkumulyator_akb_premium_clean_ios_18_26/</t>
  </si>
  <si>
    <t>iPhone 12 Mini [BAT] Аккумулятор - Аналог ORIG (неизвестная деталь)</t>
  </si>
  <si>
    <t>iPhone 12 mini - Аккумуляторная батарея + скотч (АКБ), ORIG</t>
  </si>
  <si>
    <t>https://icomponents.ru/catalog/iphone/iphone_12_mini/iphone_12_mini_akkumulyatornaya_batareya_skotch_akb_orig/</t>
  </si>
  <si>
    <t>iPhone 12 Mini [BAT] Аккумулятор - Банка ORIG</t>
  </si>
  <si>
    <t>34675 511</t>
  </si>
  <si>
    <t>iPhone 12 mini - Банка АКБ с комплектом наклеек без шлейфа</t>
  </si>
  <si>
    <t>https://icomponents.ru/catalog/iphone/iphone_12_mini/iphone_12_mini_banka_akb_s_komplektom_nakleek_bez_shleyfa/</t>
  </si>
  <si>
    <t>iPhone 12 Pro Max [BAT] Аккумулятор - Сервисный оригинал (подлинное)</t>
  </si>
  <si>
    <t>50284 805</t>
  </si>
  <si>
    <t>iPhone 12 Pro Max - Аккумуляторная батарея (АКБ) Service Pack ORIG</t>
  </si>
  <si>
    <t>https://icomponents.ru/catalog/iphone/iphone_12_pro_max/iphone_12_pro_max_akkumulyatornaya_batareya_akb_service_pack_orig/</t>
  </si>
  <si>
    <t>Сервис &gt; Ремонт Apple &gt; Ремонт iPhone &gt; 12 Pro Max</t>
  </si>
  <si>
    <t>iPhone 12 Pro Max [BAT] Аккумулятор - Снятый оригинал (бу)</t>
  </si>
  <si>
    <t>56226 358</t>
  </si>
  <si>
    <t>iPhone 12 Pro Max - Аккумулятор снятый ORIG (привязка б/у, 100% емкость)</t>
  </si>
  <si>
    <t>https://icomponents.ru/catalog/iphone/iphone_12_pro_max/iphone_12_pro_max_akkumulyator_snyatyy_orig_privyazka_b_u_100_emkost/</t>
  </si>
  <si>
    <t>iPhone 12 Pro Max [BAT] Аккумулятор - Аналог ORIG (подлинное)</t>
  </si>
  <si>
    <t>iPhone 12 Pro Max - Аккумулятор (Подлинная деталь / GENUINE NEW) повышенная емкость 4420 mAh</t>
  </si>
  <si>
    <t>https://icomponents.ru/catalog/iphone/iphone_12_pro_max/iphone_12_pro_max_akkumulyator_podlinnaya_detal_genuine_new_povyshennaya_emkost_4420_mah/</t>
  </si>
  <si>
    <t>iPhone 12 Pro Max [BAT] Аккумулятор - Аналог ORIG (бу)</t>
  </si>
  <si>
    <t>56226 385</t>
  </si>
  <si>
    <t>iPhone 12 Pro Max - Аккумулятор (АКБ) PREMIUM CLEAN (iOS 18-26)</t>
  </si>
  <si>
    <t>https://icomponents.ru/catalog/iphone/iphone_12_pro_max/iphone_12_pro_max_akkumulyator_akb_premium_clean_ios_18_26/</t>
  </si>
  <si>
    <t>iPhone 12 Pro Max [BAT] Аккумулятор - Аналог ORIG (неизвестная деталь)</t>
  </si>
  <si>
    <t>25532 906</t>
  </si>
  <si>
    <t>iPhone 12 Pro Max - Аккумуляторная батарея + скотч (АКБ), ORIG</t>
  </si>
  <si>
    <t>https://icomponents.ru/catalog/iphone/iphone_12_pro_max/iphone_12_pro_max_akkumulyatornaya_batareya_skotch_akb_orig/</t>
  </si>
  <si>
    <t>iPhone 12 Pro Max [BAT] Аккумулятор - Банка ORIG</t>
  </si>
  <si>
    <t>34675 452</t>
  </si>
  <si>
    <t>iPhone 12 Pro Max - Банка АКБ с комплектом наклеек без шлейфа</t>
  </si>
  <si>
    <t>https://icomponents.ru/catalog/iphone/iphone_12_pro_max/iphone_12_pro_max_banka_akb_s_komplektom_nakleek_bez_shleyfa/</t>
  </si>
  <si>
    <t>iPhone 13 [BAT] Аккумулятор - Сервисный оригинал (подлинное)</t>
  </si>
  <si>
    <t>50305 127</t>
  </si>
  <si>
    <t>iPhone 13 - Аккумуляторная батарея (АКБ) Service Pack ORIG</t>
  </si>
  <si>
    <t>https://icomponents.ru/catalog/iphone/iphone_13/iphone_13_akkumulyatornaya_batareya_akb_service_pack_orig/</t>
  </si>
  <si>
    <t>Сервис &gt; Ремонт Apple &gt; Ремонт iPhone &gt; 13</t>
  </si>
  <si>
    <t>iPhone 13 [BAT] Аккумулятор - Снятый оригинал (бу)</t>
  </si>
  <si>
    <t>56228 247</t>
  </si>
  <si>
    <t>iPhone 13 - Аккумулятор снятый ORIG (привязка б/у, 100% емкость)</t>
  </si>
  <si>
    <t>https://icomponents.ru/catalog/iphone/iphone_13/iphone_13_akkumulyator_snyatyy_orig_privyazka_b_u_100_emkost/</t>
  </si>
  <si>
    <t>iPhone 13 [BAT] Аккумулятор - Аналог ORIG (подлинное)</t>
  </si>
  <si>
    <t>iPhone 13 - Аккумулятор (Подлинная деталь / GENUINE NEW) повышенная емкость 3530 mAh</t>
  </si>
  <si>
    <t>https://icomponents.ru/catalog/iphone/iphone_13/iphone_13_akkumulyator_podlinnaya_detal_genuine_new_povyshennaya_emkost_3530_mah/</t>
  </si>
  <si>
    <t>iPhone 13 [BAT] Аккумулятор - Аналог ORIG (бу)</t>
  </si>
  <si>
    <t>55547 200</t>
  </si>
  <si>
    <t>iPhone 13 - Аккумулятор (АКБ) PREMIUM CLEAN (iOS 18-26)</t>
  </si>
  <si>
    <t>https://icomponents.ru/catalog/iphone/iphone_13/iphone_13_akkumulyator_akb_premium_clean_ios_18_26/</t>
  </si>
  <si>
    <t>iPhone 13 [BAT] Аккумулятор - Аналог ORIG (неизвестная деталь)</t>
  </si>
  <si>
    <t>35850 950</t>
  </si>
  <si>
    <t>iPhone 13 - Аккумуляторная батарея + скотч (АКБ), ORIG</t>
  </si>
  <si>
    <t>https://icomponents.ru/catalog/iphone/iphone_13/iphone_13_akkumulyatornaya_batareya_skotch_akb_orig/</t>
  </si>
  <si>
    <t>iPhone 13 [BAT] Аккумулятор - Банка ORIG</t>
  </si>
  <si>
    <t>41401 014</t>
  </si>
  <si>
    <t>iPhone 13 - Банка АКБ с комплектом наклеек без шлейфа</t>
  </si>
  <si>
    <t>https://icomponents.ru/catalog/iphone/iphone_13/iphone_13_banka_akb_s_komplektom_nakleek_bez_shleyfa/</t>
  </si>
  <si>
    <t>iPhone 13 Mini [BAT] Аккумулятор - Сервисный оригинал (подлинное)</t>
  </si>
  <si>
    <t>56219 061</t>
  </si>
  <si>
    <t>iPhone 13 mini - Аккумуляторная батарея (АКБ) Service Pack ORIG</t>
  </si>
  <si>
    <t>https://icomponents.ru/catalog/iphone/iphone_13_mini/iphone_13_mini_akkumulyatornaya_batareya_akb_service_pack_orig/</t>
  </si>
  <si>
    <t>Сервис &gt; Ремонт Apple &gt; Ремонт iPhone &gt; 13 Mini</t>
  </si>
  <si>
    <t>iPhone 13 Mini [BAT] Аккумулятор - Аналог ORIG (подлинное)</t>
  </si>
  <si>
    <t>iPhone 13 mini - Аккумулятор (Подлинная деталь / GENUINE NEW) повышенная емкость 2580 mAh</t>
  </si>
  <si>
    <t>https://icomponents.ru/catalog/iphone/iphone_13_mini/iphone_13_mini_akkumulyator_podlinnaya_detal_genuine_new_povyshennaya_emkost_2580_mah/</t>
  </si>
  <si>
    <t>iPhone 13 Mini [BAT] Аккумулятор - Аналог ORIG (бу)</t>
  </si>
  <si>
    <t>55547 110</t>
  </si>
  <si>
    <t>iPhone 13 mini - Аккумулятор (АКБ) PREMIUM CLEAN (iOS 18-26)</t>
  </si>
  <si>
    <t>https://icomponents.ru/catalog/iphone/iphone_13_mini/iphone_13_mini_akkumulyator_akb_premium_clean_ios_18_26/</t>
  </si>
  <si>
    <t>iPhone 13 Mini [BAT] Аккумулятор - Аналог ORIG (неизвестная деталь)</t>
  </si>
  <si>
    <t>41889 442</t>
  </si>
  <si>
    <t>iPhone 13 mini -  Аккумуляторная батарея + скотч (АКБ), ORIG</t>
  </si>
  <si>
    <t>https://icomponents.ru/catalog/iphone/iphone_13_mini/iphone_13_mini_akkumulyatornaya_batareya_skotch_akb_orig/</t>
  </si>
  <si>
    <t>iPhone 13 Mini [BAT] Аккумулятор - Банка ORIG</t>
  </si>
  <si>
    <t>41400 944</t>
  </si>
  <si>
    <t>iPhone 13 mini - Банка АКБ с комплектом наклеек без шлейфа</t>
  </si>
  <si>
    <t>https://icomponents.ru/catalog/iphone/iphone_13_mini/iphone_13_mini_banka_akb_s_komplektom_nakleek_bez_shleyfa/</t>
  </si>
  <si>
    <t>iPhone 13 Pro [BAT] Аккумулятор - Сервисный оригинал (подлинное)</t>
  </si>
  <si>
    <t>56229 689</t>
  </si>
  <si>
    <t>iPhone 13 Pro - Аккумуляторная батарея (АКБ) Service Pack ORIG</t>
  </si>
  <si>
    <t>https://icomponents.ru/catalog/iphone/iphone_13_pro/iphone_13_pro_akkumulyatornaya_batareya_akb_service_pack_orig/</t>
  </si>
  <si>
    <t>Сервис &gt; Ремонт Apple &gt; Ремонт iPhone &gt; 13 Pro</t>
  </si>
  <si>
    <t>iPhone 13 Pro [BAT] Аккумулятор - Снятый оригинал (бу)</t>
  </si>
  <si>
    <t>50305 981</t>
  </si>
  <si>
    <t>iPhone 13 Pro - Аккумулятор снятый ORIG (привязка б/у, 100% емкость)</t>
  </si>
  <si>
    <t>https://icomponents.ru/catalog/iphone/iphone_13_pro/iphone_13_pro_akkumulyator_snyatyy_orig_privyazka_b_u_100_emkost/</t>
  </si>
  <si>
    <t>iPhone 13 Pro [BAT] Аккумулятор - Аналог ORIG (подлинное)</t>
  </si>
  <si>
    <t>iPhone 13 Pro - Аккумулятор (Подлинная деталь / GENUINE NEW) повышенная емкость 3300 mAh</t>
  </si>
  <si>
    <t>https://icomponents.ru/catalog/iphone/iphone_13_pro/iphone_13_pro_akkumulyator_podlinnaya_detal_genuine_new_povyshennaya_emkost_3300_mah/</t>
  </si>
  <si>
    <t>iPhone 13 Pro [BAT] Аккумулятор - Аналог ORIG (бу)</t>
  </si>
  <si>
    <t>53723 043</t>
  </si>
  <si>
    <t>iPhone 13 Pro - Аккумулятор (АКБ) PREMIUM CLEAN (iOS 18-26)</t>
  </si>
  <si>
    <t>https://icomponents.ru/catalog/iphone/iphone_13_pro/iphone_13_pro_akkumulyator_akb_premium_clean_ios_18_26/</t>
  </si>
  <si>
    <t>iPhone 13 Pro [BAT] Аккумулятор - Аналог ORIG (неизвестная деталь)</t>
  </si>
  <si>
    <t>32000 715</t>
  </si>
  <si>
    <t>iPhone 13 Pro - Аккумуляторная батарея + скотч (АКБ), ORIG</t>
  </si>
  <si>
    <t>https://icomponents.ru/catalog/iphone/iphone_13_pro/iphone_13_pro_akkumulyatornaya_batareya_skotch_akb_orig/</t>
  </si>
  <si>
    <t>iPhone 13 Pro [BAT] Аккумулятор - Банка ORIG</t>
  </si>
  <si>
    <t>41400 904</t>
  </si>
  <si>
    <t>iPhone 13 Pro - Банка АКБ с комплектом наклеек без шлейфа</t>
  </si>
  <si>
    <t>https://icomponents.ru/catalog/iphone/iphone_13_pro/iphone_13_pro_banka_akb_s_komplektom_nakleek_bez_shleyfa/</t>
  </si>
  <si>
    <t>iPhone 13 Pro Max [BAT] Аккумулятор - Сервисный оригинал (подлинное)</t>
  </si>
  <si>
    <t>56229 857</t>
  </si>
  <si>
    <t>iPhone 13 Pro Max - Аккумуляторная батарея (АКБ) Service Pack ORIG</t>
  </si>
  <si>
    <t>https://icomponents.ru/catalog/iphone/iphone_13_pro_max/iphone_13_pro_max_akkumulyatornaya_batareya_akb_service_pack_orig/</t>
  </si>
  <si>
    <t>Сервис &gt; Ремонт Apple &gt; Ремонт iPhone &gt; 13 Pro Max</t>
  </si>
  <si>
    <t>iPhone 13 Pro Max [BAT] Аккумулятор - Снятый оригинал (бу)</t>
  </si>
  <si>
    <t>56229 935</t>
  </si>
  <si>
    <t>iPhone 13 Pro Max - Аккумулятор снятый ORIG (привязка б/у, 100% емкость)</t>
  </si>
  <si>
    <t>https://icomponents.ru/catalog/iphone/iphone_13_pro_max/iphone_13_pro_max_akkumulyator_snyatyy_orig_privyazka_b_u_100_emkost/</t>
  </si>
  <si>
    <t>iPhone 13 Pro Max [BAT] Аккумулятор - Аналог ORIG (подлинное)</t>
  </si>
  <si>
    <t>iPhone 13 Pro Max - Аккумулятор (Подлинная деталь / GENUINE NEW) повышенная емкость 4650 mAh</t>
  </si>
  <si>
    <t>https://icomponents.ru/catalog/iphone/iphone_13_pro_max/iphone_13_pro_max_akkumulyator_podlinnaya_detal_genuine_new_povyshennaya_emkost_4650_mah/</t>
  </si>
  <si>
    <t>iPhone 13 Pro Max [BAT] Аккумулятор - Аналог ORIG (бу)</t>
  </si>
  <si>
    <t>54470 832</t>
  </si>
  <si>
    <t>iPhone 13 Pro Max - Аккумулятор (АКБ) PREMIUM CLEAN (iOS 18-26)</t>
  </si>
  <si>
    <t>https://icomponents.ru/catalog/iphone/iphone_13_pro_max/iphone_13_pro_max_akkumulyator_akb_premium_clean_ios_18_26/</t>
  </si>
  <si>
    <t>iPhone 13 Pro Max [BAT] Аккумулятор - Аналог ORIG (неизвестная деталь)</t>
  </si>
  <si>
    <t>35850 836</t>
  </si>
  <si>
    <t>iPhone 13 Pro Max - Аккумуляторная батарея + скотч (АКБ), ORIG</t>
  </si>
  <si>
    <t>https://icomponents.ru/catalog/iphone/iphone_13_pro_max/iphone_13_pro_max_akkumulyatornaya_batareya_skotch_akb_orig/</t>
  </si>
  <si>
    <t>iPhone 13 Pro Max [BAT] Аккумулятор - Банка ORIG</t>
  </si>
  <si>
    <t>41307 402</t>
  </si>
  <si>
    <t>iPhone 13 Pro Max - Банка АКБ с комплектом наклеек без шлейфа</t>
  </si>
  <si>
    <t>https://icomponents.ru/catalog/iphone/iphone_13_pro_max/iphone_13_pro_max_banka_akb_s_komplektom_nakleek_bez_shleyfa/</t>
  </si>
  <si>
    <t>iPhone 14 [BAT] Аккумулятор - Сервисный оригинал (подлинное)</t>
  </si>
  <si>
    <t>56234 439</t>
  </si>
  <si>
    <t>iPhone 14 - Аккумуляторная батарея (АКБ) Service Pack ORIG</t>
  </si>
  <si>
    <t>https://icomponents.ru/catalog/iphone/iphone_14/iphone_14_akkumulyatornaya_batareya_akb_service_pack_orig/</t>
  </si>
  <si>
    <t>Сервис &gt; Ремонт Apple &gt; Ремонт iPhone &gt; 14</t>
  </si>
  <si>
    <t>iPhone 14 [BAT] Аккумулятор - Снятый оригинал (бу)</t>
  </si>
  <si>
    <t>56234 409</t>
  </si>
  <si>
    <t>iPhone 14 - Аккумулятор снятый ORIG (привязка б/у, 100% емкость)</t>
  </si>
  <si>
    <t>https://icomponents.ru/catalog/iphone/iphone_14/iphone_14_akkumulyator_snyatyy_orig_privyazka_b_u_100_emkost/</t>
  </si>
  <si>
    <t>iPhone 14 [BAT] Аккумулятор - Аналог ORIG (подлинное)</t>
  </si>
  <si>
    <t>iPhone 14 - Аккумулятор (Подлинная деталь / GENUINE NEW) повышенная емкость 3670 mAh</t>
  </si>
  <si>
    <t>https://icomponents.ru/catalog/iphone/iphone_14/iphone_14_akkumulyator_podlinnaya_detal_genuine_new_povyshennaya_emkost_3670_mah/</t>
  </si>
  <si>
    <t>iPhone 14 [BAT] Аккумулятор - Аналог ORIG (бу)</t>
  </si>
  <si>
    <t>55548 939</t>
  </si>
  <si>
    <t>iPhone 14 - Аккумулятор (АКБ) PREMIUM CLEAN (iOS 18-26)</t>
  </si>
  <si>
    <t>https://icomponents.ru/catalog/iphone/iphone_14/iphone_14_akkumulyator_akb_premium_clean_ios_18_26/</t>
  </si>
  <si>
    <t>iPhone 14 [BAT] Аккумулятор - Аналог ORIG (неизвестная деталь)</t>
  </si>
  <si>
    <t>41141 280</t>
  </si>
  <si>
    <t>iPhone 14 - Аккумуляторная батарея + скотч (АКБ), ORIG</t>
  </si>
  <si>
    <t>https://icomponents.ru/catalog/iphone/iphone_14/iphone_14_akkumulyatornaya_batareya_skotch_akb_orig/</t>
  </si>
  <si>
    <t>iPhone 14 [BAT] Аккумулятор - Банка ORIG</t>
  </si>
  <si>
    <t>41141 281</t>
  </si>
  <si>
    <t>iPhone 14 - Банка АКБ с комплектом наклеек без шлейфа</t>
  </si>
  <si>
    <t>https://icomponents.ru/catalog/iphone/iphone_14/iphone_14_banka_akb_s_komplektom_nakleek_bez_shleyfa/</t>
  </si>
  <si>
    <t>iPhone 14 Plus [BAT] Аккумулятор - Сервисный оригинал (подлинное)</t>
  </si>
  <si>
    <t>56234 867</t>
  </si>
  <si>
    <t>iPhone 14 Plus - Аккумуляторная батарея (АКБ) Service Pack ORIG</t>
  </si>
  <si>
    <t>https://icomponents.ru/catalog/iphone/iphone_14_plus/iphone_14_plus_akkumulyatornaya_batareya_akb_service_pack_orig/</t>
  </si>
  <si>
    <t>Сервис &gt; Ремонт Apple &gt; Ремонт iPhone &gt; 14 Plus</t>
  </si>
  <si>
    <t>iPhone 14 Plus [BAT] Аккумулятор - Снятый оригинал (бу)</t>
  </si>
  <si>
    <t>56234 931</t>
  </si>
  <si>
    <t>iPhone 14 Plus - Аккумулятор снятый ORIG (привязка б/у, 100% емкость)</t>
  </si>
  <si>
    <t>https://icomponents.ru/catalog/iphone/iphone_14_plus/iphone_14_plus_akkumulyator_snyatyy_orig_privyazka_b_u_100_emkost/</t>
  </si>
  <si>
    <t>iPhone 14 Plus [BAT] Аккумулятор - Аналог ORIG (подлинное)</t>
  </si>
  <si>
    <t>iPhone 14 Plus [BAT] Аккумулятор - Аналог ORIG (бу)</t>
  </si>
  <si>
    <t>56235 046</t>
  </si>
  <si>
    <t>iPhone 14 Plus - Аккумулятор (АКБ) PREMIUM CLEAN (iOS 18-26)</t>
  </si>
  <si>
    <t>https://icomponents.ru/catalog/iphone/iphone_14_plus/iphone_14_plus_akkumulyator_akb_premium_clean_ios_18_26/</t>
  </si>
  <si>
    <t>iPhone 14 Plus [BAT] Аккумулятор - Аналог ORIG (неизвестная деталь)</t>
  </si>
  <si>
    <t>41141 217</t>
  </si>
  <si>
    <t>iPhone 14 Plus - Аккумуляторная батарея + скотч (АКБ), ORIG</t>
  </si>
  <si>
    <t>https://icomponents.ru/catalog/iphone/iphone_14_plus/iphone_14_plus_akkumulyatornaya_batareya_skotch_akb_orig/</t>
  </si>
  <si>
    <t>iPhone 14 Plus [BAT] Аккумулятор - Банка ORIG</t>
  </si>
  <si>
    <t>41141 218</t>
  </si>
  <si>
    <t>iPhone 14 Pro [BAT] Аккумулятор - Сервисный оригинал (подлинное)</t>
  </si>
  <si>
    <t>56235 145</t>
  </si>
  <si>
    <t>iPhone 14 Pro - Аккумуляторная батарея (АКБ) Service Pack ORIG</t>
  </si>
  <si>
    <t>https://icomponents.ru/catalog/iphone/iphone_14_pro/iphone_14_pro_akkumulyatornaya_batareya_akb_service_pack_orig/</t>
  </si>
  <si>
    <t>Сервис &gt; Ремонт Apple &gt; Ремонт iPhone &gt; 14 Pro</t>
  </si>
  <si>
    <t>iPhone 14 Pro [BAT] Аккумулятор - Снятый оригинал (бу)</t>
  </si>
  <si>
    <t>56235 181</t>
  </si>
  <si>
    <t>iPhone 14 Pro - Аккумулятор снятый ORIG (привязка б/у, 100% емкость)</t>
  </si>
  <si>
    <t>https://icomponents.ru/catalog/iphone/iphone_14_pro/iphone_14_pro_akkumulyator_snyatyy_orig_privyazka_b_u_100_emkost/</t>
  </si>
  <si>
    <t>iPhone 14 Pro [BAT] Аккумулятор - Аналог ORIG (подлинное)</t>
  </si>
  <si>
    <t>iPhone 14 Pro - Аккумулятор (Подлинная деталь / GENUINE NEW) повышенная емкость 3480 mAh</t>
  </si>
  <si>
    <t>https://icomponents.ru/catalog/iphone/iphone_14_pro/iphone_14_pro_akkumulyator_podlinnaya_detal_genuine_new_povyshennaya_emkost_3480_mah/</t>
  </si>
  <si>
    <t>iPhone 14 Pro [BAT] Аккумулятор - Аналог ORIG (бу)</t>
  </si>
  <si>
    <t>53723 094</t>
  </si>
  <si>
    <t>iPhone 14 Pro - Аккумулятор (АКБ) PREMIUM CLEAN (iOS 18-26)</t>
  </si>
  <si>
    <t>https://icomponents.ru/catalog/iphone/iphone_14_pro/iphone_14_pro_akkumulyator_akb_premium_clean_ios_18_26/</t>
  </si>
  <si>
    <t>iPhone 14 Pro [BAT] Аккумулятор - Аналог ORIG (неизвестная деталь)</t>
  </si>
  <si>
    <t>38240 506</t>
  </si>
  <si>
    <t>iPhone 14 Pro - Аккумуляторная батарея + скотч (АКБ), ORIG</t>
  </si>
  <si>
    <t>https://icomponents.ru/catalog/iphone/iphone_14_pro/iphone_14_pro_akkumulyatornaya_batareya_skotch_akb_orig/</t>
  </si>
  <si>
    <t>iPhone 14 Pro [BAT] Аккумулятор - Банка ORIG</t>
  </si>
  <si>
    <t>41141 134</t>
  </si>
  <si>
    <t>iPhone 14 Pro - Банка АКБ с комплектом наклеек без шлейфа</t>
  </si>
  <si>
    <t>https://icomponents.ru/catalog/iphone/iphone_14_pro/iphone_14_pro_banka_akb_s_komplektom_nakleek_bez_shleyfa/</t>
  </si>
  <si>
    <t>iPhone 14 Pro Max [BAT] Аккумулятор - Сервисный оригинал (подлинное)</t>
  </si>
  <si>
    <t>56236 006</t>
  </si>
  <si>
    <t>iPhone 14 Pro Max - Аккумуляторная батарея (АКБ) Service Pack ORIG</t>
  </si>
  <si>
    <t>https://icomponents.ru/catalog/iphone/iphone_14_pro_max/iphone_14_pro_max_akkumulyatornaya_batareya_akb_service_pack_orig/</t>
  </si>
  <si>
    <t>Сервис &gt; Ремонт Apple &gt; Ремонт iPhone &gt; 14 Pro Max</t>
  </si>
  <si>
    <t>iPhone 14 Pro Max [BAT] Аккумулятор - Снятый оригинал (бу)</t>
  </si>
  <si>
    <t>56237 025</t>
  </si>
  <si>
    <t>iPhone 14 Pro Max - Аккумулятор снятый ORIG (привязка б/у, 100% емкость)</t>
  </si>
  <si>
    <t>https://icomponents.ru/catalog/iphone/iphone_14_pro_max/iphone_14_pro_max_akkumulyator_snyatyy_orig_privyazka_b_u_100_emkost/</t>
  </si>
  <si>
    <t>iPhone 14 Pro Max [BAT] Аккумулятор - Аналог ORIG (подлинное)</t>
  </si>
  <si>
    <t>iPhone 14 Pro Max - Аккумулятор (Подлинная деталь / GENUINE NEW) повышенная емкость 4770 mAh</t>
  </si>
  <si>
    <t>https://icomponents.ru/catalog/iphone/iphone_14_pro_max/iphone_14_pro_max_akkumulyator_podlinnaya_detal_genuine_new_povyshennaya_emkost_4770_mah/</t>
  </si>
  <si>
    <t>iPhone 14 Pro Max [BAT] Аккумулятор - Аналог ORIG (бу)</t>
  </si>
  <si>
    <t>56237 050</t>
  </si>
  <si>
    <t>iPhone 14 Pro Max - Аккумулятор (АКБ) PREMIUM CLEAN (iOS 18-26)</t>
  </si>
  <si>
    <t>https://icomponents.ru/catalog/iphone/iphone_14_pro_max/iphone_14_pro_max_akkumulyator_akb_premium_clean_ios_18_26/</t>
  </si>
  <si>
    <t>iPhone 14 Pro Max [BAT] Аккумулятор - Аналог ORIG (неизвестная деталь)</t>
  </si>
  <si>
    <t>38240 477</t>
  </si>
  <si>
    <t>iPhone 14 Pro Max - Аккумуляторная батарея + скотч (АКБ), ORIG</t>
  </si>
  <si>
    <t>https://icomponents.ru/catalog/iphone/iphone_14_pro_max/iphone_14_pro_max_akkumulyatornaya_batareya_skotch_akb_orig/</t>
  </si>
  <si>
    <t>iPhone 14 Pro Max [BAT] Аккумулятор - Банка ORIG</t>
  </si>
  <si>
    <t>41139 499</t>
  </si>
  <si>
    <t>iPhone 14 Pro Max - Банка АКБ с комплектом наклеек без шлейфа</t>
  </si>
  <si>
    <t>https://icomponents.ru/catalog/iphone/iphone_14_pro_max/iphone_14_pro_max_banka_akb_s_komplektom_nakleek_bez_shleyfa/</t>
  </si>
  <si>
    <t>iPhone 15 [BAT] Аккумулятор - Сервисный оригинал (подлинное)</t>
  </si>
  <si>
    <t>56243 698</t>
  </si>
  <si>
    <t>iPhone 15 - Аккумуляторная батарея (АКБ) Service Pack ORIG</t>
  </si>
  <si>
    <t>https://icomponents.ru/catalog/iphone/iphone_15/iphone_15_akkumulyatornaya_batareya_akb_service_pack_orig/</t>
  </si>
  <si>
    <t>Сервис &gt; Ремонт Apple &gt; Ремонт iPhone &gt; 15</t>
  </si>
  <si>
    <t>iPhone 15 [BAT] Аккумулятор - Снятый оригинал (бу)</t>
  </si>
  <si>
    <t>56243 714</t>
  </si>
  <si>
    <t>iPhone 15 - Аккумулятор снятый ORIG (привязка б/у, 100% емкость)</t>
  </si>
  <si>
    <t>https://icomponents.ru/catalog/iphone/iphone_15/iphone_15_akkumulyator_snyatyy_orig_privyazka_b_u_100_emkost/</t>
  </si>
  <si>
    <t>iPhone 15 [BAT] Аккумулятор - Аналог ORIG (подлинное)</t>
  </si>
  <si>
    <t>iPhone 15 - Аккумулятор (Подлинная деталь / GENUINE NEW) повышенная емкость 3600 mAh</t>
  </si>
  <si>
    <t>https://icomponents.ru/catalog/iphone/iphone_15/iphone_15_akkumulyator_podlinnaya_detal_genuine_new_povyshennaya_emkost_3600_mah/</t>
  </si>
  <si>
    <t>iPhone 15 [BAT] Аккумулятор - Аналог ORIG (бу)</t>
  </si>
  <si>
    <t>56243 722</t>
  </si>
  <si>
    <t>iPhone 15 - Аккумулятор (АКБ) PREMIUM CLEAN (iOS 18-26)</t>
  </si>
  <si>
    <t>https://icomponents.ru/catalog/iphone/iphone_15/iphone_15_akkumulyator_akb_premium_clean_ios_18_26/</t>
  </si>
  <si>
    <t>iPhone 15 [BAT] Аккумулятор - Аналог ORIG (неизвестная деталь)</t>
  </si>
  <si>
    <t>41130 824</t>
  </si>
  <si>
    <t>iPhone 15 -  Аккумуляторная батарея + скотч (АКБ), ORIG</t>
  </si>
  <si>
    <t>https://icomponents.ru/catalog/iphone/iphone_15/iphone_15_akkumulyatornaya_batareya_skotch_akb_orig/</t>
  </si>
  <si>
    <t>iPhone 15 [BAT] Аккумулятор - Банка ORIG</t>
  </si>
  <si>
    <t>41130 825</t>
  </si>
  <si>
    <t>iPhone 15 - Банка АКБ с комплектом наклеек без шлейфа</t>
  </si>
  <si>
    <t>https://icomponents.ru/catalog/iphone/iphone_15/iphone_15_banka_akb_s_komplektom_nakleek_bez_shleyfa/</t>
  </si>
  <si>
    <t>iPhone 15 Plus [BAT] Аккумулятор - Сервисный оригинал (подлинное)</t>
  </si>
  <si>
    <t>56243 750</t>
  </si>
  <si>
    <t>iPhone 15 Plus - Аккумуляторная батарея (АКБ) Service Pack ORIG</t>
  </si>
  <si>
    <t>https://icomponents.ru/catalog/iphone/iphone_15_plus/iphone_15_plus_akkumulyatornaya_batareya_akb_service_pack_orig/</t>
  </si>
  <si>
    <t>Сервис &gt; Ремонт Apple &gt; Ремонт iPhone &gt; 15 Plus</t>
  </si>
  <si>
    <t>iPhone 15 Plus [BAT] Аккумулятор - Снятый оригинал (бу)</t>
  </si>
  <si>
    <t>56243 779</t>
  </si>
  <si>
    <t>iPhone 15 Plus [BAT] Аккумулятор - Аналог ORIG (подлинное)</t>
  </si>
  <si>
    <t>iPhone 15 Plus [BAT] Аккумулятор - Аналог ORIG (бу)</t>
  </si>
  <si>
    <t>56243 786</t>
  </si>
  <si>
    <t>iPhone 15 Plus - Аккумулятор (АКБ) PREMIUM CLEAN (iOS 18-26)</t>
  </si>
  <si>
    <t>https://icomponents.ru/catalog/iphone/iphone_15_plus/iphone_15_plus_akkumulyator_akb_premium_clean_ios_18_26/</t>
  </si>
  <si>
    <t>iPhone 15 Plus [BAT] Аккумулятор - Аналог ORIG (неизвестная деталь)</t>
  </si>
  <si>
    <t>41130 099</t>
  </si>
  <si>
    <t>iPhone 15 Plus -  Аккумуляторная батарея + скотч (АКБ), ORIG</t>
  </si>
  <si>
    <t>https://icomponents.ru/catalog/iphone/iphone_15_plus/iphone_15_plus_akkumulyatornaya_batareya_skotch_akb_orig/</t>
  </si>
  <si>
    <t>iPhone 15 Plus [BAT] Аккумулятор - Банка ORIG</t>
  </si>
  <si>
    <t>41131 314</t>
  </si>
  <si>
    <t>iPhone 15 Pro [BAT] Аккумулятор - Сервисный оригинал (подлинное)</t>
  </si>
  <si>
    <t>56243 834</t>
  </si>
  <si>
    <t>iPhone 15 Pro - Аккумуляторная батарея (АКБ) Service Pack ORIG</t>
  </si>
  <si>
    <t>https://icomponents.ru/catalog/iphone/iphone_15_pro/iphone_15_pro_akkumulyatornaya_batareya_akb_service_pack_orig/</t>
  </si>
  <si>
    <t>Сервис &gt; Ремонт Apple &gt; Ремонт iPhone &gt; 15 Pro</t>
  </si>
  <si>
    <t>iPhone 15 Pro [BAT] Аккумулятор - Снятый оригинал (бу)</t>
  </si>
  <si>
    <t>56243 845</t>
  </si>
  <si>
    <t>iPhone 15 Pro - Аккумулятор снятый ORIG (привязка б/у, 100% емкость)</t>
  </si>
  <si>
    <t>https://icomponents.ru/catalog/iphone/iphone_15_pro/iphone_15_pro_akkumulyator_snyatyy_orig_privyazka_b_u_100_emkost/</t>
  </si>
  <si>
    <t>iPhone 15 Pro [BAT] Аккумулятор - Аналог ORIG (подлинное)</t>
  </si>
  <si>
    <t>iPhone 15 Pro - Аккумулятор (Подлинная деталь / GENUINE NEW) повышенная емкость 3480 mAh</t>
  </si>
  <si>
    <t>https://icomponents.ru/catalog/iphone/iphone_15_pro/iphone_15_pro_akkumulyator_podlinnaya_detal_genuine_new_povyshennaya_emkost_3480_mah/</t>
  </si>
  <si>
    <t>iPhone 15 Pro [BAT] Аккумулятор - Аналог ORIG (бу)</t>
  </si>
  <si>
    <t>56243 885</t>
  </si>
  <si>
    <t>iPhone 15 Pro - Аккумулятор (АКБ) PREMIUM CLEAN (iOS 18-26)</t>
  </si>
  <si>
    <t>https://icomponents.ru/catalog/iphone/iphone_15_pro/iphone_15_pro_akkumulyator_akb_premium_clean_ios_18_26/</t>
  </si>
  <si>
    <t>iPhone 15 Pro [BAT] Аккумулятор - Аналог ORIG (неизвестная деталь)</t>
  </si>
  <si>
    <t>38991 676</t>
  </si>
  <si>
    <t>iPhone 15 Pro -  Аккумуляторная батарея + скотч (АКБ), ORIG</t>
  </si>
  <si>
    <t>https://icomponents.ru/catalog/iphone/iphone_15_pro/iphone_15_pro_akkumulyatornaya_batareya_skotch_akb_orig/</t>
  </si>
  <si>
    <t>iPhone 15 Pro [BAT] Аккумулятор - Банка ORIG</t>
  </si>
  <si>
    <t>38991 677</t>
  </si>
  <si>
    <t>iPhone 15 Pro - Банка АКБ с комплектом наклеек без шлейфа</t>
  </si>
  <si>
    <t>https://icomponents.ru/catalog/iphone/iphone_15_pro/iphone_15_pro_banka_akb_s_komplektom_nakleek_bez_shleyfa/</t>
  </si>
  <si>
    <t>iPhone 15 Pro Max [BAT] Аккумулятор - Сервисный оригинал (подлинное)</t>
  </si>
  <si>
    <t>56244 002</t>
  </si>
  <si>
    <t>iPhone 15 Pro Max - Аккумуляторная батарея (АКБ) Service Pack ORIG</t>
  </si>
  <si>
    <t>https://icomponents.ru/catalog/iphone/iphone_15_pro_max/iphone_15_pro_max_akkumulyatornaya_batareya_akb_service_pack_orig/</t>
  </si>
  <si>
    <t>Сервис &gt; Ремонт Apple &gt; Ремонт iPhone &gt; 15 Pro Max</t>
  </si>
  <si>
    <t>iPhone 15 Pro Max [BAT] Аккумулятор - Снятый оригинал (бу)</t>
  </si>
  <si>
    <t>56244 013</t>
  </si>
  <si>
    <t>iPhone 15 Pro Max - Аккумулятор снятый ORIG (привязка б/у, 100% емкость)</t>
  </si>
  <si>
    <t>https://icomponents.ru/catalog/iphone/iphone_15_pro_max/iphone_15_pro_max_akkumulyator_snyatyy_orig_privyazka_b_u_100_emkost/</t>
  </si>
  <si>
    <t>iPhone 15 Pro Max [BAT] Аккумулятор - Аналог ORIG (подлинное)</t>
  </si>
  <si>
    <t>iPhone 15 Pro Max - Аккумулятор (Подлинная деталь / GENUINE NEW) повышенная емкость 4850 mAh</t>
  </si>
  <si>
    <t>https://icomponents.ru/catalog/iphone/iphone_15_pro_max/iphone_15_pro_max_akkumulyator_podlinnaya_detal_genuine_new_povyshennaya_emkost_4850_mah/</t>
  </si>
  <si>
    <t>iPhone 15 Pro Max [BAT] Аккумулятор - Аналог ORIG (бу)</t>
  </si>
  <si>
    <t>56244 035</t>
  </si>
  <si>
    <t>iPhone 15 Pro Max - Аккумулятор (АКБ) PREMIUM CLEAN (iOS 18-26)</t>
  </si>
  <si>
    <t>https://icomponents.ru/catalog/iphone/iphone_15_pro_max/iphone_15_pro_max_akkumulyator_akb_premium_clean_ios_18_26/</t>
  </si>
  <si>
    <t>iPhone 15 Pro Max [BAT] Аккумулятор - Аналог ORIG (неизвестная деталь)</t>
  </si>
  <si>
    <t>38891 534</t>
  </si>
  <si>
    <t>iPhone 15 Pro Max-  Аккумуляторная батарея + скотч (АКБ), ORIG</t>
  </si>
  <si>
    <t>https://icomponents.ru/catalog/iphone/iphone_15_pro_max/iphone_15_pro_max_akkumulyatornaya_batareya_skotch_akb_orig/</t>
  </si>
  <si>
    <t>iPhone 15 Pro Max [BAT] Аккумулятор - Банка ORIG</t>
  </si>
  <si>
    <t>38891 535</t>
  </si>
  <si>
    <t>iPhone 15 Pro Max - Банка АКБ с комплектом наклеек без шлейфа</t>
  </si>
  <si>
    <t>https://icomponents.ru/catalog/iphone/iphone_15_pro_max/iphone_15_pro_max_banka_akb_s_komplektom_nakleek_bez_shleyfa/</t>
  </si>
  <si>
    <t>iPhone 16 [BAT] Аккумулятор - Сервисный оригинал (подлинное)</t>
  </si>
  <si>
    <t>56244 158</t>
  </si>
  <si>
    <t>iPhone 16 - Аккумуляторная батарея (АКБ) Service Pack ORIG</t>
  </si>
  <si>
    <t>https://icomponents.ru/catalog/iphone/iphone_16/iphone_16_akkumulyatornaya_batareya_akb_service_pack_orig/</t>
  </si>
  <si>
    <t>Сервис &gt; Ремонт Apple &gt; Ремонт iPhone &gt; 16</t>
  </si>
  <si>
    <t>iPhone 16 [BAT] Аккумулятор - Снятый оригинал (бу)</t>
  </si>
  <si>
    <t>56244 181</t>
  </si>
  <si>
    <t>iPhone 16 - Аккумулятор снятый ORIG (привязка б/у, 100% емкость)</t>
  </si>
  <si>
    <t>https://icomponents.ru/catalog/iphone/iphone_16/iphone_16_akkumulyator_snyatyy_orig_privyazka_b_u_100_emkost/</t>
  </si>
  <si>
    <t>iPhone 16 [BAT] Аккумулятор - Аналог ORIG (подлинное)</t>
  </si>
  <si>
    <t>iPhone 16 [BAT] Аккумулятор - Аналог ORIG (бу)</t>
  </si>
  <si>
    <t>56244 200</t>
  </si>
  <si>
    <t>iPhone 16 [BAT] Аккумулятор - Аналог ORIG (неизвестная деталь)</t>
  </si>
  <si>
    <t>51104 980</t>
  </si>
  <si>
    <t>iPhone 16 - Аккумуляторная батарея + скотч (АКБ), ORIG</t>
  </si>
  <si>
    <t>https://icomponents.ru/catalog/iphone/iphone_16/iphone_16_akkumulyatornaya_batareya_skotch_akb_orig/</t>
  </si>
  <si>
    <t>iPhone 16 [BAT] Аккумулятор - Банка ORIG</t>
  </si>
  <si>
    <t>56244 109</t>
  </si>
  <si>
    <t>iPhone 16E [BAT] Аккумулятор - Сервисный оригинал (подлинное)</t>
  </si>
  <si>
    <t>56244 585</t>
  </si>
  <si>
    <t>Сервис &gt; Ремонт Apple &gt; Ремонт iPhone &gt; 16e</t>
  </si>
  <si>
    <t>iPhone 16E [BAT] Аккумулятор - Снятый оригинал (бу)</t>
  </si>
  <si>
    <t>56244 599</t>
  </si>
  <si>
    <t>iPhone 16E [BAT] Аккумулятор - Аналог ORIG (подлинное)</t>
  </si>
  <si>
    <t>iPhone 16E [BAT] Аккумулятор - Аналог ORIG (бу)</t>
  </si>
  <si>
    <t>56244 630</t>
  </si>
  <si>
    <t>iPhone 16E [BAT] Аккумулятор - Аналог ORIG (неизвестная деталь)</t>
  </si>
  <si>
    <t>51104 997</t>
  </si>
  <si>
    <t>iPhone 16E [BAT] Аккумулятор - Банка ORIG</t>
  </si>
  <si>
    <t>56244 572</t>
  </si>
  <si>
    <t>iPhone 16 Plus [BAT] Аккумулятор - Сервисный оригинал (подлинное)</t>
  </si>
  <si>
    <t>56244 252</t>
  </si>
  <si>
    <t>iPhone 16 Plus - Аккумуляторная батарея (АКБ) Service Pack ORIG</t>
  </si>
  <si>
    <t>https://icomponents.ru/catalog/iphone/iphone_16_plus/iphone_16_plus_akkumulyatornaya_batareya_akb_service_pack_orig/</t>
  </si>
  <si>
    <t>Сервис &gt; Ремонт Apple &gt; Ремонт iPhone &gt; 16 Plus</t>
  </si>
  <si>
    <t>iPhone 16 Plus [BAT] Аккумулятор - Снятый оригинал (бу)</t>
  </si>
  <si>
    <t>56244 266</t>
  </si>
  <si>
    <t>iPhone 16 Plus [BAT] Аккумулятор - Аналог ORIG (подлинное)</t>
  </si>
  <si>
    <t>iPhone 16 Plus [BAT] Аккумулятор - Аналог ORIG (бу)</t>
  </si>
  <si>
    <t>56244 298</t>
  </si>
  <si>
    <t>iPhone 16 Plus [BAT] Аккумулятор - Аналог ORIG (неизвестная деталь)</t>
  </si>
  <si>
    <t>51104 936</t>
  </si>
  <si>
    <t>iPhone 16 Plus - Аккумуляторная батарея + скотч (АКБ), ORIG</t>
  </si>
  <si>
    <t>https://icomponents.ru/catalog/iphone/iphone_16_plus/iphone_16_plus_akkumulyatornaya_batareya_skotch_akb_orig/</t>
  </si>
  <si>
    <t>iPhone 16 Plus [BAT] Аккумулятор - Банка ORIG</t>
  </si>
  <si>
    <t>56244 242</t>
  </si>
  <si>
    <t>iPhone 16 Pro [BAT] Аккумулятор - Сервисный оригинал (подлинное)</t>
  </si>
  <si>
    <t>56244 400</t>
  </si>
  <si>
    <t>iPhone 16 Pro - Аккумуляторная батарея (АКБ) Service Pack ORIG</t>
  </si>
  <si>
    <t>https://icomponents.ru/catalog/iphone/iphone_16_pro/iphone_16_pro_akkumulyatornaya_batareya_akb_service_pack_orig/</t>
  </si>
  <si>
    <t>Сервис &gt; Ремонт Apple &gt; Ремонт iPhone &gt; 16 Pro</t>
  </si>
  <si>
    <t>iPhone 16 Pro [BAT] Аккумулятор - Снятый оригинал (бу)</t>
  </si>
  <si>
    <t>56244 407</t>
  </si>
  <si>
    <t>iPhone 16 Pro - Аккумулятор снятый ORIG (привязка б/у, 100% емкость)</t>
  </si>
  <si>
    <t>https://icomponents.ru/catalog/iphone/iphone_16_pro/iphone_16_pro_akkumulyator_snyatyy_orig_privyazka_b_u_100_emkost/</t>
  </si>
  <si>
    <t>iPhone 16 Pro [BAT] Аккумулятор - Аналог ORIG (подлинное)</t>
  </si>
  <si>
    <t>iPhone 16 Pro [BAT] Аккумулятор - Аналог ORIG (бу)</t>
  </si>
  <si>
    <t>56244 420</t>
  </si>
  <si>
    <t>iPhone 16 Pro [BAT] Аккумулятор - Аналог ORIG (неизвестная деталь)</t>
  </si>
  <si>
    <t>51104 505</t>
  </si>
  <si>
    <t>iPhone 16 Pro - Аккумуляторная батарея + скотч (АКБ), ORIG</t>
  </si>
  <si>
    <t>https://icomponents.ru/catalog/iphone/iphone_16_pro/iphone_16_pro_akkumulyatornaya_batareya_skotch_akb_orig/</t>
  </si>
  <si>
    <t>iPhone 16 Pro [BAT] Аккумулятор - Банка ORIG</t>
  </si>
  <si>
    <t>56244 336</t>
  </si>
  <si>
    <t>iPhone 16 Pro Max [BAT] Аккумулятор - Сервисный оригинал (подлинное)</t>
  </si>
  <si>
    <t>56244 489</t>
  </si>
  <si>
    <t>iPhone 16 Pro Max - Аккумуляторная батарея (АКБ) Service Pack ORIG</t>
  </si>
  <si>
    <t>https://icomponents.ru/catalog/iphone/iphone_16_pro_max/iphone_16_pro_max_akkumulyatornaya_batareya_akb_service_pack_orig/</t>
  </si>
  <si>
    <t>Сервис &gt; Ремонт Apple &gt; Ремонт iPhone &gt; 16 Pro Max</t>
  </si>
  <si>
    <t>iPhone 16 Pro Max [BAT] Аккумулятор - Снятый оригинал (бу)</t>
  </si>
  <si>
    <t>56244 505</t>
  </si>
  <si>
    <t>iPhone 16 Pro Max - Аккумулятор снятый ORIG (привязка б/у, 100% емкость)</t>
  </si>
  <si>
    <t>https://icomponents.ru/catalog/iphone/iphone_16_pro_max/iphone_16_pro_max_akkumulyator_snyatyy_orig_privyazka_b_u_100_emkost/</t>
  </si>
  <si>
    <t>iPhone 16 Pro Max [BAT] Аккумулятор - Аналог ORIG (подлинное)</t>
  </si>
  <si>
    <t>iPhone 16 Pro Max [BAT] Аккумулятор - Аналог ORIG (бу)</t>
  </si>
  <si>
    <t>56244 532</t>
  </si>
  <si>
    <t>iPhone 16 Pro Max [BAT] Аккумулятор - Аналог ORIG (неизвестная деталь)</t>
  </si>
  <si>
    <t>50982 402</t>
  </si>
  <si>
    <t>iPhone 16 Pro Max - Аккумуляторная батарея + скотч (АКБ), ORIG</t>
  </si>
  <si>
    <t>https://icomponents.ru/catalog/iphone/iphone_16_pro_max/iphone_16_pro_max_akkumulyatornaya_batareya_skotch_akb_orig/</t>
  </si>
  <si>
    <t>iPhone 16 Pro Max [BAT] Аккумулятор - Банка ORIG</t>
  </si>
  <si>
    <t>50982 502</t>
  </si>
  <si>
    <t>iPhone 5C [DIS] Дисплей - Восстановленный оригинал</t>
  </si>
  <si>
    <t>5858 205</t>
  </si>
  <si>
    <t>Дисплей</t>
  </si>
  <si>
    <t>iPhone 5S / SE 2016 [DIS] Дисплей - Cнятый оригинал Белый</t>
  </si>
  <si>
    <t>5000 212</t>
  </si>
  <si>
    <t>iPhone 5S / SE 2016</t>
  </si>
  <si>
    <t>iPhone 5S - (LCD touchscreen) белый, снятый ORIG</t>
  </si>
  <si>
    <t>https://icomponents.ru/catalog/iphone/iphone_5s/iphone_5s_lcd_touchscreen_belyy_snyatyy_orig/</t>
  </si>
  <si>
    <t>Сервис &gt; Ремонт Apple &gt; Ремонт iPhone &gt; 5S</t>
  </si>
  <si>
    <t>iPhone 5S / SE 2016 [DIS] Дисплей - Cнятый оригинал Черный</t>
  </si>
  <si>
    <t>5000 213</t>
  </si>
  <si>
    <t>iPhone 5S - (LCD touchscreen) черный, снятый ORIG</t>
  </si>
  <si>
    <t>https://icomponents.ru/catalog/iphone/iphone_5s/iphone_5s_lcd_touchscreen_chernyy_snyatyy_orig/</t>
  </si>
  <si>
    <t>iPhone 5S / SE 2016 [DIS] Дисплей - Восстановленный оригинал Белый</t>
  </si>
  <si>
    <t>162 014</t>
  </si>
  <si>
    <t>iPhone 5s - модуль (LCD touchscreen) белый, ORIG REF</t>
  </si>
  <si>
    <t>https://icomponents.ru/catalog/iphone/iphone_5s/iphone_5s_modul_lcd_touchscreen_belyy_orig_ref/</t>
  </si>
  <si>
    <t>iPhone 5S / SE 2016 [DIS] Дисплей - Восстановленный оригинал Черный</t>
  </si>
  <si>
    <t>401 463</t>
  </si>
  <si>
    <t>iPhone 5s - модуль (LCD touchscreen) черный, ORIG REF</t>
  </si>
  <si>
    <t>https://icomponents.ru/catalog/iphone/iphone_5s/iphone_5s_modul_lcd_touchscreen_chernyy_orig_ref/</t>
  </si>
  <si>
    <t>iPhone 6 [DIS] Дисплей - Cнятый оригинал Белый</t>
  </si>
  <si>
    <t>162 040</t>
  </si>
  <si>
    <t>iPhone 6 - модуль (LCD touchscreen) черный, снятый ORIG</t>
  </si>
  <si>
    <t>https://icomponents.ru/catalog/iphone/iphone_6/iphone_6_modul_lcd_touchscreen_chernyy_snyatyy_orig/</t>
  </si>
  <si>
    <t>iPhone 6 [DIS] Дисплей - Cнятый оригинал Черный</t>
  </si>
  <si>
    <t>162 039</t>
  </si>
  <si>
    <t>iPhone 6 - модуль (LCD touchscreen) белый, снятый ORIG</t>
  </si>
  <si>
    <t>https://icomponents.ru/catalog/iphone/iphone_6/iphone_6_modul_lcd_touchscreen_belyy_snyatyy_orig/</t>
  </si>
  <si>
    <t>iPhone 6 [DIS] Дисплей - Восстановленный оригинал Белый</t>
  </si>
  <si>
    <t>187 138</t>
  </si>
  <si>
    <t>iPhone 6 - модуль (LCD touchscreen) белый, ORIG REF</t>
  </si>
  <si>
    <t>https://icomponents.ru/catalog/iphone/iphone_6/iphone_6_modul_lcd_touchscreen_belyy_orig_ref/</t>
  </si>
  <si>
    <t>iPhone 6 [DIS] Дисплей - Восстановленный оригинал Черный</t>
  </si>
  <si>
    <t>187 137</t>
  </si>
  <si>
    <t>iPhone 6 - модуль (LCD touchscreen) черный, ORIG REF</t>
  </si>
  <si>
    <t>https://icomponents.ru/catalog/iphone/iphone_6/iphone_6_modul_lcd_touchscreen_chernyy_orig_ref/</t>
  </si>
  <si>
    <t>iPhone 6 Plus [DIS] Дисплей - Cнятый оригинал Белый</t>
  </si>
  <si>
    <t>187 141</t>
  </si>
  <si>
    <t>iPhone 6+ - модуль (LCD touchscreen) белый, снятый ORIG</t>
  </si>
  <si>
    <t>https://icomponents.ru/catalog/iphone/iphone_6_2/iphone_6_modul_lcd_touchscreen_belyy_snyatyy_orig_2/</t>
  </si>
  <si>
    <t>iPhone 6 Plus [DIS] Дисплей - Cнятый оригинал Черный</t>
  </si>
  <si>
    <t>187 142</t>
  </si>
  <si>
    <t>iPhone 6+ - модуль (LCD touchscreen) черный, снятый ORIG</t>
  </si>
  <si>
    <t>https://icomponents.ru/catalog/iphone/iphone_6_2/iphone_6_modul_lcd_touchscreen_chernyy_snyatyy_orig_2/</t>
  </si>
  <si>
    <t>iPhone 6 Plus [DIS] Дисплей - Восстановленный оригинал Белый</t>
  </si>
  <si>
    <t>543 102</t>
  </si>
  <si>
    <t>iPhone 6+ - модуль (LCD touchscreen) белый, ORIG REF</t>
  </si>
  <si>
    <t>https://icomponents.ru/catalog/iphone/iphone_6_2/iphone_6_modul_lcd_touchscreen_belyy_orig_ref_2/</t>
  </si>
  <si>
    <t>iPhone 6 Plus [DIS] Дисплей - Восстановленный оригинал Черный</t>
  </si>
  <si>
    <t>543 101</t>
  </si>
  <si>
    <t>iPhone 6+ - модуль (LCD touchscreen) черный, ORIG REF</t>
  </si>
  <si>
    <t>https://icomponents.ru/catalog/iphone/iphone_6_2/iphone_6_modul_lcd_touchscreen_chernyy_orig_ref_2/</t>
  </si>
  <si>
    <t>iPhone 6S [DIS] Дисплей - Cнятый оригинал Белый</t>
  </si>
  <si>
    <t>402 411</t>
  </si>
  <si>
    <t>iPhone 6s - модуль (LCD touchscreen) белый, снятый ORIG</t>
  </si>
  <si>
    <t>https://icomponents.ru/catalog/iphone/iphone_6s_2/iphone_6s_modul_lcd_touchscreen_belyy_snyatyy_orig/</t>
  </si>
  <si>
    <t>iPhone 6S [DIS] Дисплей - Cнятый оригинал Черный</t>
  </si>
  <si>
    <t>405 775</t>
  </si>
  <si>
    <t>iPhone 6s - модуль (LCD touchscreen) черный, снятый ORIG</t>
  </si>
  <si>
    <t>https://icomponents.ru/catalog/iphone/iphone_6s_2/iphone_6s_modul_lcd_touchscreen_chernyy_snyatyy_orig/</t>
  </si>
  <si>
    <t>iPhone 6S [DIS] Дисплей - Восстановленный оригинал Белый</t>
  </si>
  <si>
    <t>4225 129</t>
  </si>
  <si>
    <t>iPhone 6s - модуль (LCD touchscreen) белый, ORIG REF</t>
  </si>
  <si>
    <t>https://icomponents.ru/catalog/iphone/iphone_6s_2/iphone_6s_modul_lcd_touchscreen_belyy_orig_ref/</t>
  </si>
  <si>
    <t>iPhone 6S [DIS] Дисплей - Восстановленный оригинал Черный</t>
  </si>
  <si>
    <t>4225 130</t>
  </si>
  <si>
    <t>iPhone 6s - модуль (LCD touchscreen) черный, ORIG REF</t>
  </si>
  <si>
    <t>https://icomponents.ru/catalog/iphone/iphone_6s_2/iphone_6s_modul_lcd_touchscreen_chernyy_orig_ref/</t>
  </si>
  <si>
    <t>iPhone 6S Plus [DIS] Дисплей - Cнятый оригинал Белый</t>
  </si>
  <si>
    <t>533 048</t>
  </si>
  <si>
    <t>iPhone 6s+ - модуль (LCD + touchscreen) белый, снятый ORIG</t>
  </si>
  <si>
    <t>https://icomponents.ru/catalog/iphone/iphone_6s/iphone_6s_modul_lcd_touchscreen_belyy_snyatyy_orig_2/</t>
  </si>
  <si>
    <t>iPhone 6S Plus [DIS] Дисплей - Cнятый оригинал Черный</t>
  </si>
  <si>
    <t>531 289</t>
  </si>
  <si>
    <t>iPhone 6s+ - модуль (LCD + touchscreen) черный, снятый ORIG</t>
  </si>
  <si>
    <t>https://icomponents.ru/catalog/iphone/iphone_6s/iphone_6s_modul_lcd_touchscreen_chernyy_snyatyy_orig_2/</t>
  </si>
  <si>
    <t>iPhone 6S Plus [DIS] Дисплей - Восстановленный оригинал Белый</t>
  </si>
  <si>
    <t>7231 129</t>
  </si>
  <si>
    <t>iPhone 6s+ - модуль (LCD + touchscreen) белый, ORIG REF</t>
  </si>
  <si>
    <t>https://icomponents.ru/catalog/iphone/iphone_6s/iphone_6s_modul_lcd_touchscreen_belyy_orig_ref_2/</t>
  </si>
  <si>
    <t>iPhone 6S Plus [DIS] Дисплей - Восстановленный оригинал Черный</t>
  </si>
  <si>
    <t>5618 846</t>
  </si>
  <si>
    <t>iPhone 6s+ - модуль (LCD + touchscreen) черный, ORIG REF</t>
  </si>
  <si>
    <t>https://icomponents.ru/catalog/iphone/iphone_6s/iphone_6s_modul_lcd_touchscreen_chernyy_orig_ref_2/</t>
  </si>
  <si>
    <t>iPhone 7 [DIS] Дисплей - Cнятый оригинал Белый</t>
  </si>
  <si>
    <t>4220 803</t>
  </si>
  <si>
    <t>iPhone 7 - Дисплей белый, снятый ORIG</t>
  </si>
  <si>
    <t>https://icomponents.ru/catalog/iphone/iphone_7_2/iphone_7_displey_belyy_snyatyy_orig/</t>
  </si>
  <si>
    <t>iPhone 7 [DIS] Дисплей - Cнятый оригинал Черный</t>
  </si>
  <si>
    <t>5060 197</t>
  </si>
  <si>
    <t>iPhone 7 - Дисплей черный, снятый ORIG</t>
  </si>
  <si>
    <t>https://icomponents.ru/catalog/iphone/iphone_7_2/iphone_7_displey_chernyy_snyatyy_orig/</t>
  </si>
  <si>
    <t>iPhone 7 [DIS] Дисплей - Восстановленный оригинал Белый</t>
  </si>
  <si>
    <t>5333 751</t>
  </si>
  <si>
    <t>iPhone 7 - модуль (LCD touchscreen) белый, ORIG REF</t>
  </si>
  <si>
    <t>https://icomponents.ru/catalog/iphone/iphone_7_2/iphone_7_modul_lcd_touchscreen_belyy_orig_ref/</t>
  </si>
  <si>
    <t>iPhone 7 [DIS] Дисплей - Восстановленный оригинал Черный</t>
  </si>
  <si>
    <t>4297 583</t>
  </si>
  <si>
    <t>iPhone 7 - модуль (LCD touchscreen) черный, ORIG REF</t>
  </si>
  <si>
    <t>https://icomponents.ru/catalog/iphone/iphone_7_2/iphone_7_modul_lcd_touchscreen_chernyy_orig_ref/</t>
  </si>
  <si>
    <t>iPhone 7 Plus [DIS] Дисплей - Cнятый оригинал Белый</t>
  </si>
  <si>
    <t>4753 118</t>
  </si>
  <si>
    <t>iPhone 7 Plus - Дисплей белый, снятый ORIG</t>
  </si>
  <si>
    <t>https://icomponents.ru/catalog/iphone/iphone_7/iphone_7_plus_displey_belyy_snyatyy_orig/</t>
  </si>
  <si>
    <t>iPhone 7 Plus [DIS] Дисплей - Cнятый оригинал Черный</t>
  </si>
  <si>
    <t>4999 930</t>
  </si>
  <si>
    <t>iPhone 7 Plus - Дисплей черный, снятый ORIG</t>
  </si>
  <si>
    <t>https://icomponents.ru/catalog/iphone/iphone_7/iphone_7_plus_displey_chernyy_snyatyy_orig/</t>
  </si>
  <si>
    <t>iPhone 7 Plus [DIS] Дисплей - Восстановленный оригинал Белый</t>
  </si>
  <si>
    <t>5618 847</t>
  </si>
  <si>
    <t>iPhone 7+ - модуль (LCD touchscreen) белый, ORIG REF</t>
  </si>
  <si>
    <t>https://icomponents.ru/catalog/iphone/iphone_7/iphone_7_modul_lcd_touchscreen_belyy_orig_ref_2/</t>
  </si>
  <si>
    <t>iPhone 7 Plus [DIS] Дисплей - Восстановленный оригинал Черный</t>
  </si>
  <si>
    <t>5333 752</t>
  </si>
  <si>
    <t>iPhone 7+ - модуль (LCD touchscreen) черный, ORIG REF</t>
  </si>
  <si>
    <t>https://icomponents.ru/catalog/iphone/iphone_7/iphone_7_modul_lcd_touchscreen_chernyy_orig_ref_2/</t>
  </si>
  <si>
    <t>iPhone 8 [DIS] Дисплей - Cнятый оригинал Белый</t>
  </si>
  <si>
    <t>8601 629</t>
  </si>
  <si>
    <t>iPhone 8 - Дисплей белый, снятый ORIG</t>
  </si>
  <si>
    <t>https://icomponents.ru/catalog/iphone/iphone_8_se2020/iphone_8_displey_belyy_snyatyy_orig/</t>
  </si>
  <si>
    <t>iPhone 8 / SE 2020 / SE 2022 [DIS] Дисплей - Cнятый оригинал Черный</t>
  </si>
  <si>
    <t>8604 141</t>
  </si>
  <si>
    <t>iPhone 8 / SE 2020 / SE 2022</t>
  </si>
  <si>
    <t>iPhone 8/SE2020/SE2022 - Дисплей черный, снятый ORIG</t>
  </si>
  <si>
    <t>https://icomponents.ru/catalog/iphone/iphone_8_se2020/iphone_8_se2020_se2022_displey_chernyy_snyatyy_orig/</t>
  </si>
  <si>
    <t>iPhone 8 [DIS] Дисплей - Восстановленный оригинал Белый</t>
  </si>
  <si>
    <t>10950 706</t>
  </si>
  <si>
    <t>iPhone 8 - модуль (LCD touchscreen) белый, ORIG REF</t>
  </si>
  <si>
    <t>https://icomponents.ru/catalog/iphone/iphone_8_se2020/iphone_8_modul_lcd_touchscreen_belyy_orig_ref/</t>
  </si>
  <si>
    <t>iPhone 8 / SE 2020 / SE 2022 [DIS] Дисплей - Восстановленный оригинал Черный</t>
  </si>
  <si>
    <t>10950 707</t>
  </si>
  <si>
    <t>iPhone 8 / SE2020 - модуль (LCD touchscreen) черный, ORIG REF</t>
  </si>
  <si>
    <t>https://icomponents.ru/catalog/iphone/iphone_8_se2020/iphone_8_se2020_modul_lcd_touchscreen_chernyy_orig_ref/</t>
  </si>
  <si>
    <t>iPhone 8 Plus [DIS] Дисплей - Cнятый оригинал Белый</t>
  </si>
  <si>
    <t>7336 534</t>
  </si>
  <si>
    <t>iPhone 8 Plus - Дисплей белый, снятый ORIG</t>
  </si>
  <si>
    <t>https://icomponents.ru/catalog/iphone/iphone_8/iphone_8_plus_displey_belyy_snyatyy_orig/</t>
  </si>
  <si>
    <t>iPhone 8 Plus [DIS] Дисплей - Cнятый оригинал Черный</t>
  </si>
  <si>
    <t>8045 192</t>
  </si>
  <si>
    <t>iPhone 8 Plus - Дисплей черный, снятый ORIG</t>
  </si>
  <si>
    <t>https://icomponents.ru/catalog/iphone/iphone_8/iphone_8_plus_displey_chernyy_snyatyy_orig/</t>
  </si>
  <si>
    <t>iPhone 8 Plus [DIS] Дисплей - Восстановленный оригинал Белый</t>
  </si>
  <si>
    <t>10950 708</t>
  </si>
  <si>
    <t>iPhone 8+ - модуль (LCD touchscreen) белый, ORIG REF</t>
  </si>
  <si>
    <t>https://icomponents.ru/catalog/iphone/iphone_8/iphone_8_modul_lcd_touchscreen_belyy_orig_ref_2/</t>
  </si>
  <si>
    <t>iPhone 8 Plus [DIS] Дисплей - Восстановленный оригинал Черный</t>
  </si>
  <si>
    <t>10950 709</t>
  </si>
  <si>
    <t>iPhone 8+ - модуль (LCD touchscreen) черный, ORIG REF</t>
  </si>
  <si>
    <t>https://icomponents.ru/catalog/iphone/iphone_8/iphone_8_modul_lcd_touchscreen_chernyy_orig_ref/</t>
  </si>
  <si>
    <t>iPhone XR [DIS] Дисплей - Cнятый оригинал</t>
  </si>
  <si>
    <t>11942 001</t>
  </si>
  <si>
    <t>iPhone XR - Дисплей снятый ORIG</t>
  </si>
  <si>
    <t>https://icomponents.ru/catalog/iphone/iphone_xr/iphone_xr_displey_snyatyy_orig/</t>
  </si>
  <si>
    <t>iPhone XR [DIS] Дисплей - Восстановленный оригинал</t>
  </si>
  <si>
    <t>10950 710</t>
  </si>
  <si>
    <t>iPhone XR - Дисплей ORIG REF</t>
  </si>
  <si>
    <t>https://icomponents.ru/catalog/iphone/iphone_xr/iphone_xr_displey_orig_ref/</t>
  </si>
  <si>
    <t>iPhone X [DIS] Дисплей - Cнятый оригинал</t>
  </si>
  <si>
    <t>6434 836</t>
  </si>
  <si>
    <t>iPhone X - Дисплей снятый ORIG</t>
  </si>
  <si>
    <t>https://icomponents.ru/catalog/iphone/iphone_x/iphone_x_displey_snyatyy_orig/</t>
  </si>
  <si>
    <t>iPhone X [DIS] Дисплей - Восстановленный оригинал</t>
  </si>
  <si>
    <t>7616 714</t>
  </si>
  <si>
    <t>iPhone X - Дисплей ORIG REF</t>
  </si>
  <si>
    <t>https://icomponents.ru/catalog/iphone/iphone_x/iphone_x_displey_orig_ref/</t>
  </si>
  <si>
    <t>iPhone XS [DIS] Дисплей - Cнятый оригинал</t>
  </si>
  <si>
    <t>11357 273</t>
  </si>
  <si>
    <t>iPhone XS - Дисплей снятый ORIG</t>
  </si>
  <si>
    <t>https://icomponents.ru/catalog/iphone/iphone_xs/iphone_xs_displey_snyatyy_orig/</t>
  </si>
  <si>
    <t>iPhone XS [DIS] Дисплей - Восстановленный оригинал</t>
  </si>
  <si>
    <t>13213 166</t>
  </si>
  <si>
    <t>iPhone XS - Дисплей ORIG REF</t>
  </si>
  <si>
    <t>https://icomponents.ru/catalog/iphone/iphone_xs/iphone_xs_displey_orig_ref/</t>
  </si>
  <si>
    <t>iPhone XS Max [DIS] Дисплей - Cнятый оригинал</t>
  </si>
  <si>
    <t>9721 524</t>
  </si>
  <si>
    <t>iPhone XS MAX - Дисплей снятый ORIG</t>
  </si>
  <si>
    <t>https://icomponents.ru/catalog/iphone/iphone_xs_max/iphone_xs_max_displey_snyatyy_orig/</t>
  </si>
  <si>
    <t>iPhone XS Max [DIS] Дисплей - Восстановленный оригинал</t>
  </si>
  <si>
    <t>13554 155</t>
  </si>
  <si>
    <t>iPhone XS MAX - Дисплей ORIG REF</t>
  </si>
  <si>
    <t>https://icomponents.ru/catalog/iphone/iphone_xs_max/iphone_xs_max_displey_orig_ref/</t>
  </si>
  <si>
    <t>iPhone 11 [DIS] Дисплей - Cнятый оригинал (неизвестная деталь)</t>
  </si>
  <si>
    <t>14870 175</t>
  </si>
  <si>
    <t>iPhone 11 - Дисплей снятый ORIG</t>
  </si>
  <si>
    <t>https://icomponents.ru/catalog/iphone/iphone_11/iphone_11_displey_snyatyy_orig/</t>
  </si>
  <si>
    <t>iPhone 11 [DIS] Дисплей - Восстановленный оригинал (неизвестная деталь)</t>
  </si>
  <si>
    <t>25537 204</t>
  </si>
  <si>
    <t>iPhone 11 - Дисплей ORIG REF</t>
  </si>
  <si>
    <t>https://icomponents.ru/catalog/iphone/iphone_11/iphone_11_displey_orig_ref/</t>
  </si>
  <si>
    <t>iPhone 11 Pro [DIS] Дисплей - Cнятый оригинал (неизвестная деталь)</t>
  </si>
  <si>
    <t>20852 971</t>
  </si>
  <si>
    <t>iPhone 11 Pro - Дисплей снятый ORIG</t>
  </si>
  <si>
    <t>https://icomponents.ru/catalog/iphone/iphone_11_pro/iphone_11_pro_displey_snyatyy_orig/</t>
  </si>
  <si>
    <t>iPhone 11 Pro [DIS] Дисплей - Восстановленный оригинал (неизвестная деталь)</t>
  </si>
  <si>
    <t>28660 919</t>
  </si>
  <si>
    <t>iPhone 11 Pro - Дисплей ORIG REF</t>
  </si>
  <si>
    <t>https://icomponents.ru/catalog/iphone/iphone_11_pro/iphone_11_pro_displey_orig_ref/</t>
  </si>
  <si>
    <t>iPhone 11 Pro Max [DIS] Дисплей - Cнятый оригинал (неизвестная деталь)</t>
  </si>
  <si>
    <t>13725 799</t>
  </si>
  <si>
    <t>iPhone 11 Pro Мах - Дисплей снятый ORIG</t>
  </si>
  <si>
    <t>https://icomponents.ru/catalog/iphone/iphone_11_pro_max/iphone_11_pro_makh_displey_snyatyy_orig/</t>
  </si>
  <si>
    <t>iPhone 11 Pro Max [DIS] Дисплей - Восстановленный оригинал (неизвестная деталь)</t>
  </si>
  <si>
    <t>iPhone 11 Pro Max - Дисплей ORIG REF</t>
  </si>
  <si>
    <t>https://icomponents.ru/catalog/iphone/iphone_11_pro_max/iphone_11_pro_max_displey_orig_ref/</t>
  </si>
  <si>
    <t>iPhone 12 / 12 Pro [DIS] Дисплей - Сервисный оригинал (подлинное)</t>
  </si>
  <si>
    <t>56248 877</t>
  </si>
  <si>
    <t>iPhone 12 / 12 Pro</t>
  </si>
  <si>
    <t>iPhone 12 / 12 Pro - Дисплей SERVICE ORIG + ALS шлейф (clean)</t>
  </si>
  <si>
    <t>https://icomponents.ru/catalog/iphone/iphone_12_pro/iphone_12_12_pro_displey_service_orig_als_shleyf_clean/</t>
  </si>
  <si>
    <t>iPhone 12 / 12 Pro [DIS] Дисплей - Снятый оригинал (бу)</t>
  </si>
  <si>
    <t>iPhone 12/12 Pro - Дисплей снятый ORIG + ALS шлейф (clean)</t>
  </si>
  <si>
    <t>https://icomponents.ru/catalog/iphone/iphone_12_pro/iphone_12_12_pro_displey_snyatyy_orig_als_shleyf_clean/</t>
  </si>
  <si>
    <t>iPhone 12 / 12 Pro [DIS] Дисплей - Снятый оригинал (неизвестная деталь)</t>
  </si>
  <si>
    <t>iPhone 12 / 12 Pro - Дисплей снятый ORIG</t>
  </si>
  <si>
    <t>https://icomponents.ru/catalog/iphone/iphone_12_pro/iphone_12_12_pro_displey_snyatyy_orig/</t>
  </si>
  <si>
    <t>iPhone 12 / 12 Pro [DIS] Дисплей - Восстановленный оригинал (бу)</t>
  </si>
  <si>
    <t>iPhone 12 / 12 Pro [DIS] Дисплей - Восстановленный оригинал (неизвестная деталь)</t>
  </si>
  <si>
    <t>50596 315</t>
  </si>
  <si>
    <t>iPhone 12/12 Pro - Дисплей ORIG REF</t>
  </si>
  <si>
    <t>https://icomponents.ru/catalog/iphone/iphone_12_pro/iphone_12_12_pro_displey_orig_ref/</t>
  </si>
  <si>
    <t>iPhone 12 Mini [DIS] Дисплей - Сервисный оригинал (подлинное)</t>
  </si>
  <si>
    <t>iPhone 12 Mini [DIS] Дисплей - Снятый оригинал (бу)</t>
  </si>
  <si>
    <t>iPhone 12 Mini [DIS] Дисплей - Снятый оригинал (неизвестная деталь)</t>
  </si>
  <si>
    <t>30469 948</t>
  </si>
  <si>
    <t>iPhone 12 mini - Дисплей снятый ORIG</t>
  </si>
  <si>
    <t>https://icomponents.ru/catalog/iphone/iphone_12_mini/iphone_12_mini_displey_snyatyy_orig/</t>
  </si>
  <si>
    <t>iPhone 12 Mini [DIS] Дисплей - Восстановленный оригинал (бу)</t>
  </si>
  <si>
    <t>iPhone 12 Mini [DIS] Дисплей - Восстановленный оригинал (неизвестная деталь)</t>
  </si>
  <si>
    <t>56253 130</t>
  </si>
  <si>
    <t>iPhone 12 Mini - Дисплей ORIG REF</t>
  </si>
  <si>
    <t>https://icomponents.ru/catalog/iphone/iphone_12_mini/iphone_12_mini_displey_orig_ref/</t>
  </si>
  <si>
    <t>iPhone 12 Pro Max [DIS] Дисплей - Сервисный оригинал (подлинное)</t>
  </si>
  <si>
    <t>iPhone 12 Pro Max [DIS] Дисплей - Снятый оригинал (бу)</t>
  </si>
  <si>
    <t>iPhone 12 Pro Max [DIS] Дисплей - Снятый оригинал (неизвестная деталь)</t>
  </si>
  <si>
    <t>27415 882</t>
  </si>
  <si>
    <t>iPhone 12 Pro Мах - Дисплей снятый ORIG</t>
  </si>
  <si>
    <t>https://icomponents.ru/catalog/iphone/iphone_12_pro_max/iphone_12_pro_makh_displey_snyatyy_orig/</t>
  </si>
  <si>
    <t>iPhone 12 Pro Max [DIS] Дисплей - Восстановленный оригинал (бу)</t>
  </si>
  <si>
    <t>iPhone 12 Pro Max [DIS] Дисплей - Восстановленный оригинал (неизвестная деталь)</t>
  </si>
  <si>
    <t>45127 018</t>
  </si>
  <si>
    <t>iPhone 12 Pro Max - Дисплей ORIG REF</t>
  </si>
  <si>
    <t>https://icomponents.ru/catalog/iphone/iphone_12_pro_max/iphone_12_pro_max_displey_orig_ref/</t>
  </si>
  <si>
    <t>iPhone 13 [DIS] Дисплей - Сервисный оригинал (подлинное)</t>
  </si>
  <si>
    <t>iPhone 13 [DIS] Дисплей - Снятый оригинал (бу)</t>
  </si>
  <si>
    <t>56262 479</t>
  </si>
  <si>
    <t>iPhone 13 - Дисплей снятый ORIG + ALS шлейф (clean)</t>
  </si>
  <si>
    <t>https://icomponents.ru/catalog/iphone/iphone_13/iphone_13_displey_snyatyy_orig_als_shleyf_clean/</t>
  </si>
  <si>
    <t>iPhone 13 [DIS] Дисплей - Снятый оригинал (неизвестная деталь)</t>
  </si>
  <si>
    <t>28894 535</t>
  </si>
  <si>
    <t>iPhone 13 - Дисплей снятый ORIG</t>
  </si>
  <si>
    <t>https://icomponents.ru/catalog/iphone/iphone_13/iphone_13_displey_snyatyy_orig/</t>
  </si>
  <si>
    <t>iPhone 13 [DIS] Дисплей - Восстановленный оригинал (бу)</t>
  </si>
  <si>
    <t>iPhone 13 -  Дисплей ORIG REF + ALS шлейф (clean)</t>
  </si>
  <si>
    <t>https://icomponents.ru/catalog/iphone/iphone_13/iphone_13_displey_orig_ref_als_shleyf_clean/</t>
  </si>
  <si>
    <t>iPhone 13 [DIS] Дисплей - Восстановленный оригинал (неизвестная деталь)</t>
  </si>
  <si>
    <t>41147 915</t>
  </si>
  <si>
    <t>iPhone 13 - Дисплей ORIG REF</t>
  </si>
  <si>
    <t>https://icomponents.ru/catalog/iphone/iphone_13/iphone_13_displey_orig_ref/</t>
  </si>
  <si>
    <t>iPhone 13 Mini [DIS] Дисплей - Сервисный оригинал (подлинное)</t>
  </si>
  <si>
    <t>iPhone 13 Mini [DIS] Дисплей - Снятый оригинал (бу)</t>
  </si>
  <si>
    <t>56277 613</t>
  </si>
  <si>
    <t>iPhone 13 mini - Дисплей снятый ORIG + ALS шлейф (clean)</t>
  </si>
  <si>
    <t>https://icomponents.ru/catalog/iphone/iphone_13_mini/iphone_13_mini_displey_snyatyy_orig_als_shleyf_clean/</t>
  </si>
  <si>
    <t>iPhone 13 Mini [DIS] Дисплей - Снятый оригинал (неизвестная деталь)</t>
  </si>
  <si>
    <t>41889 447</t>
  </si>
  <si>
    <t>iPhone 13 mini - Дисплей снятый ORIG</t>
  </si>
  <si>
    <t>https://icomponents.ru/catalog/iphone/iphone_13_mini/iphone_13_mini_displey_snyatyy_orig/</t>
  </si>
  <si>
    <t>iPhone 13 Mini [DIS] Дисплей - Восстановленный оригинал (бу)</t>
  </si>
  <si>
    <t>iPhone 13 Mini [DIS] Дисплей - Восстановленный оригинал (неизвестная деталь)</t>
  </si>
  <si>
    <t>41889 446</t>
  </si>
  <si>
    <t>iPhone 13 Mini - Дисплей ORIG REF</t>
  </si>
  <si>
    <t>https://icomponents.ru/catalog/iphone/iphone_13_mini/iphone_13_mini_displey_orig_ref/</t>
  </si>
  <si>
    <t>iPhone 13 Pro [DIS] Дисплей - Сервисный оригинал (подлинное)</t>
  </si>
  <si>
    <t>56277 398</t>
  </si>
  <si>
    <t>iPhone 13 Pro - Дисплей SERVICE ORIG + ALS шлейф (Clean)</t>
  </si>
  <si>
    <t>https://icomponents.ru/catalog/iphone/iphone_13_pro/iphone_13_pro_displey_service_orig_als_shleyf_clean/</t>
  </si>
  <si>
    <t>iPhone 13 Pro [DIS] Дисплей - Снятый оригинал (бу)</t>
  </si>
  <si>
    <t>29100 942</t>
  </si>
  <si>
    <t>iPhone 13 Pro - Дисплей снятый ORIG + ALS шлейф (clean)</t>
  </si>
  <si>
    <t>https://icomponents.ru/catalog/iphone/iphone_13_pro/iphone_13_pro_displey_snyatyy_orig_als_shleyf_clean/</t>
  </si>
  <si>
    <t>iPhone 13 Pro [DIS] Дисплей - Снятый оригинал (неизвестная деталь)</t>
  </si>
  <si>
    <t>40245 553</t>
  </si>
  <si>
    <t>iPhone 13 Pro - Дисплей снятый ORIG</t>
  </si>
  <si>
    <t>https://icomponents.ru/catalog/iphone/iphone_13_pro/iphone_13_pro_displey_snyatyy_orig/</t>
  </si>
  <si>
    <t>iPhone 13 Pro [DIS] Дисплей - Восстановленный оригинал (бу)</t>
  </si>
  <si>
    <t>iPhone 13 Pro - Дисплей ORIG REF + ALS шлейф (clean)</t>
  </si>
  <si>
    <t>https://icomponents.ru/catalog/iphone/iphone_13_pro/iphone_13_pro_displey_orig_ref_als_shleyf_clean/</t>
  </si>
  <si>
    <t>iPhone 13 Pro [DIS] Дисплей - Восстановленный оригинал (неизвестная деталь)</t>
  </si>
  <si>
    <t>51560 281</t>
  </si>
  <si>
    <t>iPhone 13 Pro Max [DIS] Дисплей - Сервисный оригинал (подлинное)</t>
  </si>
  <si>
    <t>56267 019</t>
  </si>
  <si>
    <t>iPhone 13 Pro Max - Дисплей SERVICE ORIG + ALS шлейф (clean)</t>
  </si>
  <si>
    <t>https://icomponents.ru/catalog/iphone/iphone_13_pro_max/iphone_13_pro_max_displey_service_orig_als_shleyf_clean/</t>
  </si>
  <si>
    <t>iPhone 13 Pro Max [DIS] Дисплей - Снятый оригинал (бу)</t>
  </si>
  <si>
    <t>56267 006</t>
  </si>
  <si>
    <t>iPhone 13 Pro Max - Дисплей снятый ORIG + ALS шлейф (clean)</t>
  </si>
  <si>
    <t>https://icomponents.ru/catalog/iphone/iphone_13_pro_max/iphone_13_pro_max_displey_snyatyy_orig_als_shleyf_clean/</t>
  </si>
  <si>
    <t>iPhone 13 Pro Max [DIS] Дисплей - Снятый оригинал (неизвестная деталь)</t>
  </si>
  <si>
    <t>36790 653</t>
  </si>
  <si>
    <t>iPhone 13 Pro Max - Дисплей снятый ORIG</t>
  </si>
  <si>
    <t>https://icomponents.ru/catalog/iphone/iphone_13_pro_max/iphone_13_pro_max_displey_snyatyy_orig/</t>
  </si>
  <si>
    <t>iPhone 13 Pro Max [DIS] Дисплей - Восстановленный оригинал (бу)</t>
  </si>
  <si>
    <t>iPhone 13 Pro Max - Дисплей ORIG REF + ALS шлейф (clean)</t>
  </si>
  <si>
    <t>https://icomponents.ru/catalog/iphone/iphone_13_pro_max/iphone_13_pro_max_displey_orig_ref_als_shleyf_clean/</t>
  </si>
  <si>
    <t>iPhone 13 Pro Max [DIS] Дисплей - Восстановленный оригинал (неизвестная деталь)</t>
  </si>
  <si>
    <t>51560 495</t>
  </si>
  <si>
    <t>iPhone 13 Pro Max - Дисплей ORIG REF</t>
  </si>
  <si>
    <t>https://icomponents.ru/catalog/iphone/iphone_13_pro_max/iphone_13_pro_max_displey_orig_ref/</t>
  </si>
  <si>
    <t>iPhone 14 [DIS] Дисплей - Сервисный оригинал (подлинное)</t>
  </si>
  <si>
    <t>iPhone 14 [DIS] Дисплей - Снятый оригинал (бу)</t>
  </si>
  <si>
    <t>iPhone 14 - Дисплей снятый ORIG + ALS шлейф (clean)</t>
  </si>
  <si>
    <t>https://icomponents.ru/catalog/iphone/iphone_14/iphone_14_displey_snyatyy_orig_als_shleyf_clean/</t>
  </si>
  <si>
    <t>iPhone 14 [DIS] Дисплей - Снятый оригинал (неизвестная деталь)</t>
  </si>
  <si>
    <t>35575 302</t>
  </si>
  <si>
    <t>iPhone 14 - Дисплей снятый ORIG</t>
  </si>
  <si>
    <t>https://icomponents.ru/catalog/iphone/iphone_14/iphone_14_displey_snyatyy_orig/</t>
  </si>
  <si>
    <t>iPhone 14 [DIS] Дисплей - Восстановленный оригинал (бу)</t>
  </si>
  <si>
    <t>iPhone 14 - Дисплей ORIG REF + ALS шлейф (clean)</t>
  </si>
  <si>
    <t>https://icomponents.ru/catalog/iphone/iphone_14/iphone_14_displey_orig_ref_als_shleyf_clean/</t>
  </si>
  <si>
    <t>iPhone 14 [DIS] Дисплей - Восстановленный оригинал (неизвестная деталь)</t>
  </si>
  <si>
    <t>51449 066</t>
  </si>
  <si>
    <t>iPhone 14 - Дисплей ORIG REF</t>
  </si>
  <si>
    <t>https://icomponents.ru/catalog/iphone/iphone_14/iphone_14_displey_orig_ref/</t>
  </si>
  <si>
    <t>iPhone 14 Plus [DIS] Дисплей - Сервисный оригинал (подлинное)</t>
  </si>
  <si>
    <t>iPhone 14 Plus [DIS] Дисплей - Снятый оригинал (бу)</t>
  </si>
  <si>
    <t>iPhone 14 Plus [DIS] Дисплей - Снятый оригинал (неизвестная деталь)</t>
  </si>
  <si>
    <t>41141 223</t>
  </si>
  <si>
    <t>iPhone 14 Plus - Дисплей снятый ORIG</t>
  </si>
  <si>
    <t>https://icomponents.ru/catalog/iphone/iphone_14_plus/iphone_14_plus_displey_snyatyy_orig/</t>
  </si>
  <si>
    <t>iPhone 14 Plus [DIS] Дисплей - Восстановленный оригинал (бу)</t>
  </si>
  <si>
    <t>iPhone 14 Plus [DIS] Дисплей - Восстановленный оригинал (неизвестная деталь)</t>
  </si>
  <si>
    <t>41141 350</t>
  </si>
  <si>
    <t>iPhone 14 Pro [DIS] Дисплей - Сервисный оригинал (подлинное)</t>
  </si>
  <si>
    <t>56321 836</t>
  </si>
  <si>
    <t>iPhone 14 Pro - Дисплей SERVICE ORIG + ALS шлейф (clean)</t>
  </si>
  <si>
    <t>https://icomponents.ru/catalog/iphone/iphone_14_pro/iphone_14_pro_displey_service_orig_als_shleyf_clean/</t>
  </si>
  <si>
    <t>iPhone 14 Pro [DIS] Дисплей - Снятый оригинал (бу)</t>
  </si>
  <si>
    <t>56321 848</t>
  </si>
  <si>
    <t>iPhone 14 Pro - Дисплей снятый ORIG + ALS шлейф (clean)</t>
  </si>
  <si>
    <t>https://icomponents.ru/catalog/iphone/iphone_14_pro/iphone_14_pro_displey_snyatyy_orig_als_shleyf_clean/</t>
  </si>
  <si>
    <t>iPhone 14 Pro [DIS] Дисплей - Снятый оригинал (неизвестная деталь)</t>
  </si>
  <si>
    <t>37183 341</t>
  </si>
  <si>
    <t>iPhone 14 Pro - Дисплей снятый ORIG</t>
  </si>
  <si>
    <t>https://icomponents.ru/catalog/iphone/iphone_14_pro/iphone_14_pro_displey_snyatyy_orig/</t>
  </si>
  <si>
    <t>iPhone 14 Pro [DIS] Дисплей - Восстановленный оригинал (бу)</t>
  </si>
  <si>
    <t>iPhone 14 Pro - Дисплей ORIG REF + ALS шлейф (clean)</t>
  </si>
  <si>
    <t>https://icomponents.ru/catalog/iphone/iphone_14_pro/iphone_14_pro_displey_orig_ref_als_shleyf_clean/</t>
  </si>
  <si>
    <t>iPhone 14 Pro [DIS] Дисплей - Восстановленный оригинал (неизвестная деталь)</t>
  </si>
  <si>
    <t>41141 137</t>
  </si>
  <si>
    <t>iPhone 14 Pro - Дисплей ORIG REF</t>
  </si>
  <si>
    <t>https://icomponents.ru/catalog/iphone/iphone_14_pro/iphone_14_pro_displey_orig_ref/</t>
  </si>
  <si>
    <t>iPhone 14 Pro Max [DIS] Дисплей - Сервисный оригинал (подлинное)</t>
  </si>
  <si>
    <t>56322 552</t>
  </si>
  <si>
    <t>iPhone 14 Pro Max - Дисплей SERVICE ORIG + ALS шлейф(clean)</t>
  </si>
  <si>
    <t>https://icomponents.ru/catalog/iphone/iphone_14_pro_max/iphone_14_pro_max_displey_service_orig_als_shleyf_clean/</t>
  </si>
  <si>
    <t>iPhone 14 Pro Max [DIS] Дисплей - Снятый оригинал (бу)</t>
  </si>
  <si>
    <t>56322 541</t>
  </si>
  <si>
    <t>iPhone 14 Pro Max - Дисплей снятый ORIG + ALS шлейф (clean)</t>
  </si>
  <si>
    <t>https://icomponents.ru/catalog/iphone/iphone_14_pro_max/iphone_14_pro_max_displey_snyatyy_orig_als_shleyf_clean/</t>
  </si>
  <si>
    <t>iPhone 14 Pro Max [DIS] Дисплей - Снятый оригинал (неизвестная деталь)</t>
  </si>
  <si>
    <t>37287 538</t>
  </si>
  <si>
    <t>iPhone 14 Pro Max - Дисплей cнятый ORIG</t>
  </si>
  <si>
    <t>https://icomponents.ru/catalog/iphone/iphone_14_pro_max/iphone_14_pro_max_displey_cnyatyy_orig/</t>
  </si>
  <si>
    <t>iPhone 14 Pro Max [DIS] Дисплей - Восстановленный оригинал (бу)</t>
  </si>
  <si>
    <t>iPhone 14 Pro Max - Дисплей ORIG REF + ALS шлейф (clean)</t>
  </si>
  <si>
    <t>https://icomponents.ru/catalog/iphone/iphone_14_pro_max/iphone_14_pro_max_displey_orig_ref_als_shleyf_clean/</t>
  </si>
  <si>
    <t>iPhone 14 Pro Max [DIS] Дисплей - Восстановленный оригинал (неизвестная деталь)</t>
  </si>
  <si>
    <t>38173 698</t>
  </si>
  <si>
    <t>iPhone 14 Pro Max - Дисплей ORIG REF</t>
  </si>
  <si>
    <t>https://icomponents.ru/catalog/iphone/iphone_14_pro_max/iphone_14_pro_max_displey_orig_ref/</t>
  </si>
  <si>
    <t>iPhone 15 [DIS] Дисплей - Сервисный оригинал (подлинное)</t>
  </si>
  <si>
    <t>iPhone 15 [DIS] Дисплей - Снятый оригинал (бу)</t>
  </si>
  <si>
    <t>56323 132</t>
  </si>
  <si>
    <t>iPhone 15 - Дисплей снятый ORIG + ALS шлейф (clean)</t>
  </si>
  <si>
    <t>https://icomponents.ru/catalog/iphone/iphone_15/iphone_15_displey_snyatyy_orig_als_shleyf_clean/</t>
  </si>
  <si>
    <t>iPhone 15 [DIS] Дисплей - Снятый оригинал (неизвестная деталь)</t>
  </si>
  <si>
    <t>41130 830</t>
  </si>
  <si>
    <t>iPhone 15 - Дисплей снятый ORIG</t>
  </si>
  <si>
    <t>https://icomponents.ru/catalog/iphone/iphone_15/iphone_15_displey_snyatyy_orig/</t>
  </si>
  <si>
    <t>iPhone 15 [DIS] Дисплей - Восстановленный оригинал (бу)</t>
  </si>
  <si>
    <t>iPhone 15 - Дисплей ORIG REF + ALS шлейф (clean)</t>
  </si>
  <si>
    <t>https://icomponents.ru/catalog/iphone/iphone_15/iphone_15_displey_orig_ref_als_shleyf_clean/</t>
  </si>
  <si>
    <t>iPhone 15 [DIS] Дисплей - Восстановленный оригинал (неизвестная деталь)</t>
  </si>
  <si>
    <t>50906 042</t>
  </si>
  <si>
    <t>iPhone 15 - Дисплей ORIG REF</t>
  </si>
  <si>
    <t>https://icomponents.ru/catalog/iphone/iphone_15/iphone_15_displey_orig_ref/</t>
  </si>
  <si>
    <t>iPhone 15 Plus [DIS] Дисплей - Сервисный оригинал (подлинное)</t>
  </si>
  <si>
    <t>iPhone 15 Plus [DIS] Дисплей - Снятый оригинал (бу)</t>
  </si>
  <si>
    <t>iPhone 15 Plus [DIS] Дисплей - Снятый оригинал (неизвестная деталь)</t>
  </si>
  <si>
    <t>41131 319</t>
  </si>
  <si>
    <t>iPhone 15 Plus - Дисплей снятый ORIG</t>
  </si>
  <si>
    <t>https://icomponents.ru/catalog/iphone/iphone_15_plus/iphone_15_plus_displey_snyatyy_orig/</t>
  </si>
  <si>
    <t>iPhone 15 Plus [DIS] Дисплей - Восстановленный оригинал (бу)</t>
  </si>
  <si>
    <t>iPhone 15 Plus [DIS] Дисплей - Восстановленный оригинал (неизвестная деталь)</t>
  </si>
  <si>
    <t>56323 282</t>
  </si>
  <si>
    <t>iPhone 15 Pro [DIS] Дисплей - Сервисный оригинал (подлинное)</t>
  </si>
  <si>
    <t>56323 543</t>
  </si>
  <si>
    <t>iPhone 15 Pro - Дисплей SERVICE ORIG + ALS шлейф (clean)</t>
  </si>
  <si>
    <t>https://icomponents.ru/catalog/iphone/iphone_15_pro/iphone_15_pro_displey_service_orig_als_shleyf_clean/</t>
  </si>
  <si>
    <t>iPhone 15 Pro [DIS] Дисплей - Снятый оригинал (бу)</t>
  </si>
  <si>
    <t>56323 519</t>
  </si>
  <si>
    <t>iPhone 15 Pro - Дисплей снятый ORIG + ALS шлейф (clean)</t>
  </si>
  <si>
    <t>https://icomponents.ru/catalog/iphone/iphone_15_pro/iphone_15_pro_displey_snyatyy_orig_als_shleyf_clean/</t>
  </si>
  <si>
    <t>iPhone 15 Pro [DIS] Дисплей - Снятый оригинал (неизвестная деталь)</t>
  </si>
  <si>
    <t>38891 538</t>
  </si>
  <si>
    <t>iPhone 15 Pro - Дисплей снятый ORIG</t>
  </si>
  <si>
    <t>https://icomponents.ru/catalog/iphone/iphone_15_pro/iphone_15_pro_displey_snyatyy_orig/</t>
  </si>
  <si>
    <t>iPhone 15 Pro [DIS] Дисплей - Восстановленный оригинал (бу)</t>
  </si>
  <si>
    <t>iPhone 15 Pro - Дисплей ORIG REF + ALS шлейф (clean)</t>
  </si>
  <si>
    <t>https://icomponents.ru/catalog/iphone/iphone_15_pro/iphone_15_pro_displey_orig_ref_als_shleyf_clean/</t>
  </si>
  <si>
    <t>iPhone 15 Pro [DIS] Дисплей - Восстановленный оригинал (неизвестная деталь)</t>
  </si>
  <si>
    <t>50594 366</t>
  </si>
  <si>
    <t>iPhone 15 Pro - Дисплей ORIG REF</t>
  </si>
  <si>
    <t>https://icomponents.ru/catalog/iphone/iphone_15_pro/iphone_15_pro_displey_orig_ref/</t>
  </si>
  <si>
    <t>iPhone 15 Pro Max [DIS] Дисплей - Сервисный оригинал (подлинное)</t>
  </si>
  <si>
    <t>56324 110</t>
  </si>
  <si>
    <t>iPhone 15 Pro Max - Дисплей SERVICE ORIG + ALS шлейф (clean)</t>
  </si>
  <si>
    <t>https://icomponents.ru/catalog/iphone/iphone_15_pro_max/iphone_15_pro_max_displey_service_orig_als_shleyf_clean/</t>
  </si>
  <si>
    <t>iPhone 15 Pro Max [DIS] Дисплей - Снятый оригинал (бу)</t>
  </si>
  <si>
    <t>56324 121</t>
  </si>
  <si>
    <t>iPhone 15 Pro Max - Дисплей снятый ORIG + ALS шлейф (clean)</t>
  </si>
  <si>
    <t>https://icomponents.ru/catalog/iphone/iphone_15_pro_max/iphone_15_pro_max_displey_snyatyy_orig_als_shleyf_clean/</t>
  </si>
  <si>
    <t>iPhone 15 Pro Max [DIS] Дисплей - Снятый оригинал (неизвестная деталь)</t>
  </si>
  <si>
    <t>38991 681</t>
  </si>
  <si>
    <t>iPhone 15 Pro Max - Дисплей снятый ORIG</t>
  </si>
  <si>
    <t>https://icomponents.ru/catalog/iphone/iphone_15_pro_max/iphone_15_pro_max_displey_snyatyy_orig/</t>
  </si>
  <si>
    <t>iPhone 15 Pro Max [DIS] Дисплей - Восстановленный оригинал (бу)</t>
  </si>
  <si>
    <t>iPhone 15 Pro Max - Дисплей ORIG REF + ALS шлейф (clean)</t>
  </si>
  <si>
    <t>https://icomponents.ru/catalog/iphone/iphone_15_pro_max/iphone_15_pro_max_displey_orig_ref_als_shleyf_clean/</t>
  </si>
  <si>
    <t>iPhone 15 Pro Max [DIS] Дисплей - Восстановленный оригинал (неизвестная деталь)</t>
  </si>
  <si>
    <t>50593 396</t>
  </si>
  <si>
    <t>iPhone 15 Pro Max - Дисплей ORIG REF</t>
  </si>
  <si>
    <t>https://icomponents.ru/catalog/iphone/iphone_15_pro_max/iphone_15_pro_max_displey_orig_ref/</t>
  </si>
  <si>
    <t>iPhone 16 [DIS] Дисплей - Сервисный оригинал (подлинное)</t>
  </si>
  <si>
    <t>iPhone 16 [DIS] Дисплей - Снятый оригинал (бу)</t>
  </si>
  <si>
    <t>iPhone 16 - Дисплей снятый ORIG + ALS шлейф (clean)</t>
  </si>
  <si>
    <t>https://icomponents.ru/catalog/iphone/iphone_16/iphone_16_displey_snyatyy_orig_als_shleyf_clean/</t>
  </si>
  <si>
    <t>iPhone 16 [DIS] Дисплей - Снятый оригинал (неизвестная деталь)</t>
  </si>
  <si>
    <t>49462 586</t>
  </si>
  <si>
    <t>iPhone 16 - Дисплей снятый ORIG</t>
  </si>
  <si>
    <t>https://icomponents.ru/catalog/iphone/iphone_16/iphone_16_displey_snyatyy_orig/</t>
  </si>
  <si>
    <t>iPhone 16 [DIS] Дисплей - Восстановленный оригинал (бу)</t>
  </si>
  <si>
    <t>iPhone 16 - Дисплей ORIG REF + ALS шлейф (clean)</t>
  </si>
  <si>
    <t>https://icomponents.ru/catalog/iphone/iphone_16/iphone_16_displey_orig_ref_als_shleyf_clean/</t>
  </si>
  <si>
    <t>iPhone 16 [DIS] Дисплей - Восстановленный оригинал (неизвестная деталь)</t>
  </si>
  <si>
    <t>iPhone 16E [DIS] Дисплей - Сервисный оригинал (подлинное)</t>
  </si>
  <si>
    <t>iPhone 16E [DIS] Дисплей - Снятый оригинал (бу)</t>
  </si>
  <si>
    <t>iPhone 16E [DIS] Дисплей - Снятый оригинал (неизвестная деталь)</t>
  </si>
  <si>
    <t>56343 458</t>
  </si>
  <si>
    <t>iPhone 16e - Дисплей снятый ORIG</t>
  </si>
  <si>
    <t>https://icomponents.ru/catalog/iphone/iphone_16e/iphone_16e_displey_snyatyy_orig/</t>
  </si>
  <si>
    <t>iPhone 16E [DIS] Дисплей - Восстановленный оригинал (бу)</t>
  </si>
  <si>
    <t>iPhone 16E [DIS] Дисплей - Восстановленный оригинал (неизвестная деталь)</t>
  </si>
  <si>
    <t>iPhone 16 Plus [DIS] Дисплей - Сервисный оригинал (подлинное)</t>
  </si>
  <si>
    <t>iPhone 16 Plus [DIS] Дисплей - Снятый оригинал (бу)</t>
  </si>
  <si>
    <t>iPhone 16 Plus [DIS] Дисплей - Снятый оригинал (неизвестная деталь)</t>
  </si>
  <si>
    <t>56343 447</t>
  </si>
  <si>
    <t>iPhone 16 Plus - Дисплей снятый ORIG</t>
  </si>
  <si>
    <t>https://icomponents.ru/catalog/iphone/iphone_16_plus/iphone_16_plus_displey_snyatyy_orig/</t>
  </si>
  <si>
    <t>iPhone 16 Plus [DIS] Дисплей - Восстановленный оригинал (бу)</t>
  </si>
  <si>
    <t>iPhone 16 Plus [DIS] Дисплей - Восстановленный оригинал (неизвестная деталь)</t>
  </si>
  <si>
    <t>iPhone 16 Pro [DIS] Дисплей - Сервисный оригинал (подлинное)</t>
  </si>
  <si>
    <t>49635 855</t>
  </si>
  <si>
    <t>iPhone 16 Pro - Дисплей SERVICE ORIG + ALS шлейф (clean)</t>
  </si>
  <si>
    <t>https://icomponents.ru/catalog/iphone/iphone_16_pro/iphone_16_pro_displey_service_orig_als_shleyf_clean/</t>
  </si>
  <si>
    <t>iPhone 16 Pro [DIS] Дисплей - Снятый оригинал (бу)</t>
  </si>
  <si>
    <t>56343 586</t>
  </si>
  <si>
    <t>iPhone 16 Pro - Дисплей снятый ORIG + ALS шлейф (clean)</t>
  </si>
  <si>
    <t>https://icomponents.ru/catalog/iphone/iphone_16_pro/iphone_16_pro_displey_snyatyy_orig_als_shleyf_clean/</t>
  </si>
  <si>
    <t>iPhone 16 Pro [DIS] Дисплей - Снятый оригинал (неизвестная деталь)</t>
  </si>
  <si>
    <t>56343 569</t>
  </si>
  <si>
    <t>iPhone 16 Pro - Дисплей снятый ORIG (samsung)</t>
  </si>
  <si>
    <t>https://icomponents.ru/catalog/iphone/iphone_16_pro/iphone_16_pro_displey_snyatyy_orig_samsung/</t>
  </si>
  <si>
    <t>iPhone 16 Pro [DIS] Дисплей - Восстановленный оригинал (бу)</t>
  </si>
  <si>
    <t>iPhone 16 Pro - Дисплей ORIG REF + ALS шлейф (clean)</t>
  </si>
  <si>
    <t>https://icomponents.ru/catalog/iphone/iphone_16_pro/iphone_16_pro_displey_orig_ref_als_shleyf_clean/</t>
  </si>
  <si>
    <t>iPhone 16 Pro [DIS] Дисплей - Восстановленный оригинал (неизвестная деталь)</t>
  </si>
  <si>
    <t>iPhone 16 Pro - Дисплей ORIG REF</t>
  </si>
  <si>
    <t>https://icomponents.ru/catalog/iphone/iphone_16_pro/iphone_16_pro_displey_orig_ref/</t>
  </si>
  <si>
    <t>iPhone 16 Pro Max [DIS] Дисплей - Сервисный оригинал (подлинное)</t>
  </si>
  <si>
    <t>47232 221</t>
  </si>
  <si>
    <t>iPhone 16 Pro Max - Дисплей SERVICE ORIG + ALS шлейф (clean)</t>
  </si>
  <si>
    <t>https://icomponents.ru/catalog/iphone/iphone_16_pro_max/iphone_16_pro_max_displey_service_orig_als_shleyf_clean/</t>
  </si>
  <si>
    <t>iPhone 16 Pro Max [DIS] Дисплей - Снятый оригинал (бу)</t>
  </si>
  <si>
    <t>56343 648</t>
  </si>
  <si>
    <t>iPhone 16 Pro Max - Дисплей снятый ORIG + ALS шлейф (clean)</t>
  </si>
  <si>
    <t>https://icomponents.ru/catalog/iphone/iphone_16_pro_max/iphone_16_pro_max_displey_snyatyy_orig_als_shleyf_clean/</t>
  </si>
  <si>
    <t>iPhone 16 Pro Max [DIS] Дисплей - Снятый оригинал (неизвестная деталь)</t>
  </si>
  <si>
    <t>56343 662</t>
  </si>
  <si>
    <t>iPhone 16 Pro Max - Дисплей снятый ORIG (samsung)</t>
  </si>
  <si>
    <t>https://icomponents.ru/catalog/iphone/iphone_16_pro_max/iphone_16_pro_max_displey_snyatyy_orig_samsung/</t>
  </si>
  <si>
    <t>iPhone 16 Pro Max [DIS] Дисплей - Восстановленный оригинал (бу)</t>
  </si>
  <si>
    <t>iPhone 16 Pro Max - Дисплей ORIG REF + ALS шлейф (clean)</t>
  </si>
  <si>
    <t>https://icomponents.ru/catalog/iphone/iphone_16_pro_max/iphone_16_pro_max_displey_orig_ref_als_shleyf_clean/</t>
  </si>
  <si>
    <t>iPhone 16 Pro Max [DIS] Дисплей - Восстановленный оригинал (неизвестная деталь)</t>
  </si>
  <si>
    <t>iPhone 16 Pro Max - Дисплей ORIG REF</t>
  </si>
  <si>
    <t>https://icomponents.ru/catalog/iphone/iphone_16_pro_max/iphone_16_pro_max_displey_orig_ref/</t>
  </si>
  <si>
    <t>iPhone 17 [DIS] Дисплей - Сервисный оригинал (подлинное)</t>
  </si>
  <si>
    <t>iPhone 17 - Дисплей SERVICE ORIG + ALS шлейф (clean)</t>
  </si>
  <si>
    <t>https://icomponents.ru/catalog/iphone/iphone_17/iphone_17_displey_service_orig_als_shleyf_clean/</t>
  </si>
  <si>
    <t>Сервис &gt; Ремонт Apple &gt; Ремонт iPhone &gt; 17</t>
  </si>
  <si>
    <t>iPhone 17 [DIS] Дисплей - Снятый оригинал (бу)</t>
  </si>
  <si>
    <t>iPhone 17 - Дисплей снятый ORIG + ALS шлейф (clean)</t>
  </si>
  <si>
    <t>https://icomponents.ru/catalog/iphone/iphone_17/iphone_17_displey_snyatyy_orig_als_shleyf_clean/</t>
  </si>
  <si>
    <t>iPhone 17 [DIS] Дисплей - Снятый оригинал (неизвестная деталь)</t>
  </si>
  <si>
    <t>iPhone 17 - Дисплей снятый ORIG</t>
  </si>
  <si>
    <t>https://icomponents.ru/catalog/iphone/iphone_17/iphone_17_displey_snyatyy_orig/</t>
  </si>
  <si>
    <t>iPhone 17 [DIS] Дисплей - Восстановленный оригинал (бу)</t>
  </si>
  <si>
    <t>iPhone 17 [DIS] Дисплей - Восстановленный оригинал (неизвестная деталь)</t>
  </si>
  <si>
    <t>iPhone 17 Air [DIS] Дисплей - Сервисный оригинал (подлинное)</t>
  </si>
  <si>
    <t>iPhone 17 Air - Дисплей SERVICE ORIG + ALS шлейф (clean)</t>
  </si>
  <si>
    <t>https://icomponents.ru/catalog/iphone/iphone_17_air/iphone_17_air_displey_service_orig_als_shleyf_clean/</t>
  </si>
  <si>
    <t>Сервис &gt; Ремонт Apple &gt; Ремонт iPhone &gt; iPhone 17 Air</t>
  </si>
  <si>
    <t>iPhone 17 Air [DIS] Дисплей - Снятый оригинал (бу)</t>
  </si>
  <si>
    <t>iPhone 17 Air - Дисплей снятый ORIG + ALS шлейф (clean)</t>
  </si>
  <si>
    <t>https://icomponents.ru/catalog/iphone/iphone_17_air/iphone_17_air_displey_snyatyy_orig_als_shleyf_clean/</t>
  </si>
  <si>
    <t>iPhone 17 Air [DIS] Дисплей - Снятый оригинал (неизвестная деталь)</t>
  </si>
  <si>
    <t>iPhone 17 Air - Дисплей снятый ORIG</t>
  </si>
  <si>
    <t>https://icomponents.ru/catalog/iphone/iphone_17_air/iphone_17_air_displey_snyatyy_orig/</t>
  </si>
  <si>
    <t>iPhone 17 Air [DIS] Дисплей - Восстановленный оригинал (бу)</t>
  </si>
  <si>
    <t>iPhone 17 Air [DIS] Дисплей - Восстановленный оригинал (неизвестная деталь)</t>
  </si>
  <si>
    <t>iPhone 17 Pro [DIS] Дисплей - Сервисный оригинал (подлинное)</t>
  </si>
  <si>
    <t>iPhone 17 Pro - Дисплей SERVICE ORIG + ALS шлейф (clean)</t>
  </si>
  <si>
    <t>https://icomponents.ru/catalog/iphone/iphone_17_pro/iphone_17_pro_displey_service_orig_als_shleyf_clean/</t>
  </si>
  <si>
    <t>Сервис &gt; Ремонт Apple &gt; Ремонт iPhone &gt; iPhone 17 Pro</t>
  </si>
  <si>
    <t>iPhone 17 Pro [DIS] Дисплей - Снятый оригинал (бу)</t>
  </si>
  <si>
    <t>iPhone 17 Pro - Дисплей снятый ORIG + ALS шлейф (clean)</t>
  </si>
  <si>
    <t>https://icomponents.ru/catalog/iphone/iphone_17_pro/iphone_17_pro_displey_snyatyy_orig_als_shleyf_clean/</t>
  </si>
  <si>
    <t>iPhone 17 Pro [DIS] Дисплей - Снятый оригинал (неизвестная деталь)</t>
  </si>
  <si>
    <t>iPhone 17 Pro - Дисплей снятый ORIG</t>
  </si>
  <si>
    <t>https://icomponents.ru/catalog/iphone/iphone_17_pro/iphone_17_pro_displey_snyatyy_orig/</t>
  </si>
  <si>
    <t>iPhone 17 Pro [DIS] Дисплей - Восстановленный оригинал (бу)</t>
  </si>
  <si>
    <t>iPhone 17 Pro [DIS] Дисплей - Восстановленный оригинал (неизвестная деталь)</t>
  </si>
  <si>
    <t>iPhone 17 Pro Max [DIS] Дисплей - Сервисный оригинал (подлинное)</t>
  </si>
  <si>
    <t>iPhone 17 Pro Max - Дисплей SERVICE ORIG + ALS шлейф (clean)</t>
  </si>
  <si>
    <t>https://icomponents.ru/catalog/iphone/iphone_17_pro_max/iphone_17_pro_max_displey_service_orig_als_shleyf_clean/</t>
  </si>
  <si>
    <t>Сервис &gt; Ремонт Apple &gt; Ремонт iPhone &gt; iPhone 17 Pro Max</t>
  </si>
  <si>
    <t>iPhone 17 Pro Max [DIS] Дисплей - Снятый оригинал (бу)</t>
  </si>
  <si>
    <t>iPhone 17 Pro Max - Дисплей снятый ORIG + ALS шлейф (clean)</t>
  </si>
  <si>
    <t>https://icomponents.ru/catalog/iphone/iphone_17_pro_max/iphone_17_pro_max_displey_snyatyy_orig_als_shleyf_clean/</t>
  </si>
  <si>
    <t>iPhone 17 Pro Max [DIS] Дисплей - Снятый оригинал (неизвестная деталь)</t>
  </si>
  <si>
    <t>iPhone 17 Pro Max - Дисплей снятый ORIG</t>
  </si>
  <si>
    <t>https://icomponents.ru/catalog/iphone/iphone_17_pro_max/iphone_17_pro_max_displey_snyatyy_orig/</t>
  </si>
  <si>
    <t>iPhone 17 Pro Max [DIS] Дисплей - Восстановленный оригинал (бу)</t>
  </si>
  <si>
    <t>iPhone 17 Pro Max [DIS] Дисплей - Восстановленный оригинал (неизвестная деталь)</t>
  </si>
  <si>
    <t>iPhone 8 [BGL] Крышка (Заднее стекло) - Аналог Черный / Space Gray (широкое отверстие)</t>
  </si>
  <si>
    <t>54102 684</t>
  </si>
  <si>
    <t>Крышка (заднее стекло)</t>
  </si>
  <si>
    <t>iPhone 8 - Заднее стекло, черное (широкий вырез)</t>
  </si>
  <si>
    <t>https://icomponents.ru/catalog/iphone/iphone_8_se2020/iphone_8_zadnee_steklo_chernoe_shirokiy_vyrez_2/</t>
  </si>
  <si>
    <t>iPhone 8 [BGL] Крышка (Заднее стекло) - Аналог Белый / Silver (широкое отверстие)</t>
  </si>
  <si>
    <t>26682 943</t>
  </si>
  <si>
    <t>iPhone 8 - Заднее стекло, белое (широкий вырез)</t>
  </si>
  <si>
    <t>https://icomponents.ru/catalog/iphone/iphone_8_se2020/iphone_8_zadnee_steklo_beloe_shirokiy_vyrez_2/</t>
  </si>
  <si>
    <t>iPhone 8 [BGL] Крышка (Заднее стекло) - Аналог Золотой / Gold (широкое отверстие)</t>
  </si>
  <si>
    <t>26682 975</t>
  </si>
  <si>
    <t>iPhone 8 - Заднее стекло, золотое (широкий вырез)</t>
  </si>
  <si>
    <t>https://icomponents.ru/catalog/iphone/iphone_8_se2020/iphone_8_zadnee_steklo_zolotoe_shirokiy_vyrez_2/</t>
  </si>
  <si>
    <t>iPhone 8 [BGL] Крышка (Заднее стекло) - Аналог Красный / PRODUCT(RED) (широкое отверстие)</t>
  </si>
  <si>
    <t>iPhone 8 - Заднее стекло, красное (широкий вырез)</t>
  </si>
  <si>
    <t>https://icomponents.ru/catalog/iphone/iphone_8_se2020/iphone_8_zadnee_steklo_krasnoe_shirokiy_vyrez_2/</t>
  </si>
  <si>
    <t>iPhone 8 Plus [BGL] Крышка (Заднее стекло) - Аналог Черный / Space Gray (широкое отверстие)</t>
  </si>
  <si>
    <t>15605 003</t>
  </si>
  <si>
    <t>iPhone 8+ - Заднее стекло, черное (широкий вырез)</t>
  </si>
  <si>
    <t>https://icomponents.ru/catalog/iphone/iphone_8/iphone_8_zadnee_steklo_chernoe_shirokiy_vyrez/</t>
  </si>
  <si>
    <t>iPhone 8 Plus [BGL] Крышка (Заднее стекло) - Аналог Белый / Silver (широкое отверстие)</t>
  </si>
  <si>
    <t>24498 088</t>
  </si>
  <si>
    <t>iPhone 8+ - Заднее стекло, белое (широкий вырез)</t>
  </si>
  <si>
    <t>https://icomponents.ru/catalog/iphone/iphone_8/iphone_8_zadnee_steklo_beloe_shirokiy_vyrez/</t>
  </si>
  <si>
    <t>iPhone 8 Plus [BGL] Крышка (Заднее стекло) - Аналог Золотой / Gold (широкое отверстие)</t>
  </si>
  <si>
    <t>26683 087</t>
  </si>
  <si>
    <t>iPhone 8+ - Заднее стекло, золотое (широкий вырез)</t>
  </si>
  <si>
    <t>https://icomponents.ru/catalog/iphone/iphone_8/iphone_8_zadnee_steklo_zolotoe_shirokiy_vyrez/</t>
  </si>
  <si>
    <t>iPhone 8 Plus [BGL] Крышка (Заднее стекло) - Аналог Красный / PRODUCT(RED) (широкое отверстие)</t>
  </si>
  <si>
    <t>28994 338</t>
  </si>
  <si>
    <t>iPhone 8+ - Заднее стекло, красное (широкий вырез)</t>
  </si>
  <si>
    <t>https://icomponents.ru/catalog/iphone/iphone_8/iphone_8_zadnee_steklo_krasnoe_shirokiy_vyrez/</t>
  </si>
  <si>
    <t>iPhone SE 2020 [BGL] Крышка (Заднее стекло) - Аналог Черный / Black (широкое отверстие)</t>
  </si>
  <si>
    <t>iPhone SE 2020 - Заднее стекло, черное (широкий вырез)</t>
  </si>
  <si>
    <t>https://icomponents.ru/catalog/iphone/iphone_8_se2020/iphone_se_2020_zadnee_steklo_chernoe_shirokiy_vyrez/</t>
  </si>
  <si>
    <t>iPhone SE 2020 [BGL] Крышка (Заднее стекло) - Аналог Белый / White (широкое отверстие)</t>
  </si>
  <si>
    <t>iPhone SE 2020 - Заднее стекло, белое (широкий вырез)</t>
  </si>
  <si>
    <t>https://icomponents.ru/catalog/iphone/iphone_8_se2020/iphone_se_2020_zadnee_steklo_beloe_shirokiy_vyrez/</t>
  </si>
  <si>
    <t>iPhone SE 2020 [BGL] Крышка (Заднее стекло) - Аналог Красный / PRODUCT(RED) (широкое отверстие)</t>
  </si>
  <si>
    <t>iPhone SE 2020 - Заднее стекло, красное (широкий вырез)</t>
  </si>
  <si>
    <t>https://icomponents.ru/catalog/iphone/iphone_8_se2020/iphone_se_2020_zadnee_steklo_krasnoe_shirokiy_vyrez/</t>
  </si>
  <si>
    <t>iPhone SE 2022 [BGL] Крышка (Заднее стекло) - Аналог Черный / Midnight (широкое отверстие)</t>
  </si>
  <si>
    <t>iPhone SE 2022 [BGL] Крышка (Заднее стекло) - Аналог Белый / Starlight (широкое отверстие)</t>
  </si>
  <si>
    <t>iPhone SE 2022 [BGL] Крышка (Заднее стекло) - Аналог Красный / PRODUCT(RED) (широкое отверстие)</t>
  </si>
  <si>
    <t>iPhone XR [BGL] Крышка (Заднее стекло) - Аналог Черный / Black (широкое отверстие)</t>
  </si>
  <si>
    <t>47903 822</t>
  </si>
  <si>
    <t>iPhone XR - Заднее стекло, черное (широкий вырез)</t>
  </si>
  <si>
    <t>https://icomponents.ru/catalog/iphone/iphone_xr/iphone_xr_zadnee_steklo_chernoe_shirokiy_vyrez/</t>
  </si>
  <si>
    <t>iPhone XR [BGL] Крышка (Заднее стекло) - Аналог Белый / White (широкое отверстие)</t>
  </si>
  <si>
    <t>47903 807</t>
  </si>
  <si>
    <t>iPhone XR - Заднее стекло, белое (широкий вырез)</t>
  </si>
  <si>
    <t>https://icomponents.ru/catalog/iphone/iphone_xr/iphone_xr_zadnee_steklo_beloe_shirokiy_vyrez/</t>
  </si>
  <si>
    <t>iPhone XR [BGL] Крышка (Заднее стекло) - Аналог Синий / Blue (широкое отверстие)</t>
  </si>
  <si>
    <t>47903 778</t>
  </si>
  <si>
    <t>iPhone XR - Заднее стекло, голубое (широкий вырез)</t>
  </si>
  <si>
    <t>https://icomponents.ru/catalog/iphone/iphone_xr/iphone_xr_zadnee_steklo_goluboe_shirokiy_vyrez/</t>
  </si>
  <si>
    <t>iPhone XR [BGL] Крышка (Заднее стекло) - Аналог Желтый / Yellow (широкое отверстие)</t>
  </si>
  <si>
    <t>47903 839</t>
  </si>
  <si>
    <t>iPhone XR - Заднее стекло, желтое (широкий вырез)</t>
  </si>
  <si>
    <t>https://icomponents.ru/catalog/iphone/iphone_xr/iphone_xr_zadnee_steklo_zheltoe_shirokiy_vyrez/</t>
  </si>
  <si>
    <t>iPhone XR [BGL] Крышка (Заднее стекло) - Аналог Коралловый / Coral (широкое отверстие)</t>
  </si>
  <si>
    <t>24498 575</t>
  </si>
  <si>
    <t>iPhone XR - Заднее стекло, оранжевое (широкий вырез)</t>
  </si>
  <si>
    <t>https://icomponents.ru/catalog/iphone/iphone_xr/iphone_xr_zadnee_steklo_oranzhevoe_shirokiy_vyrez/</t>
  </si>
  <si>
    <t>iPhone XR [BGL] Крышка (Заднее стекло) - Аналог Красный / PRODUCT(RED) (широкое отверстие)</t>
  </si>
  <si>
    <t>47903 864</t>
  </si>
  <si>
    <t>iPhone X [BGL] Крышка (Заднее стекло) - Аналог Черный / Space Gray (широкое отверстие)</t>
  </si>
  <si>
    <t>26683 376</t>
  </si>
  <si>
    <t>iPhone X - Заднее стекло, черное (широкий вырез)</t>
  </si>
  <si>
    <t>https://icomponents.ru/catalog/iphone/iphone_x/iphone_x_zadnee_steklo_chernoe_shirokiy_vyrez/</t>
  </si>
  <si>
    <t>iPhone X [BGL] Крышка (Заднее стекло) - Аналог Белый / Silver (широкое отверстие)</t>
  </si>
  <si>
    <t>26683 415</t>
  </si>
  <si>
    <t>iPhone X - Заднее стекло, белое (широкий вырез)</t>
  </si>
  <si>
    <t>https://icomponents.ru/catalog/iphone/iphone_x/iphone_x_zadnee_steklo_beloe_shirokiy_vyrez/</t>
  </si>
  <si>
    <t>iPhone XS [BGL] Крышка (Заднее стекло) - Аналог Черный / Space Gray (широкое отверстие)</t>
  </si>
  <si>
    <t>26683 485</t>
  </si>
  <si>
    <t>iPhone XS - Заднее стекло, черное (широкий вырез)</t>
  </si>
  <si>
    <t>https://icomponents.ru/catalog/iphone/iphone_xs/iphone_xs_zadnee_steklo_chernoe_shirokiy_vyrez/</t>
  </si>
  <si>
    <t>iPhone XS [BGL] Крышка (Заднее стекло) - Аналог Белый / Silver (широкое отверстие)</t>
  </si>
  <si>
    <t>23061 386</t>
  </si>
  <si>
    <t>iPhone XS - Заднее стекло, белое (широкий вырез)</t>
  </si>
  <si>
    <t>https://icomponents.ru/catalog/iphone/iphone_xs/iphone_xs_zadnee_steklo_beloe_shirokiy_vyrez/</t>
  </si>
  <si>
    <t>iPhone XS [BGL] Крышка (Заднее стекло) - Аналог Золотой / Gold (широкое отверстие)</t>
  </si>
  <si>
    <t>iPhone XS - Заднее стекло, золотое (широкий вырез)</t>
  </si>
  <si>
    <t>https://icomponents.ru/catalog/iphone/iphone_xs/iphone_xs_zadnee_steklo_zolotoe_shirokiy_vyrez/</t>
  </si>
  <si>
    <t>iPhone XS Max [BGL] Крышка (Заднее стекло) - Аналог Черный / Space Gray (широкое отверстие)</t>
  </si>
  <si>
    <t>15121 222</t>
  </si>
  <si>
    <t>iPhone XS MAX - Заднее стекло, черное (широкий вырез)</t>
  </si>
  <si>
    <t>https://icomponents.ru/catalog/iphone/iphone_xs_max/iphone_xs_max_zadnee_steklo_chernoe_shirokiy_vyrez/</t>
  </si>
  <si>
    <t>iPhone XS Max [BGL] Крышка (Заднее стекло) - Аналог Белый / Silver (широкое отверстие)</t>
  </si>
  <si>
    <t>28994 480</t>
  </si>
  <si>
    <t>iPhone XS MAX - Заднее стекло, белое (широкий вырез)</t>
  </si>
  <si>
    <t>https://icomponents.ru/catalog/iphone/iphone_xs_max/iphone_xs_max_zadnee_steklo_beloe_shirokiy_vyrez/</t>
  </si>
  <si>
    <t>iPhone XS Max [BGL] Крышка (Заднее стекло) - Аналог Золотой / Gold (широкое отверстие)</t>
  </si>
  <si>
    <t>13801 212</t>
  </si>
  <si>
    <t>iPhone XS MAX - Заднее стекло, золотое (широкий вырез)</t>
  </si>
  <si>
    <t>https://icomponents.ru/catalog/iphone/iphone_xs_max/iphone_xs_max_zadnee_steklo_zolotoe_shirokiy_vyrez/</t>
  </si>
  <si>
    <t>iPhone 11 [BGL] Крышка (Заднее стекло) - Аналог Черный / Black (широкое отверстие)</t>
  </si>
  <si>
    <t>22299 512</t>
  </si>
  <si>
    <t>iPhone 11 - Заднее стекло, черное (широкий вырез)</t>
  </si>
  <si>
    <t>https://icomponents.ru/catalog/iphone/iphone_11/iphone_11_zadnee_steklo_chernoe_shirokiy_vyrez/</t>
  </si>
  <si>
    <t>iPhone 11 [BGL] Крышка (Заднее стекло) - Аналог Белый / White (широкое отверстие)</t>
  </si>
  <si>
    <t>28815 142</t>
  </si>
  <si>
    <t>iPhone 11 - Заднее стекло, белое (широкий вырез)</t>
  </si>
  <si>
    <t>https://icomponents.ru/catalog/iphone/iphone_11/iphone_11_zadnee_steklo_beloe_shirokiy_vyrez/</t>
  </si>
  <si>
    <t>iPhone 11 [BGL] Крышка (Заднее стекло) - Аналог Зеленый / Green (широкое отверстие)</t>
  </si>
  <si>
    <t>30032 197</t>
  </si>
  <si>
    <t>iPhone 11 - Заднее стекло, зеленое (широкий вырез)</t>
  </si>
  <si>
    <t>https://icomponents.ru/catalog/iphone/iphone_11/iphone_11_zadnee_steklo_zelenoe_shirokiy_vyrez/</t>
  </si>
  <si>
    <t>iPhone 11 [BGL] Крышка (Заднее стекло) - Аналог Желтый / Yellow (широкое отверстие)</t>
  </si>
  <si>
    <t>35347 955</t>
  </si>
  <si>
    <t>iPhone 11 - Заднее стекло, желтое (широкий вырез)</t>
  </si>
  <si>
    <t>https://icomponents.ru/catalog/iphone/iphone_11/iphone_11_zadnee_steklo_zheltoe_shirokiy_vyrez/</t>
  </si>
  <si>
    <t>iPhone 11 [BGL] Крышка (Заднее стекло) - Аналог Фиолетовый / Purple (широкое отверстие)</t>
  </si>
  <si>
    <t>28815 163</t>
  </si>
  <si>
    <t>iPhone 11 - Заднее стекло, фиолетовое (широкий вырез)</t>
  </si>
  <si>
    <t>https://icomponents.ru/catalog/iphone/iphone_11/iphone_11_zadnee_steklo_fioletovoe_shirokiy_vyrez/</t>
  </si>
  <si>
    <t>iPhone 11 [BGL] Крышка (Заднее стекло) - Аналог Красный / PRODUCT(RED) (широкое отверстие)</t>
  </si>
  <si>
    <t>24010 608</t>
  </si>
  <si>
    <t>iPhone 11 Pro [BGL] Крышка (Заднее стекло) - Аналог Черный / Space Gray (широкое отверстие)</t>
  </si>
  <si>
    <t>28994 262</t>
  </si>
  <si>
    <t>iPhone 11 Pro - Заднее стекло, черное (широкий вырез)</t>
  </si>
  <si>
    <t>https://icomponents.ru/catalog/iphone/iphone_11_pro/iphone_11_pro_zadnee_steklo_chernoe_shirokiy_vyrez/</t>
  </si>
  <si>
    <t>iPhone 11 Pro [BGL] Крышка (Заднее стекло) - Аналог Белый / Silver (широкое отверстие)</t>
  </si>
  <si>
    <t>28815 062</t>
  </si>
  <si>
    <t>iPhone 11 Pro - Заднее стекло, белое (широкий вырез)</t>
  </si>
  <si>
    <t>https://icomponents.ru/catalog/iphone/iphone_11_pro/iphone_11_pro_zadnee_steklo_beloe_shirokiy_vyrez/</t>
  </si>
  <si>
    <t>iPhone 11 Pro [BGL] Крышка (Заднее стекло) - Аналог Золотой / Gold (широкое отверстие)</t>
  </si>
  <si>
    <t>28815 006</t>
  </si>
  <si>
    <t>iPhone 11 Pro - Заднее стекло, золотое (широкий вырез)</t>
  </si>
  <si>
    <t>https://icomponents.ru/catalog/iphone/iphone_11_pro/iphone_11_pro_zadnee_steklo_zolotoe_shirokiy_vyrez/</t>
  </si>
  <si>
    <t>iPhone 11 Pro [BGL] Крышка (Заднее стекло) - Аналог Зеленый / Midnight Green (широкое отверстие)</t>
  </si>
  <si>
    <t>32960 592</t>
  </si>
  <si>
    <t>iPhone 11 Pro - Заднее стекло, темно-зеленое (широкий вырез)</t>
  </si>
  <si>
    <t>https://icomponents.ru/catalog/iphone/iphone_11_pro/iphone_11_pro_zadnee_steklo_temno_zelenoe_shirokiy_vyrez/</t>
  </si>
  <si>
    <t>iPhone 11 Pro Max [BGL] Крышка (Заднее стекло) - Аналог Черный / Space Gray (широкое отверстие)</t>
  </si>
  <si>
    <t>28986 270</t>
  </si>
  <si>
    <t>iPhone 11 Pro Max [BGL] Крышка (Заднее стекло) - Аналог Белый / Silver (широкое отверстие)</t>
  </si>
  <si>
    <t>28814 961</t>
  </si>
  <si>
    <t>iPhone 11 Pro Max [BGL] Крышка (Заднее стекло) - Аналог Золотой / Gold (широкое отверстие)</t>
  </si>
  <si>
    <t>28986 288</t>
  </si>
  <si>
    <t>iPhone 11 Pro Max [BGL] Крышка (Заднее стекло) - Аналог Зеленый / Midnight Green (широкое отверстие)</t>
  </si>
  <si>
    <t>28654 865</t>
  </si>
  <si>
    <t>iPhone 12 [BGL] Крышка (Заднее стекло) - Аналог Черный / Black (широкое отверстие)</t>
  </si>
  <si>
    <t>27512 658</t>
  </si>
  <si>
    <t>iPhone 12 - Заднее стекло, черное (широкий вырез)</t>
  </si>
  <si>
    <t>https://icomponents.ru/catalog/iphone/iphone_12/iphone_12_zadnee_steklo_chernoe_shirokiy_vyrez/</t>
  </si>
  <si>
    <t>iPhone 12 [BGL] Крышка (Заднее стекло) - Аналог Белый / White (широкое отверстие)</t>
  </si>
  <si>
    <t>27512 713</t>
  </si>
  <si>
    <t>iPhone 12 - Заднее стекло, белое (широкий вырез)</t>
  </si>
  <si>
    <t>https://icomponents.ru/catalog/iphone/iphone_12/iphone_12_zadnee_steklo_beloe_shirokiy_vyrez/</t>
  </si>
  <si>
    <t>iPhone 12 [BGL] Крышка (Заднее стекло) - Аналог Синий / Blue (широкое отверстие)</t>
  </si>
  <si>
    <t>27512 631</t>
  </si>
  <si>
    <t>iPhone 12 - Заднее стекло, синее (широкий вырез)</t>
  </si>
  <si>
    <t>https://icomponents.ru/catalog/iphone/iphone_12/iphone_12_zadnee_steklo_sinee_shirokiy_vyrez/</t>
  </si>
  <si>
    <t>iPhone 12 [BGL] Крышка (Заднее стекло) - Аналог Зеленый / Green (широкое отверстие)</t>
  </si>
  <si>
    <t>27512 739</t>
  </si>
  <si>
    <t>iPhone 12 - Заднее стекло, зеленое (широкий вырез)</t>
  </si>
  <si>
    <t>https://icomponents.ru/catalog/iphone/iphone_12/iphone_12_zadnee_steklo_zelenoe_shirokiy_vyrez/</t>
  </si>
  <si>
    <t>iPhone 12 [BGL] Крышка (Заднее стекло) - Аналог Фиолетовый / Purple (широкое отверстие)</t>
  </si>
  <si>
    <t>27512 603</t>
  </si>
  <si>
    <t>iPhone 12 - Заднее стекло, фиолетовое (широкий вырез)</t>
  </si>
  <si>
    <t>https://icomponents.ru/catalog/iphone/iphone_12/iphone_12_zadnee_steklo_fioletovoe_shirokiy_vyrez/</t>
  </si>
  <si>
    <t>iPhone 12 [BGL] Крышка (Заднее стекло) - Аналог Красный / PRODUCT(RED) (широкое отверстие)</t>
  </si>
  <si>
    <t>27512 548</t>
  </si>
  <si>
    <t>iPhone 12 - Заднее стекло, красное (широкий вырез)</t>
  </si>
  <si>
    <t>https://icomponents.ru/catalog/iphone/iphone_12/iphone_12_zadnee_steklo_krasnoe_shirokiy_vyrez/</t>
  </si>
  <si>
    <t>iPhone 12 Mini [BGL] Крышка (Заднее стекло) - Аналог Черный / Black (широкое отверстие)</t>
  </si>
  <si>
    <t>iPhone 12 mini - Заднее стекло, черное (широкий вырез)</t>
  </si>
  <si>
    <t>https://icomponents.ru/catalog/iphone/iphone_12_mini/iphone_12_mini_zadnee_steklo_chernoe_shirokiy_vyrez/</t>
  </si>
  <si>
    <t>iPhone 12 Mini [BGL] Крышка (Заднее стекло) - Аналог Белый / White (широкое отверстие)</t>
  </si>
  <si>
    <t>28994 178</t>
  </si>
  <si>
    <t>iPhone 12 mini - Заднее стекло, белое (широкий вырез)</t>
  </si>
  <si>
    <t>https://icomponents.ru/catalog/iphone/iphone_12_mini/iphone_12_mini_zadnee_steklo_beloe_shirokiy_vyrez/</t>
  </si>
  <si>
    <t>iPhone 12 Mini [BGL] Крышка (Заднее стекло) - Аналог Синий / Blue (широкое отверстие)</t>
  </si>
  <si>
    <t>28994 187</t>
  </si>
  <si>
    <t>iPhone 12 mini - Заднее стекло, синее (широкий вырез)</t>
  </si>
  <si>
    <t>https://icomponents.ru/catalog/iphone/iphone_12_mini/iphone_12_mini_zadnee_steklo_sinee_shirokiy_vyrez/</t>
  </si>
  <si>
    <t>iPhone 12 Mini [BGL] Крышка (Заднее стекло) - Аналог Зеленый / Green (широкое отверстие)</t>
  </si>
  <si>
    <t>28994 153</t>
  </si>
  <si>
    <t>iPhone 12 mini - Заднее стекло, зеленое (широкий вырез)</t>
  </si>
  <si>
    <t>https://icomponents.ru/catalog/iphone/iphone_12_mini/iphone_12_mini_zadnee_steklo_zelenoe_shirokiy_vyrez/</t>
  </si>
  <si>
    <t>iPhone 12 Mini [BGL] Крышка (Заднее стекло) - Аналог Фиолетовый / Purple (широкое отверстие)</t>
  </si>
  <si>
    <t>28994 163</t>
  </si>
  <si>
    <t>iPhone 12 mini - Заднее стекло, фиолетовое (широкий вырез)</t>
  </si>
  <si>
    <t>https://icomponents.ru/catalog/iphone/iphone_12_mini/iphone_12_mini_zadnee_steklo_fioletovoe_shirokiy_vyrez/</t>
  </si>
  <si>
    <t>iPhone 12 Mini [BGL] Крышка (Заднее стекло) - Аналог Красный / PRODUCT(RED) (широкое отверстие)</t>
  </si>
  <si>
    <t>28994 143</t>
  </si>
  <si>
    <t>iPhone 12 mini - Заднее стекло, красное (широкий вырез)</t>
  </si>
  <si>
    <t>https://icomponents.ru/catalog/iphone/iphone_12_mini/iphone_12_mini_zadnee_steklo_krasnoe_shirokiy_vyrez/</t>
  </si>
  <si>
    <t>iPhone 12 Pro [BGL] Крышка (Заднее стекло) - Аналог Графитовый / Graphite (широкое отверстие)</t>
  </si>
  <si>
    <t>27511 923</t>
  </si>
  <si>
    <t>iPhone 12 Pro - Заднее стекло, черное (широкий вырез)</t>
  </si>
  <si>
    <t>https://icomponents.ru/catalog/iphone/iphone_12_pro/iphone_12_pro_zadnee_steklo_chernoe_shirokiy_vyrez/</t>
  </si>
  <si>
    <t>Сервис &gt; Ремонт Apple &gt; Ремонт iPhone &gt; 12 Pro</t>
  </si>
  <si>
    <t>iPhone 12 Pro [BGL] Крышка (Заднее стекло) - Аналог Синий / Pacific Blue (широкое отверстие)</t>
  </si>
  <si>
    <t>22697 949</t>
  </si>
  <si>
    <t>iPhone 12 Pro - Заднее стекло, синее (широкий вырез)</t>
  </si>
  <si>
    <t>https://icomponents.ru/catalog/iphone/iphone_12_pro/iphone_12_pro_zadnee_steklo_sinee_shirokiy_vyrez/</t>
  </si>
  <si>
    <t>iPhone 12 Pro [BGL] Крышка (Заднее стекло) - Аналог Белый / Silver (широкое отверстие)</t>
  </si>
  <si>
    <t>27511 892</t>
  </si>
  <si>
    <t>iPhone 12 Pro - Заднее стекло, белое (широкий вырез)</t>
  </si>
  <si>
    <t>https://icomponents.ru/catalog/iphone/iphone_12_pro/iphone_12_pro_zadnee_steklo_beloe_shirokiy_vyrez/</t>
  </si>
  <si>
    <t>iPhone 12 Pro [BGL] Крышка (Заднее стекло) - Аналог Золотой / Gold (широкое отверстие)</t>
  </si>
  <si>
    <t>27511 857</t>
  </si>
  <si>
    <t>iPhone 12 Pro - Заднее стекло, золотое (широкий вырез)</t>
  </si>
  <si>
    <t>https://icomponents.ru/catalog/iphone/iphone_12_pro/iphone_12_pro_zadnee_steklo_zolotoe_shirokiy_vyrez/</t>
  </si>
  <si>
    <t>iPhone 12 Pro Max [BGL] Крышка (Заднее стекло) - Аналог Графитовый / Graphite (широкое отверстие)</t>
  </si>
  <si>
    <t>27512 453</t>
  </si>
  <si>
    <t>iPhone 12 Pro Max - Заднее стекло, черное (широкий вырез)</t>
  </si>
  <si>
    <t>https://icomponents.ru/catalog/iphone/iphone_12_pro_max/iphone_12_pro_max_zadnee_steklo_chernoe_shirokiy_vyrez/</t>
  </si>
  <si>
    <t>iPhone 12 Pro Max [BGL] Крышка (Заднее стекло) - Аналог Синий / Pacific Blue (широкое отверстие)</t>
  </si>
  <si>
    <t>24996 226</t>
  </si>
  <si>
    <t>iPhone 12 Pro Max - Заднее стекло, синее (широкий вырез)</t>
  </si>
  <si>
    <t>https://icomponents.ru/catalog/iphone/iphone_12_pro_max/iphone_12_pro_max_zadnee_steklo_sinee_shirokiy_vyrez/</t>
  </si>
  <si>
    <t>iPhone 12 Pro Max [BGL] Крышка (Заднее стекло) - Аналог Белый / Silver (широкое отверстие)</t>
  </si>
  <si>
    <t>27512 271</t>
  </si>
  <si>
    <t>iPhone 12 Pro Max - Заднее стекло, белое (широкий вырез)</t>
  </si>
  <si>
    <t>https://icomponents.ru/catalog/iphone/iphone_12_pro_max/iphone_12_pro_max_zadnee_steklo_beloe_shirokiy_vyrez/</t>
  </si>
  <si>
    <t>iPhone 12 Pro Max [BGL] Крышка (Заднее стекло) - Аналог Золотой / Gold (широкое отверстие)</t>
  </si>
  <si>
    <t>27512 405</t>
  </si>
  <si>
    <t>iPhone 13 [BGL] Крышка (Заднее стекло) - Аналог Черный / Midnight (широкое отверстие)</t>
  </si>
  <si>
    <t>30015 271</t>
  </si>
  <si>
    <t>iPhone 13 - Заднее стекло, черное (широкий вырез)</t>
  </si>
  <si>
    <t>https://icomponents.ru/catalog/iphone/iphone_13/iphone_13_zadnee_steklo_chernoe_shirokiy_vyrez/</t>
  </si>
  <si>
    <t>iPhone 13 [BGL] Крышка (Заднее стекло) - Аналог Белый / Starlight (широкое отверстие)</t>
  </si>
  <si>
    <t>30015 218</t>
  </si>
  <si>
    <t>iPhone 13 - Заднее стекло, белое (широкий вырез)</t>
  </si>
  <si>
    <t>https://icomponents.ru/catalog/iphone/iphone_13/iphone_13_zadnee_steklo_beloe_shirokiy_vyrez/</t>
  </si>
  <si>
    <t>iPhone 13 [BGL] Крышка (Заднее стекло) - Аналог Синий / Blue (широкое отверстие)</t>
  </si>
  <si>
    <t>30015 244</t>
  </si>
  <si>
    <t>iPhone 13 - Заднее стекло, синее (широкий вырез)</t>
  </si>
  <si>
    <t>https://icomponents.ru/catalog/iphone/iphone_13/iphone_13_zadnee_steklo_sinee_shirokiy_vyrez/</t>
  </si>
  <si>
    <t>iPhone 13 [BGL] Крышка (Заднее стекло) - Аналог Зеленый / Green (широкое отверстие)</t>
  </si>
  <si>
    <t>46369 808</t>
  </si>
  <si>
    <t>iPhone 13 - Заднее стекло, зеленое (широкий вырез)</t>
  </si>
  <si>
    <t>https://icomponents.ru/catalog/iphone/iphone_13/iphone_13_zadnee_steklo_zelenoe_shirokiy_vyrez/</t>
  </si>
  <si>
    <t>iPhone 13 [BGL] Крышка (Заднее стекло) - Аналог Розовый / Pink (широкое отверстие)</t>
  </si>
  <si>
    <t>32522 521</t>
  </si>
  <si>
    <t>iPhone 13 - Заднее стекло, розовое (широкий вырез)</t>
  </si>
  <si>
    <t>https://icomponents.ru/catalog/iphone/iphone_13/iphone_13_zadnee_steklo_rozovoe_shirokiy_vyrez/</t>
  </si>
  <si>
    <t>iPhone 13 [BGL] Крышка (Заднее стекло) - Аналог Красный / PRODUCT(RED) (широкое отверстие)</t>
  </si>
  <si>
    <t>28894 464</t>
  </si>
  <si>
    <t>iPhone 13 - Заднее стекло, красное (широкий вырез)</t>
  </si>
  <si>
    <t>https://icomponents.ru/catalog/iphone/iphone_13/iphone_13_zadnee_steklo_krasnoe_shirokiy_vyrez/</t>
  </si>
  <si>
    <t>iPhone 13 Mini [BGL] Крышка (Заднее стекло) - Аналог Черный / Midnight (широкое отверстие)</t>
  </si>
  <si>
    <t>30015 182</t>
  </si>
  <si>
    <t>iPhone 13 mini - Заднее стекло, черное (широкий вырез)</t>
  </si>
  <si>
    <t>https://icomponents.ru/catalog/iphone/iphone_13_mini/iphone_13_mini_zadnee_steklo_chernoe_shirokiy_vyrez/</t>
  </si>
  <si>
    <t>iPhone 13 Mini [BGL] Крышка (Заднее стекло) - Аналог Белый / Starlight (широкое отверстие)</t>
  </si>
  <si>
    <t>30015 148</t>
  </si>
  <si>
    <t>iPhone 13 mini - Заднее стекло, белое (широкий вырез)</t>
  </si>
  <si>
    <t>https://icomponents.ru/catalog/iphone/iphone_13_mini/iphone_13_mini_zadnee_steklo_beloe_shirokiy_vyrez/</t>
  </si>
  <si>
    <t>iPhone 13 Mini [BGL] Крышка (Заднее стекло) - Аналог Синий / Blue (широкое отверстие)</t>
  </si>
  <si>
    <t>30015 164</t>
  </si>
  <si>
    <t>iPhone 13 mini - Заднее стекло, синее (широкий вырез)</t>
  </si>
  <si>
    <t>https://icomponents.ru/catalog/iphone/iphone_13_mini/iphone_13_mini_zadnee_steklo_sinee_shirokiy_vyrez/</t>
  </si>
  <si>
    <t>iPhone 13 Mini [BGL] Крышка (Заднее стекло) - Аналог Зеленый / Green (широкое отверстие)</t>
  </si>
  <si>
    <t>35348 325</t>
  </si>
  <si>
    <t>iPhone 13 mini - Заднее стекло, зеленое (широкий вырез)</t>
  </si>
  <si>
    <t>https://icomponents.ru/catalog/iphone/iphone_13_mini/iphone_13_mini_zadnee_steklo_zelenoe_shirokiy_vyrez/</t>
  </si>
  <si>
    <t>iPhone 13 Mini [BGL] Крышка (Заднее стекло) - Аналог Розовый / Pink (широкое отверстие)</t>
  </si>
  <si>
    <t>35348 318</t>
  </si>
  <si>
    <t>iPhone 13 mini - Заднее стекло, розовое (широкий вырез)</t>
  </si>
  <si>
    <t>https://icomponents.ru/catalog/iphone/iphone_13_mini/iphone_13_mini_zadnee_steklo_rozovoe_shirokiy_vyrez/</t>
  </si>
  <si>
    <t>iPhone 13 Mini [BGL] Крышка (Заднее стекло) - Аналог Красный / PRODUCT(RED) (широкое отверстие)</t>
  </si>
  <si>
    <t>35348 305</t>
  </si>
  <si>
    <t>iPhone 13 mini - Заднее стекло, красное (широкий вырез)</t>
  </si>
  <si>
    <t>https://icomponents.ru/catalog/iphone/iphone_13_mini/iphone_13_mini_zadnee_steklo_krasnoe_shirokiy_vyrez/</t>
  </si>
  <si>
    <t>iPhone 13 Pro [BGL] Крышка (Заднее стекло) - Аналог Графитовый / Graphite (широкое отверстие)</t>
  </si>
  <si>
    <t>30372 194</t>
  </si>
  <si>
    <t>iPhone 13 Pro - Заднее стекло, черное (широкий вырез)</t>
  </si>
  <si>
    <t>https://icomponents.ru/catalog/iphone/iphone_13_pro/iphone_13_pro_zadnee_steklo_chernoe_shirokiy_vyrez/</t>
  </si>
  <si>
    <t>iPhone 13 Pro [BGL] Крышка (Заднее стекло) - Аналог Голубой / Sierra Blue (широкое отверстие)</t>
  </si>
  <si>
    <t>30143 974</t>
  </si>
  <si>
    <t>iPhone 13 Pro - Заднее стекло, синее (широкий вырез)</t>
  </si>
  <si>
    <t>https://icomponents.ru/catalog/iphone/iphone_13_pro/iphone_13_pro_zadnee_steklo_sinee_shirokiy_vyrez/</t>
  </si>
  <si>
    <t>iPhone 13 Pro [BGL] Крышка (Заднее стекло) - Аналог Белый / Silver (широкое отверстие)</t>
  </si>
  <si>
    <t>30143 883</t>
  </si>
  <si>
    <t>iPhone 13 Pro - Заднее стекло, белое (широкий вырез)</t>
  </si>
  <si>
    <t>https://icomponents.ru/catalog/iphone/iphone_13_pro/iphone_13_pro_zadnee_steklo_beloe_shirokiy_vyrez/</t>
  </si>
  <si>
    <t>iPhone 13 Pro [BGL] Крышка (Заднее стекло) - Аналог Золотой / Gold (широкое отверстие)</t>
  </si>
  <si>
    <t>32522 579</t>
  </si>
  <si>
    <t>iPhone 13 Pro - Заднее стекло, золотое (широкий вырез)</t>
  </si>
  <si>
    <t>https://icomponents.ru/catalog/iphone/iphone_13_pro/iphone_13_pro_zadnee_steklo_zolotoe_shirokiy_vyrez/</t>
  </si>
  <si>
    <t>iPhone 13 Pro [BGL] Крышка (Заднее стекло) - Аналог Зеленый / Alpine Green (широкое отверстие)</t>
  </si>
  <si>
    <t>35348 225</t>
  </si>
  <si>
    <t>iPhone 13 Pro - Заднее стекло, зеленое (широкий вырез)</t>
  </si>
  <si>
    <t>https://icomponents.ru/catalog/iphone/iphone_13_pro/iphone_13_pro_zadnee_steklo_zelenoe_shirokiy_vyrez/</t>
  </si>
  <si>
    <t>iPhone 13 Pro Max [BGL] Крышка (Заднее стекло) - Аналог Графитовый / Graphite (широкое отверстие)</t>
  </si>
  <si>
    <t>41307 418</t>
  </si>
  <si>
    <t>iPhone 13 Pro Max - Заднее стекло, черное (широкий вырез)</t>
  </si>
  <si>
    <t>https://icomponents.ru/catalog/iphone/iphone_13_pro_max/iphone_13_pro_max_zadnee_steklo_chernoe_shirokiy_vyrez/</t>
  </si>
  <si>
    <t>iPhone 13 Pro Max [BGL] Крышка (Заднее стекло) - Аналог Голубой / Sierra Blue (широкое отверстие)</t>
  </si>
  <si>
    <t>41307 417</t>
  </si>
  <si>
    <t>iPhone 13 Pro Max - Заднее стекло, голубое (широкий вырез)</t>
  </si>
  <si>
    <t>https://icomponents.ru/catalog/iphone/iphone_13_pro_max/iphone_13_pro_max_zadnee_steklo_goluboe_shirokiy_vyrez/</t>
  </si>
  <si>
    <t>iPhone 13 Pro Max [BGL] Крышка (Заднее стекло) - Аналог Белый / Silver (широкое отверстие)</t>
  </si>
  <si>
    <t>41307 414</t>
  </si>
  <si>
    <t>iPhone 13 Pro Max - Заднее стекло, белое (широкий вырез)</t>
  </si>
  <si>
    <t>https://icomponents.ru/catalog/iphone/iphone_13_pro_max/iphone_13_pro_max_zadnee_steklo_beloe_shirokiy_vyrez/</t>
  </si>
  <si>
    <t>iPhone 13 Pro Max [BGL] Крышка (Заднее стекло) - Аналог Золотой / Gold (широкое отверстие)</t>
  </si>
  <si>
    <t>41307 416</t>
  </si>
  <si>
    <t>iPhone 13 Pro Max - Заднее стекло, золотое (широкий вырез)</t>
  </si>
  <si>
    <t>https://icomponents.ru/catalog/iphone/iphone_13_pro_max/iphone_13_pro_max_zadnee_steklo_zolotoe_shirokiy_vyrez/</t>
  </si>
  <si>
    <t>iPhone 13 Pro Max [BGL] Крышка (Заднее стекло) - Аналог Зеленый / Alpine Green (широкое отверстие)</t>
  </si>
  <si>
    <t>41307 415</t>
  </si>
  <si>
    <t>iPhone 13 Pro Max - Заднее стекло, зеленое (широкий вырез)</t>
  </si>
  <si>
    <t>https://icomponents.ru/catalog/iphone/iphone_13_pro_max/iphone_13_pro_max_zadnee_steklo_zelenoe_shirokiy_vyrez/</t>
  </si>
  <si>
    <t>iPhone 14 [BGL] Крышка (Заднее стекло) - Снятый оригинал Черный / Midnight (модуль)</t>
  </si>
  <si>
    <t>iPhone 14 [BGL] Крышка (Заднее стекло) - Снятый оригинал Белый / Starlight (модуль)</t>
  </si>
  <si>
    <t>iPhone 14 [BGL] Крышка (Заднее стекло) - Снятый оригинал Голубой / Blue (модуль)</t>
  </si>
  <si>
    <t>iPhone 14 [BGL] Крышка (Заднее стекло) - Снятый оригинал Фиолетовый / Purple (модуль)</t>
  </si>
  <si>
    <t>iPhone 14 [BGL] Крышка (Заднее стекло) - Снятый оригинал Красный / PRODUCT(RED) (модуль)</t>
  </si>
  <si>
    <t>iPhone 14 [BGL] Крышка (Заднее стекло) - Снятый оригинал Желтый / Yellow (модуль)</t>
  </si>
  <si>
    <t>iPhone 14 [BGL] Крышка (Заднее стекло) - Аналог Черный / Midnight (модуль)</t>
  </si>
  <si>
    <t>41687 157</t>
  </si>
  <si>
    <t>iPhone 14 - Задняя крышка, черная (в сборе с креплением и линзами камеры)</t>
  </si>
  <si>
    <t>https://icomponents.ru/catalog/iphone/iphone_14/iphone_14_zadnyaya_kryshka_chernaya_v_sbore_s_krepleniem_i_linzami_kamery/</t>
  </si>
  <si>
    <t>iPhone 14 [BGL] Крышка (Заднее стекло) - Аналог Белый / Starlight (модуль)</t>
  </si>
  <si>
    <t>41687 175</t>
  </si>
  <si>
    <t>iPhone 14 - Задняя крышка, белая (в сборе с креплением и линзами камеры)</t>
  </si>
  <si>
    <t>https://icomponents.ru/catalog/iphone/iphone_14/iphone_14_zadnyaya_kryshka_belaya_v_sbore_s_krepleniem_i_linzami_kamery/</t>
  </si>
  <si>
    <t>iPhone 14 [BGL] Крышка (Заднее стекло) - Аналог Голубой / Blue (модуль)</t>
  </si>
  <si>
    <t>41687 150</t>
  </si>
  <si>
    <t>iPhone 14 - Задняя крышка, голубая (в сборе с креплением и линзами камеры)</t>
  </si>
  <si>
    <t>https://icomponents.ru/catalog/iphone/iphone_14/iphone_14_zadnyaya_kryshka_golubaya_v_sbore_s_krepleniem_i_linzami_kamery/</t>
  </si>
  <si>
    <t>iPhone 14 [BGL] Крышка (Заднее стекло) - Аналог Фиолетовый / Purple (модуль)</t>
  </si>
  <si>
    <t>41686 874</t>
  </si>
  <si>
    <t>iPhone 14 - Задняя крышка, фиолетовая (в сборе с креплением и линзами камеры)</t>
  </si>
  <si>
    <t>https://icomponents.ru/catalog/iphone/iphone_14/iphone_14_zadnyaya_kryshka_fioletovaya_v_sbore_s_krepleniem_i_linzami_kamery/</t>
  </si>
  <si>
    <t>iPhone 14 [BGL] Крышка (Заднее стекло) - Аналог Красный / PRODUCT(RED) (модуль)</t>
  </si>
  <si>
    <t>41687 169</t>
  </si>
  <si>
    <t>iPhone 14 - Задняя крышка, красная (в сборе с креплением и линзами камеры)</t>
  </si>
  <si>
    <t>https://icomponents.ru/catalog/iphone/iphone_14/iphone_14_zadnyaya_kryshka_krasnaya_v_sbore_s_krepleniem_i_linzami_kamery/</t>
  </si>
  <si>
    <t>iPhone 14 [BGL] Крышка (Заднее стекло) - Аналог Желтый / Yellow (модуль)</t>
  </si>
  <si>
    <t>41687 164</t>
  </si>
  <si>
    <t>iPhone 14 - Задняя крышка, желтая (в сборе с креплением и линзами камеры)</t>
  </si>
  <si>
    <t>https://icomponents.ru/catalog/iphone/iphone_14/iphone_14_zadnyaya_kryshka_zheltaya_v_sbore_s_krepleniem_i_linzami_kamery/</t>
  </si>
  <si>
    <t>iPhone 14 Plus [BGL] Крышка (Заднее стекло) - Снятый оригинал Черный / Midnight (модуль)</t>
  </si>
  <si>
    <t>iPhone 14 Plus [BGL] Крышка (Заднее стекло) - Снятый оригинал Белый / Starlight (модуль)</t>
  </si>
  <si>
    <t>iPhone 14 Plus [BGL] Крышка (Заднее стекло) - Снятый оригинал Голубой / Blue (модуль)</t>
  </si>
  <si>
    <t>iPhone 14 Plus [BGL] Крышка (Заднее стекло) - Снятый оригинал Фиолетовый / Purple (модуль)</t>
  </si>
  <si>
    <t>iPhone 14 Plus [BGL] Крышка (Заднее стекло) - Снятый оригинал Красный / PRODUCT(RED) (модуль)</t>
  </si>
  <si>
    <t>iPhone 14 Plus [BGL] Крышка (Заднее стекло) - Снятый оригинал Желтый / Yellow (модуль)</t>
  </si>
  <si>
    <t>iPhone 14 Plus [BGL] Крышка (Заднее стекло) - Аналог Черный / Midnight (модуль)</t>
  </si>
  <si>
    <t>41687 484</t>
  </si>
  <si>
    <t>iPhone 14 Plus - Заднее стекло, черное (в сборе с креплением)</t>
  </si>
  <si>
    <t>https://icomponents.ru/catalog/iphone/iphone_14_plus/iphone_14_plus_zadnee_steklo_chernoe_v_sbore_s_krepleniem/</t>
  </si>
  <si>
    <t>iPhone 14 Plus [BGL] Крышка (Заднее стекло) - Аналог Белый / Starlight (модуль)</t>
  </si>
  <si>
    <t>41687 538</t>
  </si>
  <si>
    <t>iPhone 14 Plus - Заднее стекло, белое (в сборе с креплением)</t>
  </si>
  <si>
    <t>https://icomponents.ru/catalog/iphone/iphone_14_plus/iphone_14_plus_zadnee_steklo_beloe_v_sbore_s_krepleniem/</t>
  </si>
  <si>
    <t>iPhone 14 Plus [BGL] Крышка (Заднее стекло) - Аналог Голубой / Blue (модуль)</t>
  </si>
  <si>
    <t>41687 535</t>
  </si>
  <si>
    <t>iPhone 14 Plus - Заднее стекло, голубое (в сборе с креплением)</t>
  </si>
  <si>
    <t>https://icomponents.ru/catalog/iphone/iphone_14_plus/iphone_14_plus_zadnee_steklo_goluboe_v_sbore_s_krepleniem/</t>
  </si>
  <si>
    <t>iPhone 14 Plus [BGL] Крышка (Заднее стекло) - Аналог Фиолетовый / Purple (модуль)</t>
  </si>
  <si>
    <t>41687 536</t>
  </si>
  <si>
    <t>iPhone 14 Plus [BGL] Крышка (Заднее стекло) - Аналог Красный / PRODUCT(RED) (модуль)</t>
  </si>
  <si>
    <t>41687 537</t>
  </si>
  <si>
    <t>iPhone 14 Plus - Заднее стекло, красное (в сборе с креплением)</t>
  </si>
  <si>
    <t>https://icomponents.ru/catalog/iphone/iphone_14_plus/iphone_14_plus_zadnee_steklo_krasnoe_v_sbore_s_krepleniem/</t>
  </si>
  <si>
    <t>iPhone 14 Plus [BGL] Крышка (Заднее стекло) - Аналог Желтый / Yellow (модуль)</t>
  </si>
  <si>
    <t>iPhone 14 Plus - Заднее стекло, желтое (в сборе с креплением)</t>
  </si>
  <si>
    <t>https://icomponents.ru/catalog/iphone/iphone_14_plus/iphone_14_plus_zadnee_steklo_zheltoe_v_sbore_s_krepleniem/</t>
  </si>
  <si>
    <t>iPhone 14 Pro [BGL] Крышка (Заднее стекло) - Аналог Фиолетовый / Deep Purple (широкое отверстие)</t>
  </si>
  <si>
    <t>41141 148</t>
  </si>
  <si>
    <t>iPhone 14 Pro - Заднее стекло, фиолетовое (широкий вырез)</t>
  </si>
  <si>
    <t>https://icomponents.ru/catalog/iphone/iphone_14_pro/iphone_14_pro_zadnee_steklo_fioletovoe_shirokiy_vyrez/</t>
  </si>
  <si>
    <t>iPhone 14 Pro [BGL] Крышка (Заднее стекло) - Аналог Черный / Space Black (широкое отверстие)</t>
  </si>
  <si>
    <t>35348 427</t>
  </si>
  <si>
    <t>iPhone 14 Pro - Заднее стекло, черное (широкий вырез)</t>
  </si>
  <si>
    <t>https://icomponents.ru/catalog/iphone/iphone_14_pro/iphone_14_pro_zadnee_steklo_chernoe_shirokiy_vyrez/</t>
  </si>
  <si>
    <t>iPhone 14 Pro [BGL] Крышка (Заднее стекло) - Аналог Белый / Silver (широкое отверстие)</t>
  </si>
  <si>
    <t>35348 408</t>
  </si>
  <si>
    <t>iPhone 14 Pro - Заднее стекло, белое (широкий вырез)</t>
  </si>
  <si>
    <t>https://icomponents.ru/catalog/iphone/iphone_14_pro/iphone_14_pro_zadnee_steklo_beloe_shirokiy_vyrez/</t>
  </si>
  <si>
    <t>iPhone 14 Pro [BGL] Крышка (Заднее стекло) - Аналог Золотой / Gold (широкое отверстие)</t>
  </si>
  <si>
    <t>35807 502</t>
  </si>
  <si>
    <t>iPhone 14 Pro - Заднее стекло, золотое (широкий вырез)</t>
  </si>
  <si>
    <t>https://icomponents.ru/catalog/iphone/iphone_14_pro/iphone_14_pro_zadnee_steklo_zolotoe_shirokiy_vyrez/</t>
  </si>
  <si>
    <t>iPhone 14 Pro Max [BGL] Крышка (Заднее стекло) - Аналог Фиолетовый / Deep Purple (широкое отверстие)</t>
  </si>
  <si>
    <t>34676 290</t>
  </si>
  <si>
    <t>iPhone 14 Pro Max - Заднее стекло, фиолетовое (широкий вырез)</t>
  </si>
  <si>
    <t>https://icomponents.ru/catalog/iphone/iphone_14_pro_max/iphone_14_pro_max_zadnee_steklo_fioletovoe_shirokiy_vyrez/</t>
  </si>
  <si>
    <t>iPhone 14 Pro Max [BGL] Крышка (Заднее стекло) - Аналог Черный / Space Black (широкое отверстие)</t>
  </si>
  <si>
    <t>34676 270</t>
  </si>
  <si>
    <t>iPhone 14 Pro Max - Заднее стекло, черное (широкий вырез)</t>
  </si>
  <si>
    <t>https://icomponents.ru/catalog/iphone/iphone_14_pro_max/iphone_14_pro_max_zadnee_steklo_chernoe_shirokiy_vyrez/</t>
  </si>
  <si>
    <t>iPhone 14 Pro Max [BGL] Крышка (Заднее стекло) - Аналог Белый / Silver (широкое отверстие)</t>
  </si>
  <si>
    <t>34676 283</t>
  </si>
  <si>
    <t>iPhone 14 Pro Max - Заднее стекло, белое (широкий вырез)</t>
  </si>
  <si>
    <t>https://icomponents.ru/catalog/iphone/iphone_14_pro_max/iphone_14_pro_max_zadnee_steklo_beloe_shirokiy_vyrez/</t>
  </si>
  <si>
    <t>iPhone 14 Pro Max [BGL] Крышка (Заднее стекло) - Аналог Золотой / Gold (широкое отверстие)</t>
  </si>
  <si>
    <t>34676 298</t>
  </si>
  <si>
    <t>iPhone 14 Pro Max - Заднее стекло, золотое (широкий вырез)</t>
  </si>
  <si>
    <t>https://icomponents.ru/catalog/iphone/iphone_14_pro_max/iphone_14_pro_max_zadnee_steklo_zolotoe_shirokiy_vyrez/</t>
  </si>
  <si>
    <t>iPhone 15 [BGL] Крышка (Заднее стекло) - Снятый оригинал Черный / Midnight (модуль)</t>
  </si>
  <si>
    <t>iPhone 15 - Задняя крышка + NFC ORIG снятая (Black)</t>
  </si>
  <si>
    <t>https://icomponents.ru/catalog/iphone/iphone_15/iphone_15_zadnyaya_kryshka_nfc_orig_snyataya_black/</t>
  </si>
  <si>
    <t>iPhone 15 [BGL] Крышка (Заднее стекло) - Снятый оригинал Голубой / Blue (модуль)</t>
  </si>
  <si>
    <t>iPhone 15 - Задняя крышка + NFC ORIG снятая (Blue)</t>
  </si>
  <si>
    <t>https://icomponents.ru/catalog/iphone/iphone_15/iphone_15_zadnyaya_kryshka_nfc_orig_snyataya_blue/</t>
  </si>
  <si>
    <t>iPhone 15 [BGL] Крышка (Заднее стекло) - Снятый оригинал Зеленый / Green (модуль)</t>
  </si>
  <si>
    <t>iPhone 15 - Задняя крышка + NFC ORIG снятая (Green)</t>
  </si>
  <si>
    <t>https://icomponents.ru/catalog/iphone/iphone_15/iphone_15_zadnyaya_kryshka_nfc_orig_snyataya_green/</t>
  </si>
  <si>
    <t>iPhone 15 [BGL] Крышка (Заднее стекло) - Снятый оригинал Розовый / Pink (модуль)</t>
  </si>
  <si>
    <t>iPhone 15 - Задняя крышка + NFC ORIG снятая (Pink)</t>
  </si>
  <si>
    <t>https://icomponents.ru/catalog/iphone/iphone_15/iphone_15_zadnyaya_kryshka_nfc_orig_snyataya_pink/</t>
  </si>
  <si>
    <t>iPhone 15 [BGL] Крышка (Заднее стекло) - Снятый оригинал Желтый / Yellow (модуль)</t>
  </si>
  <si>
    <t>iPhone 15 - Задняя крышка + NFC ORIG снятая (Yellow)</t>
  </si>
  <si>
    <t>https://icomponents.ru/catalog/iphone/iphone_15/iphone_15_zadnyaya_kryshka_nfc_orig_snyataya_yellow/</t>
  </si>
  <si>
    <t>iPhone 15 [BGL] Крышка (Заднее стекло) - Аналог Черный / Midnight (модуль)</t>
  </si>
  <si>
    <t>41130 831</t>
  </si>
  <si>
    <t>iPhone 15 - Задняя крышка, черная (в сборе с креплением и линзами камеры)</t>
  </si>
  <si>
    <t>https://icomponents.ru/catalog/iphone/iphone_15/iphone_15_zadnyaya_kryshka_chernaya_v_sbore_s_krepleniem_i_linzami_kamery/</t>
  </si>
  <si>
    <t>iPhone 15 [BGL] Крышка (Заднее стекло) - Аналог Голубой / Blue (модуль)</t>
  </si>
  <si>
    <t>41130 832</t>
  </si>
  <si>
    <t>iPhone 15 - Задняя крышка, голубая (в сборе с креплением и линзами камеры)</t>
  </si>
  <si>
    <t>https://icomponents.ru/catalog/iphone/iphone_15/iphone_15_zadnyaya_kryshka_golubaya_v_sbore_s_krepleniem_i_linzami_kamery/</t>
  </si>
  <si>
    <t>iPhone 15 [BGL] Крышка (Заднее стекло) - Аналог Зеленый / Green (модуль)</t>
  </si>
  <si>
    <t>41130 833</t>
  </si>
  <si>
    <t>iPhone 15 - Задняя крышка, зеленая (в сборе с креплением и линзами камеры)</t>
  </si>
  <si>
    <t>https://icomponents.ru/catalog/iphone/iphone_15/iphone_15_zadnyaya_kryshka_zelenaya_v_sbore_s_krepleniem_i_linzami_kamery/</t>
  </si>
  <si>
    <t>iPhone 15 [BGL] Крышка (Заднее стекло) - Аналог Розовый / Pink (модуль)</t>
  </si>
  <si>
    <t>56456 177</t>
  </si>
  <si>
    <t>iPhone 15 - Задняя крышка, розовая (в сборе с креплением и линзами камеры)</t>
  </si>
  <si>
    <t>https://icomponents.ru/catalog/iphone/iphone_15/iphone_15_zadnyaya_kryshka_rozovaya_v_sbore_s_krepleniem_i_linzami_kamery/</t>
  </si>
  <si>
    <t>iPhone 15 [BGL] Крышка (Заднее стекло) - Аналог Желтый / Yellow (модуль)</t>
  </si>
  <si>
    <t>56456 148</t>
  </si>
  <si>
    <t>iPhone 15 - Задняя крышка, желтая (в сборе с креплением и линзами камеры)</t>
  </si>
  <si>
    <t>https://icomponents.ru/catalog/iphone/iphone_15/iphone_15_zadnyaya_kryshka_zheltaya_v_sbore_s_krepleniem_i_linzami_kamery/</t>
  </si>
  <si>
    <t>iPhone 15 Plus [BGL] Крышка (Заднее стекло) - Снятый оригинал Черный / Midnight (модуль)</t>
  </si>
  <si>
    <t>41131 320</t>
  </si>
  <si>
    <t>iPhone 15 Plus [BGL] Крышка (Заднее стекло) - Снятый оригинал Голубой / Blue (модуль)</t>
  </si>
  <si>
    <t>41131 321</t>
  </si>
  <si>
    <t>iPhone 15 Plus [BGL] Крышка (Заднее стекло) - Снятый оригинал Зеленый / Green (модуль)</t>
  </si>
  <si>
    <t>41131 322</t>
  </si>
  <si>
    <t>iPhone 15 Plus [BGL] Крышка (Заднее стекло) - Снятый оригинал Розовый / Pink (модуль)</t>
  </si>
  <si>
    <t>41131 324</t>
  </si>
  <si>
    <t>iPhone 15 Plus [BGL] Крышка (Заднее стекло) - Снятый оригинал Желтый / Yellow (модуль)</t>
  </si>
  <si>
    <t>41131 323</t>
  </si>
  <si>
    <t>iPhone 15 Plus [BGL] Крышка (Заднее стекло) - Аналог Черный / Midnight (модуль)</t>
  </si>
  <si>
    <t>iPhone 15 Plus [BGL] Крышка (Заднее стекло) - Аналог Голубой / Blue (модуль)</t>
  </si>
  <si>
    <t>iPhone 15 Plus [BGL] Крышка (Заднее стекло) - Аналог Зеленый / Green (модуль)</t>
  </si>
  <si>
    <t>iPhone 15 Plus [BGL] Крышка (Заднее стекло) - Аналог Розовый / Pink (модуль)</t>
  </si>
  <si>
    <t>iPhone 15 Plus [BGL] Крышка (Заднее стекло) - Аналог Желтый / Yellow (модуль)</t>
  </si>
  <si>
    <t>iPhone 15 Pro [BGL] Крышка (Заднее стекло) - Снятый оригинал Натуральный титан / Natural Titanium (модуль)</t>
  </si>
  <si>
    <t>38991 684</t>
  </si>
  <si>
    <t>iPhone 15 Pro - Задняя крышка + NFC ORIG снятая (Natural Titanium)</t>
  </si>
  <si>
    <t>https://icomponents.ru/catalog/iphone/iphone_15_pro/iphone_15_pro_zadnyaya_kryshka_nfc_orig_snyataya_natural_titanium/</t>
  </si>
  <si>
    <t>iPhone 15 Pro [BGL] Крышка (Заднее стекло) - Снятый оригинал Синий титан / Blue Titanium (модуль)</t>
  </si>
  <si>
    <t>38991 683</t>
  </si>
  <si>
    <t>iPhone 15 Pro - Задняя крышка + NFC ORIG снятая (Blue Titanium)</t>
  </si>
  <si>
    <t>https://icomponents.ru/catalog/iphone/iphone_15_pro/iphone_15_pro_zadnyaya_kryshka_nfc_orig_snyataya_blue_titanium/</t>
  </si>
  <si>
    <t>iPhone 15 Pro [BGL] Крышка (Заднее стекло) - Снятый оригинал Белый титан / White Titanium (модуль)</t>
  </si>
  <si>
    <t>38991 685</t>
  </si>
  <si>
    <t>iPhone 15 Pro - Задняя крышка + NFC ORIG снятая (White Titanium)</t>
  </si>
  <si>
    <t>https://icomponents.ru/catalog/iphone/iphone_15_pro/iphone_15_pro_zadnyaya_kryshka_nfc_orig_snyataya_white_titanium/</t>
  </si>
  <si>
    <t>iPhone 15 Pro [BGL] Крышка (Заднее стекло) - Снятый оригинал Черный титан / Black Titanium (модуль)</t>
  </si>
  <si>
    <t>38991 682</t>
  </si>
  <si>
    <t>iPhone 15 Pro - Задняя крышка + NFC ORIG снятая (Black Titanium)</t>
  </si>
  <si>
    <t>https://icomponents.ru/catalog/iphone/iphone_15_pro/iphone_15_pro_zadnyaya_kryshka_nfc_orig_snyataya_black_titanium/</t>
  </si>
  <si>
    <t>iPhone 15 Pro [BGL] Крышка (Заднее стекло) - Аналог Натуральный титан / Natural Titanium (модуль)</t>
  </si>
  <si>
    <t>41401 379</t>
  </si>
  <si>
    <t>iPhone 15 Pro - Задняя крышка, натуральный титан (в сборе с креплением и линзами камеры)</t>
  </si>
  <si>
    <t>https://icomponents.ru/catalog/iphone/iphone_15_pro/iphone_15_pro_zadnyaya_kryshka_naturalnyy_titan_v_sbore_s_krepleniem_i_linzami_kamery/</t>
  </si>
  <si>
    <t>iPhone 15 Pro [BGL] Крышка (Заднее стекло) - Аналог Синий титан / Blue Titanium (модуль)</t>
  </si>
  <si>
    <t>41401 334</t>
  </si>
  <si>
    <t>iPhone 15 Pro - Задняя крышка, синяя (в сборе с креплением и линзами камеры)</t>
  </si>
  <si>
    <t>https://icomponents.ru/catalog/iphone/iphone_15_pro/iphone_15_pro_zadnyaya_kryshka_sinyaya_v_sbore_s_krepleniem_i_linzami_kamery/</t>
  </si>
  <si>
    <t>iPhone 15 Pro [BGL] Крышка (Заднее стекло) - Аналог Белый титан / White Titanium (модуль)</t>
  </si>
  <si>
    <t>41401 396</t>
  </si>
  <si>
    <t>iPhone 15 Pro - Задняя крышка, белая (в сборе с креплением и линзами камеры)</t>
  </si>
  <si>
    <t>https://icomponents.ru/catalog/iphone/iphone_15_pro/iphone_15_pro_zadnyaya_kryshka_belaya_v_sbore_s_krepleniem_i_linzami_kamery/</t>
  </si>
  <si>
    <t>iPhone 15 Pro [BGL] Крышка (Заднее стекло) - Аналог Черный титан / Black Titanium (модуль)</t>
  </si>
  <si>
    <t>41401 317</t>
  </si>
  <si>
    <t>iPhone 15 Pro - Задняя крышка, черная (в сборе с креплением и линзами камеры)</t>
  </si>
  <si>
    <t>https://icomponents.ru/catalog/iphone/iphone_15_pro/iphone_15_pro_zadnyaya_kryshka_chernaya_v_sbore_s_krepleniem_i_linzami_kamery/</t>
  </si>
  <si>
    <t>iPhone 15 Pro Max [BGL] Крышка (Заднее стекло) - Снятый оригинал Натуральный титан / Natural Titanium (модуль)</t>
  </si>
  <si>
    <t>38891 548</t>
  </si>
  <si>
    <t>iPhone 15 Pro Max - Задняя крышка + NFC ORIG снятая (Natural Titanium)</t>
  </si>
  <si>
    <t>https://icomponents.ru/catalog/iphone/iphone_15_pro_max/iphone_15_pro_max_zadnyaya_kryshka_nfc_orig_snyataya_natural_titanium/</t>
  </si>
  <si>
    <t>iPhone 15 Pro Max [BGL] Крышка (Заднее стекло) - Снятый оригинал Синий титан / Blue Titanium (модуль)</t>
  </si>
  <si>
    <t>38891 549</t>
  </si>
  <si>
    <t>iPhone 15 Pro Max - Задняя крышка + NFC ORIG снятая (Blue Titanium)</t>
  </si>
  <si>
    <t>https://icomponents.ru/catalog/iphone/iphone_15_pro_max/iphone_15_pro_max_zadnyaya_kryshka_nfc_orig_snyataya_blue_titanium/</t>
  </si>
  <si>
    <t>iPhone 15 Pro Max [BGL] Крышка (Заднее стекло) - Снятый оригинал Белый титан / White Titanium (модуль)</t>
  </si>
  <si>
    <t>38891 550</t>
  </si>
  <si>
    <t>iPhone 15 Pro Max - Задняя крышка + NFC ORIG снятая (White Titanium)</t>
  </si>
  <si>
    <t>https://icomponents.ru/catalog/iphone/iphone_15_pro_max/iphone_15_pro_max_zadnyaya_kryshka_nfc_orig_snyataya_white_titanium/</t>
  </si>
  <si>
    <t>iPhone 15 Pro Max [BGL] Крышка (Заднее стекло) - Снятый оригинал Черный титан / Black Titanium (модуль)</t>
  </si>
  <si>
    <t>38891 551</t>
  </si>
  <si>
    <t>iPhone 15 Pro Max - Задняя крышка + NFC ORIG снятая (Black Titanium)</t>
  </si>
  <si>
    <t>https://icomponents.ru/catalog/iphone/iphone_15_pro_max/iphone_15_pro_max_zadnyaya_kryshka_nfc_orig_snyataya_black_titanium/</t>
  </si>
  <si>
    <t>iPhone 15 Pro Max [BGL] Крышка (Заднее стекло) - Аналог Натуральный титан / Natural Titanium (модуль)</t>
  </si>
  <si>
    <t>43165 215</t>
  </si>
  <si>
    <t>iPhone 15 Pro Max - Задняя крышка, натуральный титан (в сборе с креплением и линзами камеры)</t>
  </si>
  <si>
    <t>https://icomponents.ru/catalog/iphone/iphone_15_pro_max/iphone_15_pro_max_zadnyaya_kryshka_naturalnyy_titan_v_sbore_s_krepleniem_i_linzami_kamery/</t>
  </si>
  <si>
    <t>iPhone 15 Pro Max [BGL] Крышка (Заднее стекло) - Аналог Синий титан / Blue Titanium (модуль)</t>
  </si>
  <si>
    <t>41401 274</t>
  </si>
  <si>
    <t>iPhone 15 Pro Max - Задняя крышка, синяя (в сборе с креплением и линзами камеры)</t>
  </si>
  <si>
    <t>https://icomponents.ru/catalog/iphone/iphone_15_pro_max/iphone_15_pro_max_zadnyaya_kryshka_sinyaya_v_sbore_s_krepleniem_i_linzami_kamery/</t>
  </si>
  <si>
    <t>iPhone 15 Pro Max [BGL] Крышка (Заднее стекло) - Аналог Белый титан / White Titanium (модуль)</t>
  </si>
  <si>
    <t>41401 290</t>
  </si>
  <si>
    <t>iPhone 15 Pro Max - Задняя крышка, белая (в сборе с креплением и линзами камеры)</t>
  </si>
  <si>
    <t>https://icomponents.ru/catalog/iphone/iphone_15_pro_max/iphone_15_pro_max_zadnyaya_kryshka_belaya_v_sbore_s_krepleniem_i_linzami_kamery/</t>
  </si>
  <si>
    <t>iPhone 15 Pro Max [BGL] Крышка (Заднее стекло) - Аналог Черный титан / Black Titanium (модуль)</t>
  </si>
  <si>
    <t>41401 243</t>
  </si>
  <si>
    <t>iPhone 15 Pro Max - Задняя крышка, черная (в сборе с креплением и линзами камеры)</t>
  </si>
  <si>
    <t>https://icomponents.ru/catalog/iphone/iphone_15_pro_max/iphone_15_pro_max_zadnyaya_kryshka_chernaya_v_sbore_s_krepleniem_i_linzami_kamery/</t>
  </si>
  <si>
    <t>iPhone 16 [BGL] Крышка (Заднее стекло) - Снятый оригинал Ультрамарин / Ultramarine (модуль)</t>
  </si>
  <si>
    <t>iPhone 16 - Задняя крышка + NFC ORIG снятая (Ultramarine)</t>
  </si>
  <si>
    <t>https://icomponents.ru/catalog/iphone/iphone_16/iphone_16_zadnyaya_kryshka_nfc_orig_snyataya_ultramarine/</t>
  </si>
  <si>
    <t>iPhone 16 [BGL] Крышка (Заднее стекло) - Снятый оригинал Бирюзовый / Teal (модуль)</t>
  </si>
  <si>
    <t>iPhone 16 - Задняя крышка + NFC ORIG снятая (Teal)</t>
  </si>
  <si>
    <t>https://icomponents.ru/catalog/iphone/iphone_16/iphone_16_zadnyaya_kryshka_nfc_orig_snyataya_teal/</t>
  </si>
  <si>
    <t>iPhone 16 [BGL] Крышка (Заднее стекло) - Снятый оригинал Белый / White (модуль)</t>
  </si>
  <si>
    <t>iPhone 16 - Задняя крышка + NFC ORIG снятая (White)</t>
  </si>
  <si>
    <t>https://icomponents.ru/catalog/iphone/iphone_16/iphone_16_zadnyaya_kryshka_nfc_orig_snyataya_white/</t>
  </si>
  <si>
    <t>iPhone 16 [BGL] Крышка (Заднее стекло) - Снятый оригинал Розовый / Pink (модуль)</t>
  </si>
  <si>
    <t>iPhone 16 - Задняя крышка + NFC ORIG снятая (Pink)</t>
  </si>
  <si>
    <t>https://icomponents.ru/catalog/iphone/iphone_16/iphone_16_zadnyaya_kryshka_nfc_orig_snyataya_pink/</t>
  </si>
  <si>
    <t>iPhone 16 [BGL] Крышка (Заднее стекло) - Снятый оригинал Черный / Black (модуль)</t>
  </si>
  <si>
    <t>iPhone 16 - Задняя крышка + NFC ORIG снятая (Black)</t>
  </si>
  <si>
    <t>https://icomponents.ru/catalog/iphone/iphone_16/iphone_16_zadnyaya_kryshka_nfc_orig_snyataya_black/</t>
  </si>
  <si>
    <t>iPhone 16 [BGL] Крышка (Заднее стекло) - Аналог Ультрамарин / Ultramarine (модуль)</t>
  </si>
  <si>
    <t>49083 562</t>
  </si>
  <si>
    <t>iPhone 16 - Задняя крышка, ультрамарин (в сборе с креплением и линзами камеры)</t>
  </si>
  <si>
    <t>https://icomponents.ru/catalog/iphone/iphone_16/iphone_16_zadnyaya_kryshka_ultramarin_v_sbore_s_krepleniem_i_linzami_kamery/</t>
  </si>
  <si>
    <t>iPhone 16 [BGL] Крышка (Заднее стекло) - Аналог Бирюзовый / Teal (модуль)</t>
  </si>
  <si>
    <t>49083 485</t>
  </si>
  <si>
    <t>iPhone 16 - Задняя крышка, бирюзовая (в сборе с креплением и линзами камеры)</t>
  </si>
  <si>
    <t>https://icomponents.ru/catalog/iphone/iphone_16/iphone_16_zadnyaya_kryshka_biryuzovaya_v_sbore_s_krepleniem_i_linzami_kamery/</t>
  </si>
  <si>
    <t>iPhone 16 [BGL] Крышка (Заднее стекло) - Аналог Белый / White (модуль)</t>
  </si>
  <si>
    <t>49083 431</t>
  </si>
  <si>
    <t>iPhone 16 - Задняя крышка, белая (в сборе с креплением и линзами камеры)</t>
  </si>
  <si>
    <t>https://icomponents.ru/catalog/iphone/iphone_16/iphone_16_zadnyaya_kryshka_belaya_v_sbore_s_krepleniem_i_linzami_kamery/</t>
  </si>
  <si>
    <t>iPhone 16 [BGL] Крышка (Заднее стекло) - Аналог Розовый / Pink (модуль)</t>
  </si>
  <si>
    <t>49083 529</t>
  </si>
  <si>
    <t>iPhone 16 - Задняя крышка, розовая (в сборе с креплением и линзами камеры)</t>
  </si>
  <si>
    <t>https://icomponents.ru/catalog/iphone/iphone_16/iphone_16_zadnyaya_kryshka_rozovaya_v_sbore_s_krepleniem_i_linzami_kamery/</t>
  </si>
  <si>
    <t>iPhone 16 [BGL] Крышка (Заднее стекло) - Аналог Черный / Black (модуль)</t>
  </si>
  <si>
    <t>49083 590</t>
  </si>
  <si>
    <t>iPhone 16 - Задняя крышка, черная (в сборе с креплением и линзами камеры)</t>
  </si>
  <si>
    <t>https://icomponents.ru/catalog/iphone/iphone_16/iphone_16_zadnyaya_kryshka_chernaya_v_sbore_s_krepleniem_i_linzami_kamery/</t>
  </si>
  <si>
    <t>iPhone 16E [BGL] Крышка (Заднее стекло) - Снятый оригинал Белый / White (модуль)</t>
  </si>
  <si>
    <t>iPhone 16E [BGL] Крышка (Заднее стекло) - Снятый оригинал Черный / Black (модуль)</t>
  </si>
  <si>
    <t>iPhone 16E [BGL] Крышка (Заднее стекло) - Аналог Белый / White (модуль)</t>
  </si>
  <si>
    <t>iPhone 16E [BGL] Крышка (Заднее стекло) - Аналог Черный / Black (модуль)</t>
  </si>
  <si>
    <t>iPhone 16 Plus [BGL] Крышка (Заднее стекло) - Снятый оригинал Ультрамарин / Ultramarine (модуль)</t>
  </si>
  <si>
    <t>iPhone 16 Plus [BGL] Крышка (Заднее стекло) - Снятый оригинал Бирюзовый / Teal (модуль)</t>
  </si>
  <si>
    <t>iPhone 16 Plus [BGL] Крышка (Заднее стекло) - Снятый оригинал Белый / White (модуль)</t>
  </si>
  <si>
    <t>iPhone 16 Plus [BGL] Крышка (Заднее стекло) - Снятый оригинал Розовый / Pink (модуль)</t>
  </si>
  <si>
    <t>iPhone 16 Plus [BGL] Крышка (Заднее стекло) - Снятый оригинал Черный / Black (модуль)</t>
  </si>
  <si>
    <t>iPhone 16 Plus [BGL] Крышка (Заднее стекло) - Аналог Ультрамарин / Ultramarine (модуль)</t>
  </si>
  <si>
    <t>iPhone 16 Plus [BGL] Крышка (Заднее стекло) - Аналог Бирюзовый / Teal (модуль)</t>
  </si>
  <si>
    <t>iPhone 16 Plus - Заднее стекло, бирюзовый (в сборе с креплением)</t>
  </si>
  <si>
    <t>https://icomponents.ru/catalog/iphone/iphone_16_plus/iphone_16_plus_zadnee_steklo_biryuzovyy_v_sbore_s_krepleniem/</t>
  </si>
  <si>
    <t>iPhone 16 Plus [BGL] Крышка (Заднее стекло) - Аналог Белый / White (модуль)</t>
  </si>
  <si>
    <t>iPhone 16 Plus - Заднее стекло, белое (в сборе с креплением)</t>
  </si>
  <si>
    <t>https://icomponents.ru/catalog/iphone/iphone_16_plus/iphone_16_plus_zadnee_steklo_beloe_v_sbore_s_krepleniem/</t>
  </si>
  <si>
    <t>iPhone 16 Plus [BGL] Крышка (Заднее стекло) - Аналог Розовый / Pink (модуль)</t>
  </si>
  <si>
    <t>iPhone 16 Plus - Заднее стекло, розовое (в сборе с креплением)</t>
  </si>
  <si>
    <t>https://icomponents.ru/catalog/iphone/iphone_16_plus/iphone_16_plus_zadnee_steklo_rozovoe_v_sbore_s_krepleniem/</t>
  </si>
  <si>
    <t>iPhone 16 Plus [BGL] Крышка (Заднее стекло) - Аналог Черный / Black (модуль)</t>
  </si>
  <si>
    <t>iPhone 16 Plus - Заднее стекло, черное (в сборе с креплением)</t>
  </si>
  <si>
    <t>https://icomponents.ru/catalog/iphone/iphone_16_plus/iphone_16_plus_zadnee_steklo_chernoe_v_sbore_s_krepleniem/</t>
  </si>
  <si>
    <t>iPhone 16 Pro [BGL] Крышка (Заднее стекло) - Снятый оригинал Натуральный титан / Natural Titanium (модуль)</t>
  </si>
  <si>
    <t>iPhone 16 Pro - Задняя крышка + NFC ORIG снятая (Natural Titanium)</t>
  </si>
  <si>
    <t>https://icomponents.ru/catalog/iphone/iphone_16_pro/iphone_16_pro_zadnyaya_kryshka_nfc_orig_snyataya_natural_titanium/</t>
  </si>
  <si>
    <t>iPhone 16 Pro [BGL] Крышка (Заднее стекло) - Снятый оригинал Пустынный титан / Desert Titanium (модуль)</t>
  </si>
  <si>
    <t>iPhone 16 Pro - Задняя крышка + NFC ORIG снятая (Desert Titanium)</t>
  </si>
  <si>
    <t>https://icomponents.ru/catalog/iphone/iphone_16_pro/iphone_16_pro_zadnyaya_kryshka_nfc_orig_snyataya_desert_titanium/</t>
  </si>
  <si>
    <t>iPhone 16 Pro [BGL] Крышка (Заднее стекло) - Снятый оригинал Белый титан / White Titanium (модуль)</t>
  </si>
  <si>
    <t>iPhone 16 Pro - Задняя крышка + NFC ORIG снятая (White Titanium)</t>
  </si>
  <si>
    <t>https://icomponents.ru/catalog/iphone/iphone_16_pro/iphone_16_pro_zadnyaya_kryshka_nfc_orig_snyataya_white_titanium/</t>
  </si>
  <si>
    <t>iPhone 16 Pro [BGL] Крышка (Заднее стекло) - Снятый оригинал Черный титан / Black Titanium (модуль)</t>
  </si>
  <si>
    <t>iPhone 16 Pro - Задняя крышка + NFC ORIG снятая (Black Titanium)</t>
  </si>
  <si>
    <t>https://icomponents.ru/catalog/iphone/iphone_16_pro/iphone_16_pro_zadnyaya_kryshka_nfc_orig_snyataya_black_titanium/</t>
  </si>
  <si>
    <t>iPhone 16 Pro [BGL] Крышка (Заднее стекло) - Аналог Натуральный титан / Natural Titanium (модуль)</t>
  </si>
  <si>
    <t>49084 085</t>
  </si>
  <si>
    <t>iPhone 16 Pro - Задняя крышка, натуральный титан (в сборе с креплением и линзами камеры)</t>
  </si>
  <si>
    <t>https://icomponents.ru/catalog/iphone/iphone_16_pro/iphone_16_pro_zadnyaya_kryshka_naturalnyy_titan_v_sbore_s_krepleniem_i_linzami_kamery/</t>
  </si>
  <si>
    <t>iPhone 16 Pro [BGL] Крышка (Заднее стекло) - Аналог Пустынный титан / Desert Titanium (модуль)</t>
  </si>
  <si>
    <t>49084 208</t>
  </si>
  <si>
    <t>iPhone 16 Pro - Задняя крышка, пустынный титан (в сборе с креплением и линзами камеры)</t>
  </si>
  <si>
    <t>https://icomponents.ru/catalog/iphone/iphone_16_pro/iphone_16_pro_zadnyaya_kryshka_pustynnyy_titan_v_sbore_s_krepleniem_i_linzami_kamery/</t>
  </si>
  <si>
    <t>iPhone 16 Pro [BGL] Крышка (Заднее стекло) - Аналог Белый титан / White Titanium (модуль)</t>
  </si>
  <si>
    <t>49084 040</t>
  </si>
  <si>
    <t>iPhone 16 Pro - Задняя крышка, белая (в сборе с креплением и линзами камеры)</t>
  </si>
  <si>
    <t>https://icomponents.ru/catalog/iphone/iphone_16_pro/iphone_16_pro_zadnyaya_kryshka_belaya_v_sbore_s_krepleniem_i_linzami_kamery/</t>
  </si>
  <si>
    <t>iPhone 16 Pro [BGL] Крышка (Заднее стекло) - Аналог Черный титан / Black Titanium (модуль)</t>
  </si>
  <si>
    <t>49084 237</t>
  </si>
  <si>
    <t>iPhone 16 Pro - Задняя крышка, черная (в сборе с креплением и линзами камеры)</t>
  </si>
  <si>
    <t>https://icomponents.ru/catalog/iphone/iphone_16_pro/iphone_16_pro_zadnyaya_kryshka_chernaya_v_sbore_s_krepleniem_i_linzami_kamery/</t>
  </si>
  <si>
    <t>iPhone 16 Pro Max [BGL] Крышка (Заднее стекло) - Снятый оригинал Натуральный титан / Natural Titanium (модуль)</t>
  </si>
  <si>
    <t>iPhone 16 Pro Max - Задняя крышка + NFC ORIG снятая (Natural Titanium)</t>
  </si>
  <si>
    <t>https://icomponents.ru/catalog/iphone/iphone_16_pro_max/iphone_16_pro_max_zadnyaya_kryshka_nfc_orig_snyataya_natural_titanium/</t>
  </si>
  <si>
    <t>iPhone 16 Pro Max [BGL] Крышка (Заднее стекло) - Снятый оригинал Пустынный титан / Desert Titanium (модуль)</t>
  </si>
  <si>
    <t>iPhone 16 Pro Max - Задняя крышка + NFC ORIG снятая (Desert Titanium)</t>
  </si>
  <si>
    <t>https://icomponents.ru/catalog/iphone/iphone_16_pro_max/iphone_16_pro_max_zadnyaya_kryshka_nfc_orig_snyataya_desert_titanium/</t>
  </si>
  <si>
    <t>iPhone 16 Pro Max [BGL] Крышка (Заднее стекло) - Снятый оригинал Белый титан / White Titanium (модуль)</t>
  </si>
  <si>
    <t>iPhone 16 Pro Max - Задняя крышка + NFC ORIG снятая (White Titanium)</t>
  </si>
  <si>
    <t>https://icomponents.ru/catalog/iphone/iphone_16_pro_max/iphone_16_pro_max_zadnyaya_kryshka_nfc_orig_snyataya_white_titanium/</t>
  </si>
  <si>
    <t>iPhone 16 Pro Max [BGL] Крышка (Заднее стекло) - Снятый оригинал Черный титан / Black Titanium (модуль)</t>
  </si>
  <si>
    <t>iPhone 16 Pro Max - Задняя крышка + NFC ORIG снятая (Black Titanium)</t>
  </si>
  <si>
    <t>https://icomponents.ru/catalog/iphone/iphone_16_pro_max/iphone_16_pro_max_zadnyaya_kryshka_nfc_orig_snyataya_black_titanium/</t>
  </si>
  <si>
    <t>iPhone 16 Pro Max [BGL] Крышка (Заднее стекло) - Аналог Натуральный титан / Natural Titanium (модуль)</t>
  </si>
  <si>
    <t>49085 086</t>
  </si>
  <si>
    <t>iPhone 16 Pro Max - Задняя крышка, натуральный титан (в сборе с креплением и линзами камеры)</t>
  </si>
  <si>
    <t>https://icomponents.ru/catalog/iphone/iphone_16_pro_max/iphone_16_pro_max_zadnyaya_kryshka_naturalnyy_titan_v_sbore_s_krepleniem_i_linzami_kamery/</t>
  </si>
  <si>
    <t>iPhone 16 Pro Max [BGL] Крышка (Заднее стекло) - Аналог Пустынный титан / Desert Titanium (модуль)</t>
  </si>
  <si>
    <t>49085 150</t>
  </si>
  <si>
    <t>iPhone 16 Pro Max - Задняя крышка, пустанный титан (в сборе с креплением и линзами камеры)</t>
  </si>
  <si>
    <t>https://icomponents.ru/catalog/iphone/iphone_16_pro_max/iphone_16_pro_max_zadnyaya_kryshka_pustannyy_titan_v_sbore_s_krepleniem_i_linzami_kamery/</t>
  </si>
  <si>
    <t>iPhone 16 Pro Max [BGL] Крышка (Заднее стекло) - Аналог Белый титан / White Titanium (модуль)</t>
  </si>
  <si>
    <t>49085 028</t>
  </si>
  <si>
    <t>iPhone 16 Pro Max - Задняя крышка, белая (в сборе с креплением и линзами камеры)</t>
  </si>
  <si>
    <t>https://icomponents.ru/catalog/iphone/iphone_16_pro_max/iphone_16_pro_max_zadnyaya_kryshka_belaya_v_sbore_s_krepleniem_i_linzami_kamery/</t>
  </si>
  <si>
    <t>iPhone 16 Pro Max [BGL] Крышка (Заднее стекло) - Аналог Черный титан / Black Titanium (модуль)</t>
  </si>
  <si>
    <t>49084 960</t>
  </si>
  <si>
    <t>iPhone 16 Pro Max - Задняя крышка, черная (в сборе с креплением и линзами камеры)</t>
  </si>
  <si>
    <t>https://icomponents.ru/catalog/iphone/iphone_16_pro_max/iphone_16_pro_max_zadnyaya_kryshka_chernaya_v_sbore_s_krepleniem_i_linzami_kamery/</t>
  </si>
  <si>
    <t>iPhone 17 [BGL] Крышка (Заднее стекло) - Снятый оригинал Лавандовый / Lavender (модуль)</t>
  </si>
  <si>
    <t>iPhone 17 - Задняя крышка + NFC ORIG снятая (Lavender)</t>
  </si>
  <si>
    <t>https://icomponents.ru/catalog/iphone/iphone_17/iphone_17_zadnyaya_kryshka_nfc_orig_snyataya_lavender/</t>
  </si>
  <si>
    <t>iPhone 17 [BGL] Крышка (Заднее стекло) - Снятый оригинал Зеленый / Sage (модуль)</t>
  </si>
  <si>
    <t>iPhone 17 - Задняя крышка + NFC ORIG снятая (Sage)</t>
  </si>
  <si>
    <t>https://icomponents.ru/catalog/iphone/iphone_17/iphone_17_zadnyaya_kryshka_nfc_orig_snyataya_sage/</t>
  </si>
  <si>
    <t>iPhone 17 [BGL] Крышка (Заднее стекло) - Снятый оригинал Белый / White (модуль)</t>
  </si>
  <si>
    <t>iPhone 17 - Задняя крышка + NFC ORIG снятая (White)</t>
  </si>
  <si>
    <t>https://icomponents.ru/catalog/iphone/iphone_17/iphone_17_zadnyaya_kryshka_nfc_orig_snyataya_white/</t>
  </si>
  <si>
    <t>iPhone 17 [BGL] Крышка (Заднее стекло) - Снятый оригинал Голубой / Mist Blue (модуль)</t>
  </si>
  <si>
    <t>iPhone 17 - Задняя крышка + NFC ORIG снятая (Mist Blue)</t>
  </si>
  <si>
    <t>https://icomponents.ru/catalog/iphone/iphone_17/iphone_17_zadnyaya_kryshka_nfc_orig_snyataya_mist_blue/</t>
  </si>
  <si>
    <t>iPhone 17 [BGL] Крышка (Заднее стекло) - Снятый оригинал Черный / Black (модуль)</t>
  </si>
  <si>
    <t>iPhone 17 - Задняя крышка + NFC ORIG снятая (Black)</t>
  </si>
  <si>
    <t>https://icomponents.ru/catalog/iphone/iphone_17/iphone_17_zadnyaya_kryshka_nfc_orig_snyataya_black/</t>
  </si>
  <si>
    <t>iPhone 17 [BGL] Крышка (Заднее стекло) - Аналог Лавандовый / Lavender (модуль)</t>
  </si>
  <si>
    <t>60545 534</t>
  </si>
  <si>
    <t>iPhone 17 - Задняя крышка, в сборе с креплением и магнитами (Lavender)</t>
  </si>
  <si>
    <t>https://icomponents.ru/catalog/iphone/iphone_17/iphone_17_zadnyaya_kryshka_v_sbore_s_krepleniem_i_magnitami_lavender/</t>
  </si>
  <si>
    <t>iPhone 17 [BGL] Крышка (Заднее стекло) - Аналог Зеленый / Sage (модуль)</t>
  </si>
  <si>
    <t>60545 500</t>
  </si>
  <si>
    <t>iPhone 17 - Задняя крышка, в сборе с креплением и магнитами (Sage)</t>
  </si>
  <si>
    <t>https://icomponents.ru/catalog/iphone/iphone_17/iphone_17_zadnyaya_kryshka_v_sbore_s_krepleniem_i_magnitami_sage/</t>
  </si>
  <si>
    <t>iPhone 17 [BGL] Крышка (Заднее стекло) - Аналог Белый / White (модуль)</t>
  </si>
  <si>
    <t>60545 431</t>
  </si>
  <si>
    <t>iPhone 17 - Задняя крышка, в сборе с креплением и магнитами (White)</t>
  </si>
  <si>
    <t>https://icomponents.ru/catalog/iphone/iphone_17/iphone_17_zadnyaya_kryshka_v_sbore_s_krepleniem_i_magnitami_white/</t>
  </si>
  <si>
    <t>iPhone 17 [BGL] Крышка (Заднее стекло) - Аналог Голубой / Mist Blue (модуль)</t>
  </si>
  <si>
    <t>60545 458</t>
  </si>
  <si>
    <t>iPhone 17 - Задняя крышка, в сборе с креплением и магнитами (Mist Blue)</t>
  </si>
  <si>
    <t>https://icomponents.ru/catalog/iphone/iphone_17/iphone_17_zadnyaya_kryshka_v_sbore_s_krepleniem_i_magnitami_mist_blue/</t>
  </si>
  <si>
    <t>iPhone 17 [BGL] Крышка (Заднее стекло) - Аналог Черный / Black (модуль)</t>
  </si>
  <si>
    <t>60545 394</t>
  </si>
  <si>
    <t>iPhone 17 - Задняя крышка, в сборе с креплением и магнитами (Black)</t>
  </si>
  <si>
    <t>https://icomponents.ru/catalog/iphone/iphone_17/iphone_17_zadnyaya_kryshka_v_sbore_s_krepleniem_i_magnitami_black/</t>
  </si>
  <si>
    <t>iPhone 17 Air [BGL] Крышка (Заднее стекло) - Снятый оригинал Золотой / Light Gold (модуль)</t>
  </si>
  <si>
    <t>iPhone 17 Air - Задняя крышка + NFC ORIG снятая (Gold)</t>
  </si>
  <si>
    <t>https://icomponents.ru/catalog/iphone/iphone_17_air/iphone_17_air_zadnyaya_kryshka_nfc_orig_snyataya_gold/</t>
  </si>
  <si>
    <t>iPhone 17 Air [BGL] Крышка (Заднее стекло) - Снятый оригинал Белый / Cloud White (модуль)</t>
  </si>
  <si>
    <t>iPhone 17 Air - Задняя крышка + NFC ORIG снятая (white)</t>
  </si>
  <si>
    <t>https://icomponents.ru/catalog/iphone/iphone_17_air/iphone_17_air_zadnyaya_kryshka_nfc_orig_snyataya_white/</t>
  </si>
  <si>
    <t>iPhone 17 Air [BGL] Крышка (Заднее стекло) - Снятый оригинал Голубой / Sky Blue (модуль)</t>
  </si>
  <si>
    <t>iPhone 17 Air - Задняя крышка + NFC ORIG снятая (Blue)</t>
  </si>
  <si>
    <t>https://icomponents.ru/catalog/iphone/iphone_17_air/iphone_17_air_zadnyaya_kryshka_nfc_orig_snyataya_blue/</t>
  </si>
  <si>
    <t>iPhone 17 Air [BGL] Крышка (Заднее стекло) - Снятый оригинал Черный / Space Black (модуль)</t>
  </si>
  <si>
    <t>iPhone 17 Air - Задняя крышка + NFC ORIG снятая (Black)</t>
  </si>
  <si>
    <t>https://icomponents.ru/catalog/iphone/iphone_17_air/iphone_17_air_zadnyaya_kryshka_nfc_orig_snyataya_black/</t>
  </si>
  <si>
    <t>iPhone 17 Air [BGL] Крышка (Заднее стекло) - Аналог Золотой / Light Gold (модуль)</t>
  </si>
  <si>
    <t>iPhone 17 Air [BGL] Крышка (Заднее стекло) - Аналог Белый / Cloud White (модуль)</t>
  </si>
  <si>
    <t>iPhone 17 Air [BGL] Крышка (Заднее стекло) - Аналог Голубой / Sky Blue (модуль)</t>
  </si>
  <si>
    <t>iPhone 17 Air [BGL] Крышка (Заднее стекло) - Аналог Черный / Space Black (модуль)</t>
  </si>
  <si>
    <t>iPhone 17 Pro [BGL] Заднее стекло - Снятый оригинал Оранжевый / Cosmic Orange</t>
  </si>
  <si>
    <t>iPhone 17 Pro - Задняя крышка + NFC ORIG снятая (Cosmic Orange)</t>
  </si>
  <si>
    <t>https://icomponents.ru/catalog/iphone/iphone_17_pro/iphone_17_pro_zadnyaya_kryshka_nfc_orig_snyataya_cosmic_orange/</t>
  </si>
  <si>
    <t>iPhone 17 Pro [BGL] Заднее стекло - Снятый оригинал Синий / Deep Blue</t>
  </si>
  <si>
    <t>iPhone 17 Pro - Задняя крышка + NFC ORIG снятая (Deep Blue)</t>
  </si>
  <si>
    <t>https://icomponents.ru/catalog/iphone/iphone_17_pro/iphone_17_pro_zadnyaya_kryshka_nfc_orig_snyataya_deep_blue/</t>
  </si>
  <si>
    <t>iPhone 17 Pro [BGL] Заднее стекло - Снятый оригинал Белый / Silver</t>
  </si>
  <si>
    <t>iPhone 17 Pro - Задняя крышка + NFC ORIG снятая (Silver)</t>
  </si>
  <si>
    <t>https://icomponents.ru/catalog/iphone/iphone_17_pro/iphone_17_pro_zadnyaya_kryshka_nfc_orig_snyataya_silver/</t>
  </si>
  <si>
    <t>iPhone 17 Pro [BGL] Заднее стекло - Аналог Оранжевый / Cosmic Orange</t>
  </si>
  <si>
    <t>60545 708</t>
  </si>
  <si>
    <t>iPhone 17 Pro - Задняя крышка, в сборе с креплением и магнитами (Cosmic Orange)</t>
  </si>
  <si>
    <t>https://icomponents.ru/catalog/iphone/iphone_17_pro/iphone_17_pro_zadnyaya_kryshka_v_sbore_s_krepleniem_i_magnitami_cosmic_orange/</t>
  </si>
  <si>
    <t>iPhone 17 Pro [BGL] Заднее стекло - Аналог Синий / Deep Blue</t>
  </si>
  <si>
    <t>60545 678</t>
  </si>
  <si>
    <t>iPhone 17 Pro - Задняя крышка, в сборе с креплением и магнитами (Deep Blue)</t>
  </si>
  <si>
    <t>https://icomponents.ru/catalog/iphone/iphone_17_pro/iphone_17_pro_zadnyaya_kryshka_v_sbore_s_krepleniem_i_magnitami_deep_blue/</t>
  </si>
  <si>
    <t>iPhone 17 Pro [BGL] Заднее стекло - Аналог Белый / Silver</t>
  </si>
  <si>
    <t>60545 941</t>
  </si>
  <si>
    <t>iPhone 17 Pro - Задняя крышка, в сборе с креплением и магнитами (Silver)</t>
  </si>
  <si>
    <t>https://icomponents.ru/catalog/iphone/iphone_17_pro/iphone_17_pro_zadnyaya_kryshka_v_sbore_s_krepleniem_i_magnitami_silver/</t>
  </si>
  <si>
    <t>iPhone 17 Pro Max [BGL] Заднее стекло - Снятый оригинал Оранжевый / Cosmic Orange</t>
  </si>
  <si>
    <t>iPhone 17 Pro Max - Задняя крышка + NFC ORIG снятая (Cosmic Orange)</t>
  </si>
  <si>
    <t>https://icomponents.ru/catalog/iphone/iphone_17_pro_max/iphone_17_pro_max_zadnyaya_kryshka_nfc_orig_snyataya_cosmic_orange/</t>
  </si>
  <si>
    <t>iPhone 17 Pro Max [BGL] Заднее стекло - Снятый оригинал Синий / Deep Blue</t>
  </si>
  <si>
    <t>iPhone 17 Pro Max - Задняя крышка + NFC ORIG снятая (Deep Blue)</t>
  </si>
  <si>
    <t>https://icomponents.ru/catalog/iphone/iphone_17_pro_max/iphone_17_pro_max_zadnyaya_kryshka_nfc_orig_snyataya_deep_blue/</t>
  </si>
  <si>
    <t>iPhone 17 Pro Max [BGL] Заднее стекло - Снятый оригинал Белый / Silver</t>
  </si>
  <si>
    <t>iPhone 17 Pro Max - Задняя крышка + NFC ORIG снятая (Silver)</t>
  </si>
  <si>
    <t>https://icomponents.ru/catalog/iphone/iphone_17_pro_max/iphone_17_pro_max_zadnyaya_kryshka_nfc_orig_snyataya_silver/</t>
  </si>
  <si>
    <t>iPhone 17 Pro Max [BGL] Заднее стекло - Аналог Оранжевый / Cosmic Orange</t>
  </si>
  <si>
    <t>60545 843</t>
  </si>
  <si>
    <t>iPhone 17 Pro Max - Задняя крышка, в сборе с креплением и магнитами (Cosmic Orange)</t>
  </si>
  <si>
    <t>https://icomponents.ru/catalog/iphone/iphone_17_pro_max/iphone_17_pro_max_zadnyaya_kryshka_v_sbore_s_krepleniem_i_magnitami_cosmic_orange/</t>
  </si>
  <si>
    <t>iPhone 17 Pro Max [BGL] Заднее стекло - Аналог Синий / Deep Blue</t>
  </si>
  <si>
    <t>60545 805</t>
  </si>
  <si>
    <t>iPhone 17 Pro Max - Задняя крышка, в сборе с креплением и магнитами (Deep Blue)</t>
  </si>
  <si>
    <t>https://icomponents.ru/catalog/iphone/iphone_17_pro_max/iphone_17_pro_max_zadnyaya_kryshka_v_sbore_s_krepleniem_i_magnitami_deep_blue/</t>
  </si>
  <si>
    <t>iPhone 17 Pro Max [BGL] Заднее стекло - Аналог Белый / Silver</t>
  </si>
  <si>
    <t>60545 767</t>
  </si>
  <si>
    <t>iPhone 17 Pro Max - Задняя крышка, в сборе с креплением и магнитами (Silver)</t>
  </si>
  <si>
    <t>https://icomponents.ru/catalog/iphone/iphone_17_pro_max/iphone_17_pro_max_zadnyaya_kryshka_v_sbore_s_krepleniem_i_magnitami_silver/</t>
  </si>
  <si>
    <t>iPhone 6 / 6 Plus [CGL] Стекло камеры</t>
  </si>
  <si>
    <t>35314 985</t>
  </si>
  <si>
    <t>iPhone 6 / 6 Plus</t>
  </si>
  <si>
    <t>Стекло камеры</t>
  </si>
  <si>
    <t>iPhone 6/6s - стекло задней камеры</t>
  </si>
  <si>
    <t>https://icomponents.ru/catalog/iphone/iphone_6/iphone_6_6s_steklo_zadney_kamery/</t>
  </si>
  <si>
    <t>iPhone 6S / 6S Plus [CGL] Стекло камеры</t>
  </si>
  <si>
    <t>35314 986</t>
  </si>
  <si>
    <t>iPhone 6S / 6S Plus</t>
  </si>
  <si>
    <t>iPhone 6s/6s+ - стекло задней камеры</t>
  </si>
  <si>
    <t>https://icomponents.ru/catalog/iphone/iphone_6s_2/iphone_6s_6s_steklo_zadney_kamery/</t>
  </si>
  <si>
    <t>iPhone 7 / 8 / SE 2020 / SE 2022 [CGL] Стекло камеры</t>
  </si>
  <si>
    <t>4428 145</t>
  </si>
  <si>
    <t>iPhone 7 / 8 / SE 2020 / SE 2022</t>
  </si>
  <si>
    <t>iPhone 7/8 - Стекло задней камеры ORIG</t>
  </si>
  <si>
    <t>https://icomponents.ru/catalog/iphone/iphone_7_2/iphone_7_8_steklo_zadney_kamery_orig/</t>
  </si>
  <si>
    <t>iPhone 7 Plus / 8 Plus [CGL] Стекло камеры</t>
  </si>
  <si>
    <t>4649 518</t>
  </si>
  <si>
    <t>iPhone 7 Plus / 8 Plus</t>
  </si>
  <si>
    <t>iPhone 7+/8+ - Стекло задней камеры ORIG</t>
  </si>
  <si>
    <t>https://icomponents.ru/catalog/iphone/iphone_7/iphone_7_8_steklo_zadney_kamery_orig_2/</t>
  </si>
  <si>
    <t>iPhone XR [CGL] Стекло камеры</t>
  </si>
  <si>
    <t>16187 615</t>
  </si>
  <si>
    <t>iPhone X [CGL] Стекло камеры</t>
  </si>
  <si>
    <t>13015 660</t>
  </si>
  <si>
    <t>iPhone X - Стекло задней камеры ORIG</t>
  </si>
  <si>
    <t>https://icomponents.ru/catalog/iphone/iphone_x/iphone_x_steklo_zadney_kamery_orig/</t>
  </si>
  <si>
    <t>iPhone XS / XS Max [CGL] Стекло камеры</t>
  </si>
  <si>
    <t>7407 784</t>
  </si>
  <si>
    <t>iPhone XS / XS Max</t>
  </si>
  <si>
    <t>iPhone XS/XS MAX - стекло задней камеры ORIG</t>
  </si>
  <si>
    <t>https://icomponents.ru/catalog/iphone/iphone_xs/iphone_xs_xs_max_steklo_zadney_kamery_orig/</t>
  </si>
  <si>
    <t>iPhone 11 / 12 / 12 Mini [CGL] Стекло камеры - нижнее</t>
  </si>
  <si>
    <t>24169 370</t>
  </si>
  <si>
    <t>iPhone 11 / 12 / 12 Mini</t>
  </si>
  <si>
    <t>iPhone 11/12/12 mini - Стекло камеры ORIG (Комплект)</t>
  </si>
  <si>
    <t>https://icomponents.ru/catalog/iphone/iphone_11/iphone_11_12_12_mini_steklo_kamery_orig_komplekt/</t>
  </si>
  <si>
    <t>iPhone 11 / 12 / 12 Mini [CGL] Стекло камеры - верхнее</t>
  </si>
  <si>
    <t>24169 382</t>
  </si>
  <si>
    <t>iPhone 11 Pro / 11 Pro Max / 12 Pro [CGL] Стекло камеры - нижнее / верхнее</t>
  </si>
  <si>
    <t>21735 562</t>
  </si>
  <si>
    <t>iPhone 11 Pro / 11 Pro Max / 12 Pro</t>
  </si>
  <si>
    <t>iPhone 11 Pro/Pro Max/12 Pro - Стекло камеры ORIG (Комплект)</t>
  </si>
  <si>
    <t>https://icomponents.ru/catalog/iphone/iphone_11_pro/iphone_11_pro_pro_max_12_pro_steklo_kamery_orig_komplekt/</t>
  </si>
  <si>
    <t>iPhone 11 Pro / 11 Pro Max / 12 Pro [CGL] Стекло камеры - правое</t>
  </si>
  <si>
    <t>23449 626</t>
  </si>
  <si>
    <t>iPhone 12 Pro Max [CGL] Стекло камеры - нижнее</t>
  </si>
  <si>
    <t>23752 361</t>
  </si>
  <si>
    <t>iPhone 12 Pro Max - Стекло камеры ORIG (Комплект)</t>
  </si>
  <si>
    <t>https://icomponents.ru/catalog/iphone/iphone_12_pro_max/iphone_12_pro_max_steklo_kamery_orig_komplekt/</t>
  </si>
  <si>
    <t>iPhone 12 Pro Max [CGL] Стекло камеры - верхнее</t>
  </si>
  <si>
    <t>23752 345</t>
  </si>
  <si>
    <t>iPhone 12 Pro Max [CGL] Стекло камеры - правое</t>
  </si>
  <si>
    <t>24996 363</t>
  </si>
  <si>
    <t>iPhone 13 / 13 Mini [CGL] Стекло камеры - нижнее</t>
  </si>
  <si>
    <t>26851 190</t>
  </si>
  <si>
    <t>iPhone 13 / 13 Mini</t>
  </si>
  <si>
    <t>iPhone 13 - Стекло камеры ORIG (Комплект)</t>
  </si>
  <si>
    <t>https://icomponents.ru/catalog/iphone/iphone_13/iphone_13_steklo_kamery_orig_komplekt/</t>
  </si>
  <si>
    <t>iPhone 13 / 13 Mini [CGL] Стекло камеры - верхнее</t>
  </si>
  <si>
    <t>26851 174</t>
  </si>
  <si>
    <t>iPhone 13 Pro / 13 Pro Max [CGL] Стекло камеры - нижнее</t>
  </si>
  <si>
    <t>26851 234</t>
  </si>
  <si>
    <t>iPhone 13 Pro / 13 Pro Max</t>
  </si>
  <si>
    <t>iPhone 13 Pro - Стекло камеры ORIG (Комплект)</t>
  </si>
  <si>
    <t>https://icomponents.ru/catalog/iphone/iphone_13_pro/iphone_13_pro_steklo_kamery_orig_komplekt/</t>
  </si>
  <si>
    <t>iPhone 13 Pro / 13 Pro Max [CGL] Стекло камеры - верхнее</t>
  </si>
  <si>
    <t>26851 223</t>
  </si>
  <si>
    <t>iPhone 13 Pro / 13 Pro Max [CGL] Стекло камеры - правое</t>
  </si>
  <si>
    <t>26851 256</t>
  </si>
  <si>
    <t>iPhone 14 / 14 Plus [CGL] Стекло камеры - нижнее</t>
  </si>
  <si>
    <t>34399 600</t>
  </si>
  <si>
    <t>iPhone 14 / 14 Plus</t>
  </si>
  <si>
    <t>iPhone 14 - Стекло камеры ORIG (Комплект)</t>
  </si>
  <si>
    <t>https://icomponents.ru/catalog/iphone/iphone_14/iphone_14_steklo_kamery_orig_komplekt/</t>
  </si>
  <si>
    <t>iPhone 14 / 14 Plus [CGL] Стекло камеры - верхнее</t>
  </si>
  <si>
    <t>34399 578</t>
  </si>
  <si>
    <t>iPhone 14 Pro / 14 Pro Max [CGL] Стекло камеры - нижнее</t>
  </si>
  <si>
    <t>34399 799</t>
  </si>
  <si>
    <t>iPhone 14 Pro / 14 Pro Max</t>
  </si>
  <si>
    <t>iPhone 14 Pro - Стекло камеры ORIG (Комплект)</t>
  </si>
  <si>
    <t>https://icomponents.ru/catalog/iphone/iphone_14_pro/iphone_14_pro_steklo_kamery_orig_komplekt/</t>
  </si>
  <si>
    <t>iPhone 14 Pro / 14 Pro Max [CGL] Стекло камеры - верхнее</t>
  </si>
  <si>
    <t>34399 685</t>
  </si>
  <si>
    <t>iPhone 14 Pro / 14 Pro Max [CGL] Стекло камеры - правое</t>
  </si>
  <si>
    <t>34399 830</t>
  </si>
  <si>
    <t>iPhone 15 / 15 Plus [CGL] Стекло камеры - нижнее</t>
  </si>
  <si>
    <t>41130 848</t>
  </si>
  <si>
    <t>iPhone 15 / 15 Plus</t>
  </si>
  <si>
    <t>iPhone 15 / 15 Plus - Стекло камеры ORIG (Комплект)</t>
  </si>
  <si>
    <t>https://icomponents.ru/catalog/iphone/iphone_15/iphone_15_15_plus_steklo_kamery_orig_komplekt/</t>
  </si>
  <si>
    <t>iPhone 15 / 15 Plus [CGL] Стекло камеры - верхнее</t>
  </si>
  <si>
    <t>41130 849</t>
  </si>
  <si>
    <t>iPhone 15 Pro / 15 Pro Max [CGL] Стекло камеры - нижнее</t>
  </si>
  <si>
    <t>41763 511</t>
  </si>
  <si>
    <t>iPhone 15 Pro / 15 Pro Max</t>
  </si>
  <si>
    <t>iPhone 15 Pro - Стекло камеры ORIG (Комплект)</t>
  </si>
  <si>
    <t>https://icomponents.ru/catalog/iphone/iphone_15_pro/iphone_15_pro_steklo_kamery_orig_komplekt/</t>
  </si>
  <si>
    <t>iPhone 15 Pro / 15 Pro Max [CGL] Стекло камеры - верхнее</t>
  </si>
  <si>
    <t>41763 495</t>
  </si>
  <si>
    <t>iPhone 15 Pro / 15 Pro Max [CGL] Стекло камеры - правое</t>
  </si>
  <si>
    <t>41763 532</t>
  </si>
  <si>
    <t>iPhone 16 / 16 Plus [CGL] Стекло камеры - нижнее</t>
  </si>
  <si>
    <t>49083 886</t>
  </si>
  <si>
    <t>iPhone 16 / 16 Plus</t>
  </si>
  <si>
    <t>iPhone 16 - Стекло камеры ORIG (Комплект)</t>
  </si>
  <si>
    <t>https://icomponents.ru/catalog/iphone/iphone_16/iphone_16_steklo_kamery_orig_komplekt/</t>
  </si>
  <si>
    <t>iPhone 16 / 16 Plus [CGL] Стекло камеры - верхнее</t>
  </si>
  <si>
    <t>49083 859</t>
  </si>
  <si>
    <t>iPhone 16E [CGL] Стекло камеры</t>
  </si>
  <si>
    <t>iPhone 16 Pro / 16 Pro Max [CGL] Стекло камеры - нижнее</t>
  </si>
  <si>
    <t>49084 634</t>
  </si>
  <si>
    <t>iPhone 16 Pro / 16 Pro Max</t>
  </si>
  <si>
    <t>iPhone 16 Pro - Стекло камеры ORIG (Комплект)</t>
  </si>
  <si>
    <t>https://icomponents.ru/catalog/iphone/iphone_16_pro/iphone_16_pro_steklo_kamery_orig_komplekt/</t>
  </si>
  <si>
    <t>iPhone 16 Pro / 16 Pro Max [CGL] Стекло камеры - верхнее</t>
  </si>
  <si>
    <t>49084 566</t>
  </si>
  <si>
    <t>iPhone 16 Pro / 16 Pro Max [CGL] Стекло камеры - правое</t>
  </si>
  <si>
    <t>49084 654</t>
  </si>
  <si>
    <t>iPhone 17 [CGL] Стекло камеры - нижнее</t>
  </si>
  <si>
    <t>59710 524</t>
  </si>
  <si>
    <t>iPhone 17 - Стекло камеры ORIG (Комплект)</t>
  </si>
  <si>
    <t>https://icomponents.ru/catalog/iphone/iphone_17/iphone_17_steklo_kamery_orig_komplekt/</t>
  </si>
  <si>
    <t>iPhone 17 [CGL] Стекло камеры - верхнее</t>
  </si>
  <si>
    <t>59710 430</t>
  </si>
  <si>
    <t>iPhone 17 Air [CGL] Стекло камеры</t>
  </si>
  <si>
    <t>59710 602</t>
  </si>
  <si>
    <t>iPhone Air - Стекло камеры ORIG</t>
  </si>
  <si>
    <t>https://icomponents.ru/catalog/iphone/iphone_17_air/iphone_air_steklo_kamery_orig_komplekt/</t>
  </si>
  <si>
    <t>iPhone 17 Pro [CGL] Стекло камеры - нижнее</t>
  </si>
  <si>
    <t>59710 814</t>
  </si>
  <si>
    <t>iPhone 17 Pro - Стекло камеры ORIG (Комплект)</t>
  </si>
  <si>
    <t>https://icomponents.ru/catalog/iphone/iphone_17_pro/iphone_17_pro_steklo_kamery_orig_komplekt/</t>
  </si>
  <si>
    <t>iPhone 17 Pro [CGL] Стекло камеры - верхнее</t>
  </si>
  <si>
    <t>59710 710</t>
  </si>
  <si>
    <t>iPhone 17 Pro [CGL] Стекло камеры - правое</t>
  </si>
  <si>
    <t>59710 861</t>
  </si>
  <si>
    <t>iPhone 17 Pro Max [CGL] Стекло камеры - нижнее</t>
  </si>
  <si>
    <t>59711 035</t>
  </si>
  <si>
    <t>iPhone 17 Pro Max - Стекло камеры ORIG (Комплект)</t>
  </si>
  <si>
    <t>https://icomponents.ru/catalog/iphone/iphone_17_pro_max/iphone_17_pro_max_steklo_kamery_orig_komplekt/</t>
  </si>
  <si>
    <t>iPhone 17 Pro Max [CGL] Стекло камеры - верхнее</t>
  </si>
  <si>
    <t>59710 984</t>
  </si>
  <si>
    <t>iPhone 17 Pro Max [CGL] Стекло камеры - правое</t>
  </si>
  <si>
    <t>59711 072</t>
  </si>
  <si>
    <t>iPhone 5 [CHG] Шлейф зарядки (нижний, док) Черный</t>
  </si>
  <si>
    <t>161 996</t>
  </si>
  <si>
    <t>Шлейф зарядки</t>
  </si>
  <si>
    <t>iPhone 5 [CHG] Шлейф зарядки (нижний, док) Белый</t>
  </si>
  <si>
    <t>161 995</t>
  </si>
  <si>
    <t>iPhone 5C [CHG] Шлейф зарядки (нижний, док) Черный</t>
  </si>
  <si>
    <t>675 241</t>
  </si>
  <si>
    <t>iPhone 5S [CHG] Шлейф зарядки (нижний, док) Черный</t>
  </si>
  <si>
    <t>162 010</t>
  </si>
  <si>
    <t>iPhone 5S [CHG] Шлейф зарядки (нижний, док) Белый</t>
  </si>
  <si>
    <t>162 009</t>
  </si>
  <si>
    <t>iPhone SE 2016 [CHG] Шлейф зарядки (нижний, док) Черный</t>
  </si>
  <si>
    <t>5458 623</t>
  </si>
  <si>
    <t>iPhone SE 2016 [CHG] Шлейф зарядки (нижний, док) Белый</t>
  </si>
  <si>
    <t>5333 398</t>
  </si>
  <si>
    <t>iPhone 6 [CHG] Шлейф зарядки (нижний, док) Черный</t>
  </si>
  <si>
    <t>162 034</t>
  </si>
  <si>
    <t>iPhone 6 - нижний шлейф зарядки, черный</t>
  </si>
  <si>
    <t>https://icomponents.ru/catalog/iphone/iphone_6/iphone_6_nizhniy_shleyf_zaryadki_chernyy/</t>
  </si>
  <si>
    <t>iPhone 6 [CHG] Шлейф зарядки (нижний, док) Белый</t>
  </si>
  <si>
    <t>241 369</t>
  </si>
  <si>
    <t>iPhone 6 - нижний шлейф зарядки, белый</t>
  </si>
  <si>
    <t>https://icomponents.ru/catalog/iphone/iphone_6/iphone_6_nizhniy_shleyf_zaryadki_belyy/</t>
  </si>
  <si>
    <t>iPhone 6 Plus [CHG] Шлейф зарядки (нижний, док) Черный</t>
  </si>
  <si>
    <t>494 076</t>
  </si>
  <si>
    <t>iPhone 6+ - нижний шлейф зарядки, черный</t>
  </si>
  <si>
    <t>https://icomponents.ru/catalog/iphone/iphone_6_2/iphone_6_nizhniy_shleyf_zaryadki_chernyy_2/</t>
  </si>
  <si>
    <t>iPhone 6 Plus [CHG] Шлейф зарядки (нижний, док) Белый</t>
  </si>
  <si>
    <t>494 077</t>
  </si>
  <si>
    <t>iPhone 6+ - нижний шлейф зарядки, белый</t>
  </si>
  <si>
    <t>https://icomponents.ru/catalog/iphone/iphone_6_2/iphone_6_nizhniy_shleyf_zaryadki_belyy_2/</t>
  </si>
  <si>
    <t>iPhone 6S [CHG] Шлейф зарядки (нижний, док) Черный</t>
  </si>
  <si>
    <t>429 939</t>
  </si>
  <si>
    <t>iPhone 6s - нижний шлейф зарядки, черный</t>
  </si>
  <si>
    <t>https://icomponents.ru/catalog/iphone/iphone_6s_2/iphone_6s_nizhniy_shleyf_zaryadki_chernyy/</t>
  </si>
  <si>
    <t>iPhone 6S [CHG] Шлейф зарядки (нижний, док) Белый</t>
  </si>
  <si>
    <t>429 938</t>
  </si>
  <si>
    <t>iPhone 6s - нижний шлейф зарядки, белый</t>
  </si>
  <si>
    <t>https://icomponents.ru/catalog/iphone/iphone_6s_2/iphone_6s_nizhniy_shleyf_zaryadki_belyy/</t>
  </si>
  <si>
    <t>iPhone 6S Plus [CHG] Шлейф зарядки (нижний, док) Черный</t>
  </si>
  <si>
    <t>4030 904</t>
  </si>
  <si>
    <t>iPhone 6s+ - нижний шлейф зарядки, черный</t>
  </si>
  <si>
    <t>https://icomponents.ru/catalog/iphone/iphone_6s/iphone_6s_nizhniy_shleyf_zaryadki_chernyy_2/</t>
  </si>
  <si>
    <t>iPhone 6S Plus [CHG] Шлейф зарядки (нижний, док) Белый</t>
  </si>
  <si>
    <t>4030 903</t>
  </si>
  <si>
    <t>iPhone 6s+ - нижний шлейф зарядки, белый</t>
  </si>
  <si>
    <t>https://icomponents.ru/catalog/iphone/iphone_6s/iphone_6s_nizhniy_shleyf_zaryadki_belyy_2/</t>
  </si>
  <si>
    <t>iPhone 7 [CHG] Шлейф зарядки (нижний, док) Черный</t>
  </si>
  <si>
    <t>4896 111</t>
  </si>
  <si>
    <t>iPhone 7 - Нижний шлейф с разъемом зарядки ORIG, черный</t>
  </si>
  <si>
    <t>https://icomponents.ru/catalog/iphone/iphone_7_2/iphone_7_nizhniy_shleyf_s_razemom_zaryadki_orig_chernyy/</t>
  </si>
  <si>
    <t>iPhone 7 [CHG] Шлейф зарядки (нижний, док) Белый</t>
  </si>
  <si>
    <t>4896 112</t>
  </si>
  <si>
    <t>iPhone 7 - Нижний шлейф с разъемом зарядки ORIG, белый</t>
  </si>
  <si>
    <t>https://icomponents.ru/catalog/iphone/iphone_7_2/iphone_7_nizhniy_shleyf_s_razemom_zaryadki_orig_belyy/</t>
  </si>
  <si>
    <t>iPhone 7 Plus [CHG] Шлейф зарядки (нижний, док) Черный</t>
  </si>
  <si>
    <t>4896 113</t>
  </si>
  <si>
    <t>iPhone 7 Plus - Нижний шлейф с разъемом зарядки ORIG, черный</t>
  </si>
  <si>
    <t>https://icomponents.ru/catalog/iphone/iphone_7/iphone_7_plus_nizhniy_shleyf_s_razemom_zaryadki_orig_chernyy/</t>
  </si>
  <si>
    <t>iPhone 7 Plus [CHG] Шлейф зарядки (нижний, док) Белый</t>
  </si>
  <si>
    <t>4929 598</t>
  </si>
  <si>
    <t>iPhone 7 Plus - Нижний шлейф с разъемом зарядки ORIG, белый</t>
  </si>
  <si>
    <t>https://icomponents.ru/catalog/iphone/iphone_7/iphone_7_plus_nizhniy_shleyf_s_razemom_zaryadki_orig_belyy/</t>
  </si>
  <si>
    <t>iPhone 8 [CHG] Шлейф зарядки (нижний, док) Черный</t>
  </si>
  <si>
    <t>19810 534</t>
  </si>
  <si>
    <t>iPhone 8 - Нижний шлейф с разъемом зарядки ORIG, черный</t>
  </si>
  <si>
    <t>https://icomponents.ru/catalog/iphone/iphone_8_se2020/iphone_8_nizhniy_shleyf_s_razemom_zaryadki_orig_chernyy/</t>
  </si>
  <si>
    <t>iPhone 8 [CHG] Шлейф зарядки (нижний, док) Белый</t>
  </si>
  <si>
    <t>20677 498</t>
  </si>
  <si>
    <t>iPhone 8 - Нижний шлейф с разъемом зарядки ORIG, белый</t>
  </si>
  <si>
    <t>https://icomponents.ru/catalog/iphone/iphone_8_se2020/iphone_8_nizhniy_shleyf_s_razemom_zaryadki_orig_belyy/</t>
  </si>
  <si>
    <t>iPhone 8 [CHG] Шлейф зарядки (нижний, док) Золотой</t>
  </si>
  <si>
    <t>iPhone 8 - Нижний шлейф с разъемом зарядки ORIG, золотой</t>
  </si>
  <si>
    <t>https://icomponents.ru/catalog/iphone/iphone_8_se2020/iphone_8_nizhniy_shleyf_s_razemom_zaryadki_orig_zolotoy/</t>
  </si>
  <si>
    <t>iPhone 8 Plus [CHG] Шлейф зарядки (нижний, док) Черный</t>
  </si>
  <si>
    <t>7945 800</t>
  </si>
  <si>
    <t>iPhone 8 Plus - Нижний шлейф с разъемом зарядки ORIG, черный</t>
  </si>
  <si>
    <t>https://icomponents.ru/catalog/iphone/iphone_8/iphone_8_plus_nizhniy_shleyf_s_razemom_zaryadki_orig_chernyy/</t>
  </si>
  <si>
    <t>iPhone 8 Plus [CHG] Шлейф зарядки (нижний, док) Белый</t>
  </si>
  <si>
    <t>30470 087</t>
  </si>
  <si>
    <t>iPhone 8 Plus - Нижний шлейф с разъемом зарядки ORIG, белый</t>
  </si>
  <si>
    <t>https://icomponents.ru/catalog/iphone/iphone_8/iphone_8_plus_nizhniy_shleyf_s_razemom_zaryadki_orig_belyy/</t>
  </si>
  <si>
    <t>iPhone 8 Plus [CHG] Шлейф зарядки (нижний, док) Золотой</t>
  </si>
  <si>
    <t>iPhone SE 2020 [CHG] Шлейф зарядки (нижний, док) Черный</t>
  </si>
  <si>
    <t>35427 589</t>
  </si>
  <si>
    <t>iPhone SE 2020 - Нижний шлейф с разъемом зарядки ORIG, черный</t>
  </si>
  <si>
    <t>https://icomponents.ru/catalog/iphone/iphone_8_se2020/iphone_se_2020_nizhniy_shleyf_s_razemom_zaryadki_orig_chernyy/</t>
  </si>
  <si>
    <t>iPhone SE 2020 [CHG] Шлейф зарядки (нижний, док) Белый</t>
  </si>
  <si>
    <t>29151 857</t>
  </si>
  <si>
    <t>iPhone SE 2020 - Нижний шлейф с разъемом зарядки ORIG, белый</t>
  </si>
  <si>
    <t>https://icomponents.ru/catalog/iphone/iphone_8_se2020/iphone_se_2020_nizhniy_shleyf_s_razemom_zaryadki_orig_belyy/</t>
  </si>
  <si>
    <t>iPhone SE 2022 [CHG] Шлейф зарядки (нижний, док) Черный</t>
  </si>
  <si>
    <t>iPhone SE 2022 [CHG] Шлейф зарядки (нижний, док) Белый</t>
  </si>
  <si>
    <t>iPhone XR [CHG] Шлейф зарядки (нижний, док) Черный</t>
  </si>
  <si>
    <t>15730 863</t>
  </si>
  <si>
    <t>iPhone XR - Нижний шлейф с разъемом зарядки ORIG, черный</t>
  </si>
  <si>
    <t>https://icomponents.ru/catalog/iphone/iphone_xr/iphone_xr_nizhniy_shleyf_s_razemom_zaryadki_orig_chernyy/</t>
  </si>
  <si>
    <t>iPhone XR [CHG] Шлейф зарядки (нижний, док) Белый</t>
  </si>
  <si>
    <t>12573 317</t>
  </si>
  <si>
    <t>iPhone XR - Нижний шлейф с разъемом зарядки ORIG, белый</t>
  </si>
  <si>
    <t>https://icomponents.ru/catalog/iphone/iphone_xr/iphone_xr_nizhniy_shleyf_s_razemom_zaryadki_orig_belyy/</t>
  </si>
  <si>
    <t>iPhone X [CHG] Шлейф зарядки (нижний, док) Черный</t>
  </si>
  <si>
    <t>10831 538</t>
  </si>
  <si>
    <t>iPhone X - Нижний шлейф с разъемом зарядки ORIG, черный</t>
  </si>
  <si>
    <t>https://icomponents.ru/catalog/iphone/iphone_x/iphone_x_nizhniy_shleyf_s_razemom_zaryadki_orig_chernyy/</t>
  </si>
  <si>
    <t>iPhone X [CHG] Шлейф зарядки (нижний, док) Белый</t>
  </si>
  <si>
    <t>30473 294</t>
  </si>
  <si>
    <t>iPhone X - Нижний шлейф с разъемом зарядки ORIG, белый</t>
  </si>
  <si>
    <t>https://icomponents.ru/catalog/iphone/iphone_x/iphone_x_nizhniy_shleyf_s_razemom_zaryadki_orig_belyy/</t>
  </si>
  <si>
    <t>iPhone XS [CHG] Шлейф зарядки (нижний, док) Черный</t>
  </si>
  <si>
    <t>11595 685</t>
  </si>
  <si>
    <t>iPhone XS - Нижний шлейф с разъемом зарядки ORIG, белый</t>
  </si>
  <si>
    <t>https://icomponents.ru/catalog/iphone/iphone_xs/iphone_xs_nizhniy_shleyf_s_razemom_zaryadki_orig_belyy/</t>
  </si>
  <si>
    <t>iPhone XS [CHG] Шлейф зарядки (нижний, док) Белый</t>
  </si>
  <si>
    <t>11595 686</t>
  </si>
  <si>
    <t>iPhone XS [CHG] Шлейф зарядки (нижний, док) Золотой</t>
  </si>
  <si>
    <t>iPhone XS Max [CHG] Шлейф зарядки (нижний, док) Черный</t>
  </si>
  <si>
    <t>10831 539</t>
  </si>
  <si>
    <t>iPhone XS MAX - Нижний шлейф с разъемом зарядки ORIG, черный</t>
  </si>
  <si>
    <t>https://icomponents.ru/catalog/iphone/iphone_xs_max/iphone_xs_max_nizhniy_shleyf_s_razemom_zaryadki_orig_chernyy/</t>
  </si>
  <si>
    <t>iPhone XS Max [CHG] Шлейф зарядки (нижний, док) Белый</t>
  </si>
  <si>
    <t>iPhone XS MAX - Нижний шлейф с разъемом зарядки ORIG, белый</t>
  </si>
  <si>
    <t>https://icomponents.ru/catalog/iphone/iphone_xs_max/iphone_xs_max_nizhniy_shleyf_s_razemom_zaryadki_orig_belyy/</t>
  </si>
  <si>
    <t>iPhone XS Max [CHG] Шлейф зарядки (нижний, док) Золотой</t>
  </si>
  <si>
    <t>iPhone XS MAX - Нижний шлейф с разъемом зарядки ORIG, золотой</t>
  </si>
  <si>
    <t>https://icomponents.ru/catalog/iphone/iphone_xs_max/iphone_xs_max_nizhniy_shleyf_s_razemom_zaryadki_orig_zolotoy/</t>
  </si>
  <si>
    <t>iPhone 11 [CHG] Шлейф зарядки (нижний, док) Черный</t>
  </si>
  <si>
    <t>22411 117</t>
  </si>
  <si>
    <t>iPhone 11 - Нижний шлейф с разъемом зарядки ORIG, черный</t>
  </si>
  <si>
    <t>https://icomponents.ru/catalog/iphone/iphone_11/iphone_11_nizhniy_shleyf_s_razemom_zaryadki_orig_chernyy/</t>
  </si>
  <si>
    <t>iPhone 11 [CHG] Шлейф зарядки (нижний, док) Белый</t>
  </si>
  <si>
    <t>26486 329</t>
  </si>
  <si>
    <t>iPhone 11 - Нижний шлейф с разъемом зарядки ORIG, белый</t>
  </si>
  <si>
    <t>https://icomponents.ru/catalog/iphone/iphone_11/iphone_11_nizhniy_shleyf_s_razemom_zaryadki_orig_belyy/</t>
  </si>
  <si>
    <t>iPhone 11 [CHG] Шлейф зарядки (нижний, док) Фиолетовый</t>
  </si>
  <si>
    <t>iPhone 11 - Нижний шлейф с разъемом зарядки ORIG, фиолетовый</t>
  </si>
  <si>
    <t>https://icomponents.ru/catalog/iphone/iphone_11/iphone_11_nizhniy_shleyf_s_razemom_zaryadki_orig_fioletovyy/</t>
  </si>
  <si>
    <t>iPhone 11 [CHG] Шлейф зарядки (нижний, док) Зеленый</t>
  </si>
  <si>
    <t>iPhone 11 - Нижний шлейф с разъемом зарядки ORIG, зеленый</t>
  </si>
  <si>
    <t>https://icomponents.ru/catalog/iphone/iphone_11/iphone_11_nizhniy_shleyf_s_razemom_zaryadki_orig_zelenyy/</t>
  </si>
  <si>
    <t>iPhone 11 [CHG] Шлейф зарядки (нижний, док) Красный</t>
  </si>
  <si>
    <t>iPhone 11 - Нижний шлейф с разъемом зарядки ORIG, красный</t>
  </si>
  <si>
    <t>https://icomponents.ru/catalog/iphone/iphone_11/iphone_11_nizhniy_shleyf_s_razemom_zaryadki_orig_krasnyy/</t>
  </si>
  <si>
    <t>iPhone 11 [CHG] Шлейф зарядки (нижний, док) Желтый</t>
  </si>
  <si>
    <t>iPhone 11 - Нижний шлейф с разъемом зарядки ORIG, желтый</t>
  </si>
  <si>
    <t>https://icomponents.ru/catalog/iphone/iphone_11/iphone_11_nizhniy_shleyf_s_razemom_zaryadki_orig_zheltyy/</t>
  </si>
  <si>
    <t>iPhone 11 Pro [CHG] Шлейф зарядки (нижний, док) Черный</t>
  </si>
  <si>
    <t>26486 277</t>
  </si>
  <si>
    <t>iPhone 11 Pro - Нижний шлейф с разъемом зарядки ORIG, черный</t>
  </si>
  <si>
    <t>https://icomponents.ru/catalog/iphone/iphone_11_pro/iphone_11_pro_nizhniy_shleyf_s_razemom_zaryadki_orig_chernyy/</t>
  </si>
  <si>
    <t>iPhone 11 Pro [CHG] Шлейф зарядки (нижний, док) Белый</t>
  </si>
  <si>
    <t>23788 436</t>
  </si>
  <si>
    <t>iPhone 11 Pro - Нижний шлейф с разъемом зарядки ORIG, белый</t>
  </si>
  <si>
    <t>https://icomponents.ru/catalog/iphone/iphone_11_pro/iphone_11_pro_nizhniy_shleyf_s_razemom_zaryadki_orig_belyy/</t>
  </si>
  <si>
    <t>iPhone 11 Pro [CHG] Шлейф зарядки (нижний, док) Золотой</t>
  </si>
  <si>
    <t>iPhone 11 Pro [CHG] Шлейф зарядки (нижний, док) Зеленый</t>
  </si>
  <si>
    <t>iPhone 11 Pro Max [CHG] Шлейф зарядки (нижний, док) Черный</t>
  </si>
  <si>
    <t>26486 398</t>
  </si>
  <si>
    <t>iPhone 11 Pro Max - Нижний шлейф с разъемом зарядки ORIG, черный</t>
  </si>
  <si>
    <t>https://icomponents.ru/catalog/iphone/iphone_11_pro_max/iphone_11_pro_max_nizhniy_shleyf_s_razemom_zaryadki_orig_chernyy/</t>
  </si>
  <si>
    <t>iPhone 11 Pro Max [CHG] Шлейф зарядки (нижний, док) Белый</t>
  </si>
  <si>
    <t>26486 378</t>
  </si>
  <si>
    <t>iPhone 11 Pro Max - Нижний шлейф с разъемом зарядки ORIG, белый</t>
  </si>
  <si>
    <t>https://icomponents.ru/catalog/iphone/iphone_11_pro_max/iphone_11_pro_max_nizhniy_shleyf_s_razemom_zaryadki_orig_belyy/</t>
  </si>
  <si>
    <t>iPhone 11 Pro Max [CHG] Шлейф зарядки (нижний, док) Золотой</t>
  </si>
  <si>
    <t>iPhone 11 Pro Max [CHG] Шлейф зарядки (нижний, док) Зеленый</t>
  </si>
  <si>
    <t>iPhone 12 / 12 Pro [CHG] Шлейф зарядки (нижний, док) Черный</t>
  </si>
  <si>
    <t>32130 148</t>
  </si>
  <si>
    <t>iPhone 12 - Нижний шлейф с разъемом зарядки ORIG, черный</t>
  </si>
  <si>
    <t>https://icomponents.ru/catalog/iphone/iphone_12/iphone_12_nizhniy_shleyf_s_razemom_zaryadki_orig_chernyy/</t>
  </si>
  <si>
    <t>iPhone 12 / 12 Pro [CHG] Шлейф зарядки (нижний, док) Белый</t>
  </si>
  <si>
    <t>51283 970</t>
  </si>
  <si>
    <t>iPhone 12 - Нижний шлейф с разъемом зарядки ORIG, белый</t>
  </si>
  <si>
    <t>https://icomponents.ru/catalog/iphone/iphone_12/iphone_12_nizhniy_shleyf_s_razemom_zaryadki_orig_belyy/</t>
  </si>
  <si>
    <t>iPhone 12 / 12 Pro [CHG] Шлейф зарядки (нижний, док) Синий</t>
  </si>
  <si>
    <t>51097 418</t>
  </si>
  <si>
    <t>iPhone 12 - Нижний шлейф с разъемом зарядки ORIG, голубой</t>
  </si>
  <si>
    <t>https://icomponents.ru/catalog/iphone/iphone_12/iphone_12_nizhniy_shleyf_s_razemom_zaryadki_orig_goluboy/</t>
  </si>
  <si>
    <t>iPhone 12 / 12 Pro [CHG] Шлейф зарядки (нижний, док) Зеленый</t>
  </si>
  <si>
    <t>iPhone 12 [CHG] Шлейф зарядки (нижний, док) Красный</t>
  </si>
  <si>
    <t>iPhone 12 - Нижний шлейф с разъемом зарядки ORIG, красный</t>
  </si>
  <si>
    <t>https://icomponents.ru/catalog/iphone/iphone_12/iphone_12_nizhniy_shleyf_s_razemom_zaryadki_orig_krasnyy/</t>
  </si>
  <si>
    <t>iPhone 12 [CHG] Шлейф зарядки (нижний, док) Фиолетовый</t>
  </si>
  <si>
    <t>iPhone 12 Pro [CHG] Шлейф зарядки (нижний, док) Золотой</t>
  </si>
  <si>
    <t>iPhone 12 - Нижний шлейф с разъемом зарядки ORIG, золотой</t>
  </si>
  <si>
    <t>https://icomponents.ru/catalog/iphone/iphone_12/iphone_12_nizhniy_shleyf_s_razemom_zaryadki_orig_zolotoy/</t>
  </si>
  <si>
    <t>iPhone 12 Mini [CHG] Шлейф зарядки (нижний, док) Черный</t>
  </si>
  <si>
    <t>38438 673</t>
  </si>
  <si>
    <t>iPhone 12 mini - Нижний шлейф с разъемом зарядки ORIG, черный</t>
  </si>
  <si>
    <t>https://icomponents.ru/catalog/iphone/iphone_12_mini/iphone_12_mini_nizhniy_shleyf_s_razemom_zaryadki_orig_chernyy/</t>
  </si>
  <si>
    <t>iPhone 12 Mini [CHG] Шлейф зарядки (нижний, док) Белый</t>
  </si>
  <si>
    <t>iPhone 12 Mini [CHG] Шлейф зарядки (нижний, док) Синий</t>
  </si>
  <si>
    <t>iPhone 12 Mini [CHG] Шлейф зарядки (нижний, док) Зеленый</t>
  </si>
  <si>
    <t>iPhone 12 Mini [CHG] Шлейф зарядки (нижний, док) Красный</t>
  </si>
  <si>
    <t>iPhone 12 Mini [CHG] Шлейф зарядки (нижний, док) Фиолетовый</t>
  </si>
  <si>
    <t>iPhone 12 Pro Max [CHG] Шлейф зарядки (нижний, док) Черный</t>
  </si>
  <si>
    <t>30962 214</t>
  </si>
  <si>
    <t>iPhone 12 Pro Max - Нижний шлейф с разъемом зарядки ORIG, черный</t>
  </si>
  <si>
    <t>https://icomponents.ru/catalog/iphone/iphone_12_pro_max/iphone_12_pro_max_nizhniy_shleyf_s_razemom_zaryadki_orig_chernyy/</t>
  </si>
  <si>
    <t>iPhone 12 Pro Max [CHG] Шлейф зарядки (нижний, док) Белый</t>
  </si>
  <si>
    <t>iPhone 12 Pro Max - Нижний шлейф с разъемом зарядки ORIG, белый</t>
  </si>
  <si>
    <t>https://icomponents.ru/catalog/iphone/iphone_12_pro_max/iphone_12_pro_max_nizhniy_shleyf_s_razemom_zaryadki_orig_belyy/</t>
  </si>
  <si>
    <t>iPhone 12 Pro Max [CHG] Шлейф зарядки (нижний, док) Синий</t>
  </si>
  <si>
    <t>iPhone 12 Pro Max - Нижний шлейф с разъемом зарядки ORIG, голубой</t>
  </si>
  <si>
    <t>https://icomponents.ru/catalog/iphone/iphone_12_pro_max/iphone_12_pro_max_nizhniy_shleyf_s_razemom_zaryadki_orig_goluboy/</t>
  </si>
  <si>
    <t>iPhone 12 Pro Max [CHG] Шлейф зарядки (нижний, док) Золотой</t>
  </si>
  <si>
    <t>iPhone 12 Pro Max - Нижний шлейф с разъемом зарядки ORIG, золотой</t>
  </si>
  <si>
    <t>https://icomponents.ru/catalog/iphone/iphone_12_pro_max/iphone_12_pro_max_nizhniy_shleyf_s_razemom_zaryadki_orig_zolotoy/</t>
  </si>
  <si>
    <t>iPhone 13 [CHG] Шлейф зарядки (нижний, док) Черный</t>
  </si>
  <si>
    <t>iPhone 13 [CHG] Шлейф зарядки (нижний, док) Белый</t>
  </si>
  <si>
    <t>36279 876</t>
  </si>
  <si>
    <t>iPhone 13 - Нижний шлейф с разъемом зарядки ORIG, белый</t>
  </si>
  <si>
    <t>https://icomponents.ru/catalog/iphone/iphone_13/iphone_13_nizhniy_shleyf_s_razemom_zaryadki_orig_belyy/</t>
  </si>
  <si>
    <t>iPhone 13 [CHG] Шлейф зарядки (нижний, док) Розовый</t>
  </si>
  <si>
    <t>iPhone 13 [CHG] Шлейф зарядки (нижний, док) Синий</t>
  </si>
  <si>
    <t>iPhone 13 - Нижний шлейф с разъемом зарядки ORIG, синий</t>
  </si>
  <si>
    <t>https://icomponents.ru/catalog/iphone/iphone_13/iphone_13_nizhniy_shleyf_s_razemom_zaryadki_orig_siniy/</t>
  </si>
  <si>
    <t>iPhone 13 [CHG] Шлейф зарядки (нижний, док) Красный</t>
  </si>
  <si>
    <t>iPhone 13 [CHG] Шлейф зарядки (нижний, док) Зеленый</t>
  </si>
  <si>
    <t>iPhone 13 Mini [CHG] Шлейф зарядки (нижний, док) Черный</t>
  </si>
  <si>
    <t>iPhone 13 mini - Нижний шлейф с разъемом зарядки ORIG, черный</t>
  </si>
  <si>
    <t>https://icomponents.ru/catalog/iphone/iphone_13_mini/iphone_13_mini_nizhniy_shleyf_s_razemom_zaryadki_orig_chernyy/</t>
  </si>
  <si>
    <t>iPhone 13 Mini [CHG] Шлейф зарядки (нижний, док) Белый</t>
  </si>
  <si>
    <t>iPhone 13 Mini [CHG] Шлейф зарядки (нижний, док) Розовый</t>
  </si>
  <si>
    <t>iPhone 13 Mini [CHG] Шлейф зарядки (нижний, док) Синий</t>
  </si>
  <si>
    <t>41889 448</t>
  </si>
  <si>
    <t>iPhone 13 Mini [CHG] Шлейф зарядки (нижний, док) Красный</t>
  </si>
  <si>
    <t>iPhone 13 Mini [CHG] Шлейф зарядки (нижний, док) Зеленый</t>
  </si>
  <si>
    <t>iPhone 13 Pro [CHG] Шлейф зарядки (нижний, док) Черный</t>
  </si>
  <si>
    <t>30574 837</t>
  </si>
  <si>
    <t>iPhone 13 Pro - Нижний шлейф с разъемом зарядки ORIG, черный</t>
  </si>
  <si>
    <t>https://icomponents.ru/catalog/iphone/iphone_13_pro/iphone_13_pro_nizhniy_shleyf_s_razemom_zaryadki_orig_chernyy/</t>
  </si>
  <si>
    <t>iPhone 13 Pro [CHG] Шлейф зарядки (нижний, док) Белый</t>
  </si>
  <si>
    <t>37101 423</t>
  </si>
  <si>
    <t>iPhone 13 Pro - Нижний шлейф с разъемом зарядки ORIG, белый</t>
  </si>
  <si>
    <t>https://icomponents.ru/catalog/iphone/iphone_13_pro/iphone_13_pro_nizhniy_shleyf_s_razemom_zaryadki_orig_belyy/</t>
  </si>
  <si>
    <t>iPhone 13 Pro [CHG] Шлейф зарядки (нижний, док) Золотой</t>
  </si>
  <si>
    <t>iPhone 13 Pro [CHG] Шлейф зарядки (нижний, док) Синий</t>
  </si>
  <si>
    <t>50827 600</t>
  </si>
  <si>
    <t>iPhone 13 Pro [CHG] Шлейф зарядки (нижний, док) Зеленый</t>
  </si>
  <si>
    <t>iPhone 13 Pro Max [CHG] Шлейф зарядки (нижний, док) Черный</t>
  </si>
  <si>
    <t>41307 411</t>
  </si>
  <si>
    <t>iPhone 13 Pro Max - Нижний шлейф с разъемом зарядки ORIG, черный</t>
  </si>
  <si>
    <t>https://icomponents.ru/catalog/iphone/iphone_13_pro_max/iphone_13_pro_max_nizhniy_shleyf_s_razemom_zaryadki_orig_chernyy/</t>
  </si>
  <si>
    <t>iPhone 13 Pro Max [CHG] Шлейф зарядки (нижний, док) Белый</t>
  </si>
  <si>
    <t>30929 070</t>
  </si>
  <si>
    <t>iPhone 13 Pro Max - Нижний шлейф с разъемом зарядки ORIG, белый</t>
  </si>
  <si>
    <t>https://icomponents.ru/catalog/iphone/iphone_13_pro_max/iphone_13_pro_max_nizhniy_shleyf_s_razemom_zaryadki_orig_belyy/</t>
  </si>
  <si>
    <t>iPhone 13 Pro Max [CHG] Шлейф зарядки (нижний, док) Золотой</t>
  </si>
  <si>
    <t>iPhone 13 Pro Max [CHG] Шлейф зарядки (нижний, док) Синий</t>
  </si>
  <si>
    <t>iPhone 13 Pro Max [CHG] Шлейф зарядки (нижний, док) Зеленый</t>
  </si>
  <si>
    <t>iPhone 14 [CHG] Шлейф зарядки (нижний, док) Черный</t>
  </si>
  <si>
    <t>36262 982</t>
  </si>
  <si>
    <t>iPhone 14 - Нижний шлейф с разъемом зарядки ORIG, черный</t>
  </si>
  <si>
    <t>https://icomponents.ru/catalog/iphone/iphone_14/iphone_14_nizhniy_shleyf_s_razemom_zaryadki_orig_chernyy/</t>
  </si>
  <si>
    <t>iPhone 14 [CHG] Шлейф зарядки (нижний, док) Белый</t>
  </si>
  <si>
    <t>39043 193</t>
  </si>
  <si>
    <t>iPhone 14 - Нижний шлейф с разъемом зарядки ORIG, белый</t>
  </si>
  <si>
    <t>https://icomponents.ru/catalog/iphone/iphone_14/iphone_14_nizhniy_shleyf_s_razemom_zaryadki_orig_belyy/</t>
  </si>
  <si>
    <t>iPhone 14 [CHG] Шлейф зарядки (нижний, док) Фиолетовый</t>
  </si>
  <si>
    <t>iPhone 14 [CHG] Шлейф зарядки (нижний, док) Синий</t>
  </si>
  <si>
    <t>iPhone 14 [CHG] Шлейф зарядки (нижний, док) Красный</t>
  </si>
  <si>
    <t>iPhone 14 [CHG] Шлейф зарядки (нижний, док) Желтый</t>
  </si>
  <si>
    <t>iPhone 14 Plus [CHG] Шлейф зарядки (нижний, док) Черный</t>
  </si>
  <si>
    <t>iPhone 14 Plus - Нижний шлейф с разъемом зарядки ORIG, черный</t>
  </si>
  <si>
    <t>https://icomponents.ru/catalog/iphone/iphone_14_plus/iphone_14_plus_nizhniy_shleyf_s_razemom_zaryadki_orig_chernyy/</t>
  </si>
  <si>
    <t>iPhone 14 Plus [CHG] Шлейф зарядки (нижний, док) Белый</t>
  </si>
  <si>
    <t>41141 250</t>
  </si>
  <si>
    <t>iPhone 14 Plus - Нижний шлейф с разъемом зарядки ORIG, белый</t>
  </si>
  <si>
    <t>https://icomponents.ru/catalog/iphone/iphone_14_plus/iphone_14_plus_nizhniy_shleyf_s_razemom_zaryadki_orig_belyy/</t>
  </si>
  <si>
    <t>iPhone 14 Plus [CHG] Шлейф зарядки (нижний, док) Фиолетовый</t>
  </si>
  <si>
    <t>iPhone 14 Plus [CHG] Шлейф зарядки (нижний, док) Синий</t>
  </si>
  <si>
    <t>iPhone 14 Plus [CHG] Шлейф зарядки (нижний, док) Красный</t>
  </si>
  <si>
    <t>iPhone 14 Plus [CHG] Шлейф зарядки (нижний, док) Желтый</t>
  </si>
  <si>
    <t>iPhone 14 Pro [CHG] Шлейф зарядки (нижний, док) Черный</t>
  </si>
  <si>
    <t>36262 885</t>
  </si>
  <si>
    <t>iPhone 14 Pro - Нижний шлейф с разъемом зарядки ORIG, черный</t>
  </si>
  <si>
    <t>https://icomponents.ru/catalog/iphone/iphone_14_pro/iphone_14_pro_nizhniy_shleyf_s_razemom_zaryadki_orig_chernyy/</t>
  </si>
  <si>
    <t>iPhone 14 Pro [CHG] Шлейф зарядки (нижний, док) Белый</t>
  </si>
  <si>
    <t>41496 279</t>
  </si>
  <si>
    <t>iPhone 14 Pro - Нижний шлейф с разъемом зарядки ORIG, белый</t>
  </si>
  <si>
    <t>https://icomponents.ru/catalog/iphone/iphone_14_pro/iphone_14_pro_nizhniy_shleyf_s_razemom_zaryadki_orig_belyy/</t>
  </si>
  <si>
    <t>iPhone 14 Pro [CHG] Шлейф зарядки (нижний, док) Фиолетовый</t>
  </si>
  <si>
    <t>41141 140</t>
  </si>
  <si>
    <t>iPhone 14 Pro [CHG] Шлейф зарядки (нижний, док) Золотой</t>
  </si>
  <si>
    <t>iPhone 14 Pro Max [CHG] Шлейф зарядки (нижний, док) Черный</t>
  </si>
  <si>
    <t>39094 307</t>
  </si>
  <si>
    <t>iPhone 14 Pro Max - Нижний шлейф с разъемом зарядки ORIG, черный</t>
  </si>
  <si>
    <t>https://icomponents.ru/catalog/iphone/iphone_14_pro_max/iphone_14_pro_max_nizhniy_shleyf_s_razemom_zaryadki_orig_chernyy/</t>
  </si>
  <si>
    <t>iPhone 14 Pro Max [CHG] Шлейф зарядки (нижний, док) Белый</t>
  </si>
  <si>
    <t>41496 205</t>
  </si>
  <si>
    <t>iPhone 14 Pro Max - Нижний шлейф с разъемом зарядки ORIG, белый</t>
  </si>
  <si>
    <t>https://icomponents.ru/catalog/iphone/iphone_14_pro_max/iphone_14_pro_max_nizhniy_shleyf_s_razemom_zaryadki_orig_belyy/</t>
  </si>
  <si>
    <t>iPhone 14 Pro Max [CHG] Шлейф зарядки (нижний, док) Фиолетовый</t>
  </si>
  <si>
    <t>38240 432</t>
  </si>
  <si>
    <t>iPhone 14 Pro Max [CHG] Шлейф зарядки (нижний, док) Золотой</t>
  </si>
  <si>
    <t>iPhone 15 [CHG] Шлейф зарядки (нижний, док) Черный</t>
  </si>
  <si>
    <t>41130 860</t>
  </si>
  <si>
    <t>iPhone 15 - Нижний шлейф с разъемом зарядки ORIG, черный</t>
  </si>
  <si>
    <t>https://icomponents.ru/catalog/iphone/iphone_15/iphone_15_nizhniy_shleyf_s_razemom_zaryadki_orig_chernyy/</t>
  </si>
  <si>
    <t>iPhone 15 [CHG] Шлейф зарядки (нижний, док) Зеленый</t>
  </si>
  <si>
    <t>iPhone 15 [CHG] Шлейф зарядки (нижний, док) Голубой</t>
  </si>
  <si>
    <t>iPhone 15 - Нижний шлейф с разъемом зарядки ORIG, белый</t>
  </si>
  <si>
    <t>https://icomponents.ru/catalog/iphone/iphone_15/iphone_15_nizhniy_shleyf_s_razemom_zaryadki_orig_belyy/</t>
  </si>
  <si>
    <t>iPhone 15 [CHG] Шлейф зарядки (нижний, док) Розовый</t>
  </si>
  <si>
    <t>iPhone 15 [CHG] Шлейф зарядки (нижний, док) Желтый</t>
  </si>
  <si>
    <t>iPhone 15 Plus [CHG] Шлейф зарядки (нижний, док) Черный</t>
  </si>
  <si>
    <t>41131 347</t>
  </si>
  <si>
    <t>iPhone 15 Plus - Нижний шлейф с разъемом зарядки ORIG, черный</t>
  </si>
  <si>
    <t>https://icomponents.ru/catalog/iphone/iphone_15_plus/iphone_15_plus_nizhniy_shleyf_s_razemom_zaryadki_orig_chernyy/</t>
  </si>
  <si>
    <t>iPhone 15 Plus [CHG] Шлейф зарядки (нижний, док) Зеленый</t>
  </si>
  <si>
    <t>iPhone 15 Plus [CHG] Шлейф зарядки (нижний, док) Голубой</t>
  </si>
  <si>
    <t>iPhone 15 Plus - Нижний шлейф с разъемом зарядки ORIG, белый</t>
  </si>
  <si>
    <t>https://icomponents.ru/catalog/iphone/iphone_15_plus/iphone_15_plus_nizhniy_shleyf_s_razemom_zaryadki_orig_belyy/</t>
  </si>
  <si>
    <t>iPhone 15 Plus [CHG] Шлейф зарядки (нижний, док) Розовый</t>
  </si>
  <si>
    <t>iPhone 15 Plus [CHG] Шлейф зарядки (нижний, док) Желтый</t>
  </si>
  <si>
    <t>iPhone 15 Pro [CHG] Шлейф зарядки (нижний, док) Черный Титан</t>
  </si>
  <si>
    <t>41496 390</t>
  </si>
  <si>
    <t>iPhone 15 Pro Нижний шлейф с разъемом зарядки ORIG, черный</t>
  </si>
  <si>
    <t>https://icomponents.ru/catalog/iphone/iphone_15_pro/iphone_15_pro_nizhniy_shleyf_s_razemom_zaryadki_orig_chernyy/</t>
  </si>
  <si>
    <t>iPhone 15 Pro [CHG] Шлейф зарядки (нижний, док) Белый Титан</t>
  </si>
  <si>
    <t>iPhone 15 Pro - Нижний шлейф с разъемом зарядки ORIG, белый</t>
  </si>
  <si>
    <t>https://icomponents.ru/catalog/iphone/iphone_15_pro/iphone_15_pro_nizhniy_shleyf_s_razemom_zaryadki_orig_belyy/</t>
  </si>
  <si>
    <t>iPhone 15 Pro [CHG] Шлейф зарядки (нижний, док) Натуральный Титан</t>
  </si>
  <si>
    <t>iPhone 15 Pro [CHG] Шлейф зарядки (нижний, док) Синий Титан</t>
  </si>
  <si>
    <t>iPhone 15 Pro Max [CHG] Шлейф зарядки (нижний, док) Черный Титан</t>
  </si>
  <si>
    <t>38891 539</t>
  </si>
  <si>
    <t>iPhone 15 Pro Max - Нижний шлейф с разъемом зарядки ORIG, черный</t>
  </si>
  <si>
    <t>https://icomponents.ru/catalog/iphone/iphone_15_pro_max/iphone_15_pro_max_nizhniy_shleyf_s_razemom_zaryadki_orig_chernyy/</t>
  </si>
  <si>
    <t>iPhone 15 Pro Max [CHG] Шлейф зарядки (нижний, док) Белый Титан</t>
  </si>
  <si>
    <t>iPhone 15 Pro Max - Нижний шлейф с разъемом зарядки ORIG, белый</t>
  </si>
  <si>
    <t>https://icomponents.ru/catalog/iphone/iphone_15_pro_max/iphone_15_pro_max_nizhniy_shleyf_s_razemom_zaryadki_orig_belyy/</t>
  </si>
  <si>
    <t>iPhone 15 Pro Max [CHG] Шлейф зарядки (нижний, док) Натуральный Титан</t>
  </si>
  <si>
    <t>iPhone 15 Pro Max [CHG] Шлейф зарядки (нижний, док) Синий Титан</t>
  </si>
  <si>
    <t>iPhone 16 [CHG] Шлейф зарядки (нижний, док) Черный</t>
  </si>
  <si>
    <t>49083 992</t>
  </si>
  <si>
    <t>iPhone 16 - Нижний шлейф с разъемом зарядки ORIG, черный</t>
  </si>
  <si>
    <t>https://icomponents.ru/catalog/iphone/iphone_16/iphone_16_nizhniy_shleyf_s_razemom_zaryadki_orig_chernyy/</t>
  </si>
  <si>
    <t>iPhone 16 [CHG] Шлейф зарядки (нижний, док) Белый</t>
  </si>
  <si>
    <t>iPhone 16 - Нижний шлейф с разъемом зарядки ORIG, белый</t>
  </si>
  <si>
    <t>https://icomponents.ru/catalog/iphone/iphone_16/iphone_16_nizhniy_shleyf_s_razemom_zaryadki_orig_belyy/</t>
  </si>
  <si>
    <t>iPhone 16 [CHG] Шлейф зарядки (нижний, док) Утьрамарин</t>
  </si>
  <si>
    <t>iPhone 16 [CHG] Шлейф зарядки (нижний, док) Розовый</t>
  </si>
  <si>
    <t>iPhone 16 [CHG] Шлейф зарядки (нижний, док) Бирюзовый</t>
  </si>
  <si>
    <t>iPhone 16E [CHG] Шлейф зарядки (нижний, док) Черный</t>
  </si>
  <si>
    <t>iPhone 16E [CHG] Шлейф зарядки (нижний, док) Белый</t>
  </si>
  <si>
    <t>iPhone 16 Plus [CHG] Шлейф зарядки (нижний, док) Черный</t>
  </si>
  <si>
    <t>iPhone 16 Plus - Нижний шлейф с разъемом зарядки ORIG, черный</t>
  </si>
  <si>
    <t>https://icomponents.ru/catalog/iphone/iphone_16_plus/iphone_16_plus_nizhniy_shleyf_s_razemom_zaryadki_orig_chernyy/</t>
  </si>
  <si>
    <t>iPhone 16 Plus [CHG] Шлейф зарядки (нижний, док) Белый</t>
  </si>
  <si>
    <t>iPhone 16 Plus - Нижний шлейф с разъемом зарядки ORIG, белый</t>
  </si>
  <si>
    <t>https://icomponents.ru/catalog/iphone/iphone_16_plus/iphone_16_plus_nizhniy_shleyf_s_razemom_zaryadki_orig_belyy/</t>
  </si>
  <si>
    <t>iPhone 16 Plus [CHG] Шлейф зарядки (нижний, док) Утьрамарин</t>
  </si>
  <si>
    <t>iPhone 16 Plus [CHG] Шлейф зарядки (нижний, док) Розовый</t>
  </si>
  <si>
    <t>iPhone 16 Plus [CHG] Шлейф зарядки (нижний, док) Бирюзовый</t>
  </si>
  <si>
    <t>iPhone 16 Pro [CHG] Шлейф зарядки (нижний, док) Черный Титан</t>
  </si>
  <si>
    <t>iPhone 16 Pro - Нижний шлейф с разъемом зарядки ORIG, черный</t>
  </si>
  <si>
    <t>https://icomponents.ru/catalog/iphone/iphone_16_pro/iphone_16_pro_nizhniy_shleyf_s_razemom_zaryadki_orig_chernyy/</t>
  </si>
  <si>
    <t>iPhone 16 Pro [CHG] Шлейф зарядки (нижний, док) Белый Титан</t>
  </si>
  <si>
    <t>iPhone 16 Pro - Нижний шлейф с разъемом зарядки ORIG, белый</t>
  </si>
  <si>
    <t>https://icomponents.ru/catalog/iphone/iphone_16_pro/iphone_16_pro_nizhniy_shleyf_s_razemom_zaryadki_orig_belyy/</t>
  </si>
  <si>
    <t>iPhone 16 Pro [CHG] Шлейф зарядки (нижний, док) Натуральный Титан</t>
  </si>
  <si>
    <t>iPhone 16 Pro [CHG] Шлейф зарядки (нижний, док) Пустынный Титан</t>
  </si>
  <si>
    <t>iPhone 16 Pro Max [CHG] Шлейф зарядки (нижний, док) Черный Титан</t>
  </si>
  <si>
    <t>49462 789</t>
  </si>
  <si>
    <t>iPhone 16 Pro Max - Нижний шлейф с разъемом зарядки ORIG, черный</t>
  </si>
  <si>
    <t>https://icomponents.ru/catalog/iphone/iphone_16_pro_max/iphone_16_pro_max_nizhniy_shleyf_s_razemom_zaryadki_orig_chernyy/</t>
  </si>
  <si>
    <t>iPhone 16 Pro Max [CHG] Шлейф зарядки (нижний, док) Белый Титан</t>
  </si>
  <si>
    <t>iPhone 16 Pro Max - Нижний шлейф с разъемом зарядки ORIG, белый</t>
  </si>
  <si>
    <t>https://icomponents.ru/catalog/iphone/iphone_16_pro_max/iphone_16_pro_max_nizhniy_shleyf_s_razemom_zaryadki_orig_belyy/</t>
  </si>
  <si>
    <t>iPhone 16 Pro Max [CHG] Шлейф зарядки (нижний, док) Натуральный Титан</t>
  </si>
  <si>
    <t>iPhone 16 Pro Max [CHG] Шлейф зарядки (нижний, док) Пустынный Титан</t>
  </si>
  <si>
    <t>iPhone 17 [CHG] Шлейф зарядки (нижний, док) Черный</t>
  </si>
  <si>
    <t>61059 300</t>
  </si>
  <si>
    <t>iPhone 17 - Нижний шлейф с разъемом зарядки ORIG, черный</t>
  </si>
  <si>
    <t>https://icomponents.ru/catalog/iphone/iphone_17/iphone_17_nizhniy_shleyf_s_razemom_zaryadki_orig_chernyy/</t>
  </si>
  <si>
    <t>iPhone 17 [CHG] Шлейф зарядки (нижний, док) Белый</t>
  </si>
  <si>
    <t>iPhone 17 [CHG] Шлейф зарядки (нижний, док) Синий</t>
  </si>
  <si>
    <t>iPhone 17 [CHG] Шлейф зарядки (нижний, док) Розовый</t>
  </si>
  <si>
    <t>iPhone 17 [CHG] Шлейф зарядки (нижний, док) Зеленый</t>
  </si>
  <si>
    <t>iPhone 17 Air [CHG] Шлейф зарядки (нижний, док) Черный</t>
  </si>
  <si>
    <t>iPhone 17 Air - Нижний шлейф с разъемом зарядки ORIG, черный</t>
  </si>
  <si>
    <t>https://icomponents.ru/catalog/iphone/iphone_17_air/iphone_17_air_nizhniy_shleyf_s_razemom_zaryadki_orig_chernyy/</t>
  </si>
  <si>
    <t>iPhone 17 Air [CHG] Шлейф зарядки (нижний, док) Белый</t>
  </si>
  <si>
    <t>iPhone 17 Air [CHG] Шлейф зарядки (нижний, док) Голубой</t>
  </si>
  <si>
    <t>iPhone 17 Air [CHG] Шлейф зарядки (нижний, док) Золотой</t>
  </si>
  <si>
    <t>iPhone 17 Pro [CHG] Шлейф зарядки (нижний, док) Оранжевый</t>
  </si>
  <si>
    <t>iPhone 17 Pro [CHG] Шлейф зарядки (нижний, док) Белый</t>
  </si>
  <si>
    <t>iPhone 17 Pro [CHG] Шлейф зарядки (нижний, док) Синий</t>
  </si>
  <si>
    <t>iPhone 17 Pro - Нижний шлейф с разъемом зарядки (Deep Blue) ORIG</t>
  </si>
  <si>
    <t>https://icomponents.ru/catalog/iphone/iphone_17_pro/iphone_17_pro_nizhniy_shleyf_s_razemom_zaryadki_deep_blue_orig/</t>
  </si>
  <si>
    <t>iPhone 17 Pro Max [CHG] Шлейф зарядки (нижний, док) Оранжевый</t>
  </si>
  <si>
    <t>iPhone 17 Pro Max [CHG] Шлейф зарядки (нижний, док) Белый</t>
  </si>
  <si>
    <t>iPhone 17 Pro Max [CHG] Шлейф зарядки (нижний, док) Синий</t>
  </si>
  <si>
    <t>iPhone 17 Pro Max - Нижний шлейф с разъемом зарядки (Deep Blue) ORIG</t>
  </si>
  <si>
    <t>https://icomponents.ru/catalog/iphone/iphone_17_pro_max/iphone_17_pro_max_nizhniy_shleyf_s_razemom_zaryadki_deep_blue_orig/</t>
  </si>
  <si>
    <t>iPhone 5 [CAMR] Основная камера</t>
  </si>
  <si>
    <t>161 991</t>
  </si>
  <si>
    <t>Основная камера</t>
  </si>
  <si>
    <t>iPhone 5C [CAMR] Основная камера</t>
  </si>
  <si>
    <t>4485 685</t>
  </si>
  <si>
    <t>iPhone 5S [CAMR] Основная камера</t>
  </si>
  <si>
    <t>162 012</t>
  </si>
  <si>
    <t>iPhone SE 2016 [CAMR] Основная камера</t>
  </si>
  <si>
    <t>7306 275</t>
  </si>
  <si>
    <t>iPhone 6 [CAMR] Основная камера</t>
  </si>
  <si>
    <t>197 395</t>
  </si>
  <si>
    <t>iPhone 6 - Задняя основная камера ORIG</t>
  </si>
  <si>
    <t>https://icomponents.ru/catalog/iphone/iphone_6/iphone_6_zadnyaya_osnovnaya_kamera_orig/</t>
  </si>
  <si>
    <t>iPhone 6 Plus [CAMR] Основная камера</t>
  </si>
  <si>
    <t>197 396</t>
  </si>
  <si>
    <t>iPhone 6+ - Задняя основная камера ORIG</t>
  </si>
  <si>
    <t>https://icomponents.ru/catalog/iphone/iphone_6_2/iphone_6_zadnyaya_osnovnaya_kamera_orig_2/</t>
  </si>
  <si>
    <t>iPhone 6S [CAMR] Основная камера</t>
  </si>
  <si>
    <t>543 099</t>
  </si>
  <si>
    <t>iPhone 6s - Задняя основная камера ORIG</t>
  </si>
  <si>
    <t>https://icomponents.ru/catalog/iphone/iphone_6s_2/iphone_6s_zadnyaya_osnovnaya_kamera_orig/</t>
  </si>
  <si>
    <t>iPhone 6S Plus [CAMR] Основная камера</t>
  </si>
  <si>
    <t>5644 250</t>
  </si>
  <si>
    <t>iPhone 6s+ - Задняя основная камера ORIG</t>
  </si>
  <si>
    <t>https://icomponents.ru/catalog/iphone/iphone_6s/iphone_6s_zadnyaya_osnovnaya_kamera_orig_2/</t>
  </si>
  <si>
    <t>iPhone 7 [CAMR] Основная камера</t>
  </si>
  <si>
    <t>4780 991</t>
  </si>
  <si>
    <t>iPhone 7 - Задняя основная камера ORIG</t>
  </si>
  <si>
    <t>https://icomponents.ru/catalog/iphone/iphone_7_2/iphone_7_zadnyaya_osnovnaya_kamera_orig/</t>
  </si>
  <si>
    <t>iPhone 7 Plus [CAMR] Основная камера</t>
  </si>
  <si>
    <t>4845 842</t>
  </si>
  <si>
    <t>iPhone 7+ - Задняя основная камера ORIG</t>
  </si>
  <si>
    <t>https://icomponents.ru/catalog/iphone/iphone_7/iphone_7_zadnyaya_osnovnaya_kamera_orig_2/</t>
  </si>
  <si>
    <t>iPhone 8 [CAMR] Основная камера</t>
  </si>
  <si>
    <t>16095 749</t>
  </si>
  <si>
    <t>iPhone 8 - Задняя основная камера ORIG</t>
  </si>
  <si>
    <t>https://icomponents.ru/catalog/iphone/iphone_8_se2020/iphone_8_zadnyaya_osnovnaya_kamera_orig/</t>
  </si>
  <si>
    <t>iPhone 8 Plus [CAMR] Основная камера</t>
  </si>
  <si>
    <t>24522 925</t>
  </si>
  <si>
    <t>iPhone 8+ - Задняя основная камера ORIG</t>
  </si>
  <si>
    <t>https://icomponents.ru/catalog/iphone/iphone_8/iphone_8_zadnyaya_osnovnaya_kamera_orig_2/</t>
  </si>
  <si>
    <t>iPhone SE 2020 / SE 2022 [CAMR] Основная камера</t>
  </si>
  <si>
    <t>35427 583</t>
  </si>
  <si>
    <t>iPhone SE 2020 / SE 2022</t>
  </si>
  <si>
    <t>iPhone SE 2020 - Задняя основная камера ORIG</t>
  </si>
  <si>
    <t>https://icomponents.ru/catalog/iphone/iphone_8_se2020/iphone_se_2020_zadnyaya_osnovnaya_kamera_orig/</t>
  </si>
  <si>
    <t>iPhone XR [CAMR] Основная камера</t>
  </si>
  <si>
    <t>11965 500</t>
  </si>
  <si>
    <t>iPhone XR - Задняя основная камера ORIG</t>
  </si>
  <si>
    <t>https://icomponents.ru/catalog/iphone/iphone_xr/iphone_xr_zadnyaya_osnovnaya_kamera_orig/</t>
  </si>
  <si>
    <t>iPhone X [CAMR] Основная камера</t>
  </si>
  <si>
    <t>10690 027</t>
  </si>
  <si>
    <t>iPhone X - Задняя основная камера ORIG</t>
  </si>
  <si>
    <t>https://icomponents.ru/catalog/iphone/iphone_x/iphone_x_zadnyaya_osnovnaya_kamera_orig/</t>
  </si>
  <si>
    <t>iPhone XS / XS Max [CAMR] Основная камера</t>
  </si>
  <si>
    <t>13285 556</t>
  </si>
  <si>
    <t>iPhone XS / XS MAX - Задняя основная камера ORIG</t>
  </si>
  <si>
    <t>https://icomponents.ru/catalog/iphone/iphone_xs/iphone_xs_xs_max_zadnyaya_osnovnaya_kamera_orig/</t>
  </si>
  <si>
    <t>iPhone 11 [CAMR] Основная камера</t>
  </si>
  <si>
    <t>24010 699</t>
  </si>
  <si>
    <t>iPhone 11 - Задняя основная камера ORIG</t>
  </si>
  <si>
    <t>https://icomponents.ru/catalog/iphone/iphone_11/iphone_11_zadnyaya_osnovnaya_kamera_orig/</t>
  </si>
  <si>
    <t>iPhone 11 Pro / 11 Pro Max [CAMR] Основная камера</t>
  </si>
  <si>
    <t>iPhone 11 Pro / 11 Pro Max</t>
  </si>
  <si>
    <t>iPhone 11 Pro / Pro Max - Задняя основная камера ORIG</t>
  </si>
  <si>
    <t>https://icomponents.ru/catalog/iphone/iphone_11_pro_max/iphone_11_pro_pro_max_zadnyaya_osnovnaya_kamera_orig/</t>
  </si>
  <si>
    <t>iPhone 12 [CAMR] Основная камера</t>
  </si>
  <si>
    <t>30469 832</t>
  </si>
  <si>
    <t>iPhone 12 - Задняя основная камера ORIG</t>
  </si>
  <si>
    <t>https://icomponents.ru/catalog/iphone/iphone_12/iphone_12_zadnyaya_osnovnaya_kamera_orig/</t>
  </si>
  <si>
    <t>iPhone 12 Mini [CAMR] Основная камера</t>
  </si>
  <si>
    <t>39094 377</t>
  </si>
  <si>
    <t>iPhone 12 mini - Камера основная задняя ORIG</t>
  </si>
  <si>
    <t>https://icomponents.ru/catalog/iphone/iphone_12_mini/iphone_12_mini_kamera_osnovnaya_zadnyaya_orig/</t>
  </si>
  <si>
    <t>iPhone 12 Pro [CAMR] Основная камера</t>
  </si>
  <si>
    <t>28021 087</t>
  </si>
  <si>
    <t>iPhone 12 Pro - Задняя основная камера ORIG</t>
  </si>
  <si>
    <t>https://icomponents.ru/catalog/iphone/iphone_12_pro/iphone_12_pro_zadnyaya_osnovnaya_kamera_orig/</t>
  </si>
  <si>
    <t>iPhone 12 Pro Max [CAMR] Основная камера</t>
  </si>
  <si>
    <t>30256 028</t>
  </si>
  <si>
    <t>iPhone 12 Pro Max - Камера основная задняя ORIG</t>
  </si>
  <si>
    <t>https://icomponents.ru/catalog/iphone/iphone_12_pro_max/iphone_12_pro_max_kamera_osnovnaya_zadnyaya_orig/</t>
  </si>
  <si>
    <t>iPhone 13 / 13 Mini [CAMR] Основная камера</t>
  </si>
  <si>
    <t>36279 828</t>
  </si>
  <si>
    <t>iPhone 13 / 13 mini - Камера основная задняя ORIG</t>
  </si>
  <si>
    <t>https://icomponents.ru/catalog/iphone/iphone_13/iphone_13_13_mini_kamera_osnovnaya_zadnyaya_orig/</t>
  </si>
  <si>
    <t>iPhone 13 Pro / 13 Pro Max [CAMR] Основная камера</t>
  </si>
  <si>
    <t>29950 870</t>
  </si>
  <si>
    <t>iPhone 13 Pro / 13 Pro Max - Камера основная задняя ORIG</t>
  </si>
  <si>
    <t>https://icomponents.ru/catalog/iphone/iphone_13_pro/iphone_13_pro_13_pro_max_kamera_osnovnaya_zadnyaya_orig/</t>
  </si>
  <si>
    <t>iPhone 14 [CAMR] Основная камера</t>
  </si>
  <si>
    <t>38764 816</t>
  </si>
  <si>
    <t>iPhone 14 - Камера основная задняя ORIG</t>
  </si>
  <si>
    <t>https://icomponents.ru/catalog/iphone/iphone_14/iphone_14_kamera_osnovnaya_zadnyaya_orig/</t>
  </si>
  <si>
    <t>iPhone 14 Plus [CAMR] Основная камера</t>
  </si>
  <si>
    <t>41141 230</t>
  </si>
  <si>
    <t>iPhone 14 Plus - Камера основная задняя ORIG</t>
  </si>
  <si>
    <t>https://icomponents.ru/catalog/iphone/iphone_14_plus/iphone_14_plus_kamera_osnovnaya_zadnyaya_orig/</t>
  </si>
  <si>
    <t>iPhone 14 Pro [CAMR] Основная камера</t>
  </si>
  <si>
    <t>38764 855</t>
  </si>
  <si>
    <t>iPhone 14 Pro - Камера основная задняя ORIG</t>
  </si>
  <si>
    <t>https://icomponents.ru/catalog/iphone/iphone_14_pro/iphone_14_pro_kamera_osnovnaya_zadnyaya_orig/</t>
  </si>
  <si>
    <t>iPhone 14 Pro Max [CAMR] Основная камера</t>
  </si>
  <si>
    <t>38583 515</t>
  </si>
  <si>
    <t>iPhone 14 Pro Max - Камера основная задняя ORIG</t>
  </si>
  <si>
    <t>https://icomponents.ru/catalog/iphone/iphone_14_pro_max/iphone_14_pro_max_kamera_osnovnaya_zadnyaya_orig/</t>
  </si>
  <si>
    <t>iPhone 15 [CAMR] Основная камера</t>
  </si>
  <si>
    <t>41130 837</t>
  </si>
  <si>
    <t>iPhone 15 - Камера основная задняя ORIG</t>
  </si>
  <si>
    <t>https://icomponents.ru/catalog/iphone/iphone_15/iphone_15_kamera_osnovnaya_zadnyaya_orig/</t>
  </si>
  <si>
    <t>iPhone 15 Plus [CAMR] Основная камера</t>
  </si>
  <si>
    <t>41131 326</t>
  </si>
  <si>
    <t>iPhone 15 Plus - Камера основная задняя ORIG</t>
  </si>
  <si>
    <t>https://icomponents.ru/catalog/iphone/iphone_15_plus/iphone_15_plus_kamera_osnovnaya_zadnyaya_orig/</t>
  </si>
  <si>
    <t>iPhone 15 Pro [CAMR] Основная камера</t>
  </si>
  <si>
    <t>38991 687</t>
  </si>
  <si>
    <t>iPhone 15 Pro - Камера основная задняя ORIG</t>
  </si>
  <si>
    <t>https://icomponents.ru/catalog/iphone/iphone_15_pro/iphone_15_pro_kamera_osnovnaya_zadnyaya_orig/</t>
  </si>
  <si>
    <t>iPhone 15 Pro Max [CAMR] Основная камера</t>
  </si>
  <si>
    <t>38891 540</t>
  </si>
  <si>
    <t>iPhone 15 Pro Max - Камера основная задняя ORIG</t>
  </si>
  <si>
    <t>https://icomponents.ru/catalog/iphone/iphone_15_pro_max/iphone_15_pro_max_kamera_osnovnaya_zadnyaya_orig/</t>
  </si>
  <si>
    <t>iPhone 16 [CAMR] Основная камера</t>
  </si>
  <si>
    <t>49462 527</t>
  </si>
  <si>
    <t>iPhone 16 - Камера основная задняя ORIG (clean)</t>
  </si>
  <si>
    <t>https://icomponents.ru/catalog/iphone/iphone_16/iphone_16_kamera_osnovnaya_zadnyaya_orig_clean/</t>
  </si>
  <si>
    <t>iPhone 16E [CAMR] Основная камера</t>
  </si>
  <si>
    <t>iPhone 16 Plus [CAMR] Основная камера</t>
  </si>
  <si>
    <t>iPhone 16 Plus - Камера основная задняя ORIG</t>
  </si>
  <si>
    <t>https://icomponents.ru/catalog/iphone/iphone_16_plus/iphone_16_plus_kamera_osnovnaya_zadnyaya_orig/</t>
  </si>
  <si>
    <t>iPhone 16 Pro [CAMR] Основная камера</t>
  </si>
  <si>
    <t>49462 647</t>
  </si>
  <si>
    <t>iPhone 16 Pro - Камера основная задняя ORIG</t>
  </si>
  <si>
    <t>https://icomponents.ru/catalog/iphone/iphone_16_pro/iphone_16_pro_kamera_osnovnaya_zadnyaya_orig/</t>
  </si>
  <si>
    <t>iPhone 16 Pro Max [CAMR] Основная камера</t>
  </si>
  <si>
    <t>49462 724</t>
  </si>
  <si>
    <t>iPhone 16 Pro Max - Камера основная задняя ORIG</t>
  </si>
  <si>
    <t>https://icomponents.ru/catalog/iphone/iphone_16_pro_max/iphone_16_pro_max_kamera_osnovnaya_zadnyaya_orig/</t>
  </si>
  <si>
    <t>iPhone 17 [CAMR] Основная камера</t>
  </si>
  <si>
    <t>61283 444</t>
  </si>
  <si>
    <t>iPhone 17 - Камера основная задняя ORIG</t>
  </si>
  <si>
    <t>https://icomponents.ru/catalog/iphone/iphone_17/iphone_17_kamera_osnovnaya_zadnyaya_orig/</t>
  </si>
  <si>
    <t>iPhone 17 Air [CAMR] Основная камера</t>
  </si>
  <si>
    <t>iPhone Air - Камера основная задняя ORIG</t>
  </si>
  <si>
    <t>https://icomponents.ru/catalog/iphone/iphone_17_air/iphone_air_kamera_osnovnaya_zadnyaya_orig/</t>
  </si>
  <si>
    <t>iPhone 17 Pro [CAMR] Основная камера</t>
  </si>
  <si>
    <t>iPhone 17 Pro - Камера основная задняя ORIG (clean)</t>
  </si>
  <si>
    <t>https://icomponents.ru/catalog/iphone/iphone_17_pro/iphone_17_pro_kamera_osnovnaya_zadnyaya_orig_clean/</t>
  </si>
  <si>
    <t>iPhone 17 Pro Max [CAMR] Основная камера</t>
  </si>
  <si>
    <t>iPhone 17 Pro Max - Камера основная задняя ORIG (clean)</t>
  </si>
  <si>
    <t>https://icomponents.ru/catalog/iphone/iphone_17_pro_max/iphone_17_pro_max_kamera_osnovnaya_zadnyaya_orig_clean/</t>
  </si>
  <si>
    <t>iPhone 5 [CAMF] Фронтальная камера</t>
  </si>
  <si>
    <t>161 992</t>
  </si>
  <si>
    <t>Фронтальная камера</t>
  </si>
  <si>
    <t>iPhone 5C [CAMF] Фронтальная камера</t>
  </si>
  <si>
    <t>284 369</t>
  </si>
  <si>
    <t>iPhone 5S [CAMF] Фронтальная камера</t>
  </si>
  <si>
    <t>35100 094</t>
  </si>
  <si>
    <t>iPhone SE 2016 [CAMF] Фронтальная камера</t>
  </si>
  <si>
    <t>5333 397</t>
  </si>
  <si>
    <t>iPhone 6 [CAMF] Фронтальная камера</t>
  </si>
  <si>
    <t>226 954</t>
  </si>
  <si>
    <t>iPhone 6 - Фронтальная камера ORIG</t>
  </si>
  <si>
    <t>https://icomponents.ru/catalog/iphone/iphone_6/iphone_6_frontalnaya_kamera_orig/</t>
  </si>
  <si>
    <t>iPhone 6 Plus [CAMF] Фронтальная камера</t>
  </si>
  <si>
    <t>197 397</t>
  </si>
  <si>
    <t>iPhone 6+ - Фронтальная камера ORIG</t>
  </si>
  <si>
    <t>https://icomponents.ru/catalog/iphone/iphone_6_2/iphone_6_frontalnaya_kamera_orig_2/</t>
  </si>
  <si>
    <t>iPhone 6S [CAMF] Фронтальная камера</t>
  </si>
  <si>
    <t>543 098</t>
  </si>
  <si>
    <t>iPhone 6s - Фронтальная камера ORIG</t>
  </si>
  <si>
    <t>https://icomponents.ru/catalog/iphone/iphone_6s_2/iphone_6s_frontalnaya_kamera_orig/</t>
  </si>
  <si>
    <t>iPhone 6S Plus [CAMF] Фронтальная камера</t>
  </si>
  <si>
    <t>543 096</t>
  </si>
  <si>
    <t>iPhone 6s+ - Фронтальная камера ORIG</t>
  </si>
  <si>
    <t>https://icomponents.ru/catalog/iphone/iphone_6s/iphone_6s_frontalnaya_kamera_orig_2/</t>
  </si>
  <si>
    <t>iPhone 7 [CAMF] Фронтальная камера</t>
  </si>
  <si>
    <t>5197 282</t>
  </si>
  <si>
    <t>iPhone 7 - Фронтальная камера ORIG</t>
  </si>
  <si>
    <t>https://icomponents.ru/catalog/iphone/iphone_7_2/iphone_7_frontalnaya_kamera_orig/</t>
  </si>
  <si>
    <t>iPhone 7 Plus [CAMF] Фронтальная камера</t>
  </si>
  <si>
    <t>5060 198</t>
  </si>
  <si>
    <t>iPhone 7+ - Фронтальная камера ORIG</t>
  </si>
  <si>
    <t>https://icomponents.ru/catalog/iphone/iphone_7/iphone_7_frontalnaya_kamera_orig_2/</t>
  </si>
  <si>
    <t>iPhone 8 [CAMF] Фронтальная камера</t>
  </si>
  <si>
    <t>9196 244</t>
  </si>
  <si>
    <t>iPhone 8 - Фронтальная камера ORIG</t>
  </si>
  <si>
    <t>https://icomponents.ru/catalog/iphone/iphone_8_se2020/iphone_8_frontalnaya_kamera_orig/</t>
  </si>
  <si>
    <t>iPhone 8 Plus [CAMF] Фронтальная камера</t>
  </si>
  <si>
    <t>15964 763</t>
  </si>
  <si>
    <t>iPhone 8+ - Фронтальная камера ORIG</t>
  </si>
  <si>
    <t>https://icomponents.ru/catalog/iphone/iphone_8/iphone_8_frontalnaya_kamera_orig_2/</t>
  </si>
  <si>
    <t>iPhone SE 2020 / SE 2022 [CAMF] Фронтальная камера</t>
  </si>
  <si>
    <t>iPhone XR [CAMF] Фронтальная камера</t>
  </si>
  <si>
    <t>13027 760</t>
  </si>
  <si>
    <t>iPhone XR - Фронтальная камера ORIG</t>
  </si>
  <si>
    <t>https://icomponents.ru/catalog/iphone/iphone_xr/iphone_xr_frontalnaya_kamera_orig/</t>
  </si>
  <si>
    <t>iPhone X [CAMF] Фронтальная камера</t>
  </si>
  <si>
    <t>8567 426</t>
  </si>
  <si>
    <t>iPhone X - Фронтальная камера ORIG</t>
  </si>
  <si>
    <t>https://icomponents.ru/catalog/iphone/iphone_x/iphone_x_frontalnaya_kamera_orig/</t>
  </si>
  <si>
    <t>iPhone XS [CAMF] Фронтальная камера</t>
  </si>
  <si>
    <t>13285 555</t>
  </si>
  <si>
    <t>iPhone XS - Фронтальная камера ORIG</t>
  </si>
  <si>
    <t>https://icomponents.ru/catalog/iphone/iphone_xs/iphone_xs_frontalnaya_kamera_orig/</t>
  </si>
  <si>
    <t>iPhone XS Max [CAMF] Фронтальная камера</t>
  </si>
  <si>
    <t>12323 949</t>
  </si>
  <si>
    <t>iPhone XS MAX - Фронтальная камера ORIG</t>
  </si>
  <si>
    <t>https://icomponents.ru/catalog/iphone/iphone_xs_max/iphone_xs_max_frontalnaya_kamera_orig/</t>
  </si>
  <si>
    <t>iPhone 11 [CAMF] Фронтальная камера</t>
  </si>
  <si>
    <t>28994 522</t>
  </si>
  <si>
    <t>iPhone 11 - Фронтальная камера ORIG</t>
  </si>
  <si>
    <t>https://icomponents.ru/catalog/iphone/iphone_11/iphone_11_frontalnaya_kamera_orig/</t>
  </si>
  <si>
    <t>iPhone 11 Pro [CAMF] Фронтальная камера</t>
  </si>
  <si>
    <t>29483 054</t>
  </si>
  <si>
    <t>iPhone 11 Pro - Фронтальная камера ORIG</t>
  </si>
  <si>
    <t>https://icomponents.ru/catalog/iphone/iphone_11_pro/iphone_11_pro_frontalnaya_kamera_orig/</t>
  </si>
  <si>
    <t>iPhone 11 Pro Max [CAMF] Фронтальная камера</t>
  </si>
  <si>
    <t>28994 649</t>
  </si>
  <si>
    <t>iPhone 11 Pro Max - Фронтальная камера ORIG</t>
  </si>
  <si>
    <t>https://icomponents.ru/catalog/iphone/iphone_11_pro_max/iphone_11_pro_max_frontalnaya_kamera_orig/</t>
  </si>
  <si>
    <t>iPhone 12 / 12 Pro [CAMF] Фронтальная камера</t>
  </si>
  <si>
    <t>28994 733</t>
  </si>
  <si>
    <t>iPhone 12/12 Pro - Фронтальная камера ORIG</t>
  </si>
  <si>
    <t>https://icomponents.ru/catalog/iphone/iphone_12/iphone_12_12_pro_frontalnaya_kamera_orig/</t>
  </si>
  <si>
    <t>iPhone 12 Mini [CAMF] Фронтальная камера</t>
  </si>
  <si>
    <t>28994 816</t>
  </si>
  <si>
    <t>iPhone 12 Pro Max [CAMF] Фронтальная камера</t>
  </si>
  <si>
    <t>28994 855</t>
  </si>
  <si>
    <t>iPhone 12 Pro Max - Фронтальная камера ORIG</t>
  </si>
  <si>
    <t>https://icomponents.ru/catalog/iphone/iphone_12_pro_max/iphone_12_pro_max_frontalnaya_kamera_orig/</t>
  </si>
  <si>
    <t>iPhone 13 [CAMF] Фронтальная камера</t>
  </si>
  <si>
    <t>41887 872</t>
  </si>
  <si>
    <t>iPhone 13 - Фронтальная камера ORIG</t>
  </si>
  <si>
    <t>https://icomponents.ru/catalog/iphone/iphone_13/iphone_13_frontalnaya_kamera_orig/</t>
  </si>
  <si>
    <t>iPhone 13 Mini [CAMF] Фронтальная камера</t>
  </si>
  <si>
    <t>41889 452</t>
  </si>
  <si>
    <t>iPhone 13 Pro [CAMF] Фронтальная камера</t>
  </si>
  <si>
    <t>40245 682</t>
  </si>
  <si>
    <t>iPhone 13 Pro - Фронтальная камера ORIG</t>
  </si>
  <si>
    <t>https://icomponents.ru/catalog/iphone/iphone_13_pro/iphone_13_pro_frontalnaya_kamera_orig/</t>
  </si>
  <si>
    <t>iPhone 13 Pro Max [CAMF] Фронтальная камера</t>
  </si>
  <si>
    <t>41307 412</t>
  </si>
  <si>
    <t>iPhone 13 Pro Max - Фронтальная камера ORIG</t>
  </si>
  <si>
    <t>https://icomponents.ru/catalog/iphone/iphone_13_pro_max/iphone_13_pro_max_frontalnaya_kamera_orig/</t>
  </si>
  <si>
    <t>iPhone 14 [CAMF] Фронтальная камера</t>
  </si>
  <si>
    <t>41141 283</t>
  </si>
  <si>
    <t>iPhone 14 - Фронтальная камера ORIG</t>
  </si>
  <si>
    <t>https://icomponents.ru/catalog/iphone/iphone_14/iphone_14_frontalnaya_kamera_orig/</t>
  </si>
  <si>
    <t>iPhone 14 Plus [CAMF] Фронтальная камера</t>
  </si>
  <si>
    <t>iPhone 14 Plus - Фронтальная камера ORIG</t>
  </si>
  <si>
    <t>https://icomponents.ru/catalog/iphone/iphone_14_plus/iphone_14_plus_frontalnaya_kamera_orig/</t>
  </si>
  <si>
    <t>iPhone 14 Pro [CAMF] Фронтальная камера</t>
  </si>
  <si>
    <t>41141 149</t>
  </si>
  <si>
    <t>iPhone 14 Pro - Фронтальная камера ORIG</t>
  </si>
  <si>
    <t>https://icomponents.ru/catalog/iphone/iphone_14_pro/iphone_14_pro_frontalnaya_kamera_orig/</t>
  </si>
  <si>
    <t>iPhone 14 Pro Max [CAMF] Фронтальная камера</t>
  </si>
  <si>
    <t>iPhone 14 Pro Max - Фронтальная камера ORIG</t>
  </si>
  <si>
    <t>https://icomponents.ru/catalog/iphone/iphone_14_pro_max/iphone_14_pro_max_frontalnaya_kamera_orig/</t>
  </si>
  <si>
    <t>iPhone 15 [CAMF] Фронтальная камера</t>
  </si>
  <si>
    <t>41130 827</t>
  </si>
  <si>
    <t>iPhone 15 - Фронтальная камера ORIG</t>
  </si>
  <si>
    <t>https://icomponents.ru/catalog/iphone/iphone_15/iphone_15_frontalnaya_kamera_orig/</t>
  </si>
  <si>
    <t>iPhone 15 Plus [CAMF] Фронтальная камера</t>
  </si>
  <si>
    <t>41131 316</t>
  </si>
  <si>
    <t>iPhone 15 Plus - Фронтальная камера ORIG</t>
  </si>
  <si>
    <t>https://icomponents.ru/catalog/iphone/iphone_15_plus/iphone_15_plus_frontalnaya_kamera_orig/</t>
  </si>
  <si>
    <t>iPhone 15 Pro [CAMF] Фронтальная камера</t>
  </si>
  <si>
    <t>38991 679</t>
  </si>
  <si>
    <t>iPhone 15 Pro - Фронтальная камера ORIG</t>
  </si>
  <si>
    <t>https://icomponents.ru/catalog/iphone/iphone_15_pro/iphone_15_pro_frontalnaya_kamera_orig/</t>
  </si>
  <si>
    <t>iPhone 15 Pro Max [CAMF] Фронтальная камера</t>
  </si>
  <si>
    <t>38891 620</t>
  </si>
  <si>
    <t>iPhone 15 Pro Max - Фронтальная камера ORIG</t>
  </si>
  <si>
    <t>https://icomponents.ru/catalog/iphone/iphone_15_pro_max/iphone_15_pro_max_frontalnaya_kamera_orig/</t>
  </si>
  <si>
    <t>iPhone 16 [CAMF] Фронтальная камера</t>
  </si>
  <si>
    <t>iPhone 16 - Фронтальная камера ORIG</t>
  </si>
  <si>
    <t>https://icomponents.ru/catalog/iphone/iphone_16/iphone_16_frontalnaya_kamera_orig/</t>
  </si>
  <si>
    <t>iPhone 16E [CAMF] Фронтальная камера</t>
  </si>
  <si>
    <t>iPhone 16 Plus [CAMF] Фронтальная камера</t>
  </si>
  <si>
    <t>iPhone 16 Plus - Фронтальная камера ORIG</t>
  </si>
  <si>
    <t>https://icomponents.ru/catalog/iphone/iphone_16_plus/iphone_16_plus_frontalnaya_kamera_orig/</t>
  </si>
  <si>
    <t>iPhone 16 Pro [CAMF] Фронтальная камера</t>
  </si>
  <si>
    <t>49479 645</t>
  </si>
  <si>
    <t>iPhone 16 Pro - Фронтальная камера ORIG</t>
  </si>
  <si>
    <t>https://icomponents.ru/catalog/iphone/iphone_16_pro/iphone_16_pro_frontalnaya_kamera_orig/</t>
  </si>
  <si>
    <t>iPhone 16 Pro Max [CAMF] Фронтальная камера</t>
  </si>
  <si>
    <t>49479 470</t>
  </si>
  <si>
    <t>iPhone 16 Pro Max - Фронтальная камера ORIG</t>
  </si>
  <si>
    <t>https://icomponents.ru/catalog/iphone/iphone_16_pro_max/iphone_16_pro_max_frontalnaya_kamera_orig/</t>
  </si>
  <si>
    <t>iPhone 17 [CAMF] Фронтальная камера</t>
  </si>
  <si>
    <t>iPhone 17 - Фронтальная камера ORIG</t>
  </si>
  <si>
    <t>https://icomponents.ru/catalog/iphone/iphone_17/iphone_17_frontalnaya_kamera_orig/</t>
  </si>
  <si>
    <t>iPhone 17 Air [CAMF] Фронтальная камера</t>
  </si>
  <si>
    <t>iPhone Air - Фронтальная камера ORIG</t>
  </si>
  <si>
    <t>https://icomponents.ru/catalog/iphone/iphone_17_air/iphone_air_frontalnaya_kamera_orig/</t>
  </si>
  <si>
    <t>iPhone 17 Pro [CAMF] Фронтальная камера</t>
  </si>
  <si>
    <t>iPhone 17 Pro - Фронтальная камера ORIG</t>
  </si>
  <si>
    <t>https://icomponents.ru/catalog/iphone/iphone_17_pro/iphone_17_pro_frontalnaya_kamera_orig/</t>
  </si>
  <si>
    <t>iPhone 17 Pro Max [CAMF] Фронтальная камера</t>
  </si>
  <si>
    <t>iPhone 17 Pro Max - Фронтальная камера ORIG</t>
  </si>
  <si>
    <t>https://icomponents.ru/catalog/iphone/iphone_17_pro_max/iphone_17_pro_max_frontalnaya_kamera_orig/</t>
  </si>
  <si>
    <t>iPhone 5 [EAR] Слуховой (разговорный) динамик</t>
  </si>
  <si>
    <t>161 994</t>
  </si>
  <si>
    <t>Слуховой динамик</t>
  </si>
  <si>
    <t>iPhone 5C [EAR] Слуховой (разговорный) динамик</t>
  </si>
  <si>
    <t>675 242</t>
  </si>
  <si>
    <t>iPhone 5S [EAR] Слуховой (разговорный) динамик</t>
  </si>
  <si>
    <t>162 022</t>
  </si>
  <si>
    <t>iPhone SE 2016 [EAR] Слуховой (разговорный) динамик</t>
  </si>
  <si>
    <t>iPhone 6 [EAR] Слуховой (разговорный) динамик</t>
  </si>
  <si>
    <t>25413 130</t>
  </si>
  <si>
    <t>iPhone 6 - слуховой динамик</t>
  </si>
  <si>
    <t>https://icomponents.ru/catalog/iphone/iphone_6/iphone_6_slukhovoy_dinamik/</t>
  </si>
  <si>
    <t>iPhone 6 Plus [EAR] Слуховой (разговорный) динамик</t>
  </si>
  <si>
    <t>6835 912</t>
  </si>
  <si>
    <t>iPhone 6+ - слуховой динамик</t>
  </si>
  <si>
    <t>https://icomponents.ru/catalog/iphone/iphone_6_2/iphone_6_slukhovoy_dinamik_2/</t>
  </si>
  <si>
    <t>iPhone 6S [EAR] Слуховой (разговорный) динамик</t>
  </si>
  <si>
    <t>16660 218</t>
  </si>
  <si>
    <t>iPhone 6s - слуховой динамик</t>
  </si>
  <si>
    <t>https://icomponents.ru/catalog/iphone/iphone_6s_2/iphone_6s_slukhovoy_dinamik/</t>
  </si>
  <si>
    <t>iPhone 6S Plus [EAR] Слуховой (разговорный) динамик</t>
  </si>
  <si>
    <t>35314 676</t>
  </si>
  <si>
    <t>iPhone 6s+ - слуховой динамик</t>
  </si>
  <si>
    <t>https://icomponents.ru/catalog/iphone/iphone_6s/iphone_6s_slukhovoy_dinamik_2/</t>
  </si>
  <si>
    <t>iPhone 7 [EAR] Слуховой (разговорный) динамик</t>
  </si>
  <si>
    <t>5197 286</t>
  </si>
  <si>
    <t>iPhone 7 - Слуховой динамик ORIG</t>
  </si>
  <si>
    <t>https://icomponents.ru/catalog/iphone/iphone_7_2/iphone_7_slukhovoy_dinamik_orig/</t>
  </si>
  <si>
    <t>iPhone 7 Plus [EAR] Слуховой (разговорный) динамик</t>
  </si>
  <si>
    <t>7689 680</t>
  </si>
  <si>
    <t>iPhone 7+ - Cлуховой динамик ORIG</t>
  </si>
  <si>
    <t>https://icomponents.ru/catalog/iphone/iphone_7/iphone_7_clukhovoy_dinamik_orig/</t>
  </si>
  <si>
    <t>iPhone 8 Plus [EAR] Слуховой (разговорный) динамик</t>
  </si>
  <si>
    <t>30469 991</t>
  </si>
  <si>
    <t>iPhone 8+ - Динамик верхний (слуховой) ORIG</t>
  </si>
  <si>
    <t>https://icomponents.ru/catalog/iphone/iphone_8/iphone_8_dinamik_verkhniy_slukhovoy_orig/</t>
  </si>
  <si>
    <t>iPhone 8 / SE 2020 / SE 2022 [EAR] Слуховой (разговорный) динамик</t>
  </si>
  <si>
    <t>36088 762</t>
  </si>
  <si>
    <t>iPhone 8 - Динамик верхний (слуховой) ORIG</t>
  </si>
  <si>
    <t>https://icomponents.ru/catalog/iphone/iphone_8_se2020/iphone_8_dinamik_verkhniy_slukhovoy_orig_2/</t>
  </si>
  <si>
    <t>iPhone XR [EAR] Слуховой (разговорный) динамик</t>
  </si>
  <si>
    <t>20231 593</t>
  </si>
  <si>
    <t>iPhone XR - Cлуховой динамик с датчиком и шлейфом ORIG</t>
  </si>
  <si>
    <t>https://icomponents.ru/catalog/iphone/iphone_xr/iphone_xr_clukhovoy_dinamik_s_datchikom_i_shleyfom_orig/</t>
  </si>
  <si>
    <t>iPhone X [EAR] Слуховой (разговорный) динамик</t>
  </si>
  <si>
    <t>40281 886</t>
  </si>
  <si>
    <t>iPhone X - Слуховой динамик с датчиком и шлейфом ORIG</t>
  </si>
  <si>
    <t>https://icomponents.ru/catalog/iphone/iphone_x/iphone_x_slukhovoy_dinamik_s_datchikom_i_shleyfom_orig/</t>
  </si>
  <si>
    <t>iPhone XS [EAR] Слуховой (разговорный) динамик</t>
  </si>
  <si>
    <t>27116 273</t>
  </si>
  <si>
    <t>iPhone XS - Cлуховой динамик с датчиком и шлейфом, ORIG</t>
  </si>
  <si>
    <t>https://icomponents.ru/catalog/iphone/iphone_xs/iphone_xs_clukhovoy_dinamik_s_datchikom_i_shleyfom_orig/</t>
  </si>
  <si>
    <t>iPhone XS Max [EAR] Слуховой (разговорный) динамик</t>
  </si>
  <si>
    <t>27116 319</t>
  </si>
  <si>
    <t>iPhone XS MAX - Cлуховой динамик с датчиком и шлейфом ORIG</t>
  </si>
  <si>
    <t>https://icomponents.ru/catalog/iphone/iphone_xs_max/iphone_xs_max_clukhovoy_dinamik_s_datchikom_i_shleyfom_orig/</t>
  </si>
  <si>
    <t>iPhone 11 [EAR] Слуховой (разговорный) динамик</t>
  </si>
  <si>
    <t>26807 105</t>
  </si>
  <si>
    <t>iPhone 11 [EAR] Слуховой (разговорный) динамик (с верхним шлейфом)</t>
  </si>
  <si>
    <t>41337 213</t>
  </si>
  <si>
    <t>iPhone 11 - Слуховой динамик с датчиком и шлейфом ORIG</t>
  </si>
  <si>
    <t>https://icomponents.ru/catalog/iphone/iphone_11/iphone_11_slukhovoy_dinamik_s_datchikom_i_shleyfom_orig/</t>
  </si>
  <si>
    <t>iPhone 11 Pro [EAR] Слуховой (разговорный) динамик (с верхним шлейфом)</t>
  </si>
  <si>
    <t>26850 976</t>
  </si>
  <si>
    <t>iPhone 11 Pro - Слуховой динамик с датчиком и шлейфом ORIG</t>
  </si>
  <si>
    <t>https://icomponents.ru/catalog/iphone/iphone_11_pro/iphone_11_pro_slukhovoy_dinamik_s_datchikom_i_shleyfom_orig/</t>
  </si>
  <si>
    <t>iPhone 11 Pro Max [EAR] Слуховой (разговорный) динамик</t>
  </si>
  <si>
    <t>26749 111</t>
  </si>
  <si>
    <t>iPhone 11 Pro Max - Слуховой динамик ORIG</t>
  </si>
  <si>
    <t>https://icomponents.ru/catalog/iphone/iphone_11_pro_max/iphone_11_pro_max_slukhovoy_dinamik_orig/</t>
  </si>
  <si>
    <t>iPhone 12 / 12 Pro [EAR] Слуховой (разговорный) динамик</t>
  </si>
  <si>
    <t>23947 549</t>
  </si>
  <si>
    <t>iPhone 12 Pro - Слуховой динамик ORIG</t>
  </si>
  <si>
    <t>https://icomponents.ru/catalog/iphone/iphone_12_pro/iphone_12_pro_slukhovoy_dinamik_orig/</t>
  </si>
  <si>
    <t>iPhone 12 / 12 Pro [EAR] Слуховой (разговорный) динамик (с верхним шлейфом)</t>
  </si>
  <si>
    <t>26851 076</t>
  </si>
  <si>
    <t>iPhone 12 - Слуховой динамик с шлейфом ORIG</t>
  </si>
  <si>
    <t>https://icomponents.ru/catalog/iphone/iphone_12/iphone_12_slukhovoy_dinamik_s_shleyfom_orig/</t>
  </si>
  <si>
    <t>iPhone 12 Mini [EAR] Слуховой (разговорный) динамик</t>
  </si>
  <si>
    <t>27116 932</t>
  </si>
  <si>
    <t>iPhone 12 Pro Max [EAR] Слуховой (разговорный) динамик</t>
  </si>
  <si>
    <t>28500 534</t>
  </si>
  <si>
    <t>iPhone 12 Pro Max- Слуховой динамик с датчиком и шлейфом ORIG</t>
  </si>
  <si>
    <t>https://icomponents.ru/catalog/iphone/iphone_12_pro_max/iphone_12_pro_max_slukhovoy_dinamik_s_datchikom_i_shleyfom_orig/</t>
  </si>
  <si>
    <t>iPhone 13  [EAR] Слуховой (разговорный) динамик</t>
  </si>
  <si>
    <t>59729 965</t>
  </si>
  <si>
    <t xml:space="preserve">iPhone 13 </t>
  </si>
  <si>
    <t>iPhone 13 - Слуховой динамик ORIG</t>
  </si>
  <si>
    <t>https://icomponents.ru/catalog/iphone/iphone_13/iphone_13_slukhovoy_dinamik_orig/</t>
  </si>
  <si>
    <t>iPhone 13 Mini [EAR] Слуховой (разговорный) динамик</t>
  </si>
  <si>
    <t>29093 299</t>
  </si>
  <si>
    <t>iPhone 13 Pro [EAR] Слуховой (разговорный) динамик</t>
  </si>
  <si>
    <t>28500 293</t>
  </si>
  <si>
    <t>iPhone 13 Pro - Слуховой динамик ORIG</t>
  </si>
  <si>
    <t>https://icomponents.ru/catalog/iphone/iphone_13_pro/iphone_13_pro_slukhovoy_dinamik_orig/</t>
  </si>
  <si>
    <t>iPhone 13 Pro Max [EAR] Слуховой (разговорный) динамик</t>
  </si>
  <si>
    <t>41307 408</t>
  </si>
  <si>
    <t>iPhone 13 Pro Max - Слуховой динамик ORIG</t>
  </si>
  <si>
    <t>https://icomponents.ru/catalog/iphone/iphone_13_pro_max/iphone_13_pro_max_slukhovoy_dinamik_orig/</t>
  </si>
  <si>
    <t>iPhone 14 [EAR] Слуховой (разговорный) динамик</t>
  </si>
  <si>
    <t>41141 285</t>
  </si>
  <si>
    <t>iPhone 14 Plus [EAR] Слуховой (разговорный) динамик</t>
  </si>
  <si>
    <t>41141 222</t>
  </si>
  <si>
    <t>iPhone 14 Plus - Слуховой динамик ORIG</t>
  </si>
  <si>
    <t>https://icomponents.ru/catalog/iphone/iphone_14_plus/iphone_14_plus_slukhovoy_dinamik_orig/</t>
  </si>
  <si>
    <t>iPhone 14 Pro [EAR] Слуховой (разговорный) динамик</t>
  </si>
  <si>
    <t>41036 814</t>
  </si>
  <si>
    <t>iPhone 14 Pro - Слуховой динамик ORIG</t>
  </si>
  <si>
    <t>https://icomponents.ru/catalog/iphone/iphone_14_pro/iphone_14_pro_slukhovoy_dinamik_orig/</t>
  </si>
  <si>
    <t>iPhone 14 Pro Max [EAR] Слуховой (разговорный) динамик</t>
  </si>
  <si>
    <t>41036 850</t>
  </si>
  <si>
    <t>iPhone 14 Pro Max - Слуховой динамик ORIG</t>
  </si>
  <si>
    <t>https://icomponents.ru/catalog/iphone/iphone_14_pro_max/iphone_14_pro_max_slukhovoy_dinamik_orig/</t>
  </si>
  <si>
    <t>iPhone 15 [EAR] Слуховой (разговорный) динамик</t>
  </si>
  <si>
    <t>41130 829</t>
  </si>
  <si>
    <t>iPhone 15 - Слуховой динамик ORIG</t>
  </si>
  <si>
    <t>https://icomponents.ru/catalog/iphone/iphone_15/iphone_15_slukhovoy_dinamik_orig/</t>
  </si>
  <si>
    <t>iPhone 15 Plus [EAR] Слуховой (разговорный) динамик</t>
  </si>
  <si>
    <t>41131 318</t>
  </si>
  <si>
    <t>iPhone 15 Plus - Слуховой динамик ORIG</t>
  </si>
  <si>
    <t>https://icomponents.ru/catalog/iphone/iphone_15_plus/iphone_15_plus_slukhovoy_dinamik_orig/</t>
  </si>
  <si>
    <t>iPhone 15 Pro [EAR] Слуховой (разговорный) динамик</t>
  </si>
  <si>
    <t>38991 710</t>
  </si>
  <si>
    <t>iPhone 15 Pro - Слуховой динамик ORIG</t>
  </si>
  <si>
    <t>https://icomponents.ru/catalog/iphone/iphone_15_pro/iphone_15_pro_slukhovoy_dinamik_orig/</t>
  </si>
  <si>
    <t>iPhone 15 Pro Max [EAR] Слуховой (разговорный) динамик</t>
  </si>
  <si>
    <t>42994 237</t>
  </si>
  <si>
    <t>iPhone 15 Pro Max - Слуховой динамик ORIG</t>
  </si>
  <si>
    <t>https://icomponents.ru/catalog/iphone/iphone_15_pro_max/iphone_15_pro_max_slukhovoy_dinamik_orig/</t>
  </si>
  <si>
    <t>iPhone 16 [EAR] Слуховой (разговорный) динамик</t>
  </si>
  <si>
    <t>iPhone 16 - Слуховой динамик ORIG</t>
  </si>
  <si>
    <t>https://icomponents.ru/catalog/iphone/iphone_16/iphone_16_slukhovoy_dinamik_orig/</t>
  </si>
  <si>
    <t>iPhone 16E [EAR] Слуховой (разговорный) динамик</t>
  </si>
  <si>
    <t>iPhone 16 Plus [EAR] Слуховой (разговорный) динамик</t>
  </si>
  <si>
    <t>iPhone 16 Plus - Слуховой динамик ORIG</t>
  </si>
  <si>
    <t>https://icomponents.ru/catalog/iphone/iphone_16_plus/iphone_16_plus_slukhovoy_dinamik_orig/</t>
  </si>
  <si>
    <t>iPhone 16 Pro [EAR] Слуховой (разговорный) динамик</t>
  </si>
  <si>
    <t>49479 780</t>
  </si>
  <si>
    <t>iPhone 16 Pro - Верхний динамик в сборе с антенной WiFi / NFC / Bluetooth EU</t>
  </si>
  <si>
    <t>https://icomponents.ru/catalog/iphone/iphone_16_pro/iphone_16_pro_verkhniy_dinamik_v_sbore_s_antennoy_wifi_nfc_bluetooth_eu/</t>
  </si>
  <si>
    <t>iPhone 16 Pro Max [EAR] Слуховой (разговорный) динамик</t>
  </si>
  <si>
    <t>49479 711</t>
  </si>
  <si>
    <t>iPhone 16 Pro Max - Верхний динамик в сборе с антенной WiFi / NFC / Bluetooth EU</t>
  </si>
  <si>
    <t>https://icomponents.ru/catalog/iphone/iphone_16_pro_max/iphone_16_pro_max_verkhniy_dinamik_v_sbore_s_antennoy_wifi_nfc_bluetooth_eu/</t>
  </si>
  <si>
    <t>iPhone 17 [EAR] Слуховой (разговорный) динамик</t>
  </si>
  <si>
    <t>iPhone 17 Air [EAR] Слуховой (разговорный) динамик</t>
  </si>
  <si>
    <t>iPhone 17 Pro [EAR] Слуховой (разговорный) динамик</t>
  </si>
  <si>
    <t>iPhone 17 Pro Max [EAR] Слуховой (разговорный) динамик</t>
  </si>
  <si>
    <t>iPhone 5 [SPK] Полифонический динамик</t>
  </si>
  <si>
    <t>161 993</t>
  </si>
  <si>
    <t>Полифонический динамик</t>
  </si>
  <si>
    <t>iPhone 6 [SPK] Полифонический динамик</t>
  </si>
  <si>
    <t>4295 382</t>
  </si>
  <si>
    <t>iPhone 6 - полифонический динамик</t>
  </si>
  <si>
    <t>https://icomponents.ru/catalog/iphone/iphone_6/iphone_6_polifonicheskiy_dinamik/</t>
  </si>
  <si>
    <t>iPhone 6 Plus [SPK] Полифонический динамик</t>
  </si>
  <si>
    <t>4342 487</t>
  </si>
  <si>
    <t>iPhone 6+ - полифонический динамик</t>
  </si>
  <si>
    <t>https://icomponents.ru/catalog/iphone/iphone_6_2/iphone_6_polifonicheskiy_dinamik_2/</t>
  </si>
  <si>
    <t>iPhone 6S [SPK] Полифонический динамик</t>
  </si>
  <si>
    <t>389 899</t>
  </si>
  <si>
    <t>iPhone 6s - полифонический динамик</t>
  </si>
  <si>
    <t>https://icomponents.ru/catalog/iphone/iphone_6s_2/iphone_6s_polifonicheskiy_dinamik/</t>
  </si>
  <si>
    <t>iPhone 6S Plus [SPK] Полифонический динамик</t>
  </si>
  <si>
    <t>35314 687</t>
  </si>
  <si>
    <t>iPhone 6s+ - полифонический динамик</t>
  </si>
  <si>
    <t>https://icomponents.ru/catalog/iphone/iphone_6s/iphone_6s_polifonicheskiy_dinamik_2/</t>
  </si>
  <si>
    <t>iPhone 7 [SPK] Полифонический динамик</t>
  </si>
  <si>
    <t>iPhone 7 - Полифонический динамик ORIG</t>
  </si>
  <si>
    <t>https://icomponents.ru/catalog/iphone/iphone_7_2/iphone_7_polifonicheskiy_dinamik_orig/</t>
  </si>
  <si>
    <t>iPhone 7 Plus [SPK] Полифонический динамик</t>
  </si>
  <si>
    <t>5146 166</t>
  </si>
  <si>
    <t>iPhone 7+ - полифонический динамик</t>
  </si>
  <si>
    <t>https://icomponents.ru/catalog/iphone/iphone_7/iphone_7_polifonicheskiy_dinamik/</t>
  </si>
  <si>
    <t>iPhone 8 / SE 2020 / SE 2022 [SPK] Полифонический динамик</t>
  </si>
  <si>
    <t>28286 932</t>
  </si>
  <si>
    <t>iPhone 8 - Нижний динамик ORIG</t>
  </si>
  <si>
    <t>https://icomponents.ru/catalog/iphone/iphone_8_se2020/iphone_8_nizhniy_dinamik_orig_2/</t>
  </si>
  <si>
    <t>iPhone 8 Plus [SPK] Полифонический динамик</t>
  </si>
  <si>
    <t>30470 025</t>
  </si>
  <si>
    <t>iPhone 8+ - Нижний динамик ORIG</t>
  </si>
  <si>
    <t>https://icomponents.ru/catalog/iphone/iphone_8/iphone_8_nizhniy_dinamik_orig/</t>
  </si>
  <si>
    <t>iPhone XR [SPK] Полифонический динамик</t>
  </si>
  <si>
    <t>30740 206</t>
  </si>
  <si>
    <t>iPhone XR - Полифонический динамик ORIG</t>
  </si>
  <si>
    <t>https://icomponents.ru/catalog/iphone/iphone_xr/iphone_xr_polifonicheskiy_dinamik_orig/</t>
  </si>
  <si>
    <t>iPhone X [SPK] Полифонический динамик</t>
  </si>
  <si>
    <t>30740 253</t>
  </si>
  <si>
    <t>iPhone X - Полифонический динамик ORIG</t>
  </si>
  <si>
    <t>https://icomponents.ru/catalog/iphone/iphone_x/iphone_x_polifonicheskiy_dinamik_orig/</t>
  </si>
  <si>
    <t>iPhone XS [SPK] Полифонический динамик</t>
  </si>
  <si>
    <t>13286 239</t>
  </si>
  <si>
    <t>iPhone XS - Полифонический динамик ORIG</t>
  </si>
  <si>
    <t>https://icomponents.ru/catalog/iphone/iphone_xs/iphone_xs_polifonicheskiy_dinamik_orig/</t>
  </si>
  <si>
    <t>iPhone XS Max [SPK] Полифонический динамик</t>
  </si>
  <si>
    <t>30015 020</t>
  </si>
  <si>
    <t>iPhone XS MAX - Полифонический динамик ORIG</t>
  </si>
  <si>
    <t>https://icomponents.ru/catalog/iphone/iphone_xs_max/iphone_xs_max_polifonicheskiy_dinamik_orig/</t>
  </si>
  <si>
    <t>iPhone 11 [SPK] Полифонический динамик</t>
  </si>
  <si>
    <t>29291 048</t>
  </si>
  <si>
    <t>iPhone 11  - Полифонический динамик ORIG</t>
  </si>
  <si>
    <t>https://icomponents.ru/catalog/iphone/iphone_11/iphone_11_polifonicheskiy_dinamik_orig/</t>
  </si>
  <si>
    <t>iPhone 11 Pro [SPK] Полифонический динамик</t>
  </si>
  <si>
    <t>29483 348</t>
  </si>
  <si>
    <t>iPhone 11 Pro - Полифонический динамик ORIG</t>
  </si>
  <si>
    <t>https://icomponents.ru/catalog/iphone/iphone_11_pro/iphone_11_pro_polifonicheskiy_dinamik_orig/</t>
  </si>
  <si>
    <t>iPhone 11 Pro Max [SPK] Полифонический динамик</t>
  </si>
  <si>
    <t>29483 014</t>
  </si>
  <si>
    <t>iPhone 11 Pro Max  - Полифонический динамик ORIG</t>
  </si>
  <si>
    <t>https://icomponents.ru/catalog/iphone/iphone_11_pro_max/iphone_11_pro_max_polifonicheskiy_dinamik_orig/</t>
  </si>
  <si>
    <t>iPhone 12 / 12 Pro [SPK] Полифонический динамик</t>
  </si>
  <si>
    <t>28500 453</t>
  </si>
  <si>
    <t>iPhone 12  - Полифонический динамик ORIG</t>
  </si>
  <si>
    <t>https://icomponents.ru/catalog/iphone/iphone_12/iphone_12_polifonicheskiy_dinamik_orig/</t>
  </si>
  <si>
    <t>iPhone 12 Mini [SPK] Полифонический динамик</t>
  </si>
  <si>
    <t>28500 480</t>
  </si>
  <si>
    <t>iPhone 12 Pro Max [SPK] Полифонический динамик</t>
  </si>
  <si>
    <t>27116 855</t>
  </si>
  <si>
    <t>iPhone 12 Pro Max  - Полифонический динамик ORIG</t>
  </si>
  <si>
    <t>https://icomponents.ru/catalog/iphone/iphone_12_pro_max/iphone_12_pro_max_polifonicheskiy_dinamik_orig/</t>
  </si>
  <si>
    <t>iPhone 13 [SPK] Полифонический динамик</t>
  </si>
  <si>
    <t>28500 565</t>
  </si>
  <si>
    <t>iPhone 13 - Полифонический динамик ORIG</t>
  </si>
  <si>
    <t>https://icomponents.ru/catalog/iphone/iphone_13/iphone_13_polifonicheskiy_dinamik_orig/</t>
  </si>
  <si>
    <t>iPhone 13 Mini [SPK] Полифонический динамик</t>
  </si>
  <si>
    <t>28500 597</t>
  </si>
  <si>
    <t>iPhone 13 Pro [SPK] Полифонический динамик</t>
  </si>
  <si>
    <t>29093 279</t>
  </si>
  <si>
    <t>iPhone 13 Pro - Полифонический динамик ORIG</t>
  </si>
  <si>
    <t>https://icomponents.ru/catalog/iphone/iphone_13_pro/iphone_13_pro_polifonicheskiy_dinamik_orig/</t>
  </si>
  <si>
    <t>iPhone 13 Pro Max [SPK] Полифонический динамик</t>
  </si>
  <si>
    <t>41307 407</t>
  </si>
  <si>
    <t>iPhone 13 Pro Max - Полифонический динамик ORIG</t>
  </si>
  <si>
    <t>https://icomponents.ru/catalog/iphone/iphone_13_pro_max/iphone_13_pro_max_polifonicheskiy_dinamik_orig/</t>
  </si>
  <si>
    <t>iPhone 14 [SPK] Полифонический динамик</t>
  </si>
  <si>
    <t>41141 284</t>
  </si>
  <si>
    <t>iPhone 14 - Полифонический динамик ORIG</t>
  </si>
  <si>
    <t>https://icomponents.ru/catalog/iphone/iphone_14/iphone_14_polifonicheskiy_dinamik_orig/</t>
  </si>
  <si>
    <t>iPhone 14 Plus [SPK] Полифонический динамик</t>
  </si>
  <si>
    <t>41141 221</t>
  </si>
  <si>
    <t>iPhone 14 Pro [SPK] Полифонический динамик</t>
  </si>
  <si>
    <t>41036 621</t>
  </si>
  <si>
    <t>iPhone 14 Pro - Полифонический динамик ORIG</t>
  </si>
  <si>
    <t>https://icomponents.ru/catalog/iphone/iphone_14_pro/iphone_14_pro_polifonicheskiy_dinamik_orig/</t>
  </si>
  <si>
    <t>iPhone 14 Pro Max [SPK] Полифонический динамик</t>
  </si>
  <si>
    <t>41036 653</t>
  </si>
  <si>
    <t>iPhone 14 Pro Max - Полифонический динамик ORIG</t>
  </si>
  <si>
    <t>https://icomponents.ru/catalog/iphone/iphone_14_pro_max/iphone_14_pro_max_polifonicheskiy_dinamik_orig/</t>
  </si>
  <si>
    <t>iPhone 15 [SPK] Полифонический динамик</t>
  </si>
  <si>
    <t>41130 828</t>
  </si>
  <si>
    <t>iPhone 15 - Полифонический динамик ORIG</t>
  </si>
  <si>
    <t>https://icomponents.ru/catalog/iphone/iphone_15/iphone_15_polifonicheskiy_dinamik_orig/</t>
  </si>
  <si>
    <t>iPhone 15 Plus [SPK] Полифонический динамик</t>
  </si>
  <si>
    <t>41131 317</t>
  </si>
  <si>
    <t>iPhone 15 Pro [SPK] Полифонический динамик</t>
  </si>
  <si>
    <t>38991 680</t>
  </si>
  <si>
    <t>iPhone 15 Pro - Полифонический динамик ORIG</t>
  </si>
  <si>
    <t>https://icomponents.ru/catalog/iphone/iphone_15_pro/iphone_15_pro_polifonicheskiy_dinamik_orig/</t>
  </si>
  <si>
    <t>iPhone 15 Pro Max [SPK] Полифонический динамик</t>
  </si>
  <si>
    <t>38891 537</t>
  </si>
  <si>
    <t>iPhone 15 Pro Max - Полифонический динамик ORIG</t>
  </si>
  <si>
    <t>https://icomponents.ru/catalog/iphone/iphone_15_pro_max/iphone_15_pro_max_polifonicheskiy_dinamik_orig/</t>
  </si>
  <si>
    <t>iPhone 16 [SPK] Полифонический динамик</t>
  </si>
  <si>
    <t>iPhone 16E [SPK] Полифонический динамик</t>
  </si>
  <si>
    <t>iPhone 16 Plus [SPK] Полифонический динамик</t>
  </si>
  <si>
    <t>iPhone 16 Pro [SPK] Полифонический динамик</t>
  </si>
  <si>
    <t>iPhone 16 Pro Max [SPK] Полифонический динамик</t>
  </si>
  <si>
    <t>50982 905</t>
  </si>
  <si>
    <t>iPhone 17 [SPK] Полифонический динамик</t>
  </si>
  <si>
    <t>iPhone 17 Air [SPK] Полифонический динамик</t>
  </si>
  <si>
    <t>iPhone 17 Pro [SPK] Полифонический динамик</t>
  </si>
  <si>
    <t>iPhone 17 Pro Max [SPK] Полифонический динамик</t>
  </si>
  <si>
    <t>Изменения в РО.
Изменены сроки гарантии для услуг. 
Процесс добавления услуги "Дисплей - замена (переклей) разбитого стекла". В услуге выставлена розничная цена. Добавляется услуга в заказ, в себестоимость указывается стоимость услуг УСЦ (дополнительных работ указывать НЕ НАДО, напирмер "сопровождение ремонта"). 
Так же, в случае замены тачскрина указываем услугу "Дисплей - замена (переклей) разбитого стекла с тачскрином. Цена розницы проставлена 1р. - уточняем себестоимость у Яблок и делаем произвольную цену - не должна быть ниже стоимости "переклея стекла". Замена тача применима к моделям от Х до 13PM.
Переименовано: 
1. Восстановление цепей питания —&gt; Ремонт платы
2. Восстановление линий / контактов в слоях платы... —&gt; Ремонт платы (распайка половинок)
Цены на них указаны "от" - окончательная цена после диагностики. 
Удалены услуги:
1. Беспроводная зарядка
2. Вибромотор
3. Вспышка
4. Разъем на плате
5. Контроллер ЮСБ
6. Датчик приближения лица
7. Датчик освещения
8. Изображение - замена микросхемы
9. Аудиокодек
10. Трутон - программное восстановление
Вместо них, в случае, если таковые когда-нибудь будут - использовать обобщенные услуги - Компонентный ремонт, Модульный ремонт и тд. с указанием характера выполняемой работы.
Пока не закидывай этой в группу - доделаем для всех моделей и общие услуги - осталось не много</t>
  </si>
  <si>
    <t>1.</t>
  </si>
  <si>
    <t>УДАЛЕНЫ УСЛУГИ</t>
  </si>
  <si>
    <t>Беспроводная зарядка</t>
  </si>
  <si>
    <r>
      <rPr>
        <rFont val="Comfortaa"/>
        <color theme="1"/>
      </rPr>
      <t xml:space="preserve">Вместо них, в случае, если таковые когда-нибудь будут - использовать обобщенные услуги - </t>
    </r>
    <r>
      <rPr>
        <rFont val="Comfortaa"/>
        <b/>
        <color theme="1"/>
      </rPr>
      <t>iPhone Компонентный ремонт / iPhone Модульный ремонт</t>
    </r>
    <r>
      <rPr>
        <rFont val="Comfortaa"/>
        <color theme="1"/>
      </rPr>
      <t xml:space="preserve"> и тп. с указанием характера выполняемой работы в комментарии к работе / услуге.                          ЦЕНА НА ЭТИ УСЛУГИ ПРОСТАВЛЕНА </t>
    </r>
    <r>
      <rPr>
        <rFont val="Comfortaa"/>
        <b/>
        <color theme="1"/>
        <sz val="13.0"/>
      </rPr>
      <t>1Р.</t>
    </r>
    <r>
      <rPr>
        <rFont val="Comfortaa"/>
        <color theme="1"/>
      </rPr>
      <t xml:space="preserve"> - выставляем согласованную с клиентом цену самостоятельно.</t>
    </r>
  </si>
  <si>
    <t>Вибромотор</t>
  </si>
  <si>
    <t>Вспышка - замена драйвера</t>
  </si>
  <si>
    <t>Контроллер ЮСБ</t>
  </si>
  <si>
    <t>Датчик приближения лица</t>
  </si>
  <si>
    <t>Датчик освещения</t>
  </si>
  <si>
    <t>Изображение - замена микросхемы</t>
  </si>
  <si>
    <t>Аудиокодек</t>
  </si>
  <si>
    <t>Трутон - программное восстановление</t>
  </si>
  <si>
    <t>2.</t>
  </si>
  <si>
    <t>К iPhone для каждой модели добавлена услуга "Диагностика (с пайкой компонентов) - цена так же 1Р. Проставляем и согласовываем самостоятельно.</t>
  </si>
  <si>
    <t>3.</t>
  </si>
  <si>
    <t xml:space="preserve">Изменили специфику добавления услуг по ПЕРКЛЕЙКЕ ДИСПЛЕЕВ. Теперь при добавлении услуги в заказ выбираем нужную: замена (переклейка) стекла / замена (переклейка) стекла с тачскрином. В стоимость проставлена сумма - остается добавить себестоимость работы УСЦ. - к этим услугам применено правило вознагриаждения аналогично услуге "Сопровождение ремонта"                                                                                                   ***** Прайс у Ремонта Яблок прописан не на все модели - местами стоит ценник в услуге 1Р. - такие моменты согласовываем и проставляем самостоятельно.            </t>
  </si>
  <si>
    <t xml:space="preserve">4. </t>
  </si>
  <si>
    <t>ПЕРЕИМЕНОВАНЫ УСЛУГИ</t>
  </si>
  <si>
    <t>Восстановление цепей питания —&gt; Ремонт платы</t>
  </si>
  <si>
    <t>Восстановление линий / контактов в слоях платы... —&gt; Ремонт платы (распайка половинок)</t>
  </si>
  <si>
    <t xml:space="preserve">5. </t>
  </si>
  <si>
    <r>
      <rPr>
        <rFont val="Comfortaa"/>
        <color theme="1"/>
      </rPr>
      <t xml:space="preserve">Все услуги, в которых присутствует фраза </t>
    </r>
    <r>
      <rPr>
        <rFont val="Comfortaa"/>
        <b/>
        <color theme="1"/>
      </rPr>
      <t>"требуется диагностика"</t>
    </r>
    <r>
      <rPr>
        <rFont val="Comfortaa"/>
        <color theme="1"/>
      </rPr>
      <t xml:space="preserve"> означает цену "от" - инженер сам оценивает ситуацию и предлагает цену к согласованию менеджеру. </t>
    </r>
  </si>
  <si>
    <t>6.</t>
  </si>
  <si>
    <t>На модели айфонов, у которых корпус состоит из задней крышки и средней части - добавлена услуга "Корпус (средняя часть) - замена".  ***Так же в этих моделях присутсвует услуга "Корпус - замена" - цена состоит из замены средней части + замена крышки (со скидкой 50% от наименьшей стоимости из них).</t>
  </si>
  <si>
    <t>7.</t>
  </si>
  <si>
    <t xml:space="preserve">Так же изменены сроки гарантии для работ - ознакомиться можно на скрине. В базе все гарантии к ремонтам проставлены. </t>
  </si>
  <si>
    <t>БЛОК 1 ФОРМИРОВАНИЕ ЦЕНЫ ДЛЯ МЕНЕДЖЕРА</t>
  </si>
  <si>
    <t>Лист БД_ЗАПЧАСТИ
СТОЛБЕЦ B
В ручную прописываем наименование запчасти</t>
  </si>
  <si>
    <t>Лист БД_ЗАПЧАСТИ
СТОЛБЕЦ C
НЕ ИСПОЛЬЗУЕТСЯ</t>
  </si>
  <si>
    <t>Лист БД_ЗАПЧАСТИ
СТОЛБЕЦ D
В ручную прописываем срок гарантии</t>
  </si>
  <si>
    <t>Лист БД_ЗАПЧАСТИ
СТОЛБЕЦ E
В ручную прописываем наименование услуги с использованием конкретной запчасти или же услуги без запчасти</t>
  </si>
  <si>
    <t>Лист БД_ЗАПЧАСТИ
СТОЛБЕЦ F
Формула обращается к странице БД_УСЛУГИ_РО в столбец P, а так же если к услуге предусмотрена запчасть плюсует стоимосчть запчасти со страницы БД_ЗАПЧАСТИ из столбца P</t>
  </si>
  <si>
    <t>Лист БД_ЗАПЧАСТИ
СТОЛБЕЦ G
В ручную прописвается формула в выборочные ячейки, где есть вариативность окзания услуги или вариативность используемых запчастей - образение происходит в диапозоне этих услуг из столбца F на странице ПРАЙС_ЛИСТ</t>
  </si>
  <si>
    <t xml:space="preserve"> БЛОК 2 ПОПАДАНИЕ ЦЕНЫ НА САЙТ</t>
  </si>
  <si>
    <t>Лист БД_МОЙ СКЛАД
СТОЛБЕЦ B
Не учавствует</t>
  </si>
  <si>
    <t>Лист БД_МОЙ СКЛАД
СТОЛБЕЦ C
Прописывается руками после добавления товара в МойСклад</t>
  </si>
  <si>
    <t>Лист БД_МОЙ СКЛАД
СТОЛБЕЦ D
Ссылкается на страницу ПРАЙС_ЛИСТ в столбец F - для забора цены, а так же проверяет это значение со столбцом H на том же листе ПРАЙС_ЛИСТ и если оба значения равны - заменяет на 0. 0 значит = уточняйте цену</t>
  </si>
  <si>
    <t>Лист БД_МОЙ СКЛАД
СТОЛБЕЦ E
Прописывается руками</t>
  </si>
  <si>
    <t>Лист БД_МОЙ СКЛАД
СТОЛБЕЦ F
Прописывается руками</t>
  </si>
  <si>
    <t>Лист БД_МОЙ СКЛАД
СТОЛБЕЦ G
Прописывается руками</t>
  </si>
  <si>
    <t>Лист БД_МОЙ СКЛАД
СТОЛБЕЦ H
Прописывается руками</t>
  </si>
  <si>
    <t>Лист БД_МОЙ СКЛАД
СТОЛБЕЦ I
Прописывается руками, нужна для того, что бы кликнув по названию - можно было перейти в услугу</t>
  </si>
  <si>
    <t>Лист БД_МОЙ СКЛАД
СТОЛБЕЦ J
Прописывается руками</t>
  </si>
  <si>
    <t>Лист БД_МОЙ СКЛАД
СТОЛБЕЦ K
ПУСТОЙ СТОЛБЕЦ</t>
  </si>
  <si>
    <t>Лист БД_МОЙ СКЛАД
СТОЛБЕЦ L
Не учавствует</t>
  </si>
  <si>
    <t>Лист БД_МОЙ СКЛАД
СТОЛБЕЦ I
Не учавствует</t>
  </si>
  <si>
    <t>Лист БД_МОЙ СКЛАД
СТОЛБЕЦ D
Ссылкается на страницу ПРАЙС_ЛИСТ в столбец F - для забора цены, а так же проверяет это значение со столбцом H на том же листе ПРАЙС_ЛИСТ и если оба значения равны - заменяет на 0. 0 для сайта значит = уточняйте цену</t>
  </si>
  <si>
    <t>БЛОК 3 КАК ФОРМИРУЕТСЯ ЦЕНА ЗАПЧАСТИ</t>
  </si>
  <si>
    <t>ШАБЛОН ДЛЯ ИМПОРТА ЗАПЧАСТЕЙ В РО</t>
  </si>
  <si>
    <t>Лист БД_ЗАПЧАСТИ
СТОЛБЕЦ C
В ручную прописываем ID запчасти после ее создания в базе РО</t>
  </si>
  <si>
    <t>Лист БД_ЗАПЧАСТИ
СТОЛБЕЦ D
В ручную прописываем сроки гарантии</t>
  </si>
  <si>
    <t>Лист БД_ЗАПЧАСТИ
СТОЛБЕЦ E
Автоматически подставляется из названия по принципу "вставить все" до знака [</t>
  </si>
  <si>
    <t>Лист БД_ЗАПЧАСТИ
СТОЛБЕЦ F
В ручную прописываем категорию запчасти</t>
  </si>
  <si>
    <t>Лист БД_ЗАПЧАСТИ
СТОЛБЕЦ G
Автоматически подставляется после выполнения скрипта парсинга - копирует напименование на сайте поставщика</t>
  </si>
  <si>
    <t>Лист БД_ЗАПЧАСТИ
СТОЛБЕЦ H
В ручную копируется из столбца I для сравнения цены последних двух закупочных цен - помогает понять подешевела запчасть или же подорожала</t>
  </si>
  <si>
    <t>Лист БД_ЗАПЧАСТИ
СТОЛБЕЦ I
Автоматически подставляется после выполнения скрипта парсинга - копирует розничную цену на сайте поставщика</t>
  </si>
  <si>
    <t>Лист БД_ЗАПЧАСТИ
СТОЛБЕЦ J
Не используется</t>
  </si>
  <si>
    <t>Лист БД_ЗАПЧАСТИ
СТОЛБЕЦ K
В ручную копируется из столбца I для сравнения цены последних двух закупочных цен - помогает понять подешевела запчасть или же подорожала</t>
  </si>
  <si>
    <t>Лист БД_ЗАПЧАСТИ
СТОЛБЕЦ L
Прописывается в ручную с ресурса, который предоставляет поставщик</t>
  </si>
  <si>
    <t>Лист БД_ЗАПЧАСТИ
СТОЛБЕЦ M
Автоматически сравнивает значения на странице БД_ЗАПЧАСТИ в столбцах I и L и выбирает максимальное значение</t>
  </si>
  <si>
    <t>Лист БД_ЗАПЧАСТИ
СТОЛБЕЦ N
В ручную подбираем нужный нам процент наценки на запчасть</t>
  </si>
  <si>
    <t>Лист БД_ЗАПЧАСТИ
СТОЛБЕЦ O
Автоматически берет значение со страницы БД_ЗАПЧАСТИ в столбце M - прибавляет процент наценки из столбца N, округляет значение до 50 и выводит итог</t>
  </si>
  <si>
    <t>Лист БД_ЗАПЧАСТИ
СТОЛБЕЦ P
В каждую строку указывается форула для копирования значения из столбца O</t>
  </si>
  <si>
    <t>Лист БД_ЗАПЧАСТИ
СТОЛБЕЦ Q
В каждую строку указывается форула для копирования значения из столбца P</t>
  </si>
  <si>
    <t>Лист БД_ЗАПЧАСТИ
СТОЛБЕЦ R
Находим на сайте поставщика данную запчасть и в ручную вставляем ссылку. Далее запускаем парсер запчастей - идем в "Расширения" - "AppsScript" - выбираем файл "Парсер з/ч "выборочно" - Указываем в диапозон строк "от" и "до"
var START_ROW = 149;   
var END_ROW = 149  
и нажимаем кнопку выполнить</t>
  </si>
  <si>
    <t>Лист БД_ЗАПЧАСТИ
СТОЛБЕЦ S
Автоматически подставляется после выполнения скрипта парсинга - проставляет дату запуска скрипта</t>
  </si>
  <si>
    <t>Лист БД_ЗАПЧАСТИ
СТОЛБЕЦ T
ПУСТОЙ СТОЛБЕЦ</t>
  </si>
  <si>
    <t>Лист БД_ЗАПЧАСТИ
СТОЛБЕЦ U
Не используется</t>
  </si>
  <si>
    <t>Лист БД_ЗАПЧАСТИ
СТОЛБЕЦ V
Не используется</t>
  </si>
  <si>
    <t>Лист БД_ЗАПЧАСТИ
СТОЛБЕЦ W
ПУСТОЙ СТОЛБЕЦ</t>
  </si>
  <si>
    <t>Лист БД_ЗАПЧАСТИ
СТОЛБЕЦ X
Не используется</t>
  </si>
  <si>
    <t>Лист БД_ЗАПЧАСТИ
СТОЛБЕЦ Y
Не используется</t>
  </si>
  <si>
    <t>Лист БД_ЗАПЧАСТИ
СТОЛБЕЦ Z
ПУСТОЙ СТОЛБЕЦ</t>
  </si>
  <si>
    <t>Лист БД_ЗАПЧАСТИ
СТОЛБЕЦ AA
Автоматически подтягивает значение со страницы БД_ЗАПЧАСТИ из столбца С</t>
  </si>
  <si>
    <t>Лист БД_ЗАПЧАСТИ
СТОЛБЕЦ AB
Автоматически подтягивает значение со страницы БД_ЗАПЧАСТИ из столбца AA</t>
  </si>
  <si>
    <t>Лист БД_ЗАПЧАСТИ
СТОЛБЕЦ AC
Не используется</t>
  </si>
  <si>
    <t>Лист БД_ЗАПЧАСТИ
СТОЛБЕЦ AD
Автоматически подтягивает значение со страницы БД_ЗАПЧАСТИ из столбца AA</t>
  </si>
  <si>
    <t>Лист БД_ЗАПЧАСТИ
СТОЛБЕЦ AE
Автоматически подтягивает значение со страницы БД_ЗАПЧАСТИ из столбца B</t>
  </si>
  <si>
    <t>Лист БД_ЗАПЧАСТИ
СТОЛБЕЦ AF
Не используется</t>
  </si>
  <si>
    <t>Лист БД_ЗАПЧАСТИ
СТОЛБЕЦ AG
Автоматически прописывает pcs до контца таблицы в каждой строке</t>
  </si>
  <si>
    <t>Лист БД_ЗАПЧАСТИ
СТОЛБЕЦ AH
Прописывается в ручную - указывается путь в точности как в РО (место, где должна находится запчасть)</t>
  </si>
  <si>
    <t>Лист БД_ЗАПЧАСТИ
СТОЛБЕЦ AI
Автоматически подтягивает значение со страницы БД_ЗАПЧАСТИ из столбца D</t>
  </si>
  <si>
    <t>Лист БД_ЗАПЧАСТИ
СТОЛБЕЦ AJ
Автоматически прописывает дн до контца таблицы в каждой строке</t>
  </si>
  <si>
    <t>Лист БД_ЗАПЧАСТИ
СТОЛБЕЦ AK
Проставляется руками "да" или "нет"</t>
  </si>
  <si>
    <t>Лист БД_ЗАПЧАСТИ
СТОЛБЕЦ AL
Автоматически прописывает нет до контца таблицы в каждой строке</t>
  </si>
  <si>
    <t>Лист БД_ЗАПЧАСТИ
СТОЛБЕЦ AM
Не используется</t>
  </si>
  <si>
    <t>Лист БД_ЗАПЧАСТИ
СТОЛБЕЦ AN
Не используется</t>
  </si>
  <si>
    <t>Лист БД_ЗАПЧАСТИ
СТОЛБЕЦ AO
Не используется</t>
  </si>
  <si>
    <t>Лист БД_ЗАПЧАСТИ
СТОЛБЕЦ AP
Не используется</t>
  </si>
  <si>
    <t>Лист БД_ЗАПЧАСТИ
СТОЛБЕЦ AQ
Не используется</t>
  </si>
  <si>
    <t>Лист БД_ЗАПЧАСТИ
СТОЛБЕЦ AR
Не используется</t>
  </si>
  <si>
    <t>Лист БД_ЗАПЧАСТИ
СТОЛБЕЦ AS
Не используется</t>
  </si>
  <si>
    <t>Лист БД_ЗАПЧАСТИ
СТОЛБЕЦ AT
Не используется</t>
  </si>
  <si>
    <t>Лист БД_ЗАПЧАСТИ
СТОЛБЕЦ AU
Автоматически подтягивает значение со страницы БД_ЗАПЧАСТИ из столбца M</t>
  </si>
  <si>
    <t>Лист БД_ЗАПЧАСТИ
СТОЛБЕЦ AV
Автоматически подтягивает значение со страницы БД_ЗАПЧАСТИ из столбца Q</t>
  </si>
  <si>
    <t>Попадающая на сайт информация - попадает со страницы БД_МОЙ СКЛАД</t>
  </si>
  <si>
    <t>БД_МОЙ СКЛАД СТОЛБЕЦ D</t>
  </si>
  <si>
    <t>Ссылкается на страницу ПРАЙС_ЛИСТ в столбец F - для забора цены, а так же проверяет это значение со столбцом H на том же листе ПРАЙС_ЛИСТ и если оба значения равны - заменяет на 0. 0 значит = уточняйте цену</t>
  </si>
  <si>
    <t>БД_МОЙ СКЛАД СТОЛБЕЦ E</t>
  </si>
  <si>
    <t>Прописывается руками на странице БД_МОЙ СКЛАД</t>
  </si>
  <si>
    <t>ВРЕМЯ</t>
  </si>
  <si>
    <t>БД_МОЙ СКЛАД СТОЛБЕЦ F</t>
  </si>
  <si>
    <t>ЦЕНА ОТ</t>
  </si>
  <si>
    <t>БД_МОЙ СКЛАД СТОЛБЕЦ G</t>
  </si>
  <si>
    <t>БД_МОЙ СКЛАД СТОЛБЕЦ H</t>
  </si>
  <si>
    <t>БД_МОЙ СКЛАД СТОЛБЕЦ J</t>
  </si>
  <si>
    <t xml:space="preserve">iPhone 5 Корпус - Снятый оригинал Белый </t>
  </si>
  <si>
    <t>Корпус</t>
  </si>
  <si>
    <t xml:space="preserve">Снятый оригинал </t>
  </si>
  <si>
    <t>APPLE</t>
  </si>
  <si>
    <t>белый</t>
  </si>
  <si>
    <t>13,5%</t>
  </si>
  <si>
    <t>iPhone 5 Корпус - Снятый оригинал Черный</t>
  </si>
  <si>
    <t xml:space="preserve">iPhone 5 Корпус - Аналог Белый </t>
  </si>
  <si>
    <t>Аналог</t>
  </si>
  <si>
    <t>COPY</t>
  </si>
  <si>
    <t>iPhone 5 Корпус - Аналог Черный</t>
  </si>
  <si>
    <t>iPhone 5 Корпус - Аналог Прозрачный</t>
  </si>
  <si>
    <t>iPhone 5S Корпус - Снятый оригинал Золотой / Gold</t>
  </si>
  <si>
    <t>iPhone 5S Корпус - Снятый оригинал Серый космос / Space Gray</t>
  </si>
  <si>
    <t>iPhone 5S Корпус - Снятый оригинал Серебристый / Silver</t>
  </si>
  <si>
    <t>iPhone 5S Корпус - Аналог Золотой / Gold</t>
  </si>
  <si>
    <t>iPhone 5S Корпус - Аналог Серый космос / Space Gray</t>
  </si>
  <si>
    <t>iPhone 5S Корпус - Аналог Серебристый / Silver</t>
  </si>
  <si>
    <t>iPhone SE 2016 Корпус - Снятый оригинал Серый космос / Space Gray</t>
  </si>
  <si>
    <t>iPhone SE 2016 Корпус - Снятый оригинал Серебристый / Silver</t>
  </si>
  <si>
    <t>iPhone SE 2016 Корпус - Снятый оригинал Золотой / Gold</t>
  </si>
  <si>
    <t>iPhone SE 2016 Корпус - Снятый оригинал Розовое золото / Rose Gold</t>
  </si>
  <si>
    <t>iPhone SE 2016 Корпус - Аналог Серый космос / Space Gray</t>
  </si>
  <si>
    <t>iPhone SE 2016 Корпус - Аналог Серебристый / Silver</t>
  </si>
  <si>
    <t>iPhone SE 2016 Корпус - Аналог Золотой / Gold</t>
  </si>
  <si>
    <t>iPhone SE 2016 Корпус - Аналог Розовое золото / Rose Gold</t>
  </si>
  <si>
    <t>iPhone 6 Корпус - Снятый оригинал Серый космос / Space Gray</t>
  </si>
  <si>
    <t>iPhone 6 Корпус - Снятый оригинал Серебристый / Silver</t>
  </si>
  <si>
    <t>iPhone 6 Корпус - Снятый оригинал Золотой / Gold</t>
  </si>
  <si>
    <t>iPhone 6 Корпус - Аналог Серый космос / Space Gray</t>
  </si>
  <si>
    <t>iPhone 6 - корпус/задняя крышка, space gray</t>
  </si>
  <si>
    <t>https://icomponents.ru/catalog/iphone/iphone_6/iphone_6_korpus_zadnyaya_kryshka_space_gray/</t>
  </si>
  <si>
    <t>iPhone 6 Корпус - Аналог Серебристый / Silver</t>
  </si>
  <si>
    <t>iPhone 6 - корпус/задняя крышка, silver</t>
  </si>
  <si>
    <t>https://icomponents.ru/catalog/iphone/iphone_6/iphone_6_korpus_zadnyaya_kryshka_silver/</t>
  </si>
  <si>
    <t>iPhone 6 Корпус - Аналог Золотой / Gold</t>
  </si>
  <si>
    <t>iPhone 6 - корпус/задняя крышка, gold</t>
  </si>
  <si>
    <t>https://icomponents.ru/catalog/iphone/iphone_6/iphone_6_korpus_zadnyaya_kryshka_gold/</t>
  </si>
  <si>
    <t>iPhone 6 Plus Корпус - Снятый оригинал Серый космос / Space Gray</t>
  </si>
  <si>
    <t>iPhone 6 Plus Корпус - Снятый оригинал Серебристый / Silver</t>
  </si>
  <si>
    <t>iPhone 6 Plus Корпус - Снятый оригинал Золотой / Gold</t>
  </si>
  <si>
    <t>iPhone 6 Plus Корпус - Аналог Серый космос / Space Gray</t>
  </si>
  <si>
    <t>iPhone 6 Plus Корпус - Аналог Серебристый / Silver</t>
  </si>
  <si>
    <t>iPhone 6 Plus Корпус - Аналог Золотой / Gold</t>
  </si>
  <si>
    <t>iPhone 6S Корпус - Снятый оригинал Серый космос / Space Gray</t>
  </si>
  <si>
    <t>iPhone 6S Корпус - Снятый оригинал Серебристый / Silver</t>
  </si>
  <si>
    <t>iPhone 6S Корпус - Снятый оригинал Золотой / Gold</t>
  </si>
  <si>
    <t>iPhone 6S Корпус - Снятый оригинал Розовое золото / Rose Gold</t>
  </si>
  <si>
    <t>iPhone 6S Корпус - Аналог Серый космос / Space Gray</t>
  </si>
  <si>
    <t>iPhone 6s - корпус/задняя крышка, space gray</t>
  </si>
  <si>
    <t>https://icomponents.ru/catalog/iphone/iphone_6s_2/iphone_6s_korpus_zadnyaya_kryshka_space_gray/</t>
  </si>
  <si>
    <t>iPhone 6S Корпус - Аналог Серебристый / Silver</t>
  </si>
  <si>
    <t>iPhone 6s - корпус/задняя крышка, silver</t>
  </si>
  <si>
    <t>https://icomponents.ru/catalog/iphone/iphone_6s_2/iphone_6s_korpus_zadnyaya_kryshka_silver/</t>
  </si>
  <si>
    <t>iPhone 6S Корпус - Аналог Золотой / Gold</t>
  </si>
  <si>
    <t>iPhone 6s - корпус/задняя крышка, gold</t>
  </si>
  <si>
    <t>https://icomponents.ru/catalog/iphone/iphone_6s_2/iphone_6s_korpus_zadnyaya_kryshka_gold/</t>
  </si>
  <si>
    <t>iPhone 6S Корпус - Аналог Розовое золото / Rose Gold</t>
  </si>
  <si>
    <t>iPhone 6s - корпус/задняя крышка, rose gold</t>
  </si>
  <si>
    <t>https://icomponents.ru/catalog/iphone/iphone_6s_2/iphone_6s_korpus_zadnyaya_kryshka_rose_gold/</t>
  </si>
  <si>
    <t>iPhone 6S Plus Корпус - Снятый оригинал Серый космос / Space Gray</t>
  </si>
  <si>
    <t>iPhone 6S Plus Корпус - Снятый оригинал Серебристый / Silver</t>
  </si>
  <si>
    <t>iPhone 6S Plus Корпус - Снятый оригинал Золотой / Gold</t>
  </si>
  <si>
    <t>iPhone 6S Plus Корпус - Снятый оригинал Розовое золото / Rose Gold</t>
  </si>
  <si>
    <t>iPhone 6S Plus Корпус - Аналог Серый космос / Space Gray</t>
  </si>
  <si>
    <t>iPhone 6s+ - корпус/задняя крышка, space gray</t>
  </si>
  <si>
    <t>https://icomponents.ru/catalog/iphone/iphone_6s/iphone_6s_korpus_zadnyaya_kryshka_space_gray_2/</t>
  </si>
  <si>
    <t>iPhone 6S Plus Корпус - Аналог Серебристый / Silver</t>
  </si>
  <si>
    <t>iPhone 6s+ - корпус/задняя крышка, silver</t>
  </si>
  <si>
    <t>https://icomponents.ru/catalog/iphone/iphone_6s/iphone_6s_korpus_zadnyaya_kryshka_silver_2/</t>
  </si>
  <si>
    <t>iPhone 6S Plus Корпус - Аналог Золотой / Gold</t>
  </si>
  <si>
    <t>iPhone 6s+ - корпус/задняя крышка, gold</t>
  </si>
  <si>
    <t>https://icomponents.ru/catalog/iphone/iphone_6s/iphone_6s_korpus_zadnyaya_kryshka_gold_2/</t>
  </si>
  <si>
    <t>iPhone 6S Plus Корпус - Аналог Розовое золото / Rose Gold</t>
  </si>
  <si>
    <t>iPhone 6s+ - корпус/задняя крышка, rose gold</t>
  </si>
  <si>
    <t>https://icomponents.ru/catalog/iphone/iphone_6s/iphone_6s_korpus_zadnyaya_kryshka_rose_gold_2/</t>
  </si>
  <si>
    <t>iPhone 7 Корпус - Снятый оригинал Черный глянец / Jet Black</t>
  </si>
  <si>
    <t>iPhone 7 Корпус - Снятый оригинал Черный матовый / Black</t>
  </si>
  <si>
    <t>iPhone 7 Корпус - Снятый оригинал Серебристый / Silver</t>
  </si>
  <si>
    <t>iPhone 7 Корпус - Снятый оригинал Красный / PRODUCT(RED)</t>
  </si>
  <si>
    <t>iPhone 7 Корпус - Снятый оригинал Золотой / Gold</t>
  </si>
  <si>
    <t>iPhone 7 Корпус - Снятый оригинал Розовое золото / Rose Gold</t>
  </si>
  <si>
    <t>iPhone 7 Корпус - Аналог Черный глянец / Jet Black</t>
  </si>
  <si>
    <t>iPhone 7 - Корпус ORIG 1:1, черный глянцевый</t>
  </si>
  <si>
    <t>https://icomponents.ru/catalog/iphone/iphone_7_2/iphone_7_korpus_orig_1_1_chernyy_glyantsevyy/</t>
  </si>
  <si>
    <t>iPhone 7 Корпус - Аналог Черный матовый / Black</t>
  </si>
  <si>
    <t>iPhone 7 - Корпус ORIG 1:1, черный матовый</t>
  </si>
  <si>
    <t>https://icomponents.ru/catalog/iphone/iphone_7_2/iphone_7_korpus_orig_1_1_chernyy_matovyy/</t>
  </si>
  <si>
    <t>iPhone 7 Корпус - Аналог Серебристый / Silver</t>
  </si>
  <si>
    <t>iPhone 7 - Корпус ORIG 1:1, белый</t>
  </si>
  <si>
    <t>https://icomponents.ru/catalog/iphone/iphone_7_2/iphone_7_korpus_orig_1_1_belyy/</t>
  </si>
  <si>
    <t>iPhone 7 Корпус - Аналог Красный / PRODUCT(RED)</t>
  </si>
  <si>
    <t>iPhone 7 - Корпус ORIG 1:1, красный</t>
  </si>
  <si>
    <t>https://icomponents.ru/catalog/iphone/iphone_7_2/iphone_7_korpus_orig_1_1_krasnyy/</t>
  </si>
  <si>
    <t>iPhone 7 Корпус - Аналог Золотой / Gold</t>
  </si>
  <si>
    <t>iPhone 7 - Корпус ORIG 1:1, золотой</t>
  </si>
  <si>
    <t>https://icomponents.ru/catalog/iphone/iphone_7_2/iphone_7_korpus_orig_1_1_zolotoy/</t>
  </si>
  <si>
    <t>iPhone 7 Корпус - Аналог Розовое золото / Rose Gold</t>
  </si>
  <si>
    <t>iPhone 7 - Корпус ORIG 1:1, розовый</t>
  </si>
  <si>
    <t>https://icomponents.ru/catalog/iphone/iphone_7_2/iphone_7_korpus_orig_1_1_rozovyy/</t>
  </si>
  <si>
    <t>iPhone 7 Plus Корпус - Снятый оригинал Черный глянец / Jet Black</t>
  </si>
  <si>
    <t>iPhone 7 Plus Корпус - Снятый оригинал Черный матовый / Black</t>
  </si>
  <si>
    <t>iPhone 7 Plus Корпус - Снятый оригинал Серебристый / Silver</t>
  </si>
  <si>
    <t>iPhone 7 Plus Корпус - Снятый оригинал Красный / PRODUCT(RED)</t>
  </si>
  <si>
    <t>iPhone 7 Plus Корпус - Снятый оригинал Золотой / Gold</t>
  </si>
  <si>
    <t>iPhone 7 Plus Корпус - Снятый оригинал Розовое золото / Rose Gold</t>
  </si>
  <si>
    <t>iPhone 7 Plus Корпус - Аналог Черный глянец / Jet Black</t>
  </si>
  <si>
    <t>iPhone 7+ - Корпус ORIG 1:1, черный глянцевый</t>
  </si>
  <si>
    <t>https://icomponents.ru/catalog/iphone/iphone_7/iphone_7_korpus_orig_1_1_chernyy_glyantsevyy_2/</t>
  </si>
  <si>
    <t>iPhone 7 Plus Корпус - Аналог Черный матовый / Black</t>
  </si>
  <si>
    <t>iPhone 7+ - Корпус ORIG 1:1, черный матовый</t>
  </si>
  <si>
    <t>https://icomponents.ru/catalog/iphone/iphone_7/iphone_7_korpus_orig_1_1_chernyy_matovyy_2/</t>
  </si>
  <si>
    <t>iPhone 7 Plus Корпус - Аналог Серебристый / Silver</t>
  </si>
  <si>
    <t>iPhone 7+ - Корпус ORIG 1:1, белый</t>
  </si>
  <si>
    <t>https://icomponents.ru/catalog/iphone/iphone_7/iphone_7_korpus_orig_1_1_belyy_2/</t>
  </si>
  <si>
    <t>iPhone 7 Plus Корпус - Аналог Красный / PRODUCT(RED)</t>
  </si>
  <si>
    <t>iPhone 7+ - Корпус ORIG 1:1, красный</t>
  </si>
  <si>
    <t>https://icomponents.ru/catalog/iphone/iphone_7/iphone_7_korpus_orig_1_1_krasnyy_2/</t>
  </si>
  <si>
    <t>iPhone 7 Plus Корпус - Аналог Золотой / Gold</t>
  </si>
  <si>
    <t>iPhone 7+ - Корпус ORIG 1:1, золотой</t>
  </si>
  <si>
    <t>https://icomponents.ru/catalog/iphone/iphone_7/iphone_7_korpus_orig_1_1_zolotoy_2/</t>
  </si>
  <si>
    <t>iPhone 7 Plus Корпус - Аналог Розовое золото / Rose Gold</t>
  </si>
  <si>
    <t>iPhone 7+ - Корпус ORIG 1:1, розовый</t>
  </si>
  <si>
    <t>https://icomponents.ru/catalog/iphone/iphone_7/iphone_7_korpus_orig_1_1_rozovyy_2/</t>
  </si>
  <si>
    <t>iPhone 8 Корпус - Снятый оригинал Серый космос / Space Gray</t>
  </si>
  <si>
    <t>iPhone 8 Корпус - Снятый оригинал Серебристый / Silver</t>
  </si>
  <si>
    <t>iPhone 8 Корпус - Снятый оригинал Красный / PRODUCT(RED)</t>
  </si>
  <si>
    <t>iPhone 8 Корпус - Снятый оригинал Золотой / Gold</t>
  </si>
  <si>
    <t>iPhone 8 Корпус - Аналог Серый космос / Space Gray</t>
  </si>
  <si>
    <t>iPhone 8 - Корпус ORIG 1:1, черный</t>
  </si>
  <si>
    <t>https://icomponents.ru/catalog/iphone/iphone_8_se2020/iphone_8_korpus_orig_1_1_chernyy/</t>
  </si>
  <si>
    <t>iPhone 8 Корпус - Аналог Серебристый / Silver</t>
  </si>
  <si>
    <t>iPhone 8 - Корпус ORIG 1:1, белый</t>
  </si>
  <si>
    <t>https://icomponents.ru/catalog/iphone/iphone_8_se2020/iphone_8_korpus_orig_1_1_belyy/</t>
  </si>
  <si>
    <t>iPhone 8 Корпус - Аналог Красный / PRODUCT(RED)</t>
  </si>
  <si>
    <t>iPhone 8 - Корпус ORIG 1:1, красный</t>
  </si>
  <si>
    <t>https://icomponents.ru/catalog/iphone/iphone_8_se2020/iphone_8_korpus_orig_1_1_krasnyy/</t>
  </si>
  <si>
    <t>iPhone 8 Корпус - Аналог Золотой / Gold</t>
  </si>
  <si>
    <t>iPhone 8 - Корпус ORIG 1:1, золотой</t>
  </si>
  <si>
    <t>https://icomponents.ru/catalog/iphone/iphone_8_se2020/iphone_8_korpus_orig_1_1_zolotoy/</t>
  </si>
  <si>
    <t>iPhone 8 Plus Корпус - Снятый оригинал Серый космос / Space Gray</t>
  </si>
  <si>
    <t>iPhone 8 Plus Корпус - Снятый оригинал Серебристый / Silver</t>
  </si>
  <si>
    <t>iPhone 8 Plus Корпус - Снятый оригинал Красный / PRODUCT(RED)</t>
  </si>
  <si>
    <t>iPhone 8 Plus Корпус - Снятый оригинал Золотой / Gold</t>
  </si>
  <si>
    <t>iPhone 8 Plus Корпус - Аналог Серый космос / Space Gray</t>
  </si>
  <si>
    <t>iPhone 8 Plus - Корпус ORIG 1:1, черный</t>
  </si>
  <si>
    <t>https://icomponents.ru/catalog/iphone/iphone_8/iphone_8_plus_korpus_orig_1_1_chernyy/</t>
  </si>
  <si>
    <t>iPhone 8 Plus Корпус - Аналог Серебристый / Silver</t>
  </si>
  <si>
    <t>iPhone 8 Plus - Корпус ORIG 1:1, белый</t>
  </si>
  <si>
    <t>https://icomponents.ru/catalog/iphone/iphone_8/iphone_8_plus_korpus_orig_1_1_belyy/</t>
  </si>
  <si>
    <t>iPhone 8 Plus Корпус - Аналог Красный / PRODUCT(RED)</t>
  </si>
  <si>
    <t>iPhone 8 Plus - Корпус ORIG 1:1, красный</t>
  </si>
  <si>
    <t>https://icomponents.ru/catalog/iphone/iphone_8/iphone_8_plus_korpus_orig_1_1_krasnyy/</t>
  </si>
  <si>
    <t>iPhone 8 Plus Корпус - Аналог Золотой / Gold</t>
  </si>
  <si>
    <t>iPhone 8 Plus - Корпус ORIG 1:1, золотой</t>
  </si>
  <si>
    <t>https://icomponents.ru/catalog/iphone/iphone_8/iphone_8_plus_korpus_orig_1_1_zolotoy/</t>
  </si>
  <si>
    <t>iPhone SE 2020 Корпус - Снятый оригинал Черный / Black</t>
  </si>
  <si>
    <t>iPhone SE 2020 Корпус - Снятый оригинал Белый / White</t>
  </si>
  <si>
    <t>iPhone SE 2020 Корпус - Снятый оригинал Красный / PRODUCT(RED)</t>
  </si>
  <si>
    <t>iPhone SE 2020 Корпус - Аналог Черный / Black</t>
  </si>
  <si>
    <t>iPhone SE 2020 - Корпус ORIG 1:1, черный</t>
  </si>
  <si>
    <t>https://icomponents.ru/catalog/iphone/iphone_8_se2020/iphone_se_2020_korpus_orig_1_1_chernyy/</t>
  </si>
  <si>
    <t>iPhone SE 2020 Корпус - Аналог Белый / White</t>
  </si>
  <si>
    <t>iPhone SE 2020 - Корпус ORIG 1:1, белый</t>
  </si>
  <si>
    <t>https://icomponents.ru/catalog/iphone/iphone_8_se2020/iphone_se_2020_korpus_orig_1_1_belyy/</t>
  </si>
  <si>
    <t>iPhone SE 2020 Корпус - Аналог Красный / PRODUCT(RED)</t>
  </si>
  <si>
    <t>iPhone SE 2020 - Корпус ORIG 1:1, красный</t>
  </si>
  <si>
    <t>https://icomponents.ru/catalog/iphone/iphone_8_se2020/iphone_se_2020_korpus_orig_1_1_krasnyy/</t>
  </si>
  <si>
    <t>iPhone SE 2022 Корпус - Снятый оригинал Черный / Midnight</t>
  </si>
  <si>
    <t>iPhone SE 2022 Корпус - Снятый оригинал Белый / Starlight</t>
  </si>
  <si>
    <t>iPhone SE 2022 Корпус - Снятый оригинал Красный / PRODUCT(RED)</t>
  </si>
  <si>
    <t>iPhone SE 2022 Корпус - Аналог Черный / Midnight</t>
  </si>
  <si>
    <t>iPhone SE 2022 Корпус - Аналог Белый / Starlight</t>
  </si>
  <si>
    <t>iPhone SE 2022 Корпус - Аналог Красный / PRODUCT(RED)</t>
  </si>
  <si>
    <t>iPhone XR Корпус - Снятый оригинал Черный / Black</t>
  </si>
  <si>
    <t>iPhone XR Корпус - Снятый оригинал Белый / White</t>
  </si>
  <si>
    <t>iPhone XR Корпус - Снятый оригинал Синий / Blue</t>
  </si>
  <si>
    <t>iPhone XR Корпус - Снятый оригинал Желтый / Yellow</t>
  </si>
  <si>
    <t>iPhone XR Корпус - Снятый оригинал Коралловый / Coral</t>
  </si>
  <si>
    <t>iPhone XR Корпус - Снятый оригинал Красный / PRODUCT(RED)</t>
  </si>
  <si>
    <t>iPhone XR Корпус - Аналог Черный / Black</t>
  </si>
  <si>
    <t>iPhone XR - Корпус ORIG 1:1, черный</t>
  </si>
  <si>
    <t>https://icomponents.ru/catalog/iphone/iphone_xr/iphone_xr_korpus_orig_1_1_chernyy/</t>
  </si>
  <si>
    <t>iPhone XR Корпус - Аналог Белый / White</t>
  </si>
  <si>
    <t>iPhone XR - Корпус ORIG 1:1, белый</t>
  </si>
  <si>
    <t>https://icomponents.ru/catalog/iphone/iphone_xr/iphone_xr_korpus_orig_1_1_belyy/</t>
  </si>
  <si>
    <t>iPhone XR Корпус - Аналог Синий / Blue</t>
  </si>
  <si>
    <t>iPhone XR - Корпус ORIG 1:1, голубой</t>
  </si>
  <si>
    <t>https://icomponents.ru/catalog/iphone/iphone_xr/iphone_xr_korpus_orig_1_1_goluboy/</t>
  </si>
  <si>
    <t>iPhone XR Корпус - Аналог Желтый / Yellow</t>
  </si>
  <si>
    <t>iPhone XR - Корпус ORIG 1:1, желтый</t>
  </si>
  <si>
    <t>https://icomponents.ru/catalog/iphone/iphone_xr/iphone_xr_korpus_orig_1_1_zheltyy/</t>
  </si>
  <si>
    <t>iPhone XR Корпус - Аналог Коралловый / Coral</t>
  </si>
  <si>
    <t>iPhone XR - Корпус ORIG 1:1, оранжевый</t>
  </si>
  <si>
    <t>https://icomponents.ru/catalog/iphone/iphone_xr/iphone_xr_korpus_orig_1_1_oranzhevyy/</t>
  </si>
  <si>
    <t>iPhone XR Корпус - Аналог Красный / PRODUCT(RED)</t>
  </si>
  <si>
    <t>iPhone XR - Корпус ORIG 1:1, красный</t>
  </si>
  <si>
    <t>https://icomponents.ru/catalog/iphone/iphone_xr/iphone_xr_korpus_orig_1_1_krasnyy/</t>
  </si>
  <si>
    <t>iPhone X Корпус - Снятый оригинал Черный / Space Gray</t>
  </si>
  <si>
    <t>iPhone X Корпус - Снятый оригинал Белый / Silver</t>
  </si>
  <si>
    <t>iPhone X Корпус - Аналог Черный / Space Gray</t>
  </si>
  <si>
    <t>iPhone X - Корпус ORIG 1:1, черный</t>
  </si>
  <si>
    <t>https://icomponents.ru/catalog/iphone/iphone_x/iphone_x_korpus_orig_1_1_chernyy/</t>
  </si>
  <si>
    <t>iPhone X Корпус - Аналог Белый / Silver</t>
  </si>
  <si>
    <t>iPhone X - Корпус ORIG 1:1, белый</t>
  </si>
  <si>
    <t>https://icomponents.ru/catalog/iphone/iphone_x/iphone_x_korpus_orig_1_1_belyy/</t>
  </si>
  <si>
    <t>iPhone XS Корпус - Снятый оригинал Черный / Black</t>
  </si>
  <si>
    <t>iPhone XS Корпус - Снятый оригинал Белый / White</t>
  </si>
  <si>
    <t>iPhone XS Корпус - Снятый оригинал Золотой / Gold</t>
  </si>
  <si>
    <t>iPhone XS Корпус - Аналог Черный / Black</t>
  </si>
  <si>
    <t>iPhone XS - Корпус ORIG 1:1, черный</t>
  </si>
  <si>
    <t>https://icomponents.ru/catalog/iphone/iphone_xs/iphone_xs_korpus_orig_1_1_chernyy/</t>
  </si>
  <si>
    <t>iPhone XS Корпус - Аналог Белый / White</t>
  </si>
  <si>
    <t>iPhone XS - Корпус ORIG 1:1, белый</t>
  </si>
  <si>
    <t>https://icomponents.ru/catalog/iphone/iphone_xs/iphone_xs_korpus_orig_1_1_belyy/</t>
  </si>
  <si>
    <t>iPhone XS Корпус - Аналог Золотой / Gold</t>
  </si>
  <si>
    <t>iPhone XS - Корпус ORIG 1:1, золотой</t>
  </si>
  <si>
    <t>https://icomponents.ru/catalog/iphone/iphone_xs/iphone_xs_korpus_orig_1_1_zolotoy/</t>
  </si>
  <si>
    <t>iPhone XS Max Корпус - Снятый оригинал Черный / Black</t>
  </si>
  <si>
    <t>iPhone XS Max Корпус - Снятый оригинал Белый / White</t>
  </si>
  <si>
    <t>iPhone XS Max Корпус - Снятый оригинал Золотой / Gold</t>
  </si>
  <si>
    <t>iPhone XS Max Корпус - Аналог Черный / Black</t>
  </si>
  <si>
    <t>iPhone XS MAX - Корпус ORIG 1:1, черный</t>
  </si>
  <si>
    <t>https://icomponents.ru/catalog/iphone/iphone_xs_max/iphone_xs_max_korpus_orig_1_1_chernyy/</t>
  </si>
  <si>
    <t>iPhone XS Max Корпус - Аналог Белый / White</t>
  </si>
  <si>
    <t>iPhone XS MAX - Корпус ORIG 1:1, белый</t>
  </si>
  <si>
    <t>https://icomponents.ru/catalog/iphone/iphone_xs_max/iphone_xs_max_korpus_orig_1_1_belyy/</t>
  </si>
  <si>
    <t>iPhone XS Max Корпус - Аналог Золотой / Gold</t>
  </si>
  <si>
    <t>iPhone XS MAX - Корпус ORIG 1:1, золотой</t>
  </si>
  <si>
    <t>https://icomponents.ru/catalog/iphone/iphone_xs_max/iphone_xs_max_korpus_orig_1_1_zolotoy/</t>
  </si>
  <si>
    <t>iPhone 11 Корпус - Снятый оригинал Черный / Black</t>
  </si>
  <si>
    <t>34627 526</t>
  </si>
  <si>
    <t>iPhone 11 Корпус - Снятый оригинал Белый / White</t>
  </si>
  <si>
    <t>iPhone 11 Корпус - Снятый оригинал Зеленый / Green</t>
  </si>
  <si>
    <t>iPhone 11 Корпус - Снятый оригинал Желтый / Yellow</t>
  </si>
  <si>
    <t>iPhone 11 Корпус - Снятый оригинал Фиолетовый / Purple</t>
  </si>
  <si>
    <t>iPhone 11 Корпус - Снятый оригинал Красный / PRODUCT(RED)</t>
  </si>
  <si>
    <t>iPhone 11 Корпус - Аналог Черный / Black</t>
  </si>
  <si>
    <t>56430 334</t>
  </si>
  <si>
    <t>iPhone 11 - Корпус ORIG 1:1, черный</t>
  </si>
  <si>
    <t>https://icomponents.ru/catalog/iphone/iphone_11/iphone_11_korpus_orig_1_1_chernyy/</t>
  </si>
  <si>
    <t>iPhone 11 Корпус - Аналог Белый / White</t>
  </si>
  <si>
    <t>56430 344</t>
  </si>
  <si>
    <t>iPhone 11 - Корпус ORIG 1:1, белый</t>
  </si>
  <si>
    <t>https://icomponents.ru/catalog/iphone/iphone_11/iphone_11_korpus_orig_1_1_belyy/</t>
  </si>
  <si>
    <t>iPhone 11 Корпус - Аналог Зеленый / Green</t>
  </si>
  <si>
    <t>56430 367</t>
  </si>
  <si>
    <t>iPhone 11 - Корпус ORIG 1:1, зеленый</t>
  </si>
  <si>
    <t>https://icomponents.ru/catalog/iphone/iphone_11/iphone_11_korpus_orig_1_1_zelenyy/</t>
  </si>
  <si>
    <t>iPhone 11 Корпус - Аналог Желтый / Yellow</t>
  </si>
  <si>
    <t>56430 392</t>
  </si>
  <si>
    <t>iPhone 11 - Корпус ORIG 1:1, желтый</t>
  </si>
  <si>
    <t>https://icomponents.ru/catalog/iphone/iphone_11/iphone_11_korpus_orig_1_1_zheltyy/</t>
  </si>
  <si>
    <t>iPhone 11 Корпус - Аналог Фиолетовый / Purple</t>
  </si>
  <si>
    <t>56430 389</t>
  </si>
  <si>
    <t>iPhone 11 - Корпус ORIG 1:1, фиолетовый</t>
  </si>
  <si>
    <t>https://icomponents.ru/catalog/iphone/iphone_11/iphone_11_korpus_orig_1_1_fioletovyy/</t>
  </si>
  <si>
    <t>iPhone 11 Корпус - Аналог Красный / PRODUCT(RED)</t>
  </si>
  <si>
    <t>56430 358</t>
  </si>
  <si>
    <t>iPhone 11 - Корпус ORIG 1:1, красный</t>
  </si>
  <si>
    <t>https://icomponents.ru/catalog/iphone/iphone_11/iphone_11_korpus_orig_1_1_krasnyy/</t>
  </si>
  <si>
    <t>iPhone 11 Pro Корпус - Снятый оригинал Черный / Space Gray</t>
  </si>
  <si>
    <t>iPhone 11 Pro Корпус - Снятый оригинал Белый / Silver</t>
  </si>
  <si>
    <t>iPhone 11 Pro Корпус - Снятый оригинал Золотой / Gold</t>
  </si>
  <si>
    <t>29630 500</t>
  </si>
  <si>
    <t>iPhone 11 Pro Корпус - Снятый оригинал Зеленый / Midnight Green</t>
  </si>
  <si>
    <t>iPhone 11 Pro Корпус - Аналог Черный / Space Gray</t>
  </si>
  <si>
    <t>56431 492</t>
  </si>
  <si>
    <t>iPhone 11 Pro - Корпус ORIG 1:1, черный</t>
  </si>
  <si>
    <t>https://icomponents.ru/catalog/iphone/iphone_11_pro/iphone_11_pro_korpus_orig_1_1_chernyy/</t>
  </si>
  <si>
    <t>iPhone 11 Pro Корпус - Аналог Белый / Silver</t>
  </si>
  <si>
    <t>56431 406</t>
  </si>
  <si>
    <t>iPhone 11 Pro - Корпус ORIG 1:1, белый</t>
  </si>
  <si>
    <t>https://icomponents.ru/catalog/iphone/iphone_11_pro/iphone_11_pro_korpus_orig_1_1_belyy/</t>
  </si>
  <si>
    <t>iPhone 11 Pro Корпус - Аналог Золотой / Gold</t>
  </si>
  <si>
    <t>56431 423</t>
  </si>
  <si>
    <t>iPhone 11 Pro - Корпус ORIG 1:1, золотой</t>
  </si>
  <si>
    <t>https://icomponents.ru/catalog/iphone/iphone_11_pro/iphone_11_pro_korpus_orig_1_1_zolotoy/</t>
  </si>
  <si>
    <t>iPhone 11 Pro Корпус - Аналог Зеленый / Midnight Green</t>
  </si>
  <si>
    <t>56431 505</t>
  </si>
  <si>
    <t>iPhone 11 Pro - Корпус ORIG 1:1, темно-зеленый</t>
  </si>
  <si>
    <t>https://icomponents.ru/catalog/iphone/iphone_11_pro/iphone_11_pro_korpus_orig_1_1_temno_zelenyy/</t>
  </si>
  <si>
    <t>iPhone 11 Pro Max Корпус - Снятый оригинал Черный / Space Gray</t>
  </si>
  <si>
    <t>iPhone 11 Pro Max Корпус - Снятый оригинал Белый / Silver</t>
  </si>
  <si>
    <t>iPhone 11 Pro Max Корпус - Снятый оригинал Золотой / Gold</t>
  </si>
  <si>
    <t>iPhone 11 Pro Max Корпус - Снятый оригинал Зеленый / Midnight Green</t>
  </si>
  <si>
    <t>iPhone 11 Pro Max Корпус - Аналог Черный / Space Gray</t>
  </si>
  <si>
    <t>iPhone 11 Pro Max - Корпус 1:1, черный</t>
  </si>
  <si>
    <t>https://icomponents.ru/catalog/iphone/iphone_11_pro_max/iphone_11_pro_max_korpus_1_1_chernyy/</t>
  </si>
  <si>
    <t>iPhone 11 Pro Max Корпус - Аналог Белый / Silver</t>
  </si>
  <si>
    <t>iPhone 11 Pro Max - Корпус 1:1, белый</t>
  </si>
  <si>
    <t>https://icomponents.ru/catalog/iphone/iphone_11_pro_max/iphone_11_pro_max_korpus_1_1_belyy/</t>
  </si>
  <si>
    <t>iPhone 11 Pro Max Корпус - Аналог Золотой / Gold</t>
  </si>
  <si>
    <t>iPhone 11 Pro Max - Корпус 1:1, золотой</t>
  </si>
  <si>
    <t>https://icomponents.ru/catalog/iphone/iphone_11_pro_max/iphone_11_pro_max_korpus_1_1_zolotoy/</t>
  </si>
  <si>
    <t>iPhone 11 Pro Max Корпус - Аналог Зеленый / Midnight Green</t>
  </si>
  <si>
    <t>iPhone 11 Pro Max - Корпус 1:1, темно-зеленый</t>
  </si>
  <si>
    <t>https://icomponents.ru/catalog/iphone/iphone_11_pro_max/iphone_11_pro_max_korpus_1_1_temno_zelenyy/</t>
  </si>
  <si>
    <t>iPhone 12 Корпус - Снятый оригинал Черный / Black</t>
  </si>
  <si>
    <t>iPhone 12 Корпус - Снятый оригинал Белый / White</t>
  </si>
  <si>
    <t>iPhone 12 Корпус - Снятый оригинал Синий / Blue</t>
  </si>
  <si>
    <t>iPhone 12 Корпус - Снятый оригинал Зеленый / Green</t>
  </si>
  <si>
    <t>iPhone 12 Корпус - Снятый оригинал Фиолетовый / Purple</t>
  </si>
  <si>
    <t>iPhone 12 Корпус - Снятый оригинал Красный / PRODUCT(RED)</t>
  </si>
  <si>
    <t>iPhone 12 Корпус - Снятый оригинал Черный / Black (для модуля 5G)</t>
  </si>
  <si>
    <t>iPhone 12 Корпус - Снятый оригинал Белый / White (для модуля 5G)</t>
  </si>
  <si>
    <t>iPhone 12 Корпус - Снятый оригинал Синий / Blue (для модуля 5G)</t>
  </si>
  <si>
    <t>iPhone 12 Корпус - Снятый оригинал Зеленый / Green (для модуля 5G)</t>
  </si>
  <si>
    <t>iPhone 12 Корпус - Снятый оригинал Фиолетовый / Purple (для модуля 5G)</t>
  </si>
  <si>
    <t>iPhone 12 Корпус - Снятый оригинал Красный / PRODUCT(RED) (для модуля 5G)</t>
  </si>
  <si>
    <t>iPhone 12 Корпус - Аналог Черный / Black</t>
  </si>
  <si>
    <t>iPhone 12 - Корпус ORIG 1:1, черный</t>
  </si>
  <si>
    <t>https://icomponents.ru/catalog/iphone/iphone_12/iphone_12_korpus_orig_1_1_chernyy/</t>
  </si>
  <si>
    <t>iPhone 12 Корпус - Аналог Белый / White</t>
  </si>
  <si>
    <t>iPhone 12 - Корпус ORIG 1:1, белый</t>
  </si>
  <si>
    <t>https://icomponents.ru/catalog/iphone/iphone_12/iphone_12_korpus_orig_1_1_belyy/</t>
  </si>
  <si>
    <t>iPhone 12 Корпус - Аналог Синий / Blue</t>
  </si>
  <si>
    <t>iPhone 12 - Корпус ORIG 1:1, синий</t>
  </si>
  <si>
    <t>https://icomponents.ru/catalog/iphone/iphone_12/iphone_12_korpus_orig_1_1_siniy/</t>
  </si>
  <si>
    <t>iPhone 12 Корпус - Аналог Зеленый / Green</t>
  </si>
  <si>
    <t>iPhone 12 - Корпус ORIG 1:1, зеленый</t>
  </si>
  <si>
    <t>https://icomponents.ru/catalog/iphone/iphone_12/iphone_12_korpus_orig_1_1_zelenyy/</t>
  </si>
  <si>
    <t>iPhone 12 Корпус - Аналог Фиолетовый / Purple</t>
  </si>
  <si>
    <t>iPhone 12 - Корпус ORIG 1:1, фиолетовый</t>
  </si>
  <si>
    <t>https://icomponents.ru/catalog/iphone/iphone_12/iphone_12_korpus_orig_1_1_fioletovyy/</t>
  </si>
  <si>
    <t>iPhone 12 Корпус - Аналог Красный / PRODUCT(RED)</t>
  </si>
  <si>
    <t>iPhone 12 - Корпус ORIG 1:1, красный</t>
  </si>
  <si>
    <t>https://icomponents.ru/catalog/iphone/iphone_12/iphone_12_korpus_orig_1_1_krasnyy/</t>
  </si>
  <si>
    <t>iPhone 12 Mini Корпус - Снятый оригинал Черный / Black</t>
  </si>
  <si>
    <t>iPhone 12 Mini Корпус - Снятый оригинал Белый / White</t>
  </si>
  <si>
    <t>iPhone 12 Mini Корпус - Снятый оригинал Синий / Blue</t>
  </si>
  <si>
    <t>iPhone 12 Mini Корпус - Снятый оригинал Зеленый / Green</t>
  </si>
  <si>
    <t>iPhone 12 Mini Корпус - Снятый оригинал Фиолетовый / Purple</t>
  </si>
  <si>
    <t>iPhone 12 Mini Корпус - Снятый оригинал Красный / PRODUCT(RED)</t>
  </si>
  <si>
    <t>iPhone 12 Mini Корпус - Снятый оригинал Черный / Black (для модуля 5G)</t>
  </si>
  <si>
    <t>iPhone 12 Mini Корпус - Снятый оригинал Белый / White (для модуля 5G)</t>
  </si>
  <si>
    <t>iPhone 12 Mini Корпус - Снятый оригинал Синий / Blue (для модуля 5G)</t>
  </si>
  <si>
    <t>iPhone 12 Mini Корпус - Снятый оригинал Зеленый / Green (для модуля 5G)</t>
  </si>
  <si>
    <t>iPhone 12 Mini Корпус - Снятый оригинал Фиолетовый / Purple (для модуля 5G)</t>
  </si>
  <si>
    <t>iPhone 12 Mini Корпус - Снятый оригинал Красный / PRODUCT(RED) (для модуля 5G)</t>
  </si>
  <si>
    <t>iPhone 12 Mini Корпус - Аналог Черный / Black</t>
  </si>
  <si>
    <t>iPhone 12 mini - Корпус ORIG 1:1, черный</t>
  </si>
  <si>
    <t>https://icomponents.ru/catalog/iphone/iphone_12_mini/iphone_12_mini_korpus_orig_1_1_chernyy/</t>
  </si>
  <si>
    <t>iPhone 12 Mini Корпус - Аналог Белый / White</t>
  </si>
  <si>
    <t>iPhone 12 mini - Корпус ORIG 1:1, белый</t>
  </si>
  <si>
    <t>https://icomponents.ru/catalog/iphone/iphone_12_mini/iphone_12_mini_korpus_orig_1_1_belyy/</t>
  </si>
  <si>
    <t>iPhone 12 Mini Корпус - Аналог Синий / Blue</t>
  </si>
  <si>
    <t>iPhone 12 mini - Корпус ORIG 1:1, синий</t>
  </si>
  <si>
    <t>https://icomponents.ru/catalog/iphone/iphone_12_mini/iphone_12_mini_korpus_orig_1_1_siniy/</t>
  </si>
  <si>
    <t>iPhone 12 Mini Корпус - Аналог Зеленый / Green</t>
  </si>
  <si>
    <t>iPhone 12 mini - Корпус ORIG 1:1, зеленый</t>
  </si>
  <si>
    <t>https://icomponents.ru/catalog/iphone/iphone_12_mini/iphone_12_mini_korpus_orig_1_1_zelenyy/</t>
  </si>
  <si>
    <t>iPhone 12 Mini Корпус - Аналог Фиолетовый / Purple</t>
  </si>
  <si>
    <t>iPhone 12 Mini Корпус - Аналог Красный / PRODUCT(RED)</t>
  </si>
  <si>
    <t>iPhone 12 mini - Корпус ORIG 1:1, красный</t>
  </si>
  <si>
    <t>https://icomponents.ru/catalog/iphone/iphone_12_mini/iphone_12_mini_korpus_orig_1_1_krasnyy/</t>
  </si>
  <si>
    <t>iPhone 12 Pro Корпус - Снятый оригинал Графитовый / Graphite</t>
  </si>
  <si>
    <t>iPhone 12 Pro Корпус - Снятый оригинал Синий / Pacific Blue</t>
  </si>
  <si>
    <t>iPhone 12 Pro Корпус - Снятый оригинал Белый / Silver</t>
  </si>
  <si>
    <t>iPhone 12 Pro Корпус - Снятый оригинал Золотой / Gold</t>
  </si>
  <si>
    <t>iPhone 12 Pro Корпус - Снятый оригинал Графитовый / Graphite (для модуля 5G)</t>
  </si>
  <si>
    <t>iPhone 12 Pro Корпус - Снятый оригинал Синий / Pacific Blue (для модуля 5G)</t>
  </si>
  <si>
    <t>iPhone 12 Pro Корпус - Снятый оригинал Белый / Silver (для модуля 5G)</t>
  </si>
  <si>
    <t>iPhone 12 Pro Корпус - Снятый оригинал Золотой / Gold (для модуля 5G)</t>
  </si>
  <si>
    <t>iPhone 12 Pro Корпус - Аналог Графитовый / Graphite</t>
  </si>
  <si>
    <t>iPhone 12 Pro - Корпус ORIG 1:1, черный</t>
  </si>
  <si>
    <t>https://icomponents.ru/catalog/iphone/iphone_12_pro/iphone_12_pro_korpus_orig_1_1_chernyy/</t>
  </si>
  <si>
    <t>iPhone 12 Pro Корпус - Аналог Синий / Pacific Blue</t>
  </si>
  <si>
    <t>iPhone 12 Pro - Корпус ORIG 1:1, синий</t>
  </si>
  <si>
    <t>https://icomponents.ru/catalog/iphone/iphone_12_pro/iphone_12_pro_korpus_orig_1_1_siniy/</t>
  </si>
  <si>
    <t>iPhone 12 Pro Корпус - Аналог Белый / Silver</t>
  </si>
  <si>
    <t>iPhone 12 Pro - Корпус ORIG 1:1, белый</t>
  </si>
  <si>
    <t>https://icomponents.ru/catalog/iphone/iphone_12_pro/iphone_12_pro_korpus_orig_1_1_belyy/</t>
  </si>
  <si>
    <t>iPhone 12 Pro Корпус - Аналог Золотой / Gold</t>
  </si>
  <si>
    <t>iPhone 12 Pro - Корпус ORIG 1:1, золотой</t>
  </si>
  <si>
    <t>https://icomponents.ru/catalog/iphone/iphone_12_pro/iphone_12_pro_korpus_orig_1_1_zolotoy/</t>
  </si>
  <si>
    <t>iPhone 12 Pro Max Корпус - Снятый оригинал Графитовый / Graphite</t>
  </si>
  <si>
    <t>iPhone 12 Pro Max Корпус - Снятый оригинал Синий / Pacific Blue</t>
  </si>
  <si>
    <t>iPhone 12 Pro Max Корпус - Снятый оригинал Белый / Silver</t>
  </si>
  <si>
    <t>iPhone 12 Pro Max Корпус - Снятый оригинал Золотой / Gold</t>
  </si>
  <si>
    <t>iPhone 12 Pro Max Корпус - Снятый оригинал Графитовый / Graphite (для модуля 5G)</t>
  </si>
  <si>
    <t>iPhone 12 Pro Max Корпус - Снятый оригинал Синий / Pacific Blue (для модуля 5G)</t>
  </si>
  <si>
    <t>iPhone 12 Pro Max Корпус - Снятый оригинал Белый / Silver (для модуля 5G)</t>
  </si>
  <si>
    <t>iPhone 12 Pro Max Корпус - Снятый оригинал Золотой / Gold (для модуля 5G)</t>
  </si>
  <si>
    <t>iPhone 12 Pro Max Корпус - Аналог Графитовый / Graphite</t>
  </si>
  <si>
    <t>iPhone 12 Pro Max - корпус ORIG 1:1, черный</t>
  </si>
  <si>
    <t>https://icomponents.ru/catalog/iphone/iphone_12_pro_max/iphone_12_pro_max_korpus_orig_1_1_chernyy/</t>
  </si>
  <si>
    <t>iPhone 12 Pro Max Корпус - Аналог Синий / Pacific Blue</t>
  </si>
  <si>
    <t>iPhone 12 Pro Max - Корпус ORIG 1:1, синий</t>
  </si>
  <si>
    <t>https://icomponents.ru/catalog/iphone/iphone_12_pro_max/iphone_12_pro_max_korpus_orig_1_1_siniy/</t>
  </si>
  <si>
    <t>iPhone 12 Pro Max Корпус - Аналог Белый / Silver</t>
  </si>
  <si>
    <t>iPhone 12 Pro Max - Корпус ORIG 1:1, белый</t>
  </si>
  <si>
    <t>https://icomponents.ru/catalog/iphone/iphone_12_pro_max/iphone_12_pro_max_korpus_orig_1_1_belyy/</t>
  </si>
  <si>
    <t>iPhone 12 Pro Max Корпус - Аналог Золотой / Gold</t>
  </si>
  <si>
    <t>iPhone 12 Pro Max - Корпус ORIG 1:1, золотой</t>
  </si>
  <si>
    <t>https://icomponents.ru/catalog/iphone/iphone_12_pro_max/iphone_12_pro_max_korpus_orig_1_1_zolotoy/</t>
  </si>
  <si>
    <t>iPhone 13 Корпус - Снятый оригинал Черный / Midnight</t>
  </si>
  <si>
    <t>iPhone 13 Корпус - Снятый оригинал Белый / Starlight</t>
  </si>
  <si>
    <t>iPhone 13 Корпус - Снятый оригинал Синий / Blue</t>
  </si>
  <si>
    <t>iPhone 13 Корпус - Снятый оригинал Зеленый / Green</t>
  </si>
  <si>
    <t>iPhone 13 Корпус - Снятый оригинал Розовый / Pink</t>
  </si>
  <si>
    <t>iPhone 13 Корпус - Снятый оригинал Красный / PRODUCT(RED)</t>
  </si>
  <si>
    <t>iPhone 13 Корпус - Снятый оригинал Черный / Midnight (для модуля 5G)</t>
  </si>
  <si>
    <t>iPhone 13 Корпус - Снятый оригинал Белый / Starlight (для модуля 5G)</t>
  </si>
  <si>
    <t>iPhone 13 Корпус - Снятый оригинал Синий / Blue (для модуля 5G)</t>
  </si>
  <si>
    <t>iPhone 13 Корпус - Снятый оригинал Зеленый / Green (для модуля 5G)</t>
  </si>
  <si>
    <t>iPhone 13 Корпус - Снятый оригинал Розовый / Pink (для модуля 5G)</t>
  </si>
  <si>
    <t>iPhone 13 Корпус - Снятый оригинал Красный / PRODUCT(RED) (для модуля 5G)</t>
  </si>
  <si>
    <t>iPhone 13 Корпус - Аналог Черный / Midnight</t>
  </si>
  <si>
    <t>iPhone 13 - Корпус ORIG 1:1, черный</t>
  </si>
  <si>
    <t>https://icomponents.ru/catalog/iphone/iphone_13/iphone_13_korpus_orig_1_1_chernyy/</t>
  </si>
  <si>
    <t>iPhone 13 Корпус - Аналог Белый / Starlight</t>
  </si>
  <si>
    <t>iPhone 13 - Корпус ORIG 1:1, белый</t>
  </si>
  <si>
    <t>https://icomponents.ru/catalog/iphone/iphone_13/iphone_13_korpus_orig_1_1_belyy/</t>
  </si>
  <si>
    <t>iPhone 13 Корпус - Аналог Синий / Blue</t>
  </si>
  <si>
    <t>iPhone 13 - Корпус ORIG 1:1, синий</t>
  </si>
  <si>
    <t>https://icomponents.ru/catalog/iphone/iphone_13/iphone_13_korpus_orig_1_1_siniy/</t>
  </si>
  <si>
    <t>iPhone 13 Корпус - Аналог Зеленый / Green</t>
  </si>
  <si>
    <t>iPhone 13 - Корпус ORIG 1:1, зеленый</t>
  </si>
  <si>
    <t>https://icomponents.ru/catalog/iphone/iphone_13/iphone_13_korpus_orig_1_1_zelenyy/</t>
  </si>
  <si>
    <t>iPhone 13 Корпус - Аналог Розовый / Pink</t>
  </si>
  <si>
    <t>iPhone 13 - Корпус ORIG 1:1, розовый</t>
  </si>
  <si>
    <t>https://icomponents.ru/catalog/iphone/iphone_13/iphone_13_korpus_orig_1_1_rozovyy/</t>
  </si>
  <si>
    <t>iPhone 13 Корпус - Аналог Красный / PRODUCT(RED)</t>
  </si>
  <si>
    <t>iPhone 13 - Корпус ORIG 1:1, красный</t>
  </si>
  <si>
    <t>https://icomponents.ru/catalog/iphone/iphone_13/iphone_13_korpus_orig_1_1_krasnyy/</t>
  </si>
  <si>
    <t>iPhone 13 Mini Корпус - Снятый оригинал Черный / Midnight</t>
  </si>
  <si>
    <t>iPhone 13 Mini Корпус - Снятый оригинал Белый / Starlight</t>
  </si>
  <si>
    <t>iPhone 13 Mini Корпус - Снятый оригинал Синий / Blue</t>
  </si>
  <si>
    <t>iPhone 13 Mini Корпус - Снятый оригинал Зеленый / Green</t>
  </si>
  <si>
    <t>iPhone 13 Mini Корпус - Снятый оригинал Розовый / Pink</t>
  </si>
  <si>
    <t>iPhone 13 Mini Корпус - Снятый оригинал Красный / PRODUCT(RED)</t>
  </si>
  <si>
    <t>iPhone 13 Mini Корпус - Снятый оригинал Черный / Midnight (для модуля 5G)</t>
  </si>
  <si>
    <t>iPhone 13 Mini Корпус - Снятый оригинал Белый / Starlight (для модуля 5G)</t>
  </si>
  <si>
    <t>iPhone 13 Mini Корпус - Снятый оригинал Синий / Blue (для модуля 5G)</t>
  </si>
  <si>
    <t>iPhone 13 Mini Корпус - Снятый оригинал Зеленый / Green (для модуля 5G)</t>
  </si>
  <si>
    <t>iPhone 13 Mini Корпус - Снятый оригинал Розовый / Pink (для модуля 5G)</t>
  </si>
  <si>
    <t>iPhone 13 Mini Корпус - Снятый оригинал Красный / PRODUCT(RED) (для модуля 5G)</t>
  </si>
  <si>
    <t>iPhone 13 Mini Корпус - Аналог Черный / Midnight</t>
  </si>
  <si>
    <t>iPhone 13 Mini Корпус - Аналог Белый / Starlight</t>
  </si>
  <si>
    <t>iPhone 13 Mini Корпус - Аналог Синий / Blue</t>
  </si>
  <si>
    <t>iPhone 13 Mini Корпус - Аналог Зеленый / Green</t>
  </si>
  <si>
    <t>iPhone 13 Mini Корпус - Аналог Розовый / Pink</t>
  </si>
  <si>
    <t>iPhone 13 Mini Корпус - Аналог Красный / PRODUCT(RED)</t>
  </si>
  <si>
    <t>iPhone 13 Pro Корпус - Снятый оригинал Графитовый / Graphite</t>
  </si>
  <si>
    <t>iPhone 13 Pro Корпус - Снятый оригинал Голубой / Sierra Blue</t>
  </si>
  <si>
    <t>iPhone 13 Pro Корпус - Снятый оригинал Белый / Silver</t>
  </si>
  <si>
    <t>iPhone 13 Pro Корпус - Снятый оригинал Золотой / Gold</t>
  </si>
  <si>
    <t>iPhone 13 Pro Корпус - Снятый оригинал Зеленый / Alpine Green</t>
  </si>
  <si>
    <t>iPhone 13 Pro Корпус - Снятый оригинал Графитовый / Graphite (для модуля 5G)</t>
  </si>
  <si>
    <t>iPhone 13 Pro Корпус - Снятый оригинал Голубой / Sierra Blue (для модуля 5G)</t>
  </si>
  <si>
    <t>iPhone 13 Pro Корпус - Снятый оригинал Белый / Silver (для модуля 5G)</t>
  </si>
  <si>
    <t>iPhone 13 Pro Корпус - Снятый оригинал Золотой / Gold (для модуля 5G)</t>
  </si>
  <si>
    <t>iPhone 13 Pro Корпус - Снятый оригинал Зеленый / Alpine Green (для модуля 5G)</t>
  </si>
  <si>
    <t>iPhone 13 Pro Корпус - Аналог Графитовый / Graphite</t>
  </si>
  <si>
    <t>iPhone 13 Pro - Корпус ORIG 1:1, черный</t>
  </si>
  <si>
    <t>https://icomponents.ru/catalog/iphone/iphone_13_pro/iphone_13_pro_korpus_orig_1_1_chernyy/</t>
  </si>
  <si>
    <t>iPhone 13 Pro Корпус - Аналог Голубой / Sierra Blue</t>
  </si>
  <si>
    <t>iPhone 13 Pro - Корпус ORIG 1:1, небесно-голубой</t>
  </si>
  <si>
    <t>https://icomponents.ru/catalog/iphone/iphone_13_pro/iphone_13_pro_korpus_orig_1_1_nebesno_goluboy/</t>
  </si>
  <si>
    <t>iPhone 13 Pro Корпус - Аналог Белый / Silver</t>
  </si>
  <si>
    <t>iPhone 13 Pro - Корпус ORIG 1:1, белый</t>
  </si>
  <si>
    <t>https://icomponents.ru/catalog/iphone/iphone_13_pro/iphone_13_pro_korpus_orig_1_1_belyy/</t>
  </si>
  <si>
    <t>iPhone 13 Pro Корпус - Аналог Золотой / Gold</t>
  </si>
  <si>
    <t>iPhone 13 Pro - Корпус ORIG 1:1, золотой</t>
  </si>
  <si>
    <t>https://icomponents.ru/catalog/iphone/iphone_13_pro/iphone_13_pro_korpus_orig_1_1_zolotoy/</t>
  </si>
  <si>
    <t>iPhone 13 Pro Корпус - Аналог Зеленый / Alpine Green</t>
  </si>
  <si>
    <t>iPhone 13 Pro - Корпус ORIG 1:1, зеленый</t>
  </si>
  <si>
    <t>https://icomponents.ru/catalog/iphone/iphone_13_pro/iphone_13_pro_korpus_orig_1_1_zelenyy/</t>
  </si>
  <si>
    <t>iPhone 13 Pro Max Корпус - Снятый оригинал Графитовый / Graphite</t>
  </si>
  <si>
    <t>iPhone 13 Pro Max Корпус - Снятый оригинал Голубой / Sierra Blue</t>
  </si>
  <si>
    <t>iPhone 13 Pro Max Корпус - Снятый оригинал Белый / Silver</t>
  </si>
  <si>
    <t>iPhone 13 Pro Max Корпус - Снятый оригинал Золотой / Gold</t>
  </si>
  <si>
    <t>iPhone 13 Pro Max Корпус - Снятый оригинал Зеленый / Alpine Green</t>
  </si>
  <si>
    <t>iPhone 13 Pro Max Корпус - Снятый оригинал Графитовый / Graphite (для модуля 5G)</t>
  </si>
  <si>
    <t>iPhone 13 Pro Max Корпус - Снятый оригинал Голубой / Sierra Blue (для модуля 5G)</t>
  </si>
  <si>
    <t>iPhone 13 Pro Max Корпус - Снятый оригинал Белый / Silver (для модуля 5G)</t>
  </si>
  <si>
    <t>iPhone 13 Pro Max Корпус - Снятый оригинал Золотой / Gold (для модуля 5G)</t>
  </si>
  <si>
    <t>iPhone 13 Pro Max Корпус - Снятый оригинал Зеленый / Alpine Green (для модуля 5G)</t>
  </si>
  <si>
    <t>iPhone 13 Pro Max Корпус - Аналог Графитовый / Graphite</t>
  </si>
  <si>
    <t>iPhone 13 Pro Max - Корпус ORIG 1:1, черный</t>
  </si>
  <si>
    <t>https://icomponents.ru/catalog/iphone/iphone_13_pro_max/iphone_13_pro_max_korpus_orig_1_1_chernyy/</t>
  </si>
  <si>
    <t>iPhone 13 Pro Max Корпус - Аналог Голубой / Sierra Blue</t>
  </si>
  <si>
    <t>iPhone 13 Pro Max - Корпус ORIG 1:1, небесно-голубой</t>
  </si>
  <si>
    <t>https://icomponents.ru/catalog/iphone/iphone_13_pro_max/iphone_13_pro_max_korpus_orig_1_1_nebesno_goluboy/</t>
  </si>
  <si>
    <t>iPhone 13 Pro Max Корпус - Аналог Белый / Silver</t>
  </si>
  <si>
    <t>iPhone 13 Pro Max - Корпус ORIG 1:1, белый</t>
  </si>
  <si>
    <t>https://icomponents.ru/catalog/iphone/iphone_13_pro_max/iphone_13_pro_max_korpus_orig_1_1_belyy/</t>
  </si>
  <si>
    <t>iPhone 13 Pro Max Корпус - Аналог Золотой / Gold</t>
  </si>
  <si>
    <t>iPhone 13 Pro Max - Корпус ORIG 1:1, золотой</t>
  </si>
  <si>
    <t>https://icomponents.ru/catalog/iphone/iphone_13_pro_max/iphone_13_pro_max_korpus_orig_1_1_zolotoy/</t>
  </si>
  <si>
    <t>iPhone 13 Pro Max Корпус - Аналог Зеленый / Alpine Green</t>
  </si>
  <si>
    <t>iPhone 13 Pro Max - Корпус ORIG 1:1, зеленый</t>
  </si>
  <si>
    <t>https://icomponents.ru/catalog/iphone/iphone_13_pro_max/iphone_13_pro_max_korpus_orig_1_1_zelenyy/</t>
  </si>
  <si>
    <t>iPhone 14 Корпус (средняя часть) - Снятый оригинал Черный / Midnight</t>
  </si>
  <si>
    <t>iPhone 14 Корпус (средняя часть) - Снятый оригинал Белый / Starlight</t>
  </si>
  <si>
    <t>iPhone 14 Корпус (средняя часть) - Снятый оригинал Голубой / Blue</t>
  </si>
  <si>
    <t>iPhone 14 Корпус (средняя часть) - Снятый оригинал Фиолетовый / Purple</t>
  </si>
  <si>
    <t>iPhone 14 Корпус (средняя часть) - Снятый оригинал Красный / PRODUCT(RED)</t>
  </si>
  <si>
    <t>iPhone 14 Корпус (средняя часть) - Снятый оригинал Желтый / Yellow</t>
  </si>
  <si>
    <t>iPhone 14 Корпус (средняя часть) - Снятый оригинал Черный / Midnight (для eSIM)</t>
  </si>
  <si>
    <t>iPhone 14 Корпус (средняя часть) - Снятый оригинал Белый / Starlight (для eSIM)</t>
  </si>
  <si>
    <t>iPhone 14 Корпус (средняя часть) - Снятый оригинал Голубой / Blue (для eSIM)</t>
  </si>
  <si>
    <t>iPhone 14 Корпус (средняя часть) - Снятый оригинал Фиолетовый / Purple (для eSIM)</t>
  </si>
  <si>
    <t>iPhone 14 Корпус (средняя часть) - Снятый оригинал Красный / PRODUCT(RED) (для eSIM)</t>
  </si>
  <si>
    <t>iPhone 14 Корпус (средняя часть) - Снятый оригинал Желтый / Yellow (для eSIM)</t>
  </si>
  <si>
    <t>iPhone 14 Корпус (средняя часть) - Аналог Черный / Midnight</t>
  </si>
  <si>
    <t>iPhone 14 - Корпус (средняя часть) ORIG 1:1, черный</t>
  </si>
  <si>
    <t>https://icomponents.ru/catalog/iphone/iphone_14/iphone_14_korpus_srednyaya_chast_orig_1_1_chernyy/</t>
  </si>
  <si>
    <t>iPhone 14 Корпус (средняя часть) - Аналог Белый / Starlight</t>
  </si>
  <si>
    <t>iPhone 14 - Корпус (средняя часть) ORIG 1:1, белый</t>
  </si>
  <si>
    <t>https://icomponents.ru/catalog/iphone/iphone_14/iphone_14_korpus_srednyaya_chast_orig_1_1_belyy/</t>
  </si>
  <si>
    <t>iPhone 14 Корпус (средняя часть) - Аналог Голубой / Blue</t>
  </si>
  <si>
    <t>iPhone 14 - Корпус (средняя часть) ORIG 1:1, голубой</t>
  </si>
  <si>
    <t>https://icomponents.ru/catalog/iphone/iphone_14/iphone_14_korpus_srednyaya_chast_orig_1_1_goluboy/</t>
  </si>
  <si>
    <t>iPhone 14 Корпус (средняя часть) - Аналог Фиолетовый / Purple</t>
  </si>
  <si>
    <t>iPhone 14 - Корпус (средняя часть) ORIG 1:1, фиолетовый</t>
  </si>
  <si>
    <t>https://icomponents.ru/catalog/iphone/iphone_14/iphone_14_korpus_srednyaya_chast_orig_1_1_fioletovyy/</t>
  </si>
  <si>
    <t>iPhone 14 Корпус (средняя часть) - Аналог Красный / PRODUCT(RED)</t>
  </si>
  <si>
    <t>iPhone 14 - Корпус (средняя часть) ORIG 1:1, красный</t>
  </si>
  <si>
    <t>https://icomponents.ru/catalog/iphone/iphone_14/iphone_14_korpus_srednyaya_chast_orig_1_1_krasnyy/</t>
  </si>
  <si>
    <t>iPhone 14 Корпус (средняя часть) - Аналог Желтый / Yellow</t>
  </si>
  <si>
    <t>iPhone 14 Plus Корпус (средняя часть) - Снятый оригинал Черный / Midnight</t>
  </si>
  <si>
    <t>iPhone 14 Plus Корпус (средняя часть) - Снятый оригинал Белый / Starlight</t>
  </si>
  <si>
    <t>iPhone 14 Plus Корпус (средняя часть) - Снятый оригинал Голубой / Blue</t>
  </si>
  <si>
    <t>iPhone 14 Plus Корпус (средняя часть) - Снятый оригинал Фиолетовый / Purple</t>
  </si>
  <si>
    <t>iPhone 14 Plus Корпус (средняя часть) - Снятый оригинал Красный / PRODUCT(RED)</t>
  </si>
  <si>
    <t>iPhone 14 Plus Корпус (средняя часть) - Снятый оригинал Желтый / Yellow</t>
  </si>
  <si>
    <t>iPhone 14 Plus Корпус (средняя часть) - Снятый оригинал Черный / Midnight (для eSIM)</t>
  </si>
  <si>
    <t>iPhone 14 Plus Корпус (средняя часть) - Снятый оригинал Белый / Starlight (для eSIM)</t>
  </si>
  <si>
    <t>iPhone 14 Plus Корпус (средняя часть) - Снятый оригинал Голубой / Blue (для eSIM)</t>
  </si>
  <si>
    <t>iPhone 14 Plus Корпус (средняя часть) - Снятый оригинал Фиолетовый / Purple (для eSIM)</t>
  </si>
  <si>
    <t>iPhone 14 Plus Корпус (средняя часть) - Снятый оригинал Красный / PRODUCT(RED) (для eSIM)</t>
  </si>
  <si>
    <t>iPhone 14 Plus Корпус (средняя часть) - Снятый оригинал Желтый / Yellow (для eSIM)</t>
  </si>
  <si>
    <t>iPhone 14 Plus Корпус (средняя часть) - Аналог Черный / Midnight</t>
  </si>
  <si>
    <t>iPhone 14 Plus Корпус (средняя часть) - Аналог Белый / Starlight</t>
  </si>
  <si>
    <t>iPhone 14 Plus Корпус (средняя часть) - Аналог Голубой / Blue</t>
  </si>
  <si>
    <t>iPhone 14 Plus Корпус (средняя часть) - Аналог Фиолетовый / Purple</t>
  </si>
  <si>
    <t>iPhone 14 Plus Корпус (средняя часть) - Аналог Красный / PRODUCT(RED)</t>
  </si>
  <si>
    <t>iPhone 14 Plus Корпус (средняя часть) - Аналог Желтый / Yellow</t>
  </si>
  <si>
    <t>iPhone 14 Pro Корпус - Снятый оригинал Фиолетовый / Deep Purple</t>
  </si>
  <si>
    <t>iPhone 14 Pro Корпус - Снятый оригинал Черный / Space Black</t>
  </si>
  <si>
    <t>iPhone 14 Pro Корпус - Снятый оригинал Белый / Silver</t>
  </si>
  <si>
    <t>iPhone 14 Pro Корпус - Снятый оригинал Золотой / Gold</t>
  </si>
  <si>
    <t>iPhone 14 Pro Корпус - Снятый оригинал Фиолетовый / Deep Purple (для eSIM)</t>
  </si>
  <si>
    <t>iPhone 14 Pro Корпус - Снятый оригинал Черный / Space Black (для eSIM)</t>
  </si>
  <si>
    <t>iPhone 14 Pro Корпус - Снятый оригинал Белый / Silver (для eSIM)</t>
  </si>
  <si>
    <t>iPhone 14 Pro Корпус - Снятый оригинал Золотой / Gold (для eSIM)</t>
  </si>
  <si>
    <t>iPhone 14 Pro Корпус - Аналог Фиолетовый / Deep Purple</t>
  </si>
  <si>
    <t>iPhone 14 Pro - Корпус ORIG 1:1, фиолетовый</t>
  </si>
  <si>
    <t>https://icomponents.ru/catalog/iphone/iphone_14_pro/iphone_14_pro_korpus_orig_1_1_fioletovyy/</t>
  </si>
  <si>
    <t>iPhone 14 Pro Корпус - Аналог Черный / Space Black</t>
  </si>
  <si>
    <t>iPhone 14 Pro - Корпус ORIG 1:1, черный</t>
  </si>
  <si>
    <t>https://icomponents.ru/catalog/iphone/iphone_14_pro/iphone_14_pro_korpus_orig_1_1_chernyy/</t>
  </si>
  <si>
    <t>iPhone 14 Pro Корпус - Аналог Белый / Silver</t>
  </si>
  <si>
    <t>iPhone 14 Pro - Корпус ORIG 1:1, белый</t>
  </si>
  <si>
    <t>https://icomponents.ru/catalog/iphone/iphone_14_pro/iphone_14_pro_korpus_orig_1_1_belyy/</t>
  </si>
  <si>
    <t>iPhone 14 Pro Корпус - Аналог Золотой / Gold</t>
  </si>
  <si>
    <t>iPhone 14 Pro - Корпус ORIG 1:1, золотой</t>
  </si>
  <si>
    <t>https://icomponents.ru/catalog/iphone/iphone_14_pro/iphone_14_pro_korpus_orig_1_1_zolotoy/</t>
  </si>
  <si>
    <t>iPhone 14 Pro Max Корпус - Снятый оригинал Фиолетовый / Deep Purple</t>
  </si>
  <si>
    <t>iPhone 14 Pro Max Корпус - Снятый оригинал Черный / Space Black</t>
  </si>
  <si>
    <t>iPhone 14 Pro Max Корпус - Снятый оригинал Белый / Silver</t>
  </si>
  <si>
    <t>iPhone 14 Pro Max Корпус - Снятый оригинал Золотой / Gold</t>
  </si>
  <si>
    <t>iPhone 14 Pro Max Корпус - Снятый оригинал Фиолетовый / Deep Purple (для eSIM)</t>
  </si>
  <si>
    <t>iPhone 14 Pro Max Корпус - Снятый оригинал Черный / Space Black (для eSIM)</t>
  </si>
  <si>
    <t>iPhone 14 Pro Max Корпус - Снятый оригинал Белый / Silver (для eSIM)</t>
  </si>
  <si>
    <t>iPhone 14 Pro Max Корпус - Снятый оригинал Золотой / Gold (для eSIM)</t>
  </si>
  <si>
    <t>iPhone 14 Pro Max Корпус - Аналог Фиолетовый / Deep Purple</t>
  </si>
  <si>
    <t>iPhone 14 Pro Max - Корпус ORIG 1:1, фиолетовый</t>
  </si>
  <si>
    <t>https://icomponents.ru/catalog/iphone/iphone_14_pro_max/iphone_14_pro_max_korpus_orig_1_1_fioletovyy/</t>
  </si>
  <si>
    <t>iPhone 14 Pro Max Корпус - Аналог Черный / Space Black</t>
  </si>
  <si>
    <t>iPhone 14 Pro Max - Корпус ORIG 1:1, черный</t>
  </si>
  <si>
    <t>https://icomponents.ru/catalog/iphone/iphone_14_pro_max/iphone_14_pro_max_korpus_orig_1_1_chernyy/</t>
  </si>
  <si>
    <t>iPhone 14 Pro Max Корпус - Аналог Белый / Silver</t>
  </si>
  <si>
    <t>iPhone 14 Pro Max - Корпус ORIG 1:1, белый</t>
  </si>
  <si>
    <t>https://icomponents.ru/catalog/iphone/iphone_14_pro_max/iphone_14_pro_max_korpus_orig_1_1_belyy/</t>
  </si>
  <si>
    <t>iPhone 14 Pro Max Корпус - Аналог Золотой / Gold</t>
  </si>
  <si>
    <t>iPhone 14 Pro Max - Корпус ORIG 1:1, золотой</t>
  </si>
  <si>
    <t>https://icomponents.ru/catalog/iphone/iphone_14_pro_max/iphone_14_pro_max_korpus_orig_1_1_zolotoy/</t>
  </si>
  <si>
    <t>iPhone 15 Корпус (средняя часть) - Снятый оригинал Черный / Midnight</t>
  </si>
  <si>
    <t>iPhone 15 Корпус (средняя часть) - Снятый оригинал Голубой / Blue</t>
  </si>
  <si>
    <t>iPhone 15 Корпус (средняя часть) - Снятый оригинал Зеленый / Green</t>
  </si>
  <si>
    <t>iPhone 15 Корпус (средняя часть) - Снятый оригинал Розовый / Pink</t>
  </si>
  <si>
    <t>iPhone 15 Корпус (средняя часть) - Снятый оригинал Желтый / Yellow</t>
  </si>
  <si>
    <t>iPhone 15 Корпус (средняя часть) - Снятый оригинал Черный / Midnight (для eSIM)</t>
  </si>
  <si>
    <t>iPhone 15 Корпус (средняя часть) - Снятый оригинал Голубой / Blue (для eSIM)</t>
  </si>
  <si>
    <t>iPhone 15 Корпус (средняя часть) - Снятый оригинал Зеленый / Green (для eSIM)</t>
  </si>
  <si>
    <t>iPhone 15 Корпус (средняя часть) - Снятый оригинал Розовый / Pink (для eSIM)</t>
  </si>
  <si>
    <t>iPhone 15 Корпус (средняя часть) - Снятый оригинал Желтый / Yellow (для eSIM)</t>
  </si>
  <si>
    <t>iPhone 15 Корпус (средняя часть) - Аналог Черный / Midnight</t>
  </si>
  <si>
    <t>iPhone 15 корпус (средняя часть) ORIG 1:1 Черный</t>
  </si>
  <si>
    <t>https://icomponents.ru/catalog/iphone/iphone_15/iphone_15_korpus_srednyaya_chast_orig_1_1_chernyy/</t>
  </si>
  <si>
    <t>iPhone 15 Корпус (средняя часть) - Аналог Голубой / Blue</t>
  </si>
  <si>
    <t>iPhone 15 корпус (средняя часть) ORIG 1:1 Синий</t>
  </si>
  <si>
    <t>https://icomponents.ru/catalog/iphone/iphone_15/iphone_15_korpus_srednyaya_chast_orig_1_1_siniy/</t>
  </si>
  <si>
    <t>iPhone 15 Корпус (средняя часть) - Аналог Зеленый / Green</t>
  </si>
  <si>
    <t>iPhone 15 корпус (средняя часть) ORIG 1:1 Зеленый</t>
  </si>
  <si>
    <t>https://icomponents.ru/catalog/iphone/iphone_15/iphone_15_korpus_srednyaya_chast_orig_1_1_zelenyy/</t>
  </si>
  <si>
    <t>iPhone 15 Корпус (средняя часть) - Аналог Розовый / Pink</t>
  </si>
  <si>
    <t>iPhone 15 корпус (средняя часть) ORIG 1:1 Розовый</t>
  </si>
  <si>
    <t>https://icomponents.ru/catalog/iphone/iphone_15/iphone_15_korpus_srednyaya_chast_orig_1_1_rozovyy/</t>
  </si>
  <si>
    <t>iPhone 15 Корпус (средняя часть) - Аналог Желтый / Yellow</t>
  </si>
  <si>
    <t>iPhone 15 корпус (средняя часть) ORIG 1:1 Желтый</t>
  </si>
  <si>
    <t>https://icomponents.ru/catalog/iphone/iphone_15/iphone_15_korpus_srednyaya_chast_orig_1_1_zheltyy/</t>
  </si>
  <si>
    <t>iPhone 15 Plus Корпус (средняя часть) - Снятый оригинал Черный / Midnight</t>
  </si>
  <si>
    <t>iPhone 15 Plus Корпус (средняя часть) - Снятый оригинал Голубой / Blue</t>
  </si>
  <si>
    <t>iPhone 15 Plus Корпус (средняя часть) - Снятый оригинал Зеленый / Green</t>
  </si>
  <si>
    <t>iPhone 15 Plus Корпус (средняя часть) - Снятый оригинал Розовый / Pink</t>
  </si>
  <si>
    <t>iPhone 15 Plus Корпус (средняя часть) - Снятый оригинал Желтый / Yellow</t>
  </si>
  <si>
    <t>iPhone 15 Plus Корпус (средняя часть) - Снятый оригинал Черный / Midnight (для eSIM)</t>
  </si>
  <si>
    <t>iPhone 15 Plus Корпус (средняя часть) - Снятый оригинал Голубой / Blue (для eSIM)</t>
  </si>
  <si>
    <t>iPhone 15 Plus Корпус (средняя часть) - Снятый оригинал Зеленый / Green (для eSIM)</t>
  </si>
  <si>
    <t>iPhone 15 Plus Корпус (средняя часть) - Снятый оригинал Розовый / Pink (для eSIM)</t>
  </si>
  <si>
    <t>iPhone 15 Plus Корпус (средняя часть) - Снятый оригинал Желтый / Yellow (для eSIM)</t>
  </si>
  <si>
    <t>iPhone 15 Plus Корпус (средняя часть) - Аналог Черный / Midnight</t>
  </si>
  <si>
    <t>iPhone 15 Plus Корпус (средняя часть) - Аналог Голубой / Blue</t>
  </si>
  <si>
    <t>iPhone 15 Plus Корпус (средняя часть) - Аналог Зеленый / Green</t>
  </si>
  <si>
    <t>iPhone 15 Plus Корпус (средняя часть) - Аналог Розовый / Pink</t>
  </si>
  <si>
    <t>iPhone 15 Plus Корпус (средняя часть) - Аналог Желтый / Yellow</t>
  </si>
  <si>
    <t>iPhone 15 Pro Корпус (средняя часть) - Снятый оригинал Натуральный титан / Natural Titanium</t>
  </si>
  <si>
    <t>iPhone 15 Pro Корпус (средняя часть) - Снятый оригинал Синий титан / Blue Titanium</t>
  </si>
  <si>
    <t>iPhone 15 Pro Корпус (средняя часть) - Снятый оригинал Белый титан / White Titanium</t>
  </si>
  <si>
    <t>iPhone 15 Pro Корпус (средняя часть) - Снятый оригинал Черный титан / Black Titanium</t>
  </si>
  <si>
    <t>iPhone 15 Pro Корпус (средняя часть) - Снятый оригинал Натуральный титан / Natural Titanium (для eSIM)</t>
  </si>
  <si>
    <t>iPhone 15 Pro Корпус (средняя часть) - Снятый оригинал Синий титан / Blue Titanium (для eSIM)</t>
  </si>
  <si>
    <t>iPhone 15 Pro Корпус (средняя часть) - Снятый оригинал Белый титан / White Titanium (для eSIM)</t>
  </si>
  <si>
    <t>iPhone 15 Pro Корпус (средняя часть) - Снятый оригинал Черный титан / Black Titanium (для eSIM)</t>
  </si>
  <si>
    <t>iPhone 15 Pro Корпус (средняя часть) - Аналог Натуральный титан / Natural Titanium</t>
  </si>
  <si>
    <t>iPhone 15 Pro - средняя часть корпуса, натуральный титан</t>
  </si>
  <si>
    <t>https://icomponents.ru/catalog/iphone/iphone_15_pro/iphone_15_pro_srednyaya_chast_korpusa_naturalnyy_titan/</t>
  </si>
  <si>
    <t>iPhone 15 Pro Корпус (средняя часть) - Аналог Синий титан / Blue Titanium</t>
  </si>
  <si>
    <t>iPhone 15 Pro - средняя часть корпуса, синий</t>
  </si>
  <si>
    <t>https://icomponents.ru/catalog/iphone/iphone_15_pro/iphone_15_pro_srednyaya_chast_korpusa_siniy/</t>
  </si>
  <si>
    <t>iPhone 15 Pro Корпус (средняя часть) - Аналог Белый титан / White Titanium</t>
  </si>
  <si>
    <t>iPhone 15 Pro - средняя часть корпуса, белый</t>
  </si>
  <si>
    <t>https://icomponents.ru/catalog/iphone/iphone_15_pro/iphone_15_pro_srednyaya_chast_korpusa_belyy/</t>
  </si>
  <si>
    <t>iPhone 15 Pro Корпус (средняя часть) - Аналог Черный титан / Black Titanium</t>
  </si>
  <si>
    <t>iPhone 15 Pro - средняя часть корпуса, черный</t>
  </si>
  <si>
    <t>https://icomponents.ru/catalog/iphone/iphone_15_pro/iphone_15_pro_srednyaya_chast_korpusa_chernyy/</t>
  </si>
  <si>
    <t>iPhone 15 Pro Max Корпус (средняя часть) - Снятый оригинал Натуральный титан / Natural Titanium</t>
  </si>
  <si>
    <t>iPhone 15 Pro Max Корпус (средняя часть) - Снятый оригинал Синий титан / Blue Titanium</t>
  </si>
  <si>
    <t>iPhone 15 Pro Max Корпус (средняя часть) - Снятый оригинал Белый титан / White Titanium</t>
  </si>
  <si>
    <t>iPhone 15 Pro Max Корпус (средняя часть) - Снятый оригинал Черный титан / Black Titanium</t>
  </si>
  <si>
    <t>iPhone 15 Pro Max Корпус (средняя часть) - Снятый оригинал Натуральный титан / Natural Titanium (для eSIM)</t>
  </si>
  <si>
    <t>iPhone 15 Pro Max Корпус (средняя часть) - Снятый оригинал Синий титан / Blue Titanium (для eSIM)</t>
  </si>
  <si>
    <t>iPhone 15 Pro Max Корпус (средняя часть) - Снятый оригинал Белый титан / White Titanium (для eSIM)</t>
  </si>
  <si>
    <t>iPhone 15 Pro Max Корпус (средняя часть) - Снятый оригинал Черный титан / Black Titanium (для eSIM)</t>
  </si>
  <si>
    <t>iPhone 15 Pro Max Корпус (средняя часть) - Аналог Натуральный титан / Natural Titanium</t>
  </si>
  <si>
    <t>iPhone 15 Pro Max корпус (средняя часть) Натуральный Титан ORIG 1:1</t>
  </si>
  <si>
    <t>https://icomponents.ru/catalog/iphone/iphone_15_pro_max/iphone_15_pro_max_korpus_srednyaya_chast_naturalnyy_titan_orig_1_1/</t>
  </si>
  <si>
    <t>iPhone 15 Pro Max Корпус (средняя часть) - Аналог Синий титан / Blue Titanium</t>
  </si>
  <si>
    <t>iPhone 15 Pro Max корпус (средняя часть) ORIG1:1 Синий</t>
  </si>
  <si>
    <t>https://icomponents.ru/catalog/iphone/iphone_15_pro_max/iphone_15_pro_max_korpus_srednyaya_chast_orig1_1_siniy/</t>
  </si>
  <si>
    <t>iPhone 15 Pro Max Корпус (средняя часть) - Аналог Белый титан / White Titanium</t>
  </si>
  <si>
    <t>iPhone 15 Pro Max корпус (средняя часть) ORIG1:1 Белый</t>
  </si>
  <si>
    <t>https://icomponents.ru/catalog/iphone/iphone_15_pro_max/iphone_15_pro_max_korpus_srednyaya_chast_orig1_1_belyy/</t>
  </si>
  <si>
    <t>iPhone 15 Pro Max Корпус (средняя часть) - Аналог Черный титан / Black Titanium</t>
  </si>
  <si>
    <t>iPhone 15 Pro Max корпус (средняя часть) ORIG1:1 Черный</t>
  </si>
  <si>
    <t>https://icomponents.ru/catalog/iphone/iphone_15_pro_max/iphone_15_pro_max_korpus_srednyaya_chast_orig1_1_chernyy/</t>
  </si>
  <si>
    <t>iPhone 16 Корпус (средняя часть) - Снятый оригинал Ультрамарин / Ultramarine</t>
  </si>
  <si>
    <t>iPhone 16 Корпус (средняя часть) - Снятый оригинал Бирюзовый / Teal</t>
  </si>
  <si>
    <t>iPhone 16 Корпус (средняя часть) - Снятый оригинал Белый / White</t>
  </si>
  <si>
    <t>iPhone 16 Корпус (средняя часть) - Снятый оригинал Розовый / Pink</t>
  </si>
  <si>
    <t>iPhone 16 Корпус (средняя часть) - Снятый оригинал Черный / Black</t>
  </si>
  <si>
    <t>iPhone 16 Корпус (средняя часть) - Снятый оригинал Ультрамарин / Ultramarine (для eSIM)</t>
  </si>
  <si>
    <t>iPhone 16 Корпус (средняя часть) - Снятый оригинал Бирюзовый / Teal (для eSIM)</t>
  </si>
  <si>
    <t>iPhone 16 Корпус (средняя часть) - Снятый оригинал Белый / White (для eSIM)</t>
  </si>
  <si>
    <t>iPhone 16 Корпус (средняя часть) - Снятый оригинал Розовый / Pink (для eSIM)</t>
  </si>
  <si>
    <t>iPhone 16 Корпус (средняя часть) - Снятый оригинал Черный / Black (для eSIM)</t>
  </si>
  <si>
    <t>iPhone 16E Корпус (средняя часть) - Снятый оригинал Белый / White</t>
  </si>
  <si>
    <t>iPhone 16E Корпус (средняя часть) - Снятый оригинал Черный / Black</t>
  </si>
  <si>
    <t>iPhone 16E Корпус (средняя часть) - Снятый оригинал Белый / White (для eSIM)</t>
  </si>
  <si>
    <t>iPhone 16E Корпус (средняя часть) - Снятый оригинал Черный / Black (для eSIM)</t>
  </si>
  <si>
    <t>iPhone 16E Корпус (средняя часть) - Аналог Белый / White</t>
  </si>
  <si>
    <t>iPhone 16E Корпус (средняя часть) - Аналог Черный / Black</t>
  </si>
  <si>
    <t>iPhone 16 Plus Корпус (средняя часть) - Снятый оригинал Ультрамарин / Ultramarine</t>
  </si>
  <si>
    <t>iPhone 16 Plus Корпус (средняя часть) - Снятый оригинал Бирюзовый / Teal</t>
  </si>
  <si>
    <t>iPhone 16 Plus Корпус (средняя часть) - Снятый оригинал Белый / White</t>
  </si>
  <si>
    <t>iPhone 16 Plus Корпус (средняя часть) - Снятый оригинал Розовый / Pink</t>
  </si>
  <si>
    <t>iPhone 16 Plus Корпус (средняя часть) - Снятый оригинал Черный / Black</t>
  </si>
  <si>
    <t>iPhone 16 Plus Корпус (средняя часть) - Снятый оригинал Ультрамарин / Ultramarine (для eSIM)</t>
  </si>
  <si>
    <t>iPhone 16 Plus Корпус (средняя часть) - Снятый оригинал Бирюзовый / Teal (для eSIM)</t>
  </si>
  <si>
    <t>iPhone 16 Plus Корпус (средняя часть) - Снятый оригинал Белый / White (для eSIM)</t>
  </si>
  <si>
    <t>iPhone 16 Plus Корпус (средняя часть) - Снятый оригинал Розовый / Pink (для eSIM)</t>
  </si>
  <si>
    <t>iPhone 16 Plus Корпус (средняя часть) - Снятый оригинал Черный / Black (для eSIM)</t>
  </si>
  <si>
    <t>iPhone 16 Pro Корпус (средняя часть) - Снятый оригинал Натуральный титан / Natural Titanium</t>
  </si>
  <si>
    <t>iPhone 16 Pro Корпус (средняя часть) - Снятый оригинал Пустынный титан / Desert Titanium</t>
  </si>
  <si>
    <t>iPhone 16 Pro Корпус (средняя часть) - Снятый оригинал Белый титан / White Titanium</t>
  </si>
  <si>
    <t>iPhone 16 Pro Корпус (средняя часть) - Снятый оригинал Черный титан / Black Titanium</t>
  </si>
  <si>
    <t>iPhone 16 Pro Корпус (средняя часть) - Снятый оригинал Натуральный титан / Natural Titanium (для eSIM)</t>
  </si>
  <si>
    <t>iPhone 16 Pro Корпус (средняя часть) - Снятый оригинал Пустынный титан / Desert Titanium (для eSIM)</t>
  </si>
  <si>
    <t>iPhone 16 Pro Корпус (средняя часть) - Снятый оригинал Белый титан / White Titanium (для eSIM)</t>
  </si>
  <si>
    <t>iPhone 16 Pro Корпус (средняя часть) - Снятый оригинал Черный титан / Black Titanium (для eSIM)</t>
  </si>
  <si>
    <t>iPhone 16 Pro Max Корпус (средняя часть) - Снятый оригинал Натуральный титан / Natural Titanium</t>
  </si>
  <si>
    <t>iPhone 16 Pro Max Корпус (средняя часть) - Снятый оригинал Пустынный титан / Desert Titanium</t>
  </si>
  <si>
    <t>iPhone 16 Pro Max Корпус (средняя часть) - Снятый оригинал Белый титан / White Titanium</t>
  </si>
  <si>
    <t>iPhone 16 Pro Max Корпус (средняя часть) - Снятый оригинал Черный титан / Black Titanium</t>
  </si>
  <si>
    <t>iPhone 16 Pro Max Корпус (средняя часть) - Снятый оригинал Натуральный титан / Natural Titanium (для eSIM)</t>
  </si>
  <si>
    <t>iPhone 16 Pro Max Корпус (средняя часть) - Снятый оригинал Пустынный титан / Desert Titanium (для eSIM)</t>
  </si>
  <si>
    <t>iPhone 16 Pro Max Корпус (средняя часть) - Снятый оригинал Белый титан / White Titanium (для eSIM)</t>
  </si>
  <si>
    <t>iPhone 16 Pro Max Корпус (средняя часть) - Снятый оригинал Черный титан / Black Titanium (для eSIM)</t>
  </si>
  <si>
    <t>iPhone 17 Корпус (средняя часть) - Снятый оригинал Лавандовый / Lavender</t>
  </si>
  <si>
    <t>iPhone 17 Корпус (средняя часть) - Снятый оригинал Зеленый / Sage</t>
  </si>
  <si>
    <t>iPhone 17 Корпус (средняя часть) - Снятый оригинал Белый / White</t>
  </si>
  <si>
    <t>iPhone 17 Корпус (средняя часть) - Снятый оригинал Голубой / Mist Blue</t>
  </si>
  <si>
    <t>iPhone 17 Корпус (средняя часть) - Снятый оригинал Черный / Black</t>
  </si>
  <si>
    <t>iPhone 17 Корпус (средняя часть) - Снятый оригинал Лавандовый / Lavender (для eSIM)</t>
  </si>
  <si>
    <t>iPhone 17 Корпус (средняя часть) - Снятый оригинал Зеленый / Sage (для eSIM)</t>
  </si>
  <si>
    <t>iPhone 17 Корпус (средняя часть) - Снятый оригинал Белый / White (для eSIM)</t>
  </si>
  <si>
    <t>iPhone 17 Корпус (средняя часть) - Снятый оригинал Голубой / Mist Blue (для eSIM)</t>
  </si>
  <si>
    <t>iPhone 17 Корпус (средняя часть) - Снятый оригинал Черный / Black (для eSIM)</t>
  </si>
  <si>
    <t>iPhone 17 Air Корпус (средняя часть) - Снятый оригинал Золотой / Light Gold</t>
  </si>
  <si>
    <t>iPhone 17 Air Корпус (средняя часть) - Снятый оригинал Белый / Cloud White</t>
  </si>
  <si>
    <t>iPhone 17 Air Корпус (средняя часть) - Снятый оригинал Голубой / Sky Blue</t>
  </si>
  <si>
    <t>iPhone 17 Air Корпус (средняя часть) - Снятый оригинал Черный / Space Black</t>
  </si>
  <si>
    <t>iPhone 17 Air Корпус (средняя часть) - Снятый оригинал Золотой / Light Gold (для eSIM)</t>
  </si>
  <si>
    <t>iPhone 17 Air Корпус (средняя часть) - Снятый оригинал Белый / Cloud White (для eSIM)</t>
  </si>
  <si>
    <t>iPhone 17 Air Корпус (средняя часть) - Снятый оригинал Голубой / Sky Blue (для eSIM)</t>
  </si>
  <si>
    <t>iPhone 17 Air Корпус (средняя часть) - Снятый оригинал Черный / Space Black (для eSIM)</t>
  </si>
  <si>
    <t>iPhone 17 Pro Корпус - Снятый оригинал Оранжевый / Cosmic Orange</t>
  </si>
  <si>
    <t>iPhone 17 Pro Корпус - Снятый оригинал Синий / Deep Blue</t>
  </si>
  <si>
    <t>iPhone 17 Pro Корпус - Снятый оригинал Белый / Silver</t>
  </si>
  <si>
    <t>iPhone 17 Pro Корпус - Снятый оригинал Оранжевый / Cosmic Orange (для eSIM)</t>
  </si>
  <si>
    <t>iPhone 17 Pro Корпус - Снятый оригинал Синий / Deep Blue (для eSIM)</t>
  </si>
  <si>
    <t>iPhone 17 Pro Корпус - Снятый оригинал Белый / Silver (для eSIM)</t>
  </si>
  <si>
    <t>iPhone 17 Pro Max Корпус - Снятый оригинал Оранжевый / Cosmic Orange</t>
  </si>
  <si>
    <t>iPhone 17 Pro Max Корпус - Снятый оригинал Синий / Deep Blue</t>
  </si>
  <si>
    <t>iPhone 17 Pro Max Корпус - Снятый оригинал Белый / Silver</t>
  </si>
  <si>
    <t>iPhone 17 Pro Max Корпус - Снятый оригинал Оранжевый / Cosmic Orange (для eSIM)</t>
  </si>
  <si>
    <t>iPhone 17 Pro Max Корпус - Снятый оригинал Синий / Deep Blue (для eSIM)</t>
  </si>
  <si>
    <t>iPhone 17 Pro Max Корпус - Снятый оригинал Белый / Silver (для eSIM)</t>
  </si>
  <si>
    <t>iPhone 17 [BAT] Аккумулятор - Сервисный оригинал (подлинное)</t>
  </si>
  <si>
    <t>iPhone 17 [BAT] Аккумулятор - Снятый оригинал (бу)</t>
  </si>
  <si>
    <t>iPhone 17 [BAT] Аккумулятор - Аналог ORIG (подлинное)</t>
  </si>
  <si>
    <t>iPhone 17 [BAT] Аккумулятор - Аналог ORIG (бу)</t>
  </si>
  <si>
    <t>iPhone 17 [BAT] Аккумулятор - Аналог ORIG (неизвестная деталь)</t>
  </si>
  <si>
    <t>iPhone 17 [BAT] Аккумулятор - Банка ORIG</t>
  </si>
  <si>
    <t>iPhone 17 Air [BAT] Аккумулятор - Сервисный оригинал (подлинное)</t>
  </si>
  <si>
    <t>iPhone 17 Air [BAT] Аккумулятор - Снятый оригинал (бу)</t>
  </si>
  <si>
    <t>iPhone 17 Air [BAT] Аккумулятор - Аналог ORIG (подлинное)</t>
  </si>
  <si>
    <t>iPhone 17 Air [BAT] Аккумулятор - Аналог ORIG (бу)</t>
  </si>
  <si>
    <t>iPhone 17 Air [BAT] Аккумулятор - Аналог ORIG (неизвестная деталь)</t>
  </si>
  <si>
    <t>iPhone 17 Air [BAT] Аккумулятор - Банка ORIG</t>
  </si>
  <si>
    <t>iPhone 17 Pro [BAT] Аккумулятор - Сервисный оригинал SIM (подлинное)</t>
  </si>
  <si>
    <t>iPhone 17 Pro [BAT] Аккумулятор - Сервисный оригинал eSIM (подлинное)</t>
  </si>
  <si>
    <t>iPhone 17 Pro [BAT] Аккумулятор - Снятый оригинал SIM (бу)</t>
  </si>
  <si>
    <t>iPhone 17 Pro [BAT] Аккумулятор - Снятый оригинал eSIM (бу)</t>
  </si>
  <si>
    <t>iPhone 17 Pro [BAT] Аккумулятор - Аналог ORIG SIM (подлинное)</t>
  </si>
  <si>
    <t>iPhone 17 Pro [BAT] Аккумулятор - Аналог ORIG eSIM (подлинное)</t>
  </si>
  <si>
    <t>iPhone 17 Pro [BAT] Аккумулятор - Аналог ORIG SIM (бу)</t>
  </si>
  <si>
    <t>iPhone 17 Pro [BAT] Аккумулятор - Аналог ORIG eSIM (бу)</t>
  </si>
  <si>
    <t>iPhone 17 Pro [BAT] Аккумулятор - Аналог ORIG SIM (неизвестная деталь)</t>
  </si>
  <si>
    <t>iPhone 17 Pro [BAT] Аккумулятор - Аналог ORIG eSIM (неизвестная деталь)</t>
  </si>
  <si>
    <t>iPhone 17 Pro [BAT] Аккумулятор - Банка ORIG SIM</t>
  </si>
  <si>
    <t xml:space="preserve">iPhone 17 Pro [BAT] Аккумулятор - Банка ORIG eSIM </t>
  </si>
  <si>
    <t>iPhone 17 Pro Max [BAT] Аккумулятор - Сервисный оригинал SIM (подлинное)</t>
  </si>
  <si>
    <t>iPhone 17 Pro Max [BAT] Аккумулятор - Сервисный оригинал eSIM (подлинное)</t>
  </si>
  <si>
    <t>iPhone 17 Pro Max [BAT] Аккумулятор - Снятый оригинал SIM (бу)</t>
  </si>
  <si>
    <t>iPhone 17 Pro Max [BAT] Аккумулятор - Снятый оригинал eSIM (бу)</t>
  </si>
  <si>
    <t>iPhone 17 Pro Max [BAT] Аккумулятор - Аналог ORIG SIM (подлинное)</t>
  </si>
  <si>
    <t>iPhone 17 Pro Max [BAT] Аккумулятор - Аналог ORIG eSIM (подлинное)</t>
  </si>
  <si>
    <t>iPhone 17 Pro Max [BAT] Аккумулятор - Аналог ORIG SIM (бу)</t>
  </si>
  <si>
    <t>iPhone 17 Pro Max [BAT] Аккумулятор - Аналог ORIG eSIM (бу)</t>
  </si>
  <si>
    <t>iPhone 17 Pro Max [BAT] Аккумулятор - Аналог ORIG SIM (неизвестная деталь)</t>
  </si>
  <si>
    <t>iPhone 17 Pro Max [BAT] Аккумулятор - Аналог ORIG eSIM (неизвестная деталь)</t>
  </si>
  <si>
    <t>iPhone 17 Pro Max [BAT] Аккумулятор - Банка ORIG SIM</t>
  </si>
  <si>
    <t xml:space="preserve">iPhone 17 Pro Max [BAT] Аккумулятор - Банка ORIG eSIM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</si>
</sst>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%"/>
  </numFmts>
  <fonts count="38">
    <font>
      <sz val="10.0"/>
      <color rgb="FF000000"/>
      <name val="Arial"/>
      <scheme val="minor"/>
    </font>
    <font>
      <sz val="8.0"/>
      <color theme="1"/>
      <name val="Comfortaa"/>
    </font>
    <font>
      <b/>
      <sz val="8.0"/>
      <color rgb="FFFF00FF"/>
      <name val="Comfortaa"/>
    </font>
    <font>
      <sz val="8.0"/>
      <color rgb="FFB7B7B7"/>
      <name val="Comfortaa"/>
    </font>
    <font>
      <b/>
      <sz val="8.0"/>
      <color theme="1"/>
      <name val="Comfortaa"/>
    </font>
    <font>
      <sz val="5.0"/>
      <color rgb="FFB7B7B7"/>
      <name val="Comfortaa"/>
    </font>
    <font>
      <b/>
      <sz val="8.0"/>
      <color rgb="FF4A86E8"/>
      <name val="Comfortaa"/>
    </font>
    <font/>
    <font>
      <sz val="8.0"/>
      <color rgb="FFFF9900"/>
      <name val="Comfortaa"/>
    </font>
    <font>
      <color theme="1"/>
      <name val="Arial"/>
    </font>
    <font>
      <color theme="1"/>
      <name val="Arial"/>
      <scheme val="minor"/>
    </font>
    <font>
      <color theme="1"/>
      <name val="Comfortaa"/>
    </font>
    <font>
      <u/>
      <color rgb="FF0000FF"/>
      <name val="Comfortaa"/>
    </font>
    <font>
      <u/>
      <color rgb="FF0000FF"/>
      <name val="Comfortaa"/>
    </font>
    <font>
      <u/>
      <color rgb="FF0000FF"/>
    </font>
    <font>
      <sz val="6.0"/>
      <color theme="1"/>
      <name val="Comfortaa"/>
    </font>
    <font>
      <b/>
      <sz val="12.0"/>
      <color theme="1"/>
      <name val="Comfortaa"/>
    </font>
    <font>
      <sz val="8.0"/>
      <color rgb="FFCCCCCC"/>
      <name val="Comfortaa"/>
    </font>
    <font>
      <b/>
      <sz val="8.0"/>
      <color rgb="FFCCCCCC"/>
      <name val="Comfortaa"/>
    </font>
    <font>
      <b/>
      <sz val="8.0"/>
      <color rgb="FFFF9900"/>
      <name val="Comfortaa"/>
    </font>
    <font>
      <sz val="8.0"/>
      <color rgb="FFFF0000"/>
      <name val="Comfortaa"/>
    </font>
    <font>
      <b/>
      <sz val="10.0"/>
      <color theme="1"/>
      <name val="Comfortaa"/>
    </font>
    <font>
      <sz val="8.0"/>
      <color rgb="FF1C1C1D"/>
      <name val="Comfortaa"/>
    </font>
    <font>
      <sz val="8.0"/>
      <color rgb="FFFFFFFF"/>
      <name val="Comfortaa"/>
    </font>
    <font>
      <b/>
      <sz val="10.0"/>
      <color rgb="FFFFFFFF"/>
      <name val="Comfortaa"/>
    </font>
    <font>
      <b/>
      <i/>
      <color rgb="FFFF9900"/>
      <name val="Comfortaa"/>
    </font>
    <font>
      <b/>
      <color theme="1"/>
      <name val="Arial"/>
    </font>
    <font>
      <sz val="8.0"/>
      <color rgb="FF1F1F1F"/>
      <name val="Comfortaa"/>
    </font>
    <font>
      <u/>
      <sz val="8.0"/>
      <color rgb="FF0000FF"/>
      <name val="Comfortaa"/>
    </font>
    <font>
      <u/>
      <sz val="8.0"/>
      <color rgb="FF0000FF"/>
      <name val="Comfortaa"/>
    </font>
    <font>
      <b/>
      <sz val="8.0"/>
      <color rgb="FFFF0000"/>
      <name val="Comfortaa"/>
    </font>
    <font>
      <u/>
      <sz val="8.0"/>
      <color rgb="FF0000FF"/>
      <name val="Comfortaa"/>
    </font>
    <font>
      <u/>
      <sz val="8.0"/>
      <color rgb="FF0000FF"/>
      <name val="Comfortaa"/>
    </font>
    <font>
      <u/>
      <sz val="8.0"/>
      <color rgb="FF1155CC"/>
      <name val="Comfortaa"/>
    </font>
    <font>
      <sz val="8.0"/>
      <color rgb="FFD9D9D9"/>
      <name val="Comfortaa"/>
    </font>
    <font>
      <b/>
      <color theme="1"/>
      <name val="Comfortaa"/>
    </font>
    <font>
      <u/>
      <sz val="8.0"/>
      <color rgb="FF1155CC"/>
      <name val="Comfortaa"/>
    </font>
    <font>
      <sz val="8.0"/>
      <color rgb="FF6AA84F"/>
      <name val="Comfortaa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78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double">
        <color rgb="FF000000"/>
      </right>
    </border>
    <border>
      <left style="hair">
        <color rgb="FF000000"/>
      </left>
      <right style="double">
        <color rgb="FF000000"/>
      </right>
      <bottom style="hair">
        <color rgb="FF000000"/>
      </bottom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double">
        <color rgb="FF000000"/>
      </right>
      <top style="hair">
        <color rgb="FF000000"/>
      </top>
    </border>
    <border>
      <left style="double">
        <color rgb="FF000000"/>
      </left>
      <right style="hair">
        <color rgb="FF000000"/>
      </right>
      <bottom style="double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</border>
    <border>
      <left style="hair">
        <color rgb="FF000000"/>
      </left>
      <right style="double">
        <color rgb="FF000000"/>
      </right>
      <top style="hair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hair">
        <color rgb="FF000000"/>
      </right>
      <top style="double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</border>
    <border>
      <left style="hair">
        <color rgb="FF000000"/>
      </left>
      <right style="double">
        <color rgb="FF000000"/>
      </right>
      <top style="double">
        <color rgb="FF000000"/>
      </top>
      <bottom style="hair">
        <color rgb="FF000000"/>
      </bottom>
    </border>
    <border>
      <left style="double">
        <color rgb="FF000000"/>
      </left>
      <right style="hair">
        <color rgb="FF000000"/>
      </right>
      <bottom style="hair">
        <color rgb="FF000000"/>
      </bottom>
    </border>
    <border>
      <left style="double">
        <color rgb="FF000000"/>
      </left>
      <top style="double">
        <color rgb="FF000000"/>
      </top>
      <bottom style="hair">
        <color rgb="FF000000"/>
      </bottom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top style="hair">
        <color rgb="FF000000"/>
      </top>
      <bottom style="hair">
        <color rgb="FF000000"/>
      </bottom>
    </border>
    <border>
      <left style="double">
        <color rgb="FF000000"/>
      </left>
      <top style="hair">
        <color rgb="FF000000"/>
      </top>
    </border>
    <border>
      <left style="double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double">
        <color rgb="FF000000"/>
      </left>
      <right style="hair">
        <color rgb="FF000000"/>
      </right>
      <top style="hair">
        <color rgb="FF000000"/>
      </top>
      <bottom style="double">
        <color rgb="FF000000"/>
      </bottom>
    </border>
    <border>
      <left style="double">
        <color rgb="FF000000"/>
      </left>
      <top style="hair">
        <color rgb="FF000000"/>
      </top>
      <bottom style="double">
        <color rgb="FF000000"/>
      </bottom>
    </border>
    <border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hair">
        <color rgb="FF000000"/>
      </bottom>
    </border>
    <border>
      <right style="hair">
        <color rgb="FF000000"/>
      </right>
      <top style="double">
        <color rgb="FF000000"/>
      </top>
      <bottom style="hair">
        <color rgb="FF000000"/>
      </bottom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double">
        <color rgb="FF000000"/>
      </right>
      <top style="hair">
        <color rgb="FF000000"/>
      </top>
    </border>
    <border>
      <left style="double">
        <color rgb="FF000000"/>
      </left>
      <right style="double">
        <color rgb="FF000000"/>
      </right>
      <bottom style="hair">
        <color rgb="FF000000"/>
      </bottom>
    </border>
    <border>
      <left style="double">
        <color rgb="FF000000"/>
      </left>
      <right style="double">
        <color rgb="FF000000"/>
      </right>
      <top style="hair">
        <color rgb="FF000000"/>
      </top>
      <bottom style="double">
        <color rgb="FF000000"/>
      </bottom>
    </border>
    <border>
      <right style="hair">
        <color rgb="FF000000"/>
      </right>
      <top style="hair">
        <color rgb="FF000000"/>
      </top>
      <bottom style="double">
        <color rgb="FF000000"/>
      </bottom>
    </border>
    <border>
      <right style="double">
        <color rgb="FF000000"/>
      </right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double">
        <color rgb="FF000000"/>
      </bottom>
    </border>
    <border>
      <top style="hair">
        <color rgb="FF000000"/>
      </top>
      <bottom style="hair">
        <color rgb="FF000000"/>
      </bottom>
    </border>
    <border>
      <left style="double">
        <color rgb="FF000000"/>
      </left>
      <right style="double">
        <color rgb="FF000000"/>
      </right>
    </border>
    <border>
      <left style="hair">
        <color rgb="FF000000"/>
      </left>
      <right style="hair">
        <color rgb="FF000000"/>
      </right>
    </border>
    <border>
      <top style="double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double">
        <color rgb="FF000000"/>
      </left>
      <right style="hair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hair">
        <color rgb="FF000000"/>
      </right>
      <top style="double">
        <color rgb="FF000000"/>
      </top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double">
        <color rgb="FF000000"/>
      </bottom>
    </border>
    <border>
      <left style="hair">
        <color rgb="FF000000"/>
      </left>
      <top style="double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double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hair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hair">
        <color rgb="FF000000"/>
      </left>
      <right style="hair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  <bottom style="hair">
        <color rgb="FF000000"/>
      </bottom>
    </border>
    <border>
      <left style="double">
        <color rgb="FF000000"/>
      </left>
      <right style="hair">
        <color rgb="FF000000"/>
      </right>
      <top style="hair">
        <color rgb="FF000000"/>
      </top>
    </border>
    <border>
      <right style="double">
        <color rgb="FF000000"/>
      </right>
      <top style="hair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hair">
        <color rgb="FF000000"/>
      </left>
      <right style="double">
        <color rgb="FF000000"/>
      </right>
      <bottom style="double">
        <color rgb="FF000000"/>
      </bottom>
    </border>
    <border>
      <right style="hair">
        <color rgb="FF000000"/>
      </right>
      <bottom style="double">
        <color rgb="FF000000"/>
      </bottom>
    </border>
    <border>
      <left style="hair">
        <color rgb="FF000000"/>
      </left>
      <top style="hair">
        <color rgb="FF000000"/>
      </top>
    </border>
  </borders>
  <cellStyleXfs count="1">
    <xf borderId="0" fillId="0" fontId="0" numFmtId="0" applyAlignment="1" applyFont="1"/>
  </cellStyleXfs>
  <cellXfs count="4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3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4" numFmtId="49" xfId="0" applyAlignment="1" applyBorder="1" applyFont="1" applyNumberFormat="1">
      <alignment horizontal="center" readingOrder="0" shrinkToFit="0" vertical="center" wrapText="1"/>
    </xf>
    <xf borderId="1" fillId="2" fontId="2" numFmtId="3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3" fillId="0" fontId="1" numFmtId="49" xfId="0" applyAlignment="1" applyBorder="1" applyFont="1" applyNumberFormat="1">
      <alignment horizontal="left" readingOrder="0" vertical="center"/>
    </xf>
    <xf borderId="3" fillId="0" fontId="2" numFmtId="3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center" readingOrder="0" vertical="center"/>
    </xf>
    <xf borderId="2" fillId="0" fontId="7" numFmtId="0" xfId="0" applyBorder="1" applyFont="1"/>
    <xf borderId="4" fillId="0" fontId="7" numFmtId="0" xfId="0" applyBorder="1" applyFont="1"/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8" numFmtId="0" xfId="0" applyAlignment="1" applyFont="1">
      <alignment horizontal="left" readingOrder="0" vertical="center"/>
    </xf>
    <xf borderId="0" fillId="0" fontId="8" numFmtId="0" xfId="0" applyAlignment="1" applyFont="1">
      <alignment horizontal="center" readingOrder="0" vertical="center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center" readingOrder="0" vertical="center"/>
    </xf>
    <xf borderId="0" fillId="3" fontId="1" numFmtId="0" xfId="0" applyAlignment="1" applyFont="1">
      <alignment horizontal="center" vertical="center"/>
    </xf>
    <xf borderId="0" fillId="3" fontId="1" numFmtId="0" xfId="0" applyAlignment="1" applyFont="1">
      <alignment horizontal="left" vertical="center"/>
    </xf>
    <xf borderId="5" fillId="0" fontId="7" numFmtId="0" xfId="0" applyBorder="1" applyFont="1"/>
    <xf borderId="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7" fillId="0" fontId="1" numFmtId="0" xfId="0" applyAlignment="1" applyBorder="1" applyFont="1">
      <alignment horizontal="center" readingOrder="0" vertical="center"/>
    </xf>
    <xf borderId="3" fillId="0" fontId="1" numFmtId="49" xfId="0" applyAlignment="1" applyBorder="1" applyFont="1" applyNumberFormat="1">
      <alignment readingOrder="0" vertical="center"/>
    </xf>
    <xf borderId="8" fillId="0" fontId="1" numFmtId="0" xfId="0" applyAlignment="1" applyBorder="1" applyFont="1">
      <alignment horizontal="center" vertical="center"/>
    </xf>
    <xf borderId="7" fillId="0" fontId="1" numFmtId="49" xfId="0" applyAlignment="1" applyBorder="1" applyFont="1" applyNumberFormat="1">
      <alignment horizontal="left" readingOrder="0" vertical="center"/>
    </xf>
    <xf borderId="9" fillId="0" fontId="7" numFmtId="0" xfId="0" applyBorder="1" applyFont="1"/>
    <xf borderId="10" fillId="0" fontId="1" numFmtId="0" xfId="0" applyAlignment="1" applyBorder="1" applyFont="1">
      <alignment horizontal="center" readingOrder="0" vertical="center"/>
    </xf>
    <xf borderId="10" fillId="0" fontId="1" numFmtId="49" xfId="0" applyAlignment="1" applyBorder="1" applyFont="1" applyNumberFormat="1">
      <alignment horizontal="left" readingOrder="0" vertical="center"/>
    </xf>
    <xf borderId="10" fillId="0" fontId="2" numFmtId="3" xfId="0" applyAlignment="1" applyBorder="1" applyFont="1" applyNumberFormat="1">
      <alignment horizontal="center" readingOrder="0" vertical="center"/>
    </xf>
    <xf borderId="11" fillId="0" fontId="1" numFmtId="0" xfId="0" applyAlignment="1" applyBorder="1" applyFont="1">
      <alignment horizontal="center" vertical="center"/>
    </xf>
    <xf borderId="12" fillId="2" fontId="4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readingOrder="0" vertical="center"/>
    </xf>
    <xf borderId="14" fillId="0" fontId="2" numFmtId="3" xfId="0" applyAlignment="1" applyBorder="1" applyFont="1" applyNumberFormat="1">
      <alignment horizontal="center" readingOrder="0" vertical="center"/>
    </xf>
    <xf borderId="15" fillId="0" fontId="9" numFmtId="0" xfId="0" applyAlignment="1" applyBorder="1" applyFont="1">
      <alignment vertical="center"/>
    </xf>
    <xf borderId="16" fillId="0" fontId="1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vertical="center"/>
    </xf>
    <xf borderId="9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readingOrder="0" vertical="center"/>
    </xf>
    <xf borderId="11" fillId="0" fontId="9" numFmtId="0" xfId="0" applyAlignment="1" applyBorder="1" applyFont="1">
      <alignment vertical="center"/>
    </xf>
    <xf borderId="14" fillId="0" fontId="1" numFmtId="0" xfId="0" applyAlignment="1" applyBorder="1" applyFont="1">
      <alignment horizontal="left" readingOrder="0" vertical="center"/>
    </xf>
    <xf borderId="15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left" vertical="center"/>
    </xf>
    <xf borderId="18" fillId="0" fontId="1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center" vertical="center"/>
    </xf>
    <xf borderId="0" fillId="0" fontId="3" numFmtId="3" xfId="0" applyAlignment="1" applyFont="1" applyNumberFormat="1">
      <alignment horizontal="center" readingOrder="0" vertical="center"/>
    </xf>
    <xf borderId="19" fillId="0" fontId="1" numFmtId="3" xfId="0" applyAlignment="1" applyBorder="1" applyFont="1" applyNumberFormat="1">
      <alignment horizontal="center" readingOrder="0" vertical="center"/>
    </xf>
    <xf borderId="20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21" fillId="0" fontId="7" numFmtId="0" xfId="0" applyBorder="1" applyFont="1"/>
    <xf borderId="22" fillId="0" fontId="7" numFmtId="0" xfId="0" applyBorder="1" applyFont="1"/>
    <xf borderId="19" fillId="0" fontId="1" numFmtId="3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left" readingOrder="0" vertical="center"/>
    </xf>
    <xf borderId="24" fillId="0" fontId="1" numFmtId="3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left" vertical="center"/>
    </xf>
    <xf borderId="0" fillId="0" fontId="1" numFmtId="49" xfId="0" applyAlignment="1" applyFont="1" applyNumberFormat="1">
      <alignment horizontal="left" readingOrder="0" vertical="center"/>
    </xf>
    <xf borderId="25" fillId="0" fontId="1" numFmtId="0" xfId="0" applyAlignment="1" applyBorder="1" applyFont="1">
      <alignment horizontal="center" vertical="center"/>
    </xf>
    <xf borderId="0" fillId="0" fontId="10" numFmtId="0" xfId="0" applyFont="1"/>
    <xf borderId="5" fillId="0" fontId="1" numFmtId="0" xfId="0" applyAlignment="1" applyBorder="1" applyFont="1">
      <alignment horizontal="center" vertical="center"/>
    </xf>
    <xf borderId="20" fillId="0" fontId="1" numFmtId="3" xfId="0" applyAlignment="1" applyBorder="1" applyFont="1" applyNumberFormat="1">
      <alignment horizontal="center" vertical="center"/>
    </xf>
    <xf borderId="0" fillId="0" fontId="2" numFmtId="3" xfId="0" applyAlignment="1" applyFont="1" applyNumberFormat="1">
      <alignment horizontal="center" readingOrder="0" vertical="center"/>
    </xf>
    <xf borderId="26" fillId="0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28" fillId="0" fontId="1" numFmtId="3" xfId="0" applyAlignment="1" applyBorder="1" applyFont="1" applyNumberFormat="1">
      <alignment horizontal="center" vertical="center"/>
    </xf>
    <xf borderId="30" fillId="0" fontId="1" numFmtId="3" xfId="0" applyAlignment="1" applyBorder="1" applyFont="1" applyNumberFormat="1">
      <alignment horizontal="center" vertical="center"/>
    </xf>
    <xf borderId="31" fillId="0" fontId="7" numFmtId="0" xfId="0" applyBorder="1" applyFont="1"/>
    <xf borderId="32" fillId="0" fontId="1" numFmtId="3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left" vertical="center"/>
    </xf>
    <xf borderId="36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left" readingOrder="0" vertical="center"/>
    </xf>
    <xf borderId="37" fillId="0" fontId="1" numFmtId="0" xfId="0" applyAlignment="1" applyBorder="1" applyFont="1">
      <alignment horizontal="left" readingOrder="0" vertical="center"/>
    </xf>
    <xf borderId="37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0" fontId="3" numFmtId="3" xfId="0" applyAlignment="1" applyFont="1" applyNumberFormat="1">
      <alignment horizontal="center" vertical="center"/>
    </xf>
    <xf borderId="3" fillId="0" fontId="6" numFmtId="3" xfId="0" applyAlignment="1" applyBorder="1" applyFont="1" applyNumberFormat="1">
      <alignment horizontal="center" readingOrder="0" vertical="center"/>
    </xf>
    <xf borderId="38" fillId="0" fontId="7" numFmtId="0" xfId="0" applyBorder="1" applyFont="1"/>
    <xf borderId="39" fillId="0" fontId="7" numFmtId="0" xfId="0" applyBorder="1" applyFont="1"/>
    <xf borderId="7" fillId="0" fontId="1" numFmtId="0" xfId="0" applyAlignment="1" applyBorder="1" applyFont="1">
      <alignment horizontal="left" readingOrder="0" vertical="center"/>
    </xf>
    <xf borderId="40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left" vertical="center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1" numFmtId="49" xfId="0" applyAlignment="1" applyFont="1" applyNumberFormat="1">
      <alignment horizontal="center" vertical="center"/>
    </xf>
    <xf borderId="0" fillId="0" fontId="11" numFmtId="0" xfId="0" applyAlignment="1" applyFont="1">
      <alignment horizontal="center" shrinkToFit="0" vertical="center" wrapText="0"/>
    </xf>
    <xf borderId="0" fillId="0" fontId="11" numFmtId="0" xfId="0" applyAlignment="1" applyFont="1">
      <alignment horizontal="center" vertical="center"/>
    </xf>
    <xf borderId="0" fillId="0" fontId="11" numFmtId="49" xfId="0" applyAlignment="1" applyFont="1" applyNumberFormat="1">
      <alignment horizontal="center" readingOrder="0" vertical="center"/>
    </xf>
    <xf borderId="0" fillId="0" fontId="11" numFmtId="0" xfId="0" applyAlignment="1" applyFont="1">
      <alignment readingOrder="0" vertical="center"/>
    </xf>
    <xf borderId="0" fillId="0" fontId="11" numFmtId="0" xfId="0" applyAlignment="1" applyFont="1">
      <alignment horizontal="center" readingOrder="0" textRotation="90" vertical="center"/>
    </xf>
    <xf borderId="0" fillId="0" fontId="11" numFmtId="3" xfId="0" applyAlignment="1" applyFont="1" applyNumberFormat="1">
      <alignment horizontal="center" vertical="center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vertical="center"/>
    </xf>
    <xf borderId="0" fillId="4" fontId="11" numFmtId="0" xfId="0" applyAlignment="1" applyFill="1" applyFont="1">
      <alignment horizontal="center" readingOrder="0" vertical="center"/>
    </xf>
    <xf borderId="0" fillId="0" fontId="13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0" fontId="14" numFmtId="0" xfId="0" applyAlignment="1" applyFont="1">
      <alignment readingOrder="0"/>
    </xf>
    <xf borderId="0" fillId="0" fontId="11" numFmtId="3" xfId="0" applyAlignment="1" applyFont="1" applyNumberFormat="1">
      <alignment horizontal="center" readingOrder="0" vertical="center"/>
    </xf>
    <xf borderId="0" fillId="0" fontId="1" numFmtId="3" xfId="0" applyAlignment="1" applyFont="1" applyNumberFormat="1">
      <alignment horizontal="center" vertical="center"/>
    </xf>
    <xf borderId="1" fillId="2" fontId="1" numFmtId="0" xfId="0" applyAlignment="1" applyBorder="1" applyFont="1">
      <alignment horizontal="center" readingOrder="0" shrinkToFit="0" vertical="center" wrapText="1"/>
    </xf>
    <xf borderId="41" fillId="2" fontId="1" numFmtId="0" xfId="0" applyAlignment="1" applyBorder="1" applyFont="1">
      <alignment horizontal="center" readingOrder="0" shrinkToFit="0" vertical="center" wrapText="1"/>
    </xf>
    <xf borderId="42" fillId="2" fontId="15" numFmtId="0" xfId="0" applyAlignment="1" applyBorder="1" applyFont="1">
      <alignment horizontal="center" readingOrder="0" shrinkToFit="0" vertical="center" wrapText="1"/>
    </xf>
    <xf borderId="12" fillId="2" fontId="15" numFmtId="0" xfId="0" applyAlignment="1" applyBorder="1" applyFont="1">
      <alignment horizontal="center" readingOrder="0" shrinkToFit="0" vertical="center" wrapText="1"/>
    </xf>
    <xf borderId="1" fillId="2" fontId="1" numFmtId="3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readingOrder="0" vertical="center"/>
    </xf>
    <xf borderId="43" fillId="0" fontId="4" numFmtId="0" xfId="0" applyAlignment="1" applyBorder="1" applyFont="1">
      <alignment horizontal="center" readingOrder="0" textRotation="90" vertical="center"/>
    </xf>
    <xf borderId="22" fillId="0" fontId="1" numFmtId="0" xfId="0" applyAlignment="1" applyBorder="1" applyFont="1">
      <alignment horizontal="center" readingOrder="0" vertical="center"/>
    </xf>
    <xf borderId="44" fillId="0" fontId="1" numFmtId="0" xfId="0" applyAlignment="1" applyBorder="1" applyFont="1">
      <alignment horizontal="center" readingOrder="0" vertical="center"/>
    </xf>
    <xf borderId="15" fillId="0" fontId="1" numFmtId="3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readingOrder="0" vertical="center"/>
    </xf>
    <xf borderId="45" fillId="0" fontId="1" numFmtId="0" xfId="0" applyAlignment="1" applyBorder="1" applyFont="1">
      <alignment horizontal="center" readingOrder="0" vertical="center"/>
    </xf>
    <xf borderId="6" fillId="0" fontId="1" numFmtId="3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readingOrder="0" vertical="center"/>
    </xf>
    <xf borderId="46" fillId="0" fontId="1" numFmtId="0" xfId="0" applyAlignment="1" applyBorder="1" applyFont="1">
      <alignment horizontal="center" readingOrder="0" vertical="center"/>
    </xf>
    <xf borderId="11" fillId="0" fontId="1" numFmtId="3" xfId="0" applyAlignment="1" applyBorder="1" applyFont="1" applyNumberFormat="1">
      <alignment horizontal="center" vertical="center"/>
    </xf>
    <xf borderId="47" fillId="0" fontId="1" numFmtId="0" xfId="0" applyAlignment="1" applyBorder="1" applyFont="1">
      <alignment horizontal="center" vertical="center"/>
    </xf>
    <xf borderId="45" fillId="0" fontId="1" numFmtId="0" xfId="0" applyAlignment="1" applyBorder="1" applyFont="1">
      <alignment horizontal="center" vertical="center"/>
    </xf>
    <xf borderId="46" fillId="0" fontId="1" numFmtId="0" xfId="0" applyAlignment="1" applyBorder="1" applyFont="1">
      <alignment horizontal="center" vertical="center"/>
    </xf>
    <xf borderId="0" fillId="0" fontId="1" numFmtId="3" xfId="0" applyAlignment="1" applyFont="1" applyNumberFormat="1">
      <alignment horizontal="center" readingOrder="0" vertical="center"/>
    </xf>
    <xf borderId="43" fillId="0" fontId="16" numFmtId="0" xfId="0" applyAlignment="1" applyBorder="1" applyFont="1">
      <alignment horizontal="center" readingOrder="0" textRotation="90" vertical="center"/>
    </xf>
    <xf borderId="14" fillId="0" fontId="1" numFmtId="0" xfId="0" applyAlignment="1" applyBorder="1" applyFont="1">
      <alignment horizontal="center" vertical="center"/>
    </xf>
    <xf borderId="47" fillId="0" fontId="1" numFmtId="0" xfId="0" applyAlignment="1" applyBorder="1" applyFont="1">
      <alignment horizontal="center" readingOrder="0" vertical="center"/>
    </xf>
    <xf borderId="14" fillId="0" fontId="9" numFmtId="0" xfId="0" applyAlignment="1" applyBorder="1" applyFont="1">
      <alignment vertical="center"/>
    </xf>
    <xf borderId="15" fillId="0" fontId="9" numFmtId="0" xfId="0" applyAlignment="1" applyBorder="1" applyFont="1">
      <alignment vertical="center"/>
    </xf>
    <xf borderId="15" fillId="0" fontId="1" numFmtId="3" xfId="0" applyAlignment="1" applyBorder="1" applyFont="1" applyNumberForma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3" fillId="0" fontId="9" numFmtId="0" xfId="0" applyAlignment="1" applyBorder="1" applyFont="1">
      <alignment vertical="center"/>
    </xf>
    <xf borderId="6" fillId="0" fontId="9" numFmtId="0" xfId="0" applyAlignment="1" applyBorder="1" applyFont="1">
      <alignment vertical="center"/>
    </xf>
    <xf borderId="6" fillId="0" fontId="1" numFmtId="3" xfId="0" applyAlignment="1" applyBorder="1" applyFont="1" applyNumberForma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10" fillId="0" fontId="1" numFmtId="49" xfId="0" applyAlignment="1" applyBorder="1" applyFont="1" applyNumberFormat="1">
      <alignment readingOrder="0" vertical="center"/>
    </xf>
    <xf borderId="10" fillId="0" fontId="1" numFmtId="0" xfId="0" applyAlignment="1" applyBorder="1" applyFont="1">
      <alignment horizontal="center" vertical="center"/>
    </xf>
    <xf borderId="10" fillId="0" fontId="9" numFmtId="0" xfId="0" applyAlignment="1" applyBorder="1" applyFont="1">
      <alignment vertical="center"/>
    </xf>
    <xf borderId="11" fillId="0" fontId="9" numFmtId="0" xfId="0" applyAlignment="1" applyBorder="1" applyFont="1">
      <alignment vertical="center"/>
    </xf>
    <xf borderId="15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14" fillId="0" fontId="1" numFmtId="49" xfId="0" applyAlignment="1" applyBorder="1" applyFont="1" applyNumberFormat="1">
      <alignment readingOrder="0" vertical="center"/>
    </xf>
    <xf borderId="11" fillId="0" fontId="1" numFmtId="3" xfId="0" applyAlignment="1" applyBorder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" fillId="2" fontId="4" numFmtId="49" xfId="0" applyAlignment="1" applyBorder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3" fillId="0" fontId="1" numFmtId="49" xfId="0" applyAlignment="1" applyBorder="1" applyFont="1" applyNumberFormat="1">
      <alignment horizontal="center" readingOrder="0" vertical="center"/>
    </xf>
    <xf borderId="6" fillId="0" fontId="2" numFmtId="3" xfId="0" applyAlignment="1" applyBorder="1" applyFont="1" applyNumberFormat="1">
      <alignment horizontal="center" readingOrder="0" vertical="center"/>
    </xf>
    <xf borderId="0" fillId="3" fontId="1" numFmtId="0" xfId="0" applyAlignment="1" applyFont="1">
      <alignment horizontal="left" readingOrder="0"/>
    </xf>
    <xf borderId="0" fillId="3" fontId="10" numFmtId="0" xfId="0" applyFont="1"/>
    <xf borderId="7" fillId="0" fontId="1" numFmtId="49" xfId="0" applyAlignment="1" applyBorder="1" applyFont="1" applyNumberFormat="1">
      <alignment horizontal="center" readingOrder="0" vertical="center"/>
    </xf>
    <xf borderId="10" fillId="0" fontId="1" numFmtId="49" xfId="0" applyAlignment="1" applyBorder="1" applyFont="1" applyNumberFormat="1">
      <alignment horizontal="center" readingOrder="0" vertical="center"/>
    </xf>
    <xf borderId="11" fillId="0" fontId="2" numFmtId="3" xfId="0" applyAlignment="1" applyBorder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readingOrder="0" vertical="center"/>
    </xf>
    <xf borderId="14" fillId="0" fontId="1" numFmtId="49" xfId="0" applyAlignment="1" applyBorder="1" applyFont="1" applyNumberFormat="1">
      <alignment horizontal="center" readingOrder="0" vertical="center"/>
    </xf>
    <xf borderId="1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center"/>
    </xf>
    <xf borderId="0" fillId="0" fontId="17" numFmtId="3" xfId="0" applyAlignment="1" applyFont="1" applyNumberFormat="1">
      <alignment horizontal="center" vertical="center"/>
    </xf>
    <xf borderId="0" fillId="0" fontId="17" numFmtId="3" xfId="0" applyAlignment="1" applyFont="1" applyNumberFormat="1">
      <alignment horizontal="center" readingOrder="0" vertical="center"/>
    </xf>
    <xf borderId="6" fillId="0" fontId="19" numFmtId="3" xfId="0" applyAlignment="1" applyBorder="1" applyFont="1" applyNumberFormat="1">
      <alignment horizontal="center" readingOrder="0" vertical="center"/>
    </xf>
    <xf borderId="3" fillId="0" fontId="20" numFmtId="49" xfId="0" applyAlignment="1" applyBorder="1" applyFont="1" applyNumberFormat="1">
      <alignment horizontal="center" readingOrder="0" vertical="center"/>
    </xf>
    <xf borderId="6" fillId="4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5" fontId="22" numFmtId="0" xfId="0" applyAlignment="1" applyFill="1" applyFont="1">
      <alignment horizontal="center" readingOrder="0" vertical="center"/>
    </xf>
    <xf borderId="13" fillId="0" fontId="1" numFmtId="164" xfId="0" applyAlignment="1" applyBorder="1" applyFont="1" applyNumberFormat="1">
      <alignment horizontal="center" readingOrder="0" vertical="center"/>
    </xf>
    <xf borderId="27" fillId="0" fontId="1" numFmtId="4" xfId="0" applyAlignment="1" applyBorder="1" applyFont="1" applyNumberFormat="1">
      <alignment horizontal="center" readingOrder="0" vertical="center"/>
    </xf>
    <xf borderId="14" fillId="0" fontId="1" numFmtId="4" xfId="0" applyAlignment="1" applyBorder="1" applyFont="1" applyNumberFormat="1">
      <alignment horizontal="center" readingOrder="0" vertical="center"/>
    </xf>
    <xf borderId="14" fillId="0" fontId="21" numFmtId="4" xfId="0" applyAlignment="1" applyBorder="1" applyFont="1" applyNumberFormat="1">
      <alignment horizontal="center" readingOrder="0" vertical="center"/>
    </xf>
    <xf borderId="14" fillId="5" fontId="22" numFmtId="4" xfId="0" applyAlignment="1" applyBorder="1" applyFont="1" applyNumberFormat="1">
      <alignment horizontal="center" readingOrder="0" vertical="center"/>
    </xf>
    <xf borderId="15" fillId="5" fontId="22" numFmtId="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readingOrder="0" vertical="center"/>
    </xf>
    <xf borderId="33" fillId="0" fontId="1" numFmtId="4" xfId="0" applyAlignment="1" applyBorder="1" applyFont="1" applyNumberFormat="1">
      <alignment horizontal="center" readingOrder="0" vertical="center"/>
    </xf>
    <xf borderId="10" fillId="0" fontId="1" numFmtId="4" xfId="0" applyAlignment="1" applyBorder="1" applyFont="1" applyNumberFormat="1">
      <alignment horizontal="center" readingOrder="0" vertical="center"/>
    </xf>
    <xf borderId="10" fillId="0" fontId="21" numFmtId="4" xfId="0" applyAlignment="1" applyBorder="1" applyFont="1" applyNumberFormat="1">
      <alignment horizontal="center" readingOrder="0" vertical="center"/>
    </xf>
    <xf borderId="11" fillId="0" fontId="1" numFmtId="4" xfId="0" applyAlignment="1" applyBorder="1" applyFont="1" applyNumberFormat="1">
      <alignment horizontal="center" readingOrder="0" vertical="center"/>
    </xf>
    <xf borderId="16" fillId="2" fontId="1" numFmtId="0" xfId="0" applyAlignment="1" applyBorder="1" applyFont="1">
      <alignment horizontal="center" readingOrder="0" shrinkToFit="0" vertical="center" wrapText="1"/>
    </xf>
    <xf borderId="48" fillId="2" fontId="1" numFmtId="0" xfId="0" applyAlignment="1" applyBorder="1" applyFont="1">
      <alignment horizontal="center" readingOrder="0" shrinkToFit="0" vertical="center" wrapText="1"/>
    </xf>
    <xf borderId="22" fillId="2" fontId="1" numFmtId="0" xfId="0" applyAlignment="1" applyBorder="1" applyFont="1">
      <alignment horizontal="center" readingOrder="0" shrinkToFit="0" vertical="center" wrapText="1"/>
    </xf>
    <xf borderId="22" fillId="2" fontId="21" numFmtId="0" xfId="0" applyAlignment="1" applyBorder="1" applyFont="1">
      <alignment horizontal="center" readingOrder="0" shrinkToFit="0" vertical="center" wrapText="1"/>
    </xf>
    <xf borderId="22" fillId="2" fontId="22" numFmtId="0" xfId="0" applyAlignment="1" applyBorder="1" applyFont="1">
      <alignment horizontal="center" readingOrder="0" shrinkToFit="0" vertical="center" wrapText="1"/>
    </xf>
    <xf borderId="5" fillId="2" fontId="22" numFmtId="0" xfId="0" applyAlignment="1" applyBorder="1" applyFont="1">
      <alignment horizontal="center" readingOrder="0" shrinkToFit="0" vertical="center" wrapText="1"/>
    </xf>
    <xf borderId="18" fillId="0" fontId="1" numFmtId="49" xfId="0" applyAlignment="1" applyBorder="1" applyFont="1" applyNumberFormat="1">
      <alignment horizontal="left" readingOrder="0" vertical="center"/>
    </xf>
    <xf borderId="37" fillId="5" fontId="22" numFmtId="0" xfId="0" applyAlignment="1" applyBorder="1" applyFont="1">
      <alignment horizontal="center" readingOrder="0" vertical="center"/>
    </xf>
    <xf borderId="37" fillId="0" fontId="7" numFmtId="0" xfId="0" applyBorder="1" applyFont="1"/>
    <xf borderId="49" fillId="0" fontId="7" numFmtId="0" xfId="0" applyBorder="1" applyFont="1"/>
    <xf borderId="37" fillId="0" fontId="1" numFmtId="0" xfId="0" applyAlignment="1" applyBorder="1" applyFont="1">
      <alignment horizontal="center" readingOrder="0" vertical="center"/>
    </xf>
    <xf borderId="18" fillId="0" fontId="1" numFmtId="49" xfId="0" applyAlignment="1" applyBorder="1" applyFont="1" applyNumberFormat="1">
      <alignment readingOrder="0" vertical="center"/>
    </xf>
    <xf borderId="18" fillId="0" fontId="1" numFmtId="0" xfId="0" applyAlignment="1" applyBorder="1" applyFont="1">
      <alignment readingOrder="0" vertical="center"/>
    </xf>
    <xf borderId="19" fillId="0" fontId="1" numFmtId="49" xfId="0" applyAlignment="1" applyBorder="1" applyFont="1" applyNumberFormat="1">
      <alignment readingOrder="0"/>
    </xf>
    <xf borderId="37" fillId="0" fontId="1" numFmtId="49" xfId="0" applyAlignment="1" applyBorder="1" applyFont="1" applyNumberFormat="1">
      <alignment readingOrder="0"/>
    </xf>
    <xf borderId="29" fillId="0" fontId="1" numFmtId="0" xfId="0" applyAlignment="1" applyBorder="1" applyFont="1">
      <alignment horizontal="center" readingOrder="0" vertical="center"/>
    </xf>
    <xf borderId="3" fillId="0" fontId="21" numFmtId="0" xfId="0" applyAlignment="1" applyBorder="1" applyFont="1">
      <alignment horizontal="center" readingOrder="0" vertical="center"/>
    </xf>
    <xf borderId="29" fillId="0" fontId="1" numFmtId="0" xfId="0" applyAlignment="1" applyBorder="1" applyFont="1">
      <alignment horizontal="center" vertical="center"/>
    </xf>
    <xf borderId="3" fillId="0" fontId="23" numFmtId="0" xfId="0" applyAlignment="1" applyBorder="1" applyFont="1">
      <alignment horizontal="center" vertical="center"/>
    </xf>
    <xf borderId="3" fillId="6" fontId="1" numFmtId="0" xfId="0" applyAlignment="1" applyBorder="1" applyFill="1" applyFont="1">
      <alignment horizontal="center" vertical="center"/>
    </xf>
    <xf borderId="3" fillId="7" fontId="1" numFmtId="0" xfId="0" applyAlignment="1" applyBorder="1" applyFill="1" applyFont="1">
      <alignment horizontal="center" vertical="center"/>
    </xf>
    <xf borderId="6" fillId="7" fontId="1" numFmtId="0" xfId="0" applyAlignment="1" applyBorder="1" applyFont="1">
      <alignment horizontal="center" vertical="center"/>
    </xf>
    <xf borderId="3" fillId="0" fontId="24" numFmtId="0" xfId="0" applyAlignment="1" applyBorder="1" applyFont="1">
      <alignment horizontal="center" readingOrder="0" vertical="center"/>
    </xf>
    <xf borderId="6" fillId="0" fontId="23" numFmtId="0" xfId="0" applyAlignment="1" applyBorder="1" applyFont="1">
      <alignment horizontal="center" vertical="center"/>
    </xf>
    <xf borderId="23" fillId="0" fontId="1" numFmtId="0" xfId="0" applyAlignment="1" applyBorder="1" applyFont="1">
      <alignment readingOrder="0" vertical="center"/>
    </xf>
    <xf borderId="33" fillId="0" fontId="1" numFmtId="0" xfId="0" applyAlignment="1" applyBorder="1" applyFont="1">
      <alignment horizontal="center" vertical="center"/>
    </xf>
    <xf borderId="10" fillId="0" fontId="2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vertical="center"/>
    </xf>
    <xf borderId="0" fillId="0" fontId="1" numFmtId="0" xfId="0" applyFont="1"/>
    <xf borderId="50" fillId="2" fontId="4" numFmtId="0" xfId="0" applyAlignment="1" applyBorder="1" applyFont="1">
      <alignment horizontal="center" vertical="bottom"/>
    </xf>
    <xf borderId="51" fillId="2" fontId="4" numFmtId="0" xfId="0" applyAlignment="1" applyBorder="1" applyFont="1">
      <alignment horizontal="center" vertical="bottom"/>
    </xf>
    <xf borderId="52" fillId="2" fontId="4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0" fillId="0" fontId="25" numFmtId="0" xfId="0" applyAlignment="1" applyFont="1">
      <alignment readingOrder="0" vertical="bottom"/>
    </xf>
    <xf borderId="51" fillId="0" fontId="4" numFmtId="0" xfId="0" applyAlignment="1" applyBorder="1" applyFont="1">
      <alignment horizontal="center" readingOrder="0" textRotation="90" vertical="center"/>
    </xf>
    <xf borderId="53" fillId="0" fontId="1" numFmtId="0" xfId="0" applyAlignment="1" applyBorder="1" applyFont="1">
      <alignment readingOrder="0" vertical="center"/>
    </xf>
    <xf borderId="53" fillId="0" fontId="1" numFmtId="0" xfId="0" applyAlignment="1" applyBorder="1" applyFont="1">
      <alignment horizontal="center" readingOrder="0" vertical="center"/>
    </xf>
    <xf borderId="54" fillId="0" fontId="1" numFmtId="0" xfId="0" applyAlignment="1" applyBorder="1" applyFont="1">
      <alignment horizontal="center" readingOrder="0" vertical="center"/>
    </xf>
    <xf borderId="55" fillId="0" fontId="7" numFmtId="0" xfId="0" applyBorder="1" applyFont="1"/>
    <xf borderId="56" fillId="0" fontId="1" numFmtId="0" xfId="0" applyAlignment="1" applyBorder="1" applyFont="1">
      <alignment horizontal="center" readingOrder="0" vertical="center"/>
    </xf>
    <xf borderId="57" fillId="0" fontId="7" numFmtId="0" xfId="0" applyBorder="1" applyFont="1"/>
    <xf borderId="58" fillId="0" fontId="1" numFmtId="0" xfId="0" applyAlignment="1" applyBorder="1" applyFont="1">
      <alignment readingOrder="0" vertical="center"/>
    </xf>
    <xf borderId="58" fillId="0" fontId="1" numFmtId="0" xfId="0" applyAlignment="1" applyBorder="1" applyFont="1">
      <alignment horizontal="center" readingOrder="0" vertical="center"/>
    </xf>
    <xf borderId="59" fillId="0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textRotation="90" vertical="center"/>
    </xf>
    <xf borderId="60" fillId="0" fontId="4" numFmtId="0" xfId="0" applyAlignment="1" applyBorder="1" applyFont="1">
      <alignment horizontal="center" readingOrder="0" textRotation="90" vertical="center"/>
    </xf>
    <xf borderId="61" fillId="0" fontId="1" numFmtId="0" xfId="0" applyAlignment="1" applyBorder="1" applyFont="1">
      <alignment readingOrder="0" vertical="center"/>
    </xf>
    <xf borderId="61" fillId="0" fontId="1" numFmtId="0" xfId="0" applyAlignment="1" applyBorder="1" applyFont="1">
      <alignment horizontal="center" readingOrder="0" vertical="center"/>
    </xf>
    <xf borderId="62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3" xfId="0" applyAlignment="1" applyFont="1" applyNumberFormat="1">
      <alignment horizontal="left"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4" numFmtId="3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41" fillId="2" fontId="4" numFmtId="3" xfId="0" applyAlignment="1" applyBorder="1" applyFont="1" applyNumberFormat="1">
      <alignment horizontal="center" readingOrder="0" shrinkToFit="0" vertical="center" wrapText="0"/>
    </xf>
    <xf borderId="63" fillId="0" fontId="7" numFmtId="0" xfId="0" applyBorder="1" applyFont="1"/>
    <xf borderId="12" fillId="0" fontId="7" numFmtId="0" xfId="0" applyBorder="1" applyFont="1"/>
    <xf borderId="0" fillId="0" fontId="10" numFmtId="0" xfId="0" applyAlignment="1" applyFont="1">
      <alignment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41" fillId="2" fontId="4" numFmtId="0" xfId="0" applyAlignment="1" applyBorder="1" applyFont="1">
      <alignment horizontal="center" readingOrder="0" shrinkToFit="0" vertical="center" wrapText="1"/>
    </xf>
    <xf borderId="64" fillId="2" fontId="4" numFmtId="3" xfId="0" applyAlignment="1" applyBorder="1" applyFont="1" applyNumberFormat="1">
      <alignment horizontal="center" readingOrder="0" shrinkToFit="0" vertical="center" wrapText="1"/>
    </xf>
    <xf borderId="1" fillId="2" fontId="4" numFmtId="3" xfId="0" applyAlignment="1" applyBorder="1" applyFont="1" applyNumberFormat="1">
      <alignment horizontal="center" readingOrder="0" shrinkToFit="0" vertical="center" wrapText="1"/>
    </xf>
    <xf borderId="42" fillId="2" fontId="4" numFmtId="0" xfId="0" applyAlignment="1" applyBorder="1" applyFont="1">
      <alignment horizontal="center" shrinkToFit="0" vertical="center" wrapText="1"/>
    </xf>
    <xf borderId="65" fillId="2" fontId="4" numFmtId="0" xfId="0" applyAlignment="1" applyBorder="1" applyFont="1">
      <alignment horizontal="center" shrinkToFit="0" vertical="center" wrapText="1"/>
    </xf>
    <xf borderId="42" fillId="0" fontId="26" numFmtId="0" xfId="0" applyAlignment="1" applyBorder="1" applyFont="1">
      <alignment horizontal="center" readingOrder="0" shrinkToFit="0" vertical="center" wrapText="1"/>
    </xf>
    <xf borderId="66" fillId="0" fontId="26" numFmtId="0" xfId="0" applyAlignment="1" applyBorder="1" applyFont="1">
      <alignment horizontal="center" readingOrder="0" shrinkToFit="0" vertical="center" wrapText="1"/>
    </xf>
    <xf borderId="66" fillId="0" fontId="26" numFmtId="0" xfId="0" applyAlignment="1" applyBorder="1" applyFont="1">
      <alignment horizontal="left" readingOrder="0" shrinkToFit="0" vertical="center" wrapText="1"/>
    </xf>
    <xf borderId="66" fillId="0" fontId="26" numFmtId="49" xfId="0" applyAlignment="1" applyBorder="1" applyFont="1" applyNumberFormat="1">
      <alignment horizontal="center" readingOrder="0" shrinkToFit="0" vertical="center" wrapText="1"/>
    </xf>
    <xf borderId="65" fillId="0" fontId="26" numFmtId="49" xfId="0" applyAlignment="1" applyBorder="1" applyFont="1" applyNumberFormat="1">
      <alignment horizontal="center" readingOrder="0" shrinkToFit="0" vertical="center" wrapText="1"/>
    </xf>
    <xf borderId="16" fillId="0" fontId="27" numFmtId="0" xfId="0" applyAlignment="1" applyBorder="1" applyFont="1">
      <alignment horizontal="left" readingOrder="0" vertical="center"/>
    </xf>
    <xf borderId="22" fillId="0" fontId="27" numFmtId="0" xfId="0" applyAlignment="1" applyBorder="1" applyFont="1">
      <alignment horizontal="center" readingOrder="0" vertical="center"/>
    </xf>
    <xf borderId="16" fillId="0" fontId="1" numFmtId="3" xfId="0" applyAlignment="1" applyBorder="1" applyFont="1" applyNumberFormat="1">
      <alignment horizontal="left" readingOrder="0" shrinkToFit="0" vertical="center" wrapText="0"/>
    </xf>
    <xf borderId="22" fillId="0" fontId="1" numFmtId="3" xfId="0" applyAlignment="1" applyBorder="1" applyFont="1" applyNumberFormat="1">
      <alignment horizontal="center" vertical="center"/>
    </xf>
    <xf borderId="5" fillId="0" fontId="1" numFmtId="3" xfId="0" applyAlignment="1" applyBorder="1" applyFont="1" applyNumberFormat="1">
      <alignment horizontal="center" readingOrder="0" vertical="center"/>
    </xf>
    <xf borderId="48" fillId="0" fontId="1" numFmtId="3" xfId="0" applyAlignment="1" applyBorder="1" applyFont="1" applyNumberFormat="1">
      <alignment horizontal="center" readingOrder="0" vertical="center"/>
    </xf>
    <xf borderId="22" fillId="0" fontId="1" numFmtId="3" xfId="0" applyAlignment="1" applyBorder="1" applyFont="1" applyNumberFormat="1">
      <alignment horizontal="center" readingOrder="0" vertical="center"/>
    </xf>
    <xf borderId="3" fillId="0" fontId="1" numFmtId="165" xfId="0" applyAlignment="1" applyBorder="1" applyFont="1" applyNumberFormat="1">
      <alignment horizontal="center" readingOrder="0" vertical="center"/>
    </xf>
    <xf borderId="22" fillId="0" fontId="4" numFmtId="3" xfId="0" applyAlignment="1" applyBorder="1" applyFont="1" applyNumberFormat="1">
      <alignment horizontal="center" readingOrder="0" vertical="center"/>
    </xf>
    <xf borderId="5" fillId="0" fontId="4" numFmtId="3" xfId="0" applyAlignment="1" applyBorder="1" applyFont="1" applyNumberFormat="1">
      <alignment horizontal="center" readingOrder="0" vertical="center"/>
    </xf>
    <xf borderId="18" fillId="0" fontId="28" numFmtId="0" xfId="0" applyAlignment="1" applyBorder="1" applyFont="1">
      <alignment horizontal="left" readingOrder="0" shrinkToFit="0" vertical="center" wrapText="0"/>
    </xf>
    <xf borderId="67" fillId="0" fontId="1" numFmtId="14" xfId="0" applyAlignment="1" applyBorder="1" applyFont="1" applyNumberFormat="1">
      <alignment horizontal="center" readingOrder="0" vertical="center"/>
    </xf>
    <xf borderId="18" fillId="0" fontId="1" numFmtId="3" xfId="0" applyAlignment="1" applyBorder="1" applyFont="1" applyNumberFormat="1">
      <alignment horizontal="center" vertical="center"/>
    </xf>
    <xf borderId="67" fillId="0" fontId="1" numFmtId="3" xfId="0" applyAlignment="1" applyBorder="1" applyFont="1" applyNumberFormat="1">
      <alignment horizontal="center" vertical="center"/>
    </xf>
    <xf borderId="13" fillId="0" fontId="1" numFmtId="3" xfId="0" applyAlignment="1" applyBorder="1" applyFont="1" applyNumberFormat="1">
      <alignment horizontal="center" vertical="center"/>
    </xf>
    <xf borderId="0" fillId="0" fontId="27" numFmtId="0" xfId="0" applyAlignment="1" applyFont="1">
      <alignment horizontal="center" readingOrder="0" vertical="center"/>
    </xf>
    <xf borderId="18" fillId="0" fontId="27" numFmtId="0" xfId="0" applyAlignment="1" applyBorder="1" applyFont="1">
      <alignment horizontal="left" readingOrder="0" vertical="center"/>
    </xf>
    <xf borderId="3" fillId="0" fontId="27" numFmtId="0" xfId="0" applyAlignment="1" applyBorder="1" applyFont="1">
      <alignment horizontal="center" readingOrder="0" vertical="center"/>
    </xf>
    <xf borderId="18" fillId="0" fontId="1" numFmtId="3" xfId="0" applyAlignment="1" applyBorder="1" applyFont="1" applyNumberFormat="1">
      <alignment horizontal="left" readingOrder="0" shrinkToFit="0" vertical="center" wrapText="0"/>
    </xf>
    <xf borderId="3" fillId="0" fontId="1" numFmtId="3" xfId="0" applyAlignment="1" applyBorder="1" applyFont="1" applyNumberFormat="1">
      <alignment horizontal="center" vertical="center"/>
    </xf>
    <xf borderId="29" fillId="0" fontId="1" numFmtId="3" xfId="0" applyAlignment="1" applyBorder="1" applyFont="1" applyNumberFormat="1">
      <alignment horizontal="center" readingOrder="0" vertical="center"/>
    </xf>
    <xf borderId="3" fillId="0" fontId="1" numFmtId="3" xfId="0" applyAlignment="1" applyBorder="1" applyFont="1" applyNumberFormat="1">
      <alignment horizontal="center" readingOrder="0" vertical="center"/>
    </xf>
    <xf borderId="18" fillId="0" fontId="29" numFmtId="0" xfId="0" applyAlignment="1" applyBorder="1" applyFont="1">
      <alignment horizontal="left" readingOrder="0" shrinkToFit="0" vertical="center" wrapText="0"/>
    </xf>
    <xf borderId="49" fillId="0" fontId="1" numFmtId="14" xfId="0" applyAlignment="1" applyBorder="1" applyFont="1" applyNumberFormat="1">
      <alignment horizontal="center" readingOrder="0" vertical="center"/>
    </xf>
    <xf borderId="29" fillId="0" fontId="1" numFmtId="3" xfId="0" applyAlignment="1" applyBorder="1" applyFont="1" applyNumberFormat="1">
      <alignment horizontal="center" vertical="center"/>
    </xf>
    <xf borderId="39" fillId="0" fontId="4" numFmtId="3" xfId="0" applyAlignment="1" applyBorder="1" applyFont="1" applyNumberFormat="1">
      <alignment horizontal="center" readingOrder="0" vertical="center"/>
    </xf>
    <xf borderId="6" fillId="0" fontId="4" numFmtId="3" xfId="0" applyAlignment="1" applyBorder="1" applyFont="1" applyNumberFormat="1">
      <alignment horizontal="center" vertical="center"/>
    </xf>
    <xf borderId="67" fillId="0" fontId="1" numFmtId="0" xfId="0" applyAlignment="1" applyBorder="1" applyFont="1">
      <alignment horizontal="center" vertical="center"/>
    </xf>
    <xf borderId="0" fillId="0" fontId="1" numFmtId="14" xfId="0" applyAlignment="1" applyFont="1" applyNumberFormat="1">
      <alignment horizontal="center" readingOrder="0" vertical="center"/>
    </xf>
    <xf borderId="18" fillId="0" fontId="1" numFmtId="3" xfId="0" applyAlignment="1" applyBorder="1" applyFont="1" applyNumberFormat="1">
      <alignment horizontal="left" shrinkToFit="0" vertical="center" wrapText="0"/>
    </xf>
    <xf borderId="18" fillId="0" fontId="1" numFmtId="0" xfId="0" applyAlignment="1" applyBorder="1" applyFont="1">
      <alignment horizontal="left" shrinkToFit="0" vertical="center" wrapText="0"/>
    </xf>
    <xf borderId="49" fillId="0" fontId="1" numFmtId="0" xfId="0" applyAlignment="1" applyBorder="1" applyFont="1">
      <alignment horizontal="center" vertical="center"/>
    </xf>
    <xf borderId="19" fillId="0" fontId="20" numFmtId="0" xfId="0" applyAlignment="1" applyBorder="1" applyFont="1">
      <alignment horizontal="left" readingOrder="0" vertical="center"/>
    </xf>
    <xf borderId="3" fillId="0" fontId="30" numFmtId="3" xfId="0" applyAlignment="1" applyBorder="1" applyFont="1" applyNumberFormat="1">
      <alignment horizontal="center" readingOrder="0" vertical="center"/>
    </xf>
    <xf borderId="6" fillId="0" fontId="30" numFmtId="3" xfId="0" applyAlignment="1" applyBorder="1" applyFont="1" applyNumberFormat="1">
      <alignment horizontal="center" readingOrder="0" vertical="center"/>
    </xf>
    <xf borderId="19" fillId="0" fontId="1" numFmtId="0" xfId="0" applyAlignment="1" applyBorder="1" applyFont="1">
      <alignment horizontal="left" readingOrder="0" vertical="center"/>
    </xf>
    <xf borderId="7" fillId="0" fontId="4" numFmtId="3" xfId="0" applyAlignment="1" applyBorder="1" applyFont="1" applyNumberFormat="1">
      <alignment horizontal="center" vertical="center"/>
    </xf>
    <xf borderId="3" fillId="0" fontId="4" numFmtId="3" xfId="0" applyAlignment="1" applyBorder="1" applyFont="1" applyNumberFormat="1">
      <alignment horizontal="center" vertical="center"/>
    </xf>
    <xf borderId="19" fillId="0" fontId="1" numFmtId="0" xfId="0" applyAlignment="1" applyBorder="1" applyFont="1">
      <alignment readingOrder="0" vertical="center"/>
    </xf>
    <xf borderId="6" fillId="0" fontId="4" numFmtId="3" xfId="0" applyAlignment="1" applyBorder="1" applyFont="1" applyNumberFormat="1">
      <alignment horizontal="center" readingOrder="0" vertical="center"/>
    </xf>
    <xf borderId="3" fillId="4" fontId="4" numFmtId="3" xfId="0" applyAlignment="1" applyBorder="1" applyFont="1" applyNumberFormat="1">
      <alignment horizontal="center" readingOrder="0" vertical="center"/>
    </xf>
    <xf borderId="18" fillId="0" fontId="1" numFmtId="0" xfId="0" applyAlignment="1" applyBorder="1" applyFont="1">
      <alignment horizontal="left" readingOrder="0" shrinkToFit="0" vertical="center" wrapText="0"/>
    </xf>
    <xf borderId="8" fillId="0" fontId="4" numFmtId="3" xfId="0" applyAlignment="1" applyBorder="1" applyFont="1" applyNumberFormat="1">
      <alignment horizontal="center" vertical="center"/>
    </xf>
    <xf borderId="35" fillId="0" fontId="1" numFmtId="0" xfId="0" applyAlignment="1" applyBorder="1" applyFont="1">
      <alignment horizontal="center" readingOrder="0" vertical="center"/>
    </xf>
    <xf borderId="68" fillId="0" fontId="1" numFmtId="3" xfId="0" applyAlignment="1" applyBorder="1" applyFont="1" applyNumberFormat="1">
      <alignment horizontal="left" shrinkToFit="0" vertical="center" wrapText="0"/>
    </xf>
    <xf borderId="7" fillId="0" fontId="1" numFmtId="3" xfId="0" applyAlignment="1" applyBorder="1" applyFont="1" applyNumberFormat="1">
      <alignment horizontal="center" vertical="center"/>
    </xf>
    <xf borderId="8" fillId="0" fontId="1" numFmtId="3" xfId="0" applyAlignment="1" applyBorder="1" applyFont="1" applyNumberFormat="1">
      <alignment horizontal="center" vertical="center"/>
    </xf>
    <xf borderId="35" fillId="0" fontId="1" numFmtId="3" xfId="0" applyAlignment="1" applyBorder="1" applyFont="1" applyNumberFormat="1">
      <alignment horizontal="center" vertical="center"/>
    </xf>
    <xf borderId="68" fillId="0" fontId="1" numFmtId="0" xfId="0" applyAlignment="1" applyBorder="1" applyFont="1">
      <alignment horizontal="left" readingOrder="0" shrinkToFit="0" vertical="center" wrapText="0"/>
    </xf>
    <xf borderId="69" fillId="0" fontId="1" numFmtId="0" xfId="0" applyAlignment="1" applyBorder="1" applyFont="1">
      <alignment horizontal="center" vertical="center"/>
    </xf>
    <xf borderId="68" fillId="0" fontId="1" numFmtId="3" xfId="0" applyAlignment="1" applyBorder="1" applyFont="1" applyNumberFormat="1">
      <alignment horizontal="left" readingOrder="0" shrinkToFit="0" vertical="center" wrapText="0"/>
    </xf>
    <xf borderId="8" fillId="0" fontId="1" numFmtId="3" xfId="0" applyAlignment="1" applyBorder="1" applyFont="1" applyNumberFormat="1">
      <alignment horizontal="center" readingOrder="0" vertical="center"/>
    </xf>
    <xf borderId="68" fillId="0" fontId="31" numFmtId="0" xfId="0" applyAlignment="1" applyBorder="1" applyFont="1">
      <alignment horizontal="left" readingOrder="0" shrinkToFit="0" vertical="center" wrapText="0"/>
    </xf>
    <xf borderId="69" fillId="0" fontId="1" numFmtId="14" xfId="0" applyAlignment="1" applyBorder="1" applyFont="1" applyNumberFormat="1">
      <alignment horizontal="center" readingOrder="0" vertical="center"/>
    </xf>
    <xf borderId="68" fillId="0" fontId="1" numFmtId="0" xfId="0" applyAlignment="1" applyBorder="1" applyFont="1">
      <alignment horizontal="left" shrinkToFit="0" vertical="center" wrapText="0"/>
    </xf>
    <xf borderId="20" fillId="0" fontId="20" numFmtId="0" xfId="0" applyAlignment="1" applyBorder="1" applyFont="1">
      <alignment horizontal="left" readingOrder="0" vertical="center"/>
    </xf>
    <xf borderId="7" fillId="0" fontId="30" numFmtId="3" xfId="0" applyAlignment="1" applyBorder="1" applyFont="1" applyNumberFormat="1">
      <alignment horizontal="center" readingOrder="0" vertical="center"/>
    </xf>
    <xf borderId="7" fillId="0" fontId="4" numFmtId="3" xfId="0" applyAlignment="1" applyBorder="1" applyFont="1" applyNumberFormat="1">
      <alignment horizontal="center" readingOrder="0" vertical="center"/>
    </xf>
    <xf borderId="20" fillId="0" fontId="1" numFmtId="0" xfId="0" applyAlignment="1" applyBorder="1" applyFont="1">
      <alignment horizontal="left" readingOrder="0" vertical="center"/>
    </xf>
    <xf borderId="68" fillId="0" fontId="32" numFmtId="0" xfId="0" applyAlignment="1" applyBorder="1" applyFont="1">
      <alignment horizontal="left" readingOrder="0" shrinkToFit="0" vertical="center" wrapText="0"/>
    </xf>
    <xf borderId="68" fillId="0" fontId="20" numFmtId="0" xfId="0" applyAlignment="1" applyBorder="1" applyFont="1">
      <alignment horizontal="left" readingOrder="0" vertical="center"/>
    </xf>
    <xf borderId="68" fillId="0" fontId="1" numFmtId="0" xfId="0" applyAlignment="1" applyBorder="1" applyFont="1">
      <alignment horizontal="left" readingOrder="0" vertical="center"/>
    </xf>
    <xf borderId="68" fillId="0" fontId="1" numFmtId="0" xfId="0" applyAlignment="1" applyBorder="1" applyFont="1">
      <alignment horizontal="left" readingOrder="0" shrinkToFit="0" vertical="center" wrapText="0"/>
    </xf>
    <xf borderId="68" fillId="0" fontId="1" numFmtId="0" xfId="0" applyAlignment="1" applyBorder="1" applyFont="1">
      <alignment horizontal="left" vertical="center"/>
    </xf>
    <xf borderId="68" fillId="0" fontId="1" numFmtId="3" xfId="0" applyAlignment="1" applyBorder="1" applyFont="1" applyNumberFormat="1">
      <alignment horizontal="center" readingOrder="0" shrinkToFit="0" vertical="center" wrapText="0"/>
    </xf>
    <xf borderId="68" fillId="0" fontId="33" numFmtId="0" xfId="0" applyAlignment="1" applyBorder="1" applyFont="1">
      <alignment horizontal="left" shrinkToFit="0" vertical="center" wrapText="0"/>
    </xf>
    <xf borderId="69" fillId="0" fontId="1" numFmtId="14" xfId="0" applyAlignment="1" applyBorder="1" applyFont="1" applyNumberFormat="1">
      <alignment horizontal="center" vertical="center"/>
    </xf>
    <xf borderId="18" fillId="0" fontId="34" numFmtId="3" xfId="0" applyAlignment="1" applyBorder="1" applyFont="1" applyNumberFormat="1">
      <alignment horizontal="center" vertical="center"/>
    </xf>
    <xf borderId="67" fillId="0" fontId="34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left" vertical="center"/>
    </xf>
    <xf borderId="70" fillId="0" fontId="11" numFmtId="0" xfId="0" applyAlignment="1" applyBorder="1" applyFont="1">
      <alignment horizontal="center" readingOrder="0" vertical="center"/>
    </xf>
    <xf borderId="40" fillId="0" fontId="35" numFmtId="0" xfId="0" applyAlignment="1" applyBorder="1" applyFont="1">
      <alignment horizontal="center" readingOrder="0" vertical="center"/>
    </xf>
    <xf borderId="71" fillId="0" fontId="7" numFmtId="0" xfId="0" applyBorder="1" applyFont="1"/>
    <xf borderId="72" fillId="0" fontId="11" numFmtId="0" xfId="0" applyAlignment="1" applyBorder="1" applyFont="1">
      <alignment horizontal="center" vertical="center"/>
    </xf>
    <xf borderId="34" fillId="0" fontId="11" numFmtId="0" xfId="0" applyAlignment="1" applyBorder="1" applyFont="1">
      <alignment horizontal="center" readingOrder="0" shrinkToFit="0" vertical="center" wrapText="1"/>
    </xf>
    <xf borderId="34" fillId="0" fontId="7" numFmtId="0" xfId="0" applyBorder="1" applyFont="1"/>
    <xf borderId="73" fillId="0" fontId="11" numFmtId="0" xfId="0" applyAlignment="1" applyBorder="1" applyFont="1">
      <alignment horizontal="center" vertical="center"/>
    </xf>
    <xf borderId="25" fillId="0" fontId="11" numFmtId="0" xfId="0" applyAlignment="1" applyBorder="1" applyFont="1">
      <alignment readingOrder="0" vertical="center"/>
    </xf>
    <xf borderId="74" fillId="0" fontId="7" numFmtId="0" xfId="0" applyBorder="1" applyFont="1"/>
    <xf borderId="34" fillId="0" fontId="11" numFmtId="0" xfId="0" applyAlignment="1" applyBorder="1" applyFont="1">
      <alignment vertical="center"/>
    </xf>
    <xf borderId="41" fillId="0" fontId="11" numFmtId="0" xfId="0" applyAlignment="1" applyBorder="1" applyFont="1">
      <alignment horizontal="center" readingOrder="0" vertical="center"/>
    </xf>
    <xf borderId="63" fillId="0" fontId="11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shrinkToFit="0" vertical="bottom" wrapText="1"/>
    </xf>
    <xf borderId="70" fillId="2" fontId="4" numFmtId="0" xfId="0" applyAlignment="1" applyBorder="1" applyFont="1">
      <alignment horizontal="center" readingOrder="0" shrinkToFit="0" vertical="center" wrapText="1"/>
    </xf>
    <xf borderId="40" fillId="0" fontId="7" numFmtId="0" xfId="0" applyBorder="1" applyFont="1"/>
    <xf borderId="0" fillId="2" fontId="4" numFmtId="0" xfId="0" applyAlignment="1" applyFont="1">
      <alignment horizontal="center" readingOrder="0" shrinkToFit="0" vertical="center" wrapText="1"/>
    </xf>
    <xf borderId="0" fillId="2" fontId="4" numFmtId="49" xfId="0" applyAlignment="1" applyFont="1" applyNumberFormat="1">
      <alignment horizontal="center" readingOrder="0" shrinkToFit="0" vertical="center" wrapText="1"/>
    </xf>
    <xf borderId="0" fillId="2" fontId="2" numFmtId="3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72" fillId="0" fontId="10" numFmtId="0" xfId="0" applyAlignment="1" applyBorder="1" applyFont="1">
      <alignment readingOrder="0" shrinkToFit="0" vertical="bottom" wrapText="1"/>
    </xf>
    <xf borderId="34" fillId="0" fontId="10" numFmtId="0" xfId="0" applyAlignment="1" applyBorder="1" applyFont="1">
      <alignment readingOrder="0" shrinkToFit="0" vertical="bottom" wrapText="1"/>
    </xf>
    <xf borderId="0" fillId="0" fontId="10" numFmtId="0" xfId="0" applyAlignment="1" applyFont="1">
      <alignment horizontal="center" readingOrder="0" shrinkToFit="0" vertical="center" wrapText="1"/>
    </xf>
    <xf borderId="70" fillId="2" fontId="10" numFmtId="0" xfId="0" applyAlignment="1" applyBorder="1" applyFont="1">
      <alignment horizontal="center" readingOrder="0" shrinkToFit="0" vertical="center" wrapText="1"/>
    </xf>
    <xf borderId="0" fillId="0" fontId="9" numFmtId="0" xfId="0" applyFont="1"/>
    <xf borderId="72" fillId="0" fontId="10" numFmtId="0" xfId="0" applyAlignment="1" applyBorder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wrapText="1"/>
    </xf>
    <xf borderId="34" fillId="0" fontId="10" numFmtId="0" xfId="0" applyAlignment="1" applyBorder="1" applyFont="1">
      <alignment horizontal="left" readingOrder="0" shrinkToFit="0" wrapText="1"/>
    </xf>
    <xf borderId="0" fillId="0" fontId="9" numFmtId="0" xfId="0" applyAlignment="1" applyFont="1">
      <alignment shrinkToFit="0" wrapText="1"/>
    </xf>
    <xf borderId="73" fillId="0" fontId="35" numFmtId="0" xfId="0" applyAlignment="1" applyBorder="1" applyFont="1">
      <alignment horizontal="center" shrinkToFit="0" wrapText="1"/>
    </xf>
    <xf borderId="25" fillId="0" fontId="35" numFmtId="49" xfId="0" applyAlignment="1" applyBorder="1" applyFont="1" applyNumberFormat="1">
      <alignment horizontal="center" shrinkToFit="0" wrapText="1"/>
    </xf>
    <xf borderId="25" fillId="0" fontId="35" numFmtId="0" xfId="0" applyAlignment="1" applyBorder="1" applyFont="1">
      <alignment horizontal="center" shrinkToFit="0" wrapText="1"/>
    </xf>
    <xf borderId="25" fillId="0" fontId="11" numFmtId="0" xfId="0" applyAlignment="1" applyBorder="1" applyFont="1">
      <alignment horizontal="center" shrinkToFit="0" wrapText="1"/>
    </xf>
    <xf borderId="25" fillId="0" fontId="9" numFmtId="0" xfId="0" applyAlignment="1" applyBorder="1" applyFont="1">
      <alignment shrinkToFit="0" wrapText="1"/>
    </xf>
    <xf borderId="74" fillId="0" fontId="11" numFmtId="0" xfId="0" applyAlignment="1" applyBorder="1" applyFont="1">
      <alignment horizontal="left" shrinkToFit="0" wrapText="1"/>
    </xf>
    <xf borderId="0" fillId="0" fontId="9" numFmtId="49" xfId="0" applyAlignment="1" applyFont="1" applyNumberFormat="1">
      <alignment shrinkToFit="0" wrapText="1"/>
    </xf>
    <xf borderId="70" fillId="2" fontId="10" numFmtId="0" xfId="0" applyAlignment="1" applyBorder="1" applyFont="1">
      <alignment horizontal="center" readingOrder="0" shrinkToFit="0" vertical="bottom" wrapText="1"/>
    </xf>
    <xf borderId="40" fillId="0" fontId="10" numFmtId="0" xfId="0" applyAlignment="1" applyBorder="1" applyFont="1">
      <alignment vertical="center"/>
    </xf>
    <xf borderId="40" fillId="0" fontId="10" numFmtId="0" xfId="0" applyAlignment="1" applyBorder="1" applyFont="1">
      <alignment shrinkToFit="0" vertical="bottom" wrapText="1"/>
    </xf>
    <xf borderId="40" fillId="2" fontId="10" numFmtId="0" xfId="0" applyAlignment="1" applyBorder="1" applyFont="1">
      <alignment horizontal="center" readingOrder="0" shrinkToFit="0" vertical="bottom" wrapText="1"/>
    </xf>
    <xf borderId="1" fillId="2" fontId="4" numFmtId="0" xfId="0" applyAlignment="1" applyBorder="1" applyFont="1">
      <alignment horizontal="center" shrinkToFit="0" wrapText="1"/>
    </xf>
    <xf borderId="1" fillId="2" fontId="4" numFmtId="3" xfId="0" applyAlignment="1" applyBorder="1" applyFont="1" applyNumberFormat="1">
      <alignment horizontal="center" shrinkToFit="0" wrapText="1"/>
    </xf>
    <xf borderId="1" fillId="2" fontId="4" numFmtId="49" xfId="0" applyAlignment="1" applyBorder="1" applyFont="1" applyNumberFormat="1">
      <alignment horizontal="center" shrinkToFit="0" wrapText="1"/>
    </xf>
    <xf borderId="41" fillId="2" fontId="4" numFmtId="0" xfId="0" applyAlignment="1" applyBorder="1" applyFont="1">
      <alignment horizontal="center" shrinkToFit="0" vertical="bottom" wrapText="1"/>
    </xf>
    <xf borderId="12" fillId="2" fontId="4" numFmtId="0" xfId="0" applyAlignment="1" applyBorder="1" applyFont="1">
      <alignment horizontal="center" shrinkToFit="0" vertical="bottom" wrapText="1"/>
    </xf>
    <xf borderId="0" fillId="0" fontId="9" numFmtId="0" xfId="0" applyAlignment="1" applyFont="1">
      <alignment shrinkToFit="0" vertical="bottom" wrapText="1"/>
    </xf>
    <xf borderId="42" fillId="2" fontId="4" numFmtId="0" xfId="0" applyAlignment="1" applyBorder="1" applyFont="1">
      <alignment horizontal="center" shrinkToFit="0" vertical="bottom" wrapText="1"/>
    </xf>
    <xf borderId="65" fillId="2" fontId="4" numFmtId="0" xfId="0" applyAlignment="1" applyBorder="1" applyFont="1">
      <alignment horizontal="center" shrinkToFit="0" vertical="bottom" wrapText="1"/>
    </xf>
    <xf borderId="42" fillId="0" fontId="26" numFmtId="0" xfId="0" applyAlignment="1" applyBorder="1" applyFont="1">
      <alignment horizontal="center" shrinkToFit="0" vertical="bottom" wrapText="1"/>
    </xf>
    <xf borderId="66" fillId="0" fontId="26" numFmtId="0" xfId="0" applyAlignment="1" applyBorder="1" applyFont="1">
      <alignment horizontal="center" shrinkToFit="0" vertical="bottom" wrapText="1"/>
    </xf>
    <xf borderId="66" fillId="0" fontId="26" numFmtId="0" xfId="0" applyAlignment="1" applyBorder="1" applyFont="1">
      <alignment shrinkToFit="0" vertical="bottom" wrapText="1"/>
    </xf>
    <xf borderId="66" fillId="0" fontId="26" numFmtId="49" xfId="0" applyAlignment="1" applyBorder="1" applyFont="1" applyNumberFormat="1">
      <alignment horizontal="center" shrinkToFit="0" vertical="bottom" wrapText="1"/>
    </xf>
    <xf borderId="65" fillId="0" fontId="26" numFmtId="49" xfId="0" applyAlignment="1" applyBorder="1" applyFont="1" applyNumberFormat="1">
      <alignment horizontal="center" shrinkToFit="0" vertical="bottom" wrapText="1"/>
    </xf>
    <xf borderId="9" fillId="0" fontId="27" numFmtId="0" xfId="0" applyBorder="1" applyFont="1"/>
    <xf borderId="36" fillId="0" fontId="27" numFmtId="0" xfId="0" applyAlignment="1" applyBorder="1" applyFont="1">
      <alignment horizontal="center"/>
    </xf>
    <xf borderId="36" fillId="0" fontId="1" numFmtId="0" xfId="0" applyAlignment="1" applyBorder="1" applyFont="1">
      <alignment horizontal="center"/>
    </xf>
    <xf borderId="9" fillId="0" fontId="1" numFmtId="3" xfId="0" applyAlignment="1" applyBorder="1" applyFont="1" applyNumberFormat="1">
      <alignment shrinkToFit="0" wrapText="0"/>
    </xf>
    <xf borderId="36" fillId="0" fontId="9" numFmtId="3" xfId="0" applyBorder="1" applyFont="1" applyNumberFormat="1"/>
    <xf borderId="75" fillId="8" fontId="1" numFmtId="3" xfId="0" applyAlignment="1" applyBorder="1" applyFill="1" applyFont="1" applyNumberFormat="1">
      <alignment horizontal="center"/>
    </xf>
    <xf borderId="76" fillId="0" fontId="9" numFmtId="3" xfId="0" applyBorder="1" applyFont="1" applyNumberFormat="1"/>
    <xf borderId="75" fillId="0" fontId="1" numFmtId="3" xfId="0" applyAlignment="1" applyBorder="1" applyFont="1" applyNumberFormat="1">
      <alignment horizontal="center"/>
    </xf>
    <xf borderId="76" fillId="0" fontId="1" numFmtId="3" xfId="0" applyAlignment="1" applyBorder="1" applyFont="1" applyNumberFormat="1">
      <alignment horizontal="center"/>
    </xf>
    <xf borderId="10" fillId="0" fontId="1" numFmtId="165" xfId="0" applyAlignment="1" applyBorder="1" applyFont="1" applyNumberFormat="1">
      <alignment horizontal="center"/>
    </xf>
    <xf borderId="36" fillId="0" fontId="1" numFmtId="3" xfId="0" applyAlignment="1" applyBorder="1" applyFont="1" applyNumberFormat="1">
      <alignment horizontal="center"/>
    </xf>
    <xf borderId="36" fillId="0" fontId="4" numFmtId="3" xfId="0" applyAlignment="1" applyBorder="1" applyFont="1" applyNumberFormat="1">
      <alignment horizontal="center"/>
    </xf>
    <xf borderId="75" fillId="0" fontId="4" numFmtId="3" xfId="0" applyAlignment="1" applyBorder="1" applyFont="1" applyNumberFormat="1">
      <alignment horizontal="center"/>
    </xf>
    <xf borderId="23" fillId="0" fontId="36" numFmtId="0" xfId="0" applyAlignment="1" applyBorder="1" applyFont="1">
      <alignment shrinkToFit="0" wrapText="0"/>
    </xf>
    <xf borderId="74" fillId="0" fontId="1" numFmtId="14" xfId="0" applyAlignment="1" applyBorder="1" applyFont="1" applyNumberFormat="1">
      <alignment horizontal="center"/>
    </xf>
    <xf borderId="25" fillId="0" fontId="9" numFmtId="0" xfId="0" applyBorder="1" applyFont="1"/>
    <xf borderId="23" fillId="0" fontId="1" numFmtId="3" xfId="0" applyAlignment="1" applyBorder="1" applyFont="1" applyNumberFormat="1">
      <alignment horizontal="center" shrinkToFit="0" vertical="bottom" wrapText="1"/>
    </xf>
    <xf borderId="74" fillId="0" fontId="1" numFmtId="3" xfId="0" applyAlignment="1" applyBorder="1" applyFont="1" applyNumberFormat="1">
      <alignment horizontal="center" shrinkToFit="0" vertical="bottom" wrapText="1"/>
    </xf>
    <xf borderId="25" fillId="0" fontId="9" numFmtId="0" xfId="0" applyAlignment="1" applyBorder="1" applyFont="1">
      <alignment shrinkToFit="0" vertical="bottom" wrapText="1"/>
    </xf>
    <xf borderId="42" fillId="0" fontId="30" numFmtId="3" xfId="0" applyAlignment="1" applyBorder="1" applyFont="1" applyNumberFormat="1">
      <alignment horizontal="center" shrinkToFit="0" vertical="bottom" wrapText="1"/>
    </xf>
    <xf borderId="65" fillId="0" fontId="37" numFmtId="3" xfId="0" applyAlignment="1" applyBorder="1" applyFont="1" applyNumberFormat="1">
      <alignment horizontal="center" shrinkToFit="0" vertical="bottom" wrapText="1"/>
    </xf>
    <xf borderId="25" fillId="0" fontId="1" numFmtId="0" xfId="0" applyAlignment="1" applyBorder="1" applyFont="1">
      <alignment horizontal="center" shrinkToFit="0" vertical="bottom" wrapText="1"/>
    </xf>
    <xf borderId="25" fillId="0" fontId="1" numFmtId="0" xfId="0" applyAlignment="1" applyBorder="1" applyFont="1">
      <alignment shrinkToFit="0" vertical="bottom" wrapText="1"/>
    </xf>
    <xf borderId="25" fillId="0" fontId="1" numFmtId="3" xfId="0" applyAlignment="1" applyBorder="1" applyFont="1" applyNumberFormat="1">
      <alignment horizontal="center" shrinkToFit="0" vertical="bottom" wrapText="1"/>
    </xf>
    <xf borderId="0" fillId="0" fontId="10" numFmtId="0" xfId="0" applyAlignment="1" applyFont="1">
      <alignment readingOrder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7" fillId="0" fontId="1" numFmtId="49" xfId="0" applyAlignment="1" applyBorder="1" applyFont="1" applyNumberFormat="1">
      <alignment horizontal="center" readingOrder="0" vertical="center"/>
    </xf>
    <xf borderId="77" fillId="0" fontId="1" numFmtId="0" xfId="0" applyAlignment="1" applyBorder="1" applyFont="1">
      <alignment horizontal="center" readingOrder="0" vertical="center"/>
    </xf>
    <xf borderId="35" fillId="0" fontId="1" numFmtId="3" xfId="0" applyAlignment="1" applyBorder="1" applyFont="1" applyNumberFormat="1">
      <alignment horizontal="left" shrinkToFit="0" vertical="center" wrapText="0"/>
    </xf>
    <xf borderId="69" fillId="0" fontId="1" numFmtId="3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horizontal="left" shrinkToFit="0" vertical="center" wrapText="0"/>
    </xf>
    <xf borderId="8" fillId="0" fontId="1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10">
    <dxf>
      <font>
        <color rgb="FFFF9900"/>
      </font>
      <fill>
        <patternFill patternType="none"/>
      </fill>
      <border/>
    </dxf>
    <dxf>
      <font>
        <color rgb="FF4A86E8"/>
      </font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>
        <color rgb="FFD9D9D9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>
        <b/>
        <color rgb="FFFF0000"/>
      </font>
      <fill>
        <patternFill patternType="none"/>
      </fill>
      <border/>
    </dxf>
    <dxf>
      <font>
        <color rgb="FF6AA84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maxmobiles.ru/dinamik-razgovornyy-verhniy-iphone-15-pro/" TargetMode="External"/><Relationship Id="rId194" Type="http://schemas.openxmlformats.org/officeDocument/2006/relationships/hyperlink" Target="https://maxmobiles.ru/korpus-replika-snyatyy-zamena-iphone-15-pro/" TargetMode="External"/><Relationship Id="rId193" Type="http://schemas.openxmlformats.org/officeDocument/2006/relationships/hyperlink" Target="https://maxmobiles.ru/kamera-zamena-razbitogo-stekla-1-sht-iphone-15-pro/" TargetMode="External"/><Relationship Id="rId192" Type="http://schemas.openxmlformats.org/officeDocument/2006/relationships/hyperlink" Target="https://maxmobiles.ru/kamera-frontalnaya-perednyaya-zamena-iphone-15-pro/" TargetMode="External"/><Relationship Id="rId191" Type="http://schemas.openxmlformats.org/officeDocument/2006/relationships/hyperlink" Target="https://maxmobiles.ru/kamera-osnovnaya-zamena-iphone-15-pro/" TargetMode="External"/><Relationship Id="rId187" Type="http://schemas.openxmlformats.org/officeDocument/2006/relationships/hyperlink" Target="https://maxmobiles.ru/razem-zaryadki-zamena-iphone-15-pro/" TargetMode="External"/><Relationship Id="rId186" Type="http://schemas.openxmlformats.org/officeDocument/2006/relationships/hyperlink" Target="https://maxmobiles.ru/akkumulyator-zamena-iphone-15-pro/" TargetMode="External"/><Relationship Id="rId185" Type="http://schemas.openxmlformats.org/officeDocument/2006/relationships/hyperlink" Target="https://maxmobiles.ru/profilaktika-posle-vody-cena-ot-iphone-15-pro/" TargetMode="External"/><Relationship Id="rId184" Type="http://schemas.openxmlformats.org/officeDocument/2006/relationships/hyperlink" Target="https://maxmobiles.ru/zadnyaya-kryshka-v-sbore-so-vspyshkoy-i-besprovodnoy-zaryadkoy-zamena-iphone-15-pro/" TargetMode="External"/><Relationship Id="rId189" Type="http://schemas.openxmlformats.org/officeDocument/2006/relationships/hyperlink" Target="https://maxmobiles.ru/dinamik-nizhniy-zvonok-gromkaya-svyaz-zamena-iphone-15-pro/" TargetMode="External"/><Relationship Id="rId188" Type="http://schemas.openxmlformats.org/officeDocument/2006/relationships/hyperlink" Target="https://maxmobiles.ru/mikrofon-odin-iz-zamena-iphone-15-pro/" TargetMode="External"/><Relationship Id="rId183" Type="http://schemas.openxmlformats.org/officeDocument/2006/relationships/hyperlink" Target="https://maxmobiles.ru/displey-original-zamena-iphone-15-pro/" TargetMode="External"/><Relationship Id="rId182" Type="http://schemas.openxmlformats.org/officeDocument/2006/relationships/hyperlink" Target="https://maxmobiles.ru/zamena-displeya-iphone-15-pro-kopiya/?action=preview" TargetMode="External"/><Relationship Id="rId181" Type="http://schemas.openxmlformats.org/officeDocument/2006/relationships/hyperlink" Target="https://maxmobiles.ru/displey-zamena-razbitogo-stekla-iphone-15-pro/" TargetMode="External"/><Relationship Id="rId180" Type="http://schemas.openxmlformats.org/officeDocument/2006/relationships/hyperlink" Target="https://maxmobiles.ru/face-id-remont-vostanovlenie-zamena-iphone-15-pro-max/" TargetMode="External"/><Relationship Id="rId176" Type="http://schemas.openxmlformats.org/officeDocument/2006/relationships/hyperlink" Target="https://maxmobiles.ru/korpus-replika-snyatyy-zamena-iphone-15-pro-max/" TargetMode="External"/><Relationship Id="rId175" Type="http://schemas.openxmlformats.org/officeDocument/2006/relationships/hyperlink" Target="https://maxmobiles.ru/kamera-zamena-razbitogo-stekla-1-sht-iphone-15-pro-max/" TargetMode="External"/><Relationship Id="rId174" Type="http://schemas.openxmlformats.org/officeDocument/2006/relationships/hyperlink" Target="https://maxmobiles.ru/kamera-frontalnaya-perednyaya-zamena-iphone-15-pro-max/" TargetMode="External"/><Relationship Id="rId173" Type="http://schemas.openxmlformats.org/officeDocument/2006/relationships/hyperlink" Target="https://maxmobiles.ru/kamera-osnovnaya-zamena-iphone-15-pro-max/" TargetMode="External"/><Relationship Id="rId179" Type="http://schemas.openxmlformats.org/officeDocument/2006/relationships/hyperlink" Target="https://maxmobiles.ru/remont-platy-iphone-15-pro-max/" TargetMode="External"/><Relationship Id="rId178" Type="http://schemas.openxmlformats.org/officeDocument/2006/relationships/hyperlink" Target="https://maxmobiles.ru/proshivka-bez-rezervnoy-kopii-iphone-11/" TargetMode="External"/><Relationship Id="rId177" Type="http://schemas.openxmlformats.org/officeDocument/2006/relationships/hyperlink" Target="https://maxmobiles.ru/knopka-vklyucheniya-zamena-remont-iphone-15-pro-max/" TargetMode="External"/><Relationship Id="rId198" Type="http://schemas.openxmlformats.org/officeDocument/2006/relationships/hyperlink" Target="https://maxmobiles.ru/face-id-remont-vostanovlenie-zamena-iphone-15-pro/" TargetMode="External"/><Relationship Id="rId197" Type="http://schemas.openxmlformats.org/officeDocument/2006/relationships/hyperlink" Target="https://maxmobiles.ru/remont-platy-iphone-15-pro/" TargetMode="External"/><Relationship Id="rId196" Type="http://schemas.openxmlformats.org/officeDocument/2006/relationships/hyperlink" Target="https://maxmobiles.ru/proshivka-bez-rezervnoy-kopii-iphone-11/" TargetMode="External"/><Relationship Id="rId195" Type="http://schemas.openxmlformats.org/officeDocument/2006/relationships/hyperlink" Target="https://maxmobiles.ru/knopka-vklyucheniya-zamena-remont-iphone-15-pro/" TargetMode="External"/><Relationship Id="rId199" Type="http://schemas.openxmlformats.org/officeDocument/2006/relationships/hyperlink" Target="https://maxmobiles.ru/displey-zamena-razbitogo-stekla-iphone-15-plus/" TargetMode="External"/><Relationship Id="rId150" Type="http://schemas.openxmlformats.org/officeDocument/2006/relationships/hyperlink" Target="https://maxmobiles.ru/akkumulyator-original-zamena-iphone-16/" TargetMode="External"/><Relationship Id="rId392" Type="http://schemas.openxmlformats.org/officeDocument/2006/relationships/hyperlink" Target="https://maxmobiles.ru/korpus-kopiya-vysokoe-kachestvo-zamena-iphone-12-pro-max/" TargetMode="External"/><Relationship Id="rId391" Type="http://schemas.openxmlformats.org/officeDocument/2006/relationships/hyperlink" Target="https://maxmobiles.ru/kamera-zamena-razbitogo-stekla-1sht-iphone-12-pro-max/" TargetMode="External"/><Relationship Id="rId390" Type="http://schemas.openxmlformats.org/officeDocument/2006/relationships/hyperlink" Target="https://maxmobiles.ru/kamera-frontalnaya-perednyaya-zamena-iphone-12-pro-max/" TargetMode="External"/><Relationship Id="rId1" Type="http://schemas.openxmlformats.org/officeDocument/2006/relationships/hyperlink" Target="https://maxmobiles.ru/zamena-stekla-iphone-17-pro-max/" TargetMode="External"/><Relationship Id="rId2" Type="http://schemas.openxmlformats.org/officeDocument/2006/relationships/hyperlink" Target="https://maxmobiles.ru/zamena-displeya-iphone-17-pro-max-kopiya/" TargetMode="External"/><Relationship Id="rId3" Type="http://schemas.openxmlformats.org/officeDocument/2006/relationships/hyperlink" Target="https://maxmobiles.ru/zamena-displeya-iphone-17-pro-max/" TargetMode="External"/><Relationship Id="rId149" Type="http://schemas.openxmlformats.org/officeDocument/2006/relationships/hyperlink" Target="https://maxmobiles.ru/profilaktika-posle-vody-vosstanovlenie-cena-ot-trebuetsya-diagnostika-iphone-16/" TargetMode="External"/><Relationship Id="rId4" Type="http://schemas.openxmlformats.org/officeDocument/2006/relationships/hyperlink" Target="https://maxmobiles.ru/zamena-zadney-kryshki-stekla-iphone-17-pro-max/" TargetMode="External"/><Relationship Id="rId148" Type="http://schemas.openxmlformats.org/officeDocument/2006/relationships/hyperlink" Target="https://maxmobiles.ru/zadnyaya-kryshka-kopiya-vysochayshego-kachestva-zamena-stekla-iphone-16/" TargetMode="External"/><Relationship Id="rId9" Type="http://schemas.openxmlformats.org/officeDocument/2006/relationships/hyperlink" Target="https://maxmobiles.ru/zamena-dinamika-gromkoy-svyazi-iphone-17-pro-max/" TargetMode="External"/><Relationship Id="rId143" Type="http://schemas.openxmlformats.org/officeDocument/2006/relationships/hyperlink" Target="https://maxmobiles.ru/remont-platy-iphone-16e/" TargetMode="External"/><Relationship Id="rId385" Type="http://schemas.openxmlformats.org/officeDocument/2006/relationships/hyperlink" Target="https://maxmobiles.ru/razem-zaryadki-zamena-iphone-12-pro-max/" TargetMode="External"/><Relationship Id="rId142" Type="http://schemas.openxmlformats.org/officeDocument/2006/relationships/hyperlink" Target="https://maxmobiles.ru/proshivka-bez-rezervnoy-kopii-iphone-11/" TargetMode="External"/><Relationship Id="rId384" Type="http://schemas.openxmlformats.org/officeDocument/2006/relationships/hyperlink" Target="https://maxmobiles.ru/akkumulyator-zamena-iphone-12-pro-max/" TargetMode="External"/><Relationship Id="rId141" Type="http://schemas.openxmlformats.org/officeDocument/2006/relationships/hyperlink" Target="https://maxmobiles.ru/knopka-vklyucheniya-gromkosti-deystviya-vosstanovlenie-zamena-iphone-16e/" TargetMode="External"/><Relationship Id="rId383" Type="http://schemas.openxmlformats.org/officeDocument/2006/relationships/hyperlink" Target="https://maxmobiles.ru/profilaktika-posle-vody-cena-ot-iphone-12-pro-max/" TargetMode="External"/><Relationship Id="rId140" Type="http://schemas.openxmlformats.org/officeDocument/2006/relationships/hyperlink" Target="https://maxmobiles.ru/korpus-kopiya-vysochayshego-kachestva-zamena-iphone-16e/" TargetMode="External"/><Relationship Id="rId382" Type="http://schemas.openxmlformats.org/officeDocument/2006/relationships/hyperlink" Target="https://maxmobiles.ru/zadnyaya-kryshka-zamena-stekla-iphone-12-pro-max/" TargetMode="External"/><Relationship Id="rId5" Type="http://schemas.openxmlformats.org/officeDocument/2006/relationships/hyperlink" Target="https://maxmobiles.ru/profilaktika-posle-vody-iphone-17-pro-max/" TargetMode="External"/><Relationship Id="rId147" Type="http://schemas.openxmlformats.org/officeDocument/2006/relationships/hyperlink" Target="https://maxmobiles.ru/displey-snyatyy-original-bez-privyazki-zamena-iphone-16/" TargetMode="External"/><Relationship Id="rId389" Type="http://schemas.openxmlformats.org/officeDocument/2006/relationships/hyperlink" Target="https://maxmobiles.ru/kamera-osnovnaya-zamena-iphone-12-pro-max/" TargetMode="External"/><Relationship Id="rId6" Type="http://schemas.openxmlformats.org/officeDocument/2006/relationships/hyperlink" Target="https://maxmobiles.ru/zamena-akkumulyatora-iphone-17-pro-max/" TargetMode="External"/><Relationship Id="rId146" Type="http://schemas.openxmlformats.org/officeDocument/2006/relationships/hyperlink" Target="https://maxmobiles.ru/displey-kopiya-vysochayshego-kachestva-zamena-iphone-16/" TargetMode="External"/><Relationship Id="rId388" Type="http://schemas.openxmlformats.org/officeDocument/2006/relationships/hyperlink" Target="https://maxmobiles.ru/dinamik-razgovornyy-verhniy-iphone-12-pro-max/" TargetMode="External"/><Relationship Id="rId7" Type="http://schemas.openxmlformats.org/officeDocument/2006/relationships/hyperlink" Target="https://maxmobiles.ru/zamena-razema-zaryadki-iphone-17-pro-max/" TargetMode="External"/><Relationship Id="rId145" Type="http://schemas.openxmlformats.org/officeDocument/2006/relationships/hyperlink" Target="https://maxmobiles.ru/displey-zamena-razbitogo-stekla-iphone-16/" TargetMode="External"/><Relationship Id="rId387" Type="http://schemas.openxmlformats.org/officeDocument/2006/relationships/hyperlink" Target="https://maxmobiles.ru/dinamik-vyzova-zvonok-gromkaya-svyaz-zamena-iphone-12-pro-max/" TargetMode="External"/><Relationship Id="rId8" Type="http://schemas.openxmlformats.org/officeDocument/2006/relationships/hyperlink" Target="https://maxmobiles.ru/zamena-mikrofona-iphone-17-pro-max/" TargetMode="External"/><Relationship Id="rId144" Type="http://schemas.openxmlformats.org/officeDocument/2006/relationships/hyperlink" Target="https://maxmobiles.ru/face-id-vosstanovlenie-zamena-cena-ot-trebuetsya-diagnostika-iphone-16e/" TargetMode="External"/><Relationship Id="rId386" Type="http://schemas.openxmlformats.org/officeDocument/2006/relationships/hyperlink" Target="https://maxmobiles.ru/mikrofon-odin-iz-zamena-iphone-12-pro-max/" TargetMode="External"/><Relationship Id="rId381" Type="http://schemas.openxmlformats.org/officeDocument/2006/relationships/hyperlink" Target="https://maxmobiles.ru/displey-original-zamena-iphone-12-pro-max/" TargetMode="External"/><Relationship Id="rId380" Type="http://schemas.openxmlformats.org/officeDocument/2006/relationships/hyperlink" Target="https://maxmobiles.ru/displey-kopiya-aaa-zamena-iphone-12-pro-max/?action=preview" TargetMode="External"/><Relationship Id="rId139" Type="http://schemas.openxmlformats.org/officeDocument/2006/relationships/hyperlink" Target="https://maxmobiles.ru/kamera-zamena-razbitogo-stekla-odno-iz-iphone-16e/" TargetMode="External"/><Relationship Id="rId138" Type="http://schemas.openxmlformats.org/officeDocument/2006/relationships/hyperlink" Target="https://maxmobiles.ru/kamera-frontalnaya-perednyaya-zamena-iphone-16e/" TargetMode="External"/><Relationship Id="rId137" Type="http://schemas.openxmlformats.org/officeDocument/2006/relationships/hyperlink" Target="https://maxmobiles.ru/kamera-osnovnaya-zadnyaya-zamena-iphone-16e/" TargetMode="External"/><Relationship Id="rId379" Type="http://schemas.openxmlformats.org/officeDocument/2006/relationships/hyperlink" Target="https://maxmobiles.ru/displey-zamena-razbitogo-stekla-vosstanovlenie-iphone-12-pro-max/" TargetMode="External"/><Relationship Id="rId132" Type="http://schemas.openxmlformats.org/officeDocument/2006/relationships/hyperlink" Target="https://maxmobiles.ru/akkumulyator-original-zamena-iphone-16e/" TargetMode="External"/><Relationship Id="rId374" Type="http://schemas.openxmlformats.org/officeDocument/2006/relationships/hyperlink" Target="https://maxmobiles.ru/qwerty-ru-214/" TargetMode="External"/><Relationship Id="rId131" Type="http://schemas.openxmlformats.org/officeDocument/2006/relationships/hyperlink" Target="https://maxmobiles.ru/profilaktika-posle-vody-vosstanovlenie-cena-ot-trebuetsya-diagnostika-iphone-16e/" TargetMode="External"/><Relationship Id="rId373" Type="http://schemas.openxmlformats.org/officeDocument/2006/relationships/hyperlink" Target="https://maxmobiles.ru/kamera-zamena-razbitogo-stekla-1sht-iphone-13/" TargetMode="External"/><Relationship Id="rId130" Type="http://schemas.openxmlformats.org/officeDocument/2006/relationships/hyperlink" Target="https://maxmobiles.ru/zadnyaya-kryshka-kopiya-vysochayshego-kachestva-zamena-stekla-iphone-16e/" TargetMode="External"/><Relationship Id="rId372" Type="http://schemas.openxmlformats.org/officeDocument/2006/relationships/hyperlink" Target="https://maxmobiles.ru/qwerty-ru-213/" TargetMode="External"/><Relationship Id="rId371" Type="http://schemas.openxmlformats.org/officeDocument/2006/relationships/hyperlink" Target="https://maxmobiles.ru/kamera-osnovnaya-zamena-iphone-13/" TargetMode="External"/><Relationship Id="rId136" Type="http://schemas.openxmlformats.org/officeDocument/2006/relationships/hyperlink" Target="https://maxmobiles.ru/dinamik-razgovornyy-verhniy-sluhovoy-zamena-iphone-16e/" TargetMode="External"/><Relationship Id="rId378" Type="http://schemas.openxmlformats.org/officeDocument/2006/relationships/hyperlink" Target="https://maxmobiles.ru/qwerty-ru-298/" TargetMode="External"/><Relationship Id="rId135" Type="http://schemas.openxmlformats.org/officeDocument/2006/relationships/hyperlink" Target="https://maxmobiles.ru/dinamik-polifonicheskiy-nizhniy-gromkaya-svyaz-zamena-iphone-16e/" TargetMode="External"/><Relationship Id="rId377" Type="http://schemas.openxmlformats.org/officeDocument/2006/relationships/hyperlink" Target="https://maxmobiles.ru/remont-platy-iphone-13/" TargetMode="External"/><Relationship Id="rId134" Type="http://schemas.openxmlformats.org/officeDocument/2006/relationships/hyperlink" Target="https://maxmobiles.ru/mikrofon-zamena-odin-iz-iphone-16e/" TargetMode="External"/><Relationship Id="rId376" Type="http://schemas.openxmlformats.org/officeDocument/2006/relationships/hyperlink" Target="https://maxmobiles.ru/proshivka-bez-rezervnoy-kopii-iphone-11/" TargetMode="External"/><Relationship Id="rId133" Type="http://schemas.openxmlformats.org/officeDocument/2006/relationships/hyperlink" Target="https://maxmobiles.ru/razem-zaryadki-zamena-iphone-16e/" TargetMode="External"/><Relationship Id="rId375" Type="http://schemas.openxmlformats.org/officeDocument/2006/relationships/hyperlink" Target="https://maxmobiles.ru/knopka-vkl-power-zamena-remont-iphone-13/" TargetMode="External"/><Relationship Id="rId172" Type="http://schemas.openxmlformats.org/officeDocument/2006/relationships/hyperlink" Target="https://maxmobiles.ru/dinamik-razgovornyy-verhniy-iphone-15-pro-max/" TargetMode="External"/><Relationship Id="rId171" Type="http://schemas.openxmlformats.org/officeDocument/2006/relationships/hyperlink" Target="https://maxmobiles.ru/dinamik-vyzova-zvonok-gromkaya-svyaz-zamena-iphone-15-pro-max/" TargetMode="External"/><Relationship Id="rId170" Type="http://schemas.openxmlformats.org/officeDocument/2006/relationships/hyperlink" Target="https://maxmobiles.ru/mikrofon-odin-iz-zamena-iphone-15-pro-max/" TargetMode="External"/><Relationship Id="rId165" Type="http://schemas.openxmlformats.org/officeDocument/2006/relationships/hyperlink" Target="https://maxmobiles.ru/displey-original-zamena-iphone-15-pro-max/" TargetMode="External"/><Relationship Id="rId164" Type="http://schemas.openxmlformats.org/officeDocument/2006/relationships/hyperlink" Target="https://maxmobiles.ru/zamena-displeya-iphone-15-pro-max-kopiya/?action=preview" TargetMode="External"/><Relationship Id="rId163" Type="http://schemas.openxmlformats.org/officeDocument/2006/relationships/hyperlink" Target="https://maxmobiles.ru/displey-zamena-razbitogo-stekla-iphone-15-pro-max/" TargetMode="External"/><Relationship Id="rId162" Type="http://schemas.openxmlformats.org/officeDocument/2006/relationships/hyperlink" Target="https://maxmobiles.ru/face-id-vosstanovlenie-zamena-cena-ot-trebuetsya-diagnostika-iphone-16/" TargetMode="External"/><Relationship Id="rId169" Type="http://schemas.openxmlformats.org/officeDocument/2006/relationships/hyperlink" Target="https://maxmobiles.ru/razem-zaryadki-zamena-iphone-15-pro-max/" TargetMode="External"/><Relationship Id="rId168" Type="http://schemas.openxmlformats.org/officeDocument/2006/relationships/hyperlink" Target="https://maxmobiles.ru/akkumulyator-zamena-iphone-15-pro-max/" TargetMode="External"/><Relationship Id="rId167" Type="http://schemas.openxmlformats.org/officeDocument/2006/relationships/hyperlink" Target="https://maxmobiles.ru/profilaktika-posle-vody-cena-ot-iphone-15-pro-max/" TargetMode="External"/><Relationship Id="rId166" Type="http://schemas.openxmlformats.org/officeDocument/2006/relationships/hyperlink" Target="https://maxmobiles.ru/zadnyaya-kryshka-v-sbore-so-vspyshkoy-i-besprovodnoy-zaryadkoy-zamena-iphone-15-pro-max/" TargetMode="External"/><Relationship Id="rId161" Type="http://schemas.openxmlformats.org/officeDocument/2006/relationships/hyperlink" Target="https://maxmobiles.ru/remont-platy-iphone-16/" TargetMode="External"/><Relationship Id="rId160" Type="http://schemas.openxmlformats.org/officeDocument/2006/relationships/hyperlink" Target="https://maxmobiles.ru/proshivka-bez-rezervnoy-kopii-iphone-11/" TargetMode="External"/><Relationship Id="rId159" Type="http://schemas.openxmlformats.org/officeDocument/2006/relationships/hyperlink" Target="https://maxmobiles.ru/knopka-vklyucheniya-gromkosti-deystviya-vosstanovlenie-zamena-iphone-16/" TargetMode="External"/><Relationship Id="rId154" Type="http://schemas.openxmlformats.org/officeDocument/2006/relationships/hyperlink" Target="https://maxmobiles.ru/dinamik-razgovornyy-verhniy-sluhovoy-zamena-iphone-16/" TargetMode="External"/><Relationship Id="rId396" Type="http://schemas.openxmlformats.org/officeDocument/2006/relationships/hyperlink" Target="https://maxmobiles.ru/face-id-remont-vosstanovlenie-zamena-iphone-12-pro-max/" TargetMode="External"/><Relationship Id="rId153" Type="http://schemas.openxmlformats.org/officeDocument/2006/relationships/hyperlink" Target="https://maxmobiles.ru/dinamik-polifonicheskiy-nizhniy-gromkaya-svyaz-zamena-iphone-16/" TargetMode="External"/><Relationship Id="rId395" Type="http://schemas.openxmlformats.org/officeDocument/2006/relationships/hyperlink" Target="https://maxmobiles.ru/remont-platy-iphone-12-pro-max/" TargetMode="External"/><Relationship Id="rId152" Type="http://schemas.openxmlformats.org/officeDocument/2006/relationships/hyperlink" Target="https://maxmobiles.ru/mikrofon-zamena-odin-iz-iphone-16/" TargetMode="External"/><Relationship Id="rId394" Type="http://schemas.openxmlformats.org/officeDocument/2006/relationships/hyperlink" Target="https://maxmobiles.ru/proshivka-bez-rezervnoy-kopii-iphone-11/" TargetMode="External"/><Relationship Id="rId151" Type="http://schemas.openxmlformats.org/officeDocument/2006/relationships/hyperlink" Target="https://maxmobiles.ru/razem-zaryadki-zamena-iphone-16/" TargetMode="External"/><Relationship Id="rId393" Type="http://schemas.openxmlformats.org/officeDocument/2006/relationships/hyperlink" Target="https://maxmobiles.ru/knopka-vkl-power-zamena-remont-iphone-12-pro-max/" TargetMode="External"/><Relationship Id="rId158" Type="http://schemas.openxmlformats.org/officeDocument/2006/relationships/hyperlink" Target="https://maxmobiles.ru/korpus-kopiya-vysochayshego-kachestva-zamena-iphone-16/" TargetMode="External"/><Relationship Id="rId157" Type="http://schemas.openxmlformats.org/officeDocument/2006/relationships/hyperlink" Target="https://maxmobiles.ru/kamera-zamena-razbitogo-stekla-odno-iz-iphone-16/" TargetMode="External"/><Relationship Id="rId399" Type="http://schemas.openxmlformats.org/officeDocument/2006/relationships/hyperlink" Target="https://maxmobiles.ru/displey-original-zamena-iphone-12-pro/" TargetMode="External"/><Relationship Id="rId156" Type="http://schemas.openxmlformats.org/officeDocument/2006/relationships/hyperlink" Target="https://maxmobiles.ru/kamera-frontalnaya-perednyaya-zamena-iphone-16/" TargetMode="External"/><Relationship Id="rId398" Type="http://schemas.openxmlformats.org/officeDocument/2006/relationships/hyperlink" Target="https://maxmobiles.ru/displey-kopiya-aaa-zamena-iphone-12-pro/?action=preview" TargetMode="External"/><Relationship Id="rId155" Type="http://schemas.openxmlformats.org/officeDocument/2006/relationships/hyperlink" Target="https://maxmobiles.ru/kamera-osnovnaya-zadnyaya-zamena-iphone-16/" TargetMode="External"/><Relationship Id="rId397" Type="http://schemas.openxmlformats.org/officeDocument/2006/relationships/hyperlink" Target="https://maxmobiles.ru/displey-zamena-razbitogo-stekla-vosstanovlenie-iphone-12-pro/" TargetMode="External"/><Relationship Id="rId800" Type="http://schemas.openxmlformats.org/officeDocument/2006/relationships/drawing" Target="../drawings/drawing2.xml"/><Relationship Id="rId40" Type="http://schemas.openxmlformats.org/officeDocument/2006/relationships/hyperlink" Target="https://maxmobiles.ru/zamena-zadney-kryshki-stekla-iphone-air/" TargetMode="External"/><Relationship Id="rId42" Type="http://schemas.openxmlformats.org/officeDocument/2006/relationships/hyperlink" Target="https://maxmobiles.ru/zamena-akkumulyatora-iphone-air/" TargetMode="External"/><Relationship Id="rId41" Type="http://schemas.openxmlformats.org/officeDocument/2006/relationships/hyperlink" Target="https://maxmobiles.ru/profilaktika-posle-vody-iphone-air/" TargetMode="External"/><Relationship Id="rId44" Type="http://schemas.openxmlformats.org/officeDocument/2006/relationships/hyperlink" Target="https://maxmobiles.ru/zamena-mikrofona-iphone-air/" TargetMode="External"/><Relationship Id="rId43" Type="http://schemas.openxmlformats.org/officeDocument/2006/relationships/hyperlink" Target="https://maxmobiles.ru/zamena-razema-zaryadki-iphone-air/" TargetMode="External"/><Relationship Id="rId46" Type="http://schemas.openxmlformats.org/officeDocument/2006/relationships/hyperlink" Target="https://maxmobiles.ru/zamena-dinamika-iphone-air/" TargetMode="External"/><Relationship Id="rId45" Type="http://schemas.openxmlformats.org/officeDocument/2006/relationships/hyperlink" Target="https://maxmobiles.ru/zamena-dinamika-gromkoy-svyazi-iphone-air/" TargetMode="External"/><Relationship Id="rId509" Type="http://schemas.openxmlformats.org/officeDocument/2006/relationships/hyperlink" Target="https://maxmobiles.ru/profilaktika-posle-vody-cena-ot-iphone-xs-max/" TargetMode="External"/><Relationship Id="rId508" Type="http://schemas.openxmlformats.org/officeDocument/2006/relationships/hyperlink" Target="https://maxmobiles.ru/zadnyaya-kryshka-zamena-stekla-iphone-xs-max/" TargetMode="External"/><Relationship Id="rId503" Type="http://schemas.openxmlformats.org/officeDocument/2006/relationships/hyperlink" Target="https://maxmobiles.ru/remont-platy-iphone-11/" TargetMode="External"/><Relationship Id="rId745" Type="http://schemas.openxmlformats.org/officeDocument/2006/relationships/hyperlink" Target="https://maxmobiles.ru/zamena-mikrofona-iphone-se-2016/" TargetMode="External"/><Relationship Id="rId502" Type="http://schemas.openxmlformats.org/officeDocument/2006/relationships/hyperlink" Target="https://maxmobiles.ru/proshivka-bez-rezervnoy-kopii-iphone-11/" TargetMode="External"/><Relationship Id="rId744" Type="http://schemas.openxmlformats.org/officeDocument/2006/relationships/hyperlink" Target="https://maxmobiles.ru/zamena-razema-zaryadki-iphone-se-2016/" TargetMode="External"/><Relationship Id="rId501" Type="http://schemas.openxmlformats.org/officeDocument/2006/relationships/hyperlink" Target="https://maxmobiles.ru/knopka-vkl-power-zamena-remont-iphone-11/" TargetMode="External"/><Relationship Id="rId743" Type="http://schemas.openxmlformats.org/officeDocument/2006/relationships/hyperlink" Target="https://maxmobiles.ru/zamena-akkumulyatora-iphone-se-2016/" TargetMode="External"/><Relationship Id="rId500" Type="http://schemas.openxmlformats.org/officeDocument/2006/relationships/hyperlink" Target="https://maxmobiles.ru/korpus-kopiya-vysokoe-kachestvo-zamena-iphone-11/" TargetMode="External"/><Relationship Id="rId742" Type="http://schemas.openxmlformats.org/officeDocument/2006/relationships/hyperlink" Target="https://maxmobiles.ru/profilaktika-posle-vody-iphone-se-2016/" TargetMode="External"/><Relationship Id="rId507" Type="http://schemas.openxmlformats.org/officeDocument/2006/relationships/hyperlink" Target="https://maxmobiles.ru/displey-original-zamena-iphone-xs-max/" TargetMode="External"/><Relationship Id="rId749" Type="http://schemas.openxmlformats.org/officeDocument/2006/relationships/hyperlink" Target="https://maxmobiles.ru/zamena-frontalnoy-kamery-iphone-se-2016/" TargetMode="External"/><Relationship Id="rId506" Type="http://schemas.openxmlformats.org/officeDocument/2006/relationships/hyperlink" Target="https://maxmobiles.ru/displey-kopiya-aaa-zamena-iphone-xs-max/?action=preview" TargetMode="External"/><Relationship Id="rId748" Type="http://schemas.openxmlformats.org/officeDocument/2006/relationships/hyperlink" Target="https://maxmobiles.ru/zamena-osnovnoy-kamery-iphone-se-2016/" TargetMode="External"/><Relationship Id="rId505" Type="http://schemas.openxmlformats.org/officeDocument/2006/relationships/hyperlink" Target="https://maxmobiles.ru/displey-zamena-razbitogo-stekla-vosstanovlenie-iphone-xs-max/" TargetMode="External"/><Relationship Id="rId747" Type="http://schemas.openxmlformats.org/officeDocument/2006/relationships/hyperlink" Target="https://maxmobiles.ru/zamena-dinamika-iphone-se-2016/" TargetMode="External"/><Relationship Id="rId504" Type="http://schemas.openxmlformats.org/officeDocument/2006/relationships/hyperlink" Target="https://maxmobiles.ru/face-id-remont-vosstanovlenie-zamena-iphone-11/" TargetMode="External"/><Relationship Id="rId746" Type="http://schemas.openxmlformats.org/officeDocument/2006/relationships/hyperlink" Target="https://maxmobiles.ru/zamena-dinamika-gromkoy-svyazi-iphone-se-2016/" TargetMode="External"/><Relationship Id="rId48" Type="http://schemas.openxmlformats.org/officeDocument/2006/relationships/hyperlink" Target="https://maxmobiles.ru/zamena-frontalnoy-kamery-iphone-air/" TargetMode="External"/><Relationship Id="rId47" Type="http://schemas.openxmlformats.org/officeDocument/2006/relationships/hyperlink" Target="https://maxmobiles.ru/zamena-osnovnoy-kamery-iphone-air/" TargetMode="External"/><Relationship Id="rId49" Type="http://schemas.openxmlformats.org/officeDocument/2006/relationships/hyperlink" Target="https://maxmobiles.ru/zamena-stekla-kamery-iphone-air/" TargetMode="External"/><Relationship Id="rId741" Type="http://schemas.openxmlformats.org/officeDocument/2006/relationships/hyperlink" Target="https://maxmobiles.ru/zamena-displeya-iphone-se-2016/" TargetMode="External"/><Relationship Id="rId740" Type="http://schemas.openxmlformats.org/officeDocument/2006/relationships/hyperlink" Target="https://maxmobiles.ru/zamena-displeya-iphone-se-2016-kopiya/" TargetMode="External"/><Relationship Id="rId31" Type="http://schemas.openxmlformats.org/officeDocument/2006/relationships/hyperlink" Target="https://maxmobiles.ru/zamena-stekla-kamery-iphone-17-pro/" TargetMode="External"/><Relationship Id="rId30" Type="http://schemas.openxmlformats.org/officeDocument/2006/relationships/hyperlink" Target="https://maxmobiles.ru/zamena-frontalnoy-kamery-iphone-17-pro/" TargetMode="External"/><Relationship Id="rId33" Type="http://schemas.openxmlformats.org/officeDocument/2006/relationships/hyperlink" Target="https://maxmobiles.ru/zamena-knopok-iphone-17-pro/" TargetMode="External"/><Relationship Id="rId32" Type="http://schemas.openxmlformats.org/officeDocument/2006/relationships/hyperlink" Target="https://maxmobiles.ru/zamena-korpusa-iphone-17-pro/" TargetMode="External"/><Relationship Id="rId35" Type="http://schemas.openxmlformats.org/officeDocument/2006/relationships/hyperlink" Target="https://maxmobiles.ru/remont-platy-iphone-17-pro/" TargetMode="External"/><Relationship Id="rId34" Type="http://schemas.openxmlformats.org/officeDocument/2006/relationships/hyperlink" Target="https://maxmobiles.ru/proshivka-bez-rezervnoy-kopii-iphone-11/" TargetMode="External"/><Relationship Id="rId739" Type="http://schemas.openxmlformats.org/officeDocument/2006/relationships/hyperlink" Target="https://maxmobiles.ru/remont-platy-iphone-6/" TargetMode="External"/><Relationship Id="rId734" Type="http://schemas.openxmlformats.org/officeDocument/2006/relationships/hyperlink" Target="https://maxmobiles.ru/kamera-frontalnaya-perednyaya-zamena-iphone-6/" TargetMode="External"/><Relationship Id="rId733" Type="http://schemas.openxmlformats.org/officeDocument/2006/relationships/hyperlink" Target="https://maxmobiles.ru/kamera-osnovnaya-zamena-iphone-6/" TargetMode="External"/><Relationship Id="rId732" Type="http://schemas.openxmlformats.org/officeDocument/2006/relationships/hyperlink" Target="https://maxmobiles.ru/dinamik-razgovornyy-verhniy-iphone-6/" TargetMode="External"/><Relationship Id="rId731" Type="http://schemas.openxmlformats.org/officeDocument/2006/relationships/hyperlink" Target="https://maxmobiles.ru/dinamik-vyzova-zvonok-gromkaya-svyaz-zamena-iphone-6/" TargetMode="External"/><Relationship Id="rId738" Type="http://schemas.openxmlformats.org/officeDocument/2006/relationships/hyperlink" Target="https://maxmobiles.ru/proshivka-bez-rezervnoy-kopii-iphone-11/" TargetMode="External"/><Relationship Id="rId737" Type="http://schemas.openxmlformats.org/officeDocument/2006/relationships/hyperlink" Target="https://maxmobiles.ru/knopka-vkl-power-zamena-remont-iphone-6/" TargetMode="External"/><Relationship Id="rId736" Type="http://schemas.openxmlformats.org/officeDocument/2006/relationships/hyperlink" Target="https://maxmobiles.ru/korpus-kopiya-vysochayshego-kachestva-zamena-iphone-6/" TargetMode="External"/><Relationship Id="rId735" Type="http://schemas.openxmlformats.org/officeDocument/2006/relationships/hyperlink" Target="https://maxmobiles.ru/kamera-zamena-razbitogo-stekla-1sht-iphone-6/" TargetMode="External"/><Relationship Id="rId37" Type="http://schemas.openxmlformats.org/officeDocument/2006/relationships/hyperlink" Target="https://maxmobiles.ru/zamena-stekla-iphone-air" TargetMode="External"/><Relationship Id="rId36" Type="http://schemas.openxmlformats.org/officeDocument/2006/relationships/hyperlink" Target="https://maxmobiles.ru/remont-face-id-iphone-17-pro/" TargetMode="External"/><Relationship Id="rId39" Type="http://schemas.openxmlformats.org/officeDocument/2006/relationships/hyperlink" Target="https://maxmobiles.ru/zamena-displeya-iphone-air/" TargetMode="External"/><Relationship Id="rId38" Type="http://schemas.openxmlformats.org/officeDocument/2006/relationships/hyperlink" Target="https://maxmobiles.ru/zamena-displeya-iphone-air-kopiya/" TargetMode="External"/><Relationship Id="rId730" Type="http://schemas.openxmlformats.org/officeDocument/2006/relationships/hyperlink" Target="https://maxmobiles.ru/mikrofon-odin-iz-zamena-iphone-6/" TargetMode="External"/><Relationship Id="rId20" Type="http://schemas.openxmlformats.org/officeDocument/2006/relationships/hyperlink" Target="https://maxmobiles.ru/zamena-displeya-iphone-17-pro-kopiya/" TargetMode="External"/><Relationship Id="rId22" Type="http://schemas.openxmlformats.org/officeDocument/2006/relationships/hyperlink" Target="https://maxmobiles.ru/zamena-zadney-kryshki-stekla-iphone-17-pro/" TargetMode="External"/><Relationship Id="rId21" Type="http://schemas.openxmlformats.org/officeDocument/2006/relationships/hyperlink" Target="https://maxmobiles.ru/zamena-displeya-iphone-17-pro/" TargetMode="External"/><Relationship Id="rId24" Type="http://schemas.openxmlformats.org/officeDocument/2006/relationships/hyperlink" Target="https://maxmobiles.ru/zamena-akkumulyatora-iphone-17-pro/" TargetMode="External"/><Relationship Id="rId23" Type="http://schemas.openxmlformats.org/officeDocument/2006/relationships/hyperlink" Target="https://maxmobiles.ru/profilaktika-posle-vody-iphone-17-pro/" TargetMode="External"/><Relationship Id="rId525" Type="http://schemas.openxmlformats.org/officeDocument/2006/relationships/hyperlink" Target="https://maxmobiles.ru/displey-original-zamena-iphone-xs/" TargetMode="External"/><Relationship Id="rId767" Type="http://schemas.openxmlformats.org/officeDocument/2006/relationships/hyperlink" Target="https://maxmobiles.ru/zamena-knopok-iphone-5s-ru/" TargetMode="External"/><Relationship Id="rId524" Type="http://schemas.openxmlformats.org/officeDocument/2006/relationships/hyperlink" Target="https://maxmobiles.ru/displey-kopiya-aaa-zamena-iphone-xs/?action=preview" TargetMode="External"/><Relationship Id="rId766" Type="http://schemas.openxmlformats.org/officeDocument/2006/relationships/hyperlink" Target="https://maxmobiles.ru/zamena-korpusa-iphone-5s-ru/" TargetMode="External"/><Relationship Id="rId523" Type="http://schemas.openxmlformats.org/officeDocument/2006/relationships/hyperlink" Target="https://maxmobiles.ru/displey-zamena-razbitogo-stekla-vosstanovlenie-iphone-xs/" TargetMode="External"/><Relationship Id="rId765" Type="http://schemas.openxmlformats.org/officeDocument/2006/relationships/hyperlink" Target="https://maxmobiles.ru/zamena-stekla-kamery-iphone-5s-ru/" TargetMode="External"/><Relationship Id="rId522" Type="http://schemas.openxmlformats.org/officeDocument/2006/relationships/hyperlink" Target="https://maxmobiles.ru/face-id-remont-vosstanovlenie-zamena-iphone-xs-max/" TargetMode="External"/><Relationship Id="rId764" Type="http://schemas.openxmlformats.org/officeDocument/2006/relationships/hyperlink" Target="https://maxmobiles.ru/zamena-frontalnoy-kamery-iphone-5s-ru/" TargetMode="External"/><Relationship Id="rId529" Type="http://schemas.openxmlformats.org/officeDocument/2006/relationships/hyperlink" Target="https://maxmobiles.ru/razem-zaryadki-zamena-iphone-xs/" TargetMode="External"/><Relationship Id="rId528" Type="http://schemas.openxmlformats.org/officeDocument/2006/relationships/hyperlink" Target="https://maxmobiles.ru/akkumulyator-zamena-iphone-xs/" TargetMode="External"/><Relationship Id="rId527" Type="http://schemas.openxmlformats.org/officeDocument/2006/relationships/hyperlink" Target="https://maxmobiles.ru/profilaktika-posle-vody-cena-ot-iphone-xs/" TargetMode="External"/><Relationship Id="rId769" Type="http://schemas.openxmlformats.org/officeDocument/2006/relationships/hyperlink" Target="https://maxmobiles.ru/remont-platy-iphone-5s-ru/" TargetMode="External"/><Relationship Id="rId526" Type="http://schemas.openxmlformats.org/officeDocument/2006/relationships/hyperlink" Target="https://maxmobiles.ru/zadnyaya-kryshka-zamena-stekla-iphone-xs/" TargetMode="External"/><Relationship Id="rId768" Type="http://schemas.openxmlformats.org/officeDocument/2006/relationships/hyperlink" Target="https://maxmobiles.ru/proshivka-bez-rezervnoy-kopii-iphone-11/" TargetMode="External"/><Relationship Id="rId26" Type="http://schemas.openxmlformats.org/officeDocument/2006/relationships/hyperlink" Target="https://maxmobiles.ru/zamena-mikrofona-iphone-17-pro/" TargetMode="External"/><Relationship Id="rId25" Type="http://schemas.openxmlformats.org/officeDocument/2006/relationships/hyperlink" Target="https://maxmobiles.ru/zamena-razema-zaryadki-iphone-17-pro/" TargetMode="External"/><Relationship Id="rId28" Type="http://schemas.openxmlformats.org/officeDocument/2006/relationships/hyperlink" Target="https://maxmobiles.ru/zamena-dinamika-iphone-17-pro/" TargetMode="External"/><Relationship Id="rId27" Type="http://schemas.openxmlformats.org/officeDocument/2006/relationships/hyperlink" Target="https://maxmobiles.ru/zamena-dinamika-gromkoy-svyazi-iphone-17-pro/" TargetMode="External"/><Relationship Id="rId521" Type="http://schemas.openxmlformats.org/officeDocument/2006/relationships/hyperlink" Target="https://maxmobiles.ru/remont-platy-iphone-xs-max/" TargetMode="External"/><Relationship Id="rId763" Type="http://schemas.openxmlformats.org/officeDocument/2006/relationships/hyperlink" Target="https://maxmobiles.ru/zamena-osnovnoy-kamery-iphone-5s-ru/" TargetMode="External"/><Relationship Id="rId29" Type="http://schemas.openxmlformats.org/officeDocument/2006/relationships/hyperlink" Target="https://maxmobiles.ru/zamena-osnovnoy-kamery-iphone-17-pro/" TargetMode="External"/><Relationship Id="rId520" Type="http://schemas.openxmlformats.org/officeDocument/2006/relationships/hyperlink" Target="https://maxmobiles.ru/proshivka-bez-rezervnoy-kopii-iphone-11/" TargetMode="External"/><Relationship Id="rId762" Type="http://schemas.openxmlformats.org/officeDocument/2006/relationships/hyperlink" Target="https://maxmobiles.ru/zamena-dinamika-iphone-5s-ru/" TargetMode="External"/><Relationship Id="rId761" Type="http://schemas.openxmlformats.org/officeDocument/2006/relationships/hyperlink" Target="https://maxmobiles.ru/zamena-dinamika-gromkoy-svyazi-iphone-5s-ru/" TargetMode="External"/><Relationship Id="rId760" Type="http://schemas.openxmlformats.org/officeDocument/2006/relationships/hyperlink" Target="https://maxmobiles.ru/zamena-mikrofona-iphone-5s-ru/" TargetMode="External"/><Relationship Id="rId11" Type="http://schemas.openxmlformats.org/officeDocument/2006/relationships/hyperlink" Target="https://maxmobiles.ru/zamena-osnovnoy-kamery-iphone-17-pro-max/" TargetMode="External"/><Relationship Id="rId10" Type="http://schemas.openxmlformats.org/officeDocument/2006/relationships/hyperlink" Target="https://maxmobiles.ru/zamena-dinamika-iphone-17-pro-max/" TargetMode="External"/><Relationship Id="rId13" Type="http://schemas.openxmlformats.org/officeDocument/2006/relationships/hyperlink" Target="https://maxmobiles.ru/zamena-stekla-kamery-iphone-17-pro-max/" TargetMode="External"/><Relationship Id="rId12" Type="http://schemas.openxmlformats.org/officeDocument/2006/relationships/hyperlink" Target="https://maxmobiles.ru/zamena-frontalnoy-kamery-iphone-17-pro-max/" TargetMode="External"/><Relationship Id="rId519" Type="http://schemas.openxmlformats.org/officeDocument/2006/relationships/hyperlink" Target="https://maxmobiles.ru/knopka-vkl-power-zamena-remont-iphone-xs-max/" TargetMode="External"/><Relationship Id="rId514" Type="http://schemas.openxmlformats.org/officeDocument/2006/relationships/hyperlink" Target="https://maxmobiles.ru/dinamik-razgovornyy-verhniy-iphone-xs-max/" TargetMode="External"/><Relationship Id="rId756" Type="http://schemas.openxmlformats.org/officeDocument/2006/relationships/hyperlink" Target="https://maxmobiles.ru/zamena-displeya-iphone-5s-ru/" TargetMode="External"/><Relationship Id="rId513" Type="http://schemas.openxmlformats.org/officeDocument/2006/relationships/hyperlink" Target="https://maxmobiles.ru/dinamik-vyzova-zvonok-gromkaya-svyaz-zamena-iphone-xs-max/" TargetMode="External"/><Relationship Id="rId755" Type="http://schemas.openxmlformats.org/officeDocument/2006/relationships/hyperlink" Target="https://maxmobiles.ru/zamena-displeya-iphone-5s-kopiya/" TargetMode="External"/><Relationship Id="rId512" Type="http://schemas.openxmlformats.org/officeDocument/2006/relationships/hyperlink" Target="https://maxmobiles.ru/mikrofon-odin-iz-zamena-iphone-xs-max/" TargetMode="External"/><Relationship Id="rId754" Type="http://schemas.openxmlformats.org/officeDocument/2006/relationships/hyperlink" Target="https://maxmobiles.ru/remont-platy-iphone-se-2016/" TargetMode="External"/><Relationship Id="rId511" Type="http://schemas.openxmlformats.org/officeDocument/2006/relationships/hyperlink" Target="https://maxmobiles.ru/razem-zaryadki-zamena-iphone-xs-max/" TargetMode="External"/><Relationship Id="rId753" Type="http://schemas.openxmlformats.org/officeDocument/2006/relationships/hyperlink" Target="https://maxmobiles.ru/proshivka-bez-rezervnoy-kopii-iphone-11/" TargetMode="External"/><Relationship Id="rId518" Type="http://schemas.openxmlformats.org/officeDocument/2006/relationships/hyperlink" Target="https://maxmobiles.ru/korpus-kopiya-vysokoe-kachestvo-zamena-iphone-xs-max/" TargetMode="External"/><Relationship Id="rId517" Type="http://schemas.openxmlformats.org/officeDocument/2006/relationships/hyperlink" Target="https://maxmobiles.ru/kamera-zamena-razbitogo-stekla-1sht-iphone-xs-max/" TargetMode="External"/><Relationship Id="rId759" Type="http://schemas.openxmlformats.org/officeDocument/2006/relationships/hyperlink" Target="https://maxmobiles.ru/zamena-razema-zaryadki-iphone-5s-ru/" TargetMode="External"/><Relationship Id="rId516" Type="http://schemas.openxmlformats.org/officeDocument/2006/relationships/hyperlink" Target="https://maxmobiles.ru/kamera-frontalnaya-perednyaya-zamena-iphone-xs-max/" TargetMode="External"/><Relationship Id="rId758" Type="http://schemas.openxmlformats.org/officeDocument/2006/relationships/hyperlink" Target="https://maxmobiles.ru/zamena-akkumulyatora-iphone-5s-ru/" TargetMode="External"/><Relationship Id="rId515" Type="http://schemas.openxmlformats.org/officeDocument/2006/relationships/hyperlink" Target="https://maxmobiles.ru/kamera-osnovnaya-zamena-iphone-xs-max/" TargetMode="External"/><Relationship Id="rId757" Type="http://schemas.openxmlformats.org/officeDocument/2006/relationships/hyperlink" Target="https://maxmobiles.ru/profilaktika-posle-vody-iphone-5s-ru/" TargetMode="External"/><Relationship Id="rId15" Type="http://schemas.openxmlformats.org/officeDocument/2006/relationships/hyperlink" Target="https://maxmobiles.ru/zamena-knopok-iphone-17-pro-max/" TargetMode="External"/><Relationship Id="rId14" Type="http://schemas.openxmlformats.org/officeDocument/2006/relationships/hyperlink" Target="https://maxmobiles.ru/zamena-korpusa-iphone-17-pro-max/" TargetMode="External"/><Relationship Id="rId17" Type="http://schemas.openxmlformats.org/officeDocument/2006/relationships/hyperlink" Target="https://maxmobiles.ru/remont-platy-iphone-17-pro-max/" TargetMode="External"/><Relationship Id="rId16" Type="http://schemas.openxmlformats.org/officeDocument/2006/relationships/hyperlink" Target="https://maxmobiles.ru/proshivka-bez-rezervnoy-kopii-iphone-11/" TargetMode="External"/><Relationship Id="rId19" Type="http://schemas.openxmlformats.org/officeDocument/2006/relationships/hyperlink" Target="https://maxmobiles.ru/zamena-stekla-iphone-17-pro" TargetMode="External"/><Relationship Id="rId510" Type="http://schemas.openxmlformats.org/officeDocument/2006/relationships/hyperlink" Target="https://maxmobiles.ru/akkumulyator-zamena-iphone-xs-max/" TargetMode="External"/><Relationship Id="rId752" Type="http://schemas.openxmlformats.org/officeDocument/2006/relationships/hyperlink" Target="https://maxmobiles.ru/zamena-knopok-iphone-se-2016/" TargetMode="External"/><Relationship Id="rId18" Type="http://schemas.openxmlformats.org/officeDocument/2006/relationships/hyperlink" Target="https://maxmobiles.ru/remont-face-id-iphone-17-pro-max/" TargetMode="External"/><Relationship Id="rId751" Type="http://schemas.openxmlformats.org/officeDocument/2006/relationships/hyperlink" Target="https://maxmobiles.ru/zamena-korpusa-iphone-se-2016/" TargetMode="External"/><Relationship Id="rId750" Type="http://schemas.openxmlformats.org/officeDocument/2006/relationships/hyperlink" Target="https://maxmobiles.ru/zamena-stekla-kamery-iphone-se-2016/" TargetMode="External"/><Relationship Id="rId84" Type="http://schemas.openxmlformats.org/officeDocument/2006/relationships/hyperlink" Target="https://maxmobiles.ru/kamera-frontalnaya-perednyaya-zamena-iphone-16-pro-max/" TargetMode="External"/><Relationship Id="rId83" Type="http://schemas.openxmlformats.org/officeDocument/2006/relationships/hyperlink" Target="https://maxmobiles.ru/kamera-osnovnaya-zadnyaya-zamena-iphone-16-pro-max/" TargetMode="External"/><Relationship Id="rId86" Type="http://schemas.openxmlformats.org/officeDocument/2006/relationships/hyperlink" Target="https://maxmobiles.ru/korpus-kopiya-vysochayshego-kachestva-zamena-iphone-16-pro-max/" TargetMode="External"/><Relationship Id="rId85" Type="http://schemas.openxmlformats.org/officeDocument/2006/relationships/hyperlink" Target="https://maxmobiles.ru/kamera-zamena-razbitogo-stekla-odno-iz-iphone-16-pro-max/" TargetMode="External"/><Relationship Id="rId88" Type="http://schemas.openxmlformats.org/officeDocument/2006/relationships/hyperlink" Target="https://maxmobiles.ru/proshivka-bez-rezervnoy-kopii-iphone-11/" TargetMode="External"/><Relationship Id="rId87" Type="http://schemas.openxmlformats.org/officeDocument/2006/relationships/hyperlink" Target="https://maxmobiles.ru/knopka-vklyucheniya-gromkosti-deystviya-vosstanovlenie-zamena-iphone-16-pro-max/" TargetMode="External"/><Relationship Id="rId89" Type="http://schemas.openxmlformats.org/officeDocument/2006/relationships/hyperlink" Target="https://maxmobiles.ru/remont-platy-iphone-16-pro-max/" TargetMode="External"/><Relationship Id="rId709" Type="http://schemas.openxmlformats.org/officeDocument/2006/relationships/hyperlink" Target="https://maxmobiles.ru/displey-kopiya-aaa-zamena-iphone-6-plus/?action=preview" TargetMode="External"/><Relationship Id="rId708" Type="http://schemas.openxmlformats.org/officeDocument/2006/relationships/hyperlink" Target="https://maxmobiles.ru/displey-zamena-razbitogo-stekla-vosstanovlenie-iphone-6-plus/" TargetMode="External"/><Relationship Id="rId707" Type="http://schemas.openxmlformats.org/officeDocument/2006/relationships/hyperlink" Target="https://maxmobiles.ru/remont-platy-iphone-6s/" TargetMode="External"/><Relationship Id="rId706" Type="http://schemas.openxmlformats.org/officeDocument/2006/relationships/hyperlink" Target="https://maxmobiles.ru/proshivka-bez-rezervnoy-kopii-iphone-11/" TargetMode="External"/><Relationship Id="rId80" Type="http://schemas.openxmlformats.org/officeDocument/2006/relationships/hyperlink" Target="https://maxmobiles.ru/mikrofon-zamena-odin-iz-iphone-16-pro-max/" TargetMode="External"/><Relationship Id="rId82" Type="http://schemas.openxmlformats.org/officeDocument/2006/relationships/hyperlink" Target="https://maxmobiles.ru/dinamik-razgovornyy-verhniy-sluhovoy-zamena-iphone-16-pro-max/" TargetMode="External"/><Relationship Id="rId81" Type="http://schemas.openxmlformats.org/officeDocument/2006/relationships/hyperlink" Target="https://maxmobiles.ru/dinamik-polifonicheskiy-nizhniy-gromkaya-svyaz-zamena-iphone-16-pro-max/" TargetMode="External"/><Relationship Id="rId701" Type="http://schemas.openxmlformats.org/officeDocument/2006/relationships/hyperlink" Target="https://maxmobiles.ru/kamera-osnovnaya-zamena-iphone-6s/" TargetMode="External"/><Relationship Id="rId700" Type="http://schemas.openxmlformats.org/officeDocument/2006/relationships/hyperlink" Target="https://maxmobiles.ru/dinamik-razgovornyy-verhniy-iphone-6s/" TargetMode="External"/><Relationship Id="rId705" Type="http://schemas.openxmlformats.org/officeDocument/2006/relationships/hyperlink" Target="https://maxmobiles.ru/knopka-vkl-power-zamena-remont-iphone-6s/" TargetMode="External"/><Relationship Id="rId704" Type="http://schemas.openxmlformats.org/officeDocument/2006/relationships/hyperlink" Target="https://maxmobiles.ru/korpus-kopiya-vysochayshego-kachestva-zamena-iphone-6s/" TargetMode="External"/><Relationship Id="rId703" Type="http://schemas.openxmlformats.org/officeDocument/2006/relationships/hyperlink" Target="https://maxmobiles.ru/kamera-zamena-razbitogo-stekla-1sht-iphone-6s/" TargetMode="External"/><Relationship Id="rId702" Type="http://schemas.openxmlformats.org/officeDocument/2006/relationships/hyperlink" Target="https://maxmobiles.ru/kamera-frontalnaya-perednyaya-zamena-iphone-6s/" TargetMode="External"/><Relationship Id="rId73" Type="http://schemas.openxmlformats.org/officeDocument/2006/relationships/hyperlink" Target="https://maxmobiles.ru/displey-zamena-razbitogo-stekla-iphone-16-pro-max/" TargetMode="External"/><Relationship Id="rId72" Type="http://schemas.openxmlformats.org/officeDocument/2006/relationships/hyperlink" Target="https://maxmobiles.ru/remont-face-id-iphone-17/" TargetMode="External"/><Relationship Id="rId75" Type="http://schemas.openxmlformats.org/officeDocument/2006/relationships/hyperlink" Target="https://maxmobiles.ru/displey-snyatyy-original-bez-privyazki-zamena-iphone-16-pro-max/" TargetMode="External"/><Relationship Id="rId74" Type="http://schemas.openxmlformats.org/officeDocument/2006/relationships/hyperlink" Target="https://maxmobiles.ru/displey-kopiya-vysochayshego-kachestva-zamena-iphone-16-pro-max/" TargetMode="External"/><Relationship Id="rId77" Type="http://schemas.openxmlformats.org/officeDocument/2006/relationships/hyperlink" Target="https://maxmobiles.ru/profilaktika-posle-vody-vosstanovlenie-cena-ot-trebuetsya-diagnostika-iphone-16-pro-max/" TargetMode="External"/><Relationship Id="rId76" Type="http://schemas.openxmlformats.org/officeDocument/2006/relationships/hyperlink" Target="https://maxmobiles.ru/zadnyaya-kryshka-kopiya-vysochayshego-kachestva-zamena-stekla-iphone-16-pro-max/" TargetMode="External"/><Relationship Id="rId79" Type="http://schemas.openxmlformats.org/officeDocument/2006/relationships/hyperlink" Target="https://maxmobiles.ru/razem-zaryadki-zamena-iphone-16-pro-max/" TargetMode="External"/><Relationship Id="rId78" Type="http://schemas.openxmlformats.org/officeDocument/2006/relationships/hyperlink" Target="https://maxmobiles.ru/akkumulyator-original-zamena-iphone-16-pro-max/" TargetMode="External"/><Relationship Id="rId71" Type="http://schemas.openxmlformats.org/officeDocument/2006/relationships/hyperlink" Target="https://maxmobiles.ru/remont-platy-iphone-17/" TargetMode="External"/><Relationship Id="rId70" Type="http://schemas.openxmlformats.org/officeDocument/2006/relationships/hyperlink" Target="https://maxmobiles.ru/proshivka-bez-rezervnoy-kopii-iphone-11/" TargetMode="External"/><Relationship Id="rId62" Type="http://schemas.openxmlformats.org/officeDocument/2006/relationships/hyperlink" Target="https://maxmobiles.ru/zamena-mikrofona-iphone-17/" TargetMode="External"/><Relationship Id="rId61" Type="http://schemas.openxmlformats.org/officeDocument/2006/relationships/hyperlink" Target="https://maxmobiles.ru/zamena-razema-zaryadki-iphone-17/" TargetMode="External"/><Relationship Id="rId64" Type="http://schemas.openxmlformats.org/officeDocument/2006/relationships/hyperlink" Target="https://maxmobiles.ru/zamena-dinamika-iphone-17/" TargetMode="External"/><Relationship Id="rId63" Type="http://schemas.openxmlformats.org/officeDocument/2006/relationships/hyperlink" Target="https://maxmobiles.ru/zamena-dinamika-gromkoy-svyazi-iphone-17/" TargetMode="External"/><Relationship Id="rId66" Type="http://schemas.openxmlformats.org/officeDocument/2006/relationships/hyperlink" Target="https://maxmobiles.ru/zamena-frontalnoy-kamery-iphone-17/" TargetMode="External"/><Relationship Id="rId65" Type="http://schemas.openxmlformats.org/officeDocument/2006/relationships/hyperlink" Target="https://maxmobiles.ru/zamena-osnovnoy-kamery-iphone-17/" TargetMode="External"/><Relationship Id="rId68" Type="http://schemas.openxmlformats.org/officeDocument/2006/relationships/hyperlink" Target="https://maxmobiles.ru/zamena-korpusa-iphone-17/" TargetMode="External"/><Relationship Id="rId67" Type="http://schemas.openxmlformats.org/officeDocument/2006/relationships/hyperlink" Target="https://maxmobiles.ru/zamena-stekla-kamery-iphone-17/" TargetMode="External"/><Relationship Id="rId729" Type="http://schemas.openxmlformats.org/officeDocument/2006/relationships/hyperlink" Target="https://maxmobiles.ru/razem-zaryadki-zamena-iphone-6/" TargetMode="External"/><Relationship Id="rId728" Type="http://schemas.openxmlformats.org/officeDocument/2006/relationships/hyperlink" Target="https://maxmobiles.ru/akkumulyator-zamena-iphone-6/" TargetMode="External"/><Relationship Id="rId60" Type="http://schemas.openxmlformats.org/officeDocument/2006/relationships/hyperlink" Target="https://maxmobiles.ru/zamena-akkumulyatora-iphone-17/" TargetMode="External"/><Relationship Id="rId723" Type="http://schemas.openxmlformats.org/officeDocument/2006/relationships/hyperlink" Target="https://maxmobiles.ru/remont-platy-iphone-6-plus/" TargetMode="External"/><Relationship Id="rId722" Type="http://schemas.openxmlformats.org/officeDocument/2006/relationships/hyperlink" Target="https://maxmobiles.ru/proshivka-bez-rezervnoy-kopii-iphone-11/" TargetMode="External"/><Relationship Id="rId721" Type="http://schemas.openxmlformats.org/officeDocument/2006/relationships/hyperlink" Target="https://maxmobiles.ru/knopka-vkl-power-zamena-remont-iphone-6-plus/" TargetMode="External"/><Relationship Id="rId720" Type="http://schemas.openxmlformats.org/officeDocument/2006/relationships/hyperlink" Target="https://maxmobiles.ru/korpus-kopiya-vysochayshego-kachestva-zamena-iphone-6-plus/" TargetMode="External"/><Relationship Id="rId727" Type="http://schemas.openxmlformats.org/officeDocument/2006/relationships/hyperlink" Target="https://maxmobiles.ru/profilaktika-posle-vody-cena-ot-iphone-6/" TargetMode="External"/><Relationship Id="rId726" Type="http://schemas.openxmlformats.org/officeDocument/2006/relationships/hyperlink" Target="https://maxmobiles.ru/displey-original-zamena-iphone-6/" TargetMode="External"/><Relationship Id="rId725" Type="http://schemas.openxmlformats.org/officeDocument/2006/relationships/hyperlink" Target="https://maxmobiles.ru/displey-kopiya-aaa-zamena-iphone-6/?action=preview" TargetMode="External"/><Relationship Id="rId724" Type="http://schemas.openxmlformats.org/officeDocument/2006/relationships/hyperlink" Target="https://maxmobiles.ru/displey-zamena-razbitogo-stekla-vosstanovlenie-iphone-6/" TargetMode="External"/><Relationship Id="rId69" Type="http://schemas.openxmlformats.org/officeDocument/2006/relationships/hyperlink" Target="https://maxmobiles.ru/zamena-knopok-iphone-17/" TargetMode="External"/><Relationship Id="rId51" Type="http://schemas.openxmlformats.org/officeDocument/2006/relationships/hyperlink" Target="https://maxmobiles.ru/zamena-knopok-iphone-air/" TargetMode="External"/><Relationship Id="rId50" Type="http://schemas.openxmlformats.org/officeDocument/2006/relationships/hyperlink" Target="https://maxmobiles.ru/zamena-korpusa-iphone-air/" TargetMode="External"/><Relationship Id="rId53" Type="http://schemas.openxmlformats.org/officeDocument/2006/relationships/hyperlink" Target="https://maxmobiles.ru/remont-platy-iphone-air/" TargetMode="External"/><Relationship Id="rId52" Type="http://schemas.openxmlformats.org/officeDocument/2006/relationships/hyperlink" Target="https://maxmobiles.ru/proshivka-bez-rezervnoy-kopii-iphone-11/" TargetMode="External"/><Relationship Id="rId55" Type="http://schemas.openxmlformats.org/officeDocument/2006/relationships/hyperlink" Target="https://maxmobiles.ru/zamena-stekla-iphone-17/" TargetMode="External"/><Relationship Id="rId54" Type="http://schemas.openxmlformats.org/officeDocument/2006/relationships/hyperlink" Target="https://maxmobiles.ru/remont-face-id-iphone-air/" TargetMode="External"/><Relationship Id="rId57" Type="http://schemas.openxmlformats.org/officeDocument/2006/relationships/hyperlink" Target="https://maxmobiles.ru/zamena-displeya-iphone-17/" TargetMode="External"/><Relationship Id="rId56" Type="http://schemas.openxmlformats.org/officeDocument/2006/relationships/hyperlink" Target="https://maxmobiles.ru/zamena-displeya-iphone-17-kopiya/" TargetMode="External"/><Relationship Id="rId719" Type="http://schemas.openxmlformats.org/officeDocument/2006/relationships/hyperlink" Target="https://maxmobiles.ru/kamera-zamena-razbitogo-stekla-1sht-iphone-6-plus/" TargetMode="External"/><Relationship Id="rId718" Type="http://schemas.openxmlformats.org/officeDocument/2006/relationships/hyperlink" Target="https://maxmobiles.ru/kamera-frontalnaya-perednyaya-zamena-iphone-6-plus/" TargetMode="External"/><Relationship Id="rId717" Type="http://schemas.openxmlformats.org/officeDocument/2006/relationships/hyperlink" Target="https://maxmobiles.ru/kamera-osnovnaya-zamena-iphone-6-plus/" TargetMode="External"/><Relationship Id="rId712" Type="http://schemas.openxmlformats.org/officeDocument/2006/relationships/hyperlink" Target="https://maxmobiles.ru/akkumulyator-zamena-iphone-6-plus/" TargetMode="External"/><Relationship Id="rId711" Type="http://schemas.openxmlformats.org/officeDocument/2006/relationships/hyperlink" Target="https://maxmobiles.ru/profilaktika-posle-vody-cena-ot-iphone-6-plus/" TargetMode="External"/><Relationship Id="rId710" Type="http://schemas.openxmlformats.org/officeDocument/2006/relationships/hyperlink" Target="https://maxmobiles.ru/displey-original-zamena-iphone-6-plus/" TargetMode="External"/><Relationship Id="rId716" Type="http://schemas.openxmlformats.org/officeDocument/2006/relationships/hyperlink" Target="https://maxmobiles.ru/dinamik-razgovornyy-verhniy-iphone-6-plus/" TargetMode="External"/><Relationship Id="rId715" Type="http://schemas.openxmlformats.org/officeDocument/2006/relationships/hyperlink" Target="https://maxmobiles.ru/dinamik-vyzova-zvonok-gromkaya-svyaz-zamena-iphone-6-plus/" TargetMode="External"/><Relationship Id="rId714" Type="http://schemas.openxmlformats.org/officeDocument/2006/relationships/hyperlink" Target="https://maxmobiles.ru/mikrofon-odin-iz-zamena-iphone-6-plus/" TargetMode="External"/><Relationship Id="rId713" Type="http://schemas.openxmlformats.org/officeDocument/2006/relationships/hyperlink" Target="https://maxmobiles.ru/razem-zaryadki-zamena-iphone-6-plus/" TargetMode="External"/><Relationship Id="rId59" Type="http://schemas.openxmlformats.org/officeDocument/2006/relationships/hyperlink" Target="https://maxmobiles.ru/profilaktika-posle-vody-iphone-17/" TargetMode="External"/><Relationship Id="rId58" Type="http://schemas.openxmlformats.org/officeDocument/2006/relationships/hyperlink" Target="https://maxmobiles.ru/zamena-zadney-kryshki-stekla-iphone-17/" TargetMode="External"/><Relationship Id="rId590" Type="http://schemas.openxmlformats.org/officeDocument/2006/relationships/hyperlink" Target="https://maxmobiles.ru/zamena-knopok-iphone-se-2022/" TargetMode="External"/><Relationship Id="rId107" Type="http://schemas.openxmlformats.org/officeDocument/2006/relationships/hyperlink" Target="https://maxmobiles.ru/remont-platy-iphone-16-pro/" TargetMode="External"/><Relationship Id="rId349" Type="http://schemas.openxmlformats.org/officeDocument/2006/relationships/hyperlink" Target="https://maxmobiles.ru/razem-zaryadki-zamena-iphone-13-mini/" TargetMode="External"/><Relationship Id="rId106" Type="http://schemas.openxmlformats.org/officeDocument/2006/relationships/hyperlink" Target="https://maxmobiles.ru/proshivka-bez-rezervnoy-kopii-iphone-11/" TargetMode="External"/><Relationship Id="rId348" Type="http://schemas.openxmlformats.org/officeDocument/2006/relationships/hyperlink" Target="https://maxmobiles.ru/akkumulyator-zamena-iphone-13-mini/" TargetMode="External"/><Relationship Id="rId105" Type="http://schemas.openxmlformats.org/officeDocument/2006/relationships/hyperlink" Target="https://maxmobiles.ru/knopka-vklyucheniya-gromkosti-deystviya-vosstanovlenie-zamena-iphone-16-pro/" TargetMode="External"/><Relationship Id="rId347" Type="http://schemas.openxmlformats.org/officeDocument/2006/relationships/hyperlink" Target="https://maxmobiles.ru/profilaktika-posle-vody-cena-ot-iphone-13-mini/" TargetMode="External"/><Relationship Id="rId589" Type="http://schemas.openxmlformats.org/officeDocument/2006/relationships/hyperlink" Target="https://maxmobiles.ru/zamena-korpusa-iphone-se-2022/" TargetMode="External"/><Relationship Id="rId104" Type="http://schemas.openxmlformats.org/officeDocument/2006/relationships/hyperlink" Target="https://maxmobiles.ru/korpus-kopiya-vysochayshego-kachestva-zamena-iphone-16-pro/" TargetMode="External"/><Relationship Id="rId346" Type="http://schemas.openxmlformats.org/officeDocument/2006/relationships/hyperlink" Target="https://maxmobiles.ru/zadnyaya-kryshka-zamena-stekla-iphone-13-mini/" TargetMode="External"/><Relationship Id="rId588" Type="http://schemas.openxmlformats.org/officeDocument/2006/relationships/hyperlink" Target="https://maxmobiles.ru/zamena-stekla-kamery-iphone-se-2022/" TargetMode="External"/><Relationship Id="rId109" Type="http://schemas.openxmlformats.org/officeDocument/2006/relationships/hyperlink" Target="https://maxmobiles.ru/displey-zamena-razbitogo-stekla-iphone-16-plus/" TargetMode="External"/><Relationship Id="rId108" Type="http://schemas.openxmlformats.org/officeDocument/2006/relationships/hyperlink" Target="https://maxmobiles.ru/face-id-vosstanovlenie-zamena-cena-ot-trebuetsya-diagnostika-iphone-16-pro/" TargetMode="External"/><Relationship Id="rId341" Type="http://schemas.openxmlformats.org/officeDocument/2006/relationships/hyperlink" Target="https://maxmobiles.ru/remont-platy-iphone-13-pro/" TargetMode="External"/><Relationship Id="rId583" Type="http://schemas.openxmlformats.org/officeDocument/2006/relationships/hyperlink" Target="https://maxmobiles.ru/zamena-mikrofona-iphone-se-2022/" TargetMode="External"/><Relationship Id="rId340" Type="http://schemas.openxmlformats.org/officeDocument/2006/relationships/hyperlink" Target="https://maxmobiles.ru/proshivka-bez-rezervnoy-kopii-iphone-11/" TargetMode="External"/><Relationship Id="rId582" Type="http://schemas.openxmlformats.org/officeDocument/2006/relationships/hyperlink" Target="https://maxmobiles.ru/zamena-razema-zaryadki-iphone-se-2022/" TargetMode="External"/><Relationship Id="rId581" Type="http://schemas.openxmlformats.org/officeDocument/2006/relationships/hyperlink" Target="https://maxmobiles.ru/zamena-akkumulyatora-iphone-se-2022/" TargetMode="External"/><Relationship Id="rId580" Type="http://schemas.openxmlformats.org/officeDocument/2006/relationships/hyperlink" Target="https://maxmobiles.ru/profilaktika-posle-vody-iphone-se-2022/" TargetMode="External"/><Relationship Id="rId103" Type="http://schemas.openxmlformats.org/officeDocument/2006/relationships/hyperlink" Target="https://maxmobiles.ru/kamera-zamena-razbitogo-stekla-odno-iz-iphone-16-pro/" TargetMode="External"/><Relationship Id="rId345" Type="http://schemas.openxmlformats.org/officeDocument/2006/relationships/hyperlink" Target="https://maxmobiles.ru/displey-original-zamena-iphone-13-mini/" TargetMode="External"/><Relationship Id="rId587" Type="http://schemas.openxmlformats.org/officeDocument/2006/relationships/hyperlink" Target="https://maxmobiles.ru/zamena-frontalnoy-kamery-iphone-se-2022/" TargetMode="External"/><Relationship Id="rId102" Type="http://schemas.openxmlformats.org/officeDocument/2006/relationships/hyperlink" Target="https://maxmobiles.ru/kamera-frontalnaya-perednyaya-zamena-iphone-16-pro/" TargetMode="External"/><Relationship Id="rId344" Type="http://schemas.openxmlformats.org/officeDocument/2006/relationships/hyperlink" Target="https://maxmobiles.ru/displey-kopiya-aaa-zamena-iphone-13-mini/?action=preview" TargetMode="External"/><Relationship Id="rId586" Type="http://schemas.openxmlformats.org/officeDocument/2006/relationships/hyperlink" Target="https://maxmobiles.ru/zamena-osnovnoy-kamery-iphone-se-2022/" TargetMode="External"/><Relationship Id="rId101" Type="http://schemas.openxmlformats.org/officeDocument/2006/relationships/hyperlink" Target="https://maxmobiles.ru/kamera-osnovnaya-zadnyaya-zamena-iphone-16-pro/" TargetMode="External"/><Relationship Id="rId343" Type="http://schemas.openxmlformats.org/officeDocument/2006/relationships/hyperlink" Target="https://maxmobiles.ru/zamena-stekla-iphone-13-mini/" TargetMode="External"/><Relationship Id="rId585" Type="http://schemas.openxmlformats.org/officeDocument/2006/relationships/hyperlink" Target="https://maxmobiles.ru/zamena-dinamika-iphone-se-2022/" TargetMode="External"/><Relationship Id="rId100" Type="http://schemas.openxmlformats.org/officeDocument/2006/relationships/hyperlink" Target="https://maxmobiles.ru/dinamik-razgovornyy-verhniy-sluhovoy-zamena-iphone-16-pro/" TargetMode="External"/><Relationship Id="rId342" Type="http://schemas.openxmlformats.org/officeDocument/2006/relationships/hyperlink" Target="https://maxmobiles.ru/face-id-remont-vosstanovlenie-zamena-iphone-13-pro/" TargetMode="External"/><Relationship Id="rId584" Type="http://schemas.openxmlformats.org/officeDocument/2006/relationships/hyperlink" Target="https://maxmobiles.ru/zamena-dinamika-gromkoy-svyazi-iphone-se-2022/" TargetMode="External"/><Relationship Id="rId338" Type="http://schemas.openxmlformats.org/officeDocument/2006/relationships/hyperlink" Target="https://maxmobiles.ru/korpus-kopiya-vysokoe-kachestvo-zamena-iphone-13-pro/" TargetMode="External"/><Relationship Id="rId337" Type="http://schemas.openxmlformats.org/officeDocument/2006/relationships/hyperlink" Target="https://maxmobiles.ru/kamera-zamena-razbitogo-stekla-1sht-iphone-13-pro/" TargetMode="External"/><Relationship Id="rId579" Type="http://schemas.openxmlformats.org/officeDocument/2006/relationships/hyperlink" Target="https://maxmobiles.ru/zamena-zadney-kryshki-stekla-iphone-se-2022/" TargetMode="External"/><Relationship Id="rId336" Type="http://schemas.openxmlformats.org/officeDocument/2006/relationships/hyperlink" Target="https://maxmobiles.ru/qwerty-ru-174/" TargetMode="External"/><Relationship Id="rId578" Type="http://schemas.openxmlformats.org/officeDocument/2006/relationships/hyperlink" Target="https://maxmobiles.ru/zamena-displeya-iphone-se-2022/" TargetMode="External"/><Relationship Id="rId335" Type="http://schemas.openxmlformats.org/officeDocument/2006/relationships/hyperlink" Target="https://maxmobiles.ru/kamera-osnovnaya-zamena-iphone-13-pro/" TargetMode="External"/><Relationship Id="rId577" Type="http://schemas.openxmlformats.org/officeDocument/2006/relationships/hyperlink" Target="https://maxmobiles.ru/zamena-displeya-iphone-se-2022-kopiya/" TargetMode="External"/><Relationship Id="rId339" Type="http://schemas.openxmlformats.org/officeDocument/2006/relationships/hyperlink" Target="https://maxmobiles.ru/knopka-vkl-power-zamena-remont-iphone-13-pro/" TargetMode="External"/><Relationship Id="rId330" Type="http://schemas.openxmlformats.org/officeDocument/2006/relationships/hyperlink" Target="https://maxmobiles.ru/akkumulyator-zamena-iphone-13-pro/" TargetMode="External"/><Relationship Id="rId572" Type="http://schemas.openxmlformats.org/officeDocument/2006/relationships/hyperlink" Target="https://maxmobiles.ru/knopka-vkl-power-zamena-remont-iphone-xr/" TargetMode="External"/><Relationship Id="rId571" Type="http://schemas.openxmlformats.org/officeDocument/2006/relationships/hyperlink" Target="https://maxmobiles.ru/korpus-kopiya-vysokoe-kachestvo-zamena-iphone-xr/" TargetMode="External"/><Relationship Id="rId570" Type="http://schemas.openxmlformats.org/officeDocument/2006/relationships/hyperlink" Target="https://maxmobiles.ru/kamera-zamena-razbitogo-stekla-1sht-iphone-xr/" TargetMode="External"/><Relationship Id="rId334" Type="http://schemas.openxmlformats.org/officeDocument/2006/relationships/hyperlink" Target="https://maxmobiles.ru/dinamik-razgovornyy-verhniy-iphone-13-pro/" TargetMode="External"/><Relationship Id="rId576" Type="http://schemas.openxmlformats.org/officeDocument/2006/relationships/hyperlink" Target="https://maxmobiles.ru/zamena-stekla-iphone-se-2022/" TargetMode="External"/><Relationship Id="rId333" Type="http://schemas.openxmlformats.org/officeDocument/2006/relationships/hyperlink" Target="https://maxmobiles.ru/dinamik-nizhniy-zvonok-gromkaya-svyaz-zamena-iphone-13-pro/" TargetMode="External"/><Relationship Id="rId575" Type="http://schemas.openxmlformats.org/officeDocument/2006/relationships/hyperlink" Target="https://maxmobiles.ru/face-id-remont-vosstanovlenie-zamena-iphone-xr/" TargetMode="External"/><Relationship Id="rId332" Type="http://schemas.openxmlformats.org/officeDocument/2006/relationships/hyperlink" Target="https://maxmobiles.ru/mikrofon-odin-iz-zamena-iphone-13-pro/" TargetMode="External"/><Relationship Id="rId574" Type="http://schemas.openxmlformats.org/officeDocument/2006/relationships/hyperlink" Target="https://maxmobiles.ru/remont-platy-iphone-xr/" TargetMode="External"/><Relationship Id="rId331" Type="http://schemas.openxmlformats.org/officeDocument/2006/relationships/hyperlink" Target="https://maxmobiles.ru/razem-zaryadki-zamena-iphone-13-pro/" TargetMode="External"/><Relationship Id="rId573" Type="http://schemas.openxmlformats.org/officeDocument/2006/relationships/hyperlink" Target="https://maxmobiles.ru/proshivka-bez-rezervnoy-kopii-iphone-11/" TargetMode="External"/><Relationship Id="rId370" Type="http://schemas.openxmlformats.org/officeDocument/2006/relationships/hyperlink" Target="https://maxmobiles.ru/dinamik-razgovornyy-verhniy-iphone-13/" TargetMode="External"/><Relationship Id="rId129" Type="http://schemas.openxmlformats.org/officeDocument/2006/relationships/hyperlink" Target="https://maxmobiles.ru/displey-snyatyy-original-bez-privyazki-zamena-iphone-16e/" TargetMode="External"/><Relationship Id="rId128" Type="http://schemas.openxmlformats.org/officeDocument/2006/relationships/hyperlink" Target="https://maxmobiles.ru/displey-kopiya-vysochayshego-kachestva-zamena-iphone-16e/" TargetMode="External"/><Relationship Id="rId127" Type="http://schemas.openxmlformats.org/officeDocument/2006/relationships/hyperlink" Target="https://maxmobiles.ru/displey-zamena-razbitogo-stekla-iphone-16e/" TargetMode="External"/><Relationship Id="rId369" Type="http://schemas.openxmlformats.org/officeDocument/2006/relationships/hyperlink" Target="https://maxmobiles.ru/dinamik-vyzova-zvonok-gromkaya-svyaz-zamena-iphone-13/" TargetMode="External"/><Relationship Id="rId126" Type="http://schemas.openxmlformats.org/officeDocument/2006/relationships/hyperlink" Target="https://maxmobiles.ru/face-id-vosstanovlenie-zamena-cena-ot-trebuetsya-diagnostika-iphone-16-plus/" TargetMode="External"/><Relationship Id="rId368" Type="http://schemas.openxmlformats.org/officeDocument/2006/relationships/hyperlink" Target="https://maxmobiles.ru/qwerty-ru-301/" TargetMode="External"/><Relationship Id="rId121" Type="http://schemas.openxmlformats.org/officeDocument/2006/relationships/hyperlink" Target="https://maxmobiles.ru/kamera-zamena-razbitogo-stekla-odno-iz-iphone-16-plus/" TargetMode="External"/><Relationship Id="rId363" Type="http://schemas.openxmlformats.org/officeDocument/2006/relationships/hyperlink" Target="https://maxmobiles.ru/displey-original-zamena-iphone-13/" TargetMode="External"/><Relationship Id="rId120" Type="http://schemas.openxmlformats.org/officeDocument/2006/relationships/hyperlink" Target="https://maxmobiles.ru/kamera-frontalnaya-perednyaya-zamena-iphone-16-plus/" TargetMode="External"/><Relationship Id="rId362" Type="http://schemas.openxmlformats.org/officeDocument/2006/relationships/hyperlink" Target="https://maxmobiles.ru/displey-kopiya-aaa-zamena-iphone-13/?action=preview" TargetMode="External"/><Relationship Id="rId361" Type="http://schemas.openxmlformats.org/officeDocument/2006/relationships/hyperlink" Target="https://maxmobiles.ru/displey-zamena-razbitogo-stekla-vosstanovlenie-iphone-13/" TargetMode="External"/><Relationship Id="rId360" Type="http://schemas.openxmlformats.org/officeDocument/2006/relationships/hyperlink" Target="https://maxmobiles.ru/face-id-remont-vosstanovlenie-zamena-iphone-13-mini/" TargetMode="External"/><Relationship Id="rId125" Type="http://schemas.openxmlformats.org/officeDocument/2006/relationships/hyperlink" Target="https://maxmobiles.ru/remont-platy-iphone-16-plus/" TargetMode="External"/><Relationship Id="rId367" Type="http://schemas.openxmlformats.org/officeDocument/2006/relationships/hyperlink" Target="https://maxmobiles.ru/razem-zaryadki-zamena-iphone-13/" TargetMode="External"/><Relationship Id="rId124" Type="http://schemas.openxmlformats.org/officeDocument/2006/relationships/hyperlink" Target="https://maxmobiles.ru/proshivka-bez-rezervnoy-kopii-iphone-11/" TargetMode="External"/><Relationship Id="rId366" Type="http://schemas.openxmlformats.org/officeDocument/2006/relationships/hyperlink" Target="https://maxmobiles.ru/akkumulyator-zamena-iphone-13/" TargetMode="External"/><Relationship Id="rId123" Type="http://schemas.openxmlformats.org/officeDocument/2006/relationships/hyperlink" Target="https://maxmobiles.ru/knopka-vklyucheniya-gromkosti-deystviya-vosstanovlenie-zamena-iphone-16-plus/" TargetMode="External"/><Relationship Id="rId365" Type="http://schemas.openxmlformats.org/officeDocument/2006/relationships/hyperlink" Target="https://maxmobiles.ru/profilaktika-posle-vody-cena-ot-iphone-13/" TargetMode="External"/><Relationship Id="rId122" Type="http://schemas.openxmlformats.org/officeDocument/2006/relationships/hyperlink" Target="https://maxmobiles.ru/korpus-kopiya-vysochayshego-kachestva-zamena-iphone-16-plus/" TargetMode="External"/><Relationship Id="rId364" Type="http://schemas.openxmlformats.org/officeDocument/2006/relationships/hyperlink" Target="https://maxmobiles.ru/qwerty-ru-292/" TargetMode="External"/><Relationship Id="rId95" Type="http://schemas.openxmlformats.org/officeDocument/2006/relationships/hyperlink" Target="https://maxmobiles.ru/profilaktika-posle-vody-vosstanovlenie-cena-ot-trebuetsya-diagnostika-iphone-16-pro/" TargetMode="External"/><Relationship Id="rId94" Type="http://schemas.openxmlformats.org/officeDocument/2006/relationships/hyperlink" Target="https://maxmobiles.ru/zadnyaya-kryshka-kopiya-vysochayshego-kachestva-zamena-stekla-iphone-16-pro/" TargetMode="External"/><Relationship Id="rId97" Type="http://schemas.openxmlformats.org/officeDocument/2006/relationships/hyperlink" Target="https://maxmobiles.ru/razem-zaryadki-zamena-iphone-16-pro/" TargetMode="External"/><Relationship Id="rId96" Type="http://schemas.openxmlformats.org/officeDocument/2006/relationships/hyperlink" Target="https://maxmobiles.ru/akkumulyator-original-zamena-iphone-16-pro/" TargetMode="External"/><Relationship Id="rId99" Type="http://schemas.openxmlformats.org/officeDocument/2006/relationships/hyperlink" Target="https://maxmobiles.ru/dinamik-polifonicheskiy-nizhniy-gromkaya-svyaz-zamena-iphone-16-pro/" TargetMode="External"/><Relationship Id="rId98" Type="http://schemas.openxmlformats.org/officeDocument/2006/relationships/hyperlink" Target="https://maxmobiles.ru/mikrofon-zamena-odin-iz-iphone-16-pro/" TargetMode="External"/><Relationship Id="rId91" Type="http://schemas.openxmlformats.org/officeDocument/2006/relationships/hyperlink" Target="https://maxmobiles.ru/displey-zamena-razbitogo-stekla-iphone-16-pro/" TargetMode="External"/><Relationship Id="rId90" Type="http://schemas.openxmlformats.org/officeDocument/2006/relationships/hyperlink" Target="https://maxmobiles.ru/face-id-vosstanovlenie-zamena-cena-ot-trebuetsya-diagnostika-iphone-16-pro-max/" TargetMode="External"/><Relationship Id="rId93" Type="http://schemas.openxmlformats.org/officeDocument/2006/relationships/hyperlink" Target="https://maxmobiles.ru/displey-snyatyy-original-bez-privyazki-zamena-iphone-16-pro/" TargetMode="External"/><Relationship Id="rId92" Type="http://schemas.openxmlformats.org/officeDocument/2006/relationships/hyperlink" Target="https://maxmobiles.ru/displey-kopiya-vysochayshego-kachestva-zamena-iphone-16-pro/" TargetMode="External"/><Relationship Id="rId118" Type="http://schemas.openxmlformats.org/officeDocument/2006/relationships/hyperlink" Target="https://maxmobiles.ru/dinamik-razgovornyy-verhniy-sluhovoy-zamena-iphone-16-plus/" TargetMode="External"/><Relationship Id="rId117" Type="http://schemas.openxmlformats.org/officeDocument/2006/relationships/hyperlink" Target="https://maxmobiles.ru/dinamik-polifonicheskiy-nizhniy-gromkaya-svyaz-zamena-iphone-16-plus/" TargetMode="External"/><Relationship Id="rId359" Type="http://schemas.openxmlformats.org/officeDocument/2006/relationships/hyperlink" Target="https://maxmobiles.ru/remont-platy-iphone-13-mini/" TargetMode="External"/><Relationship Id="rId116" Type="http://schemas.openxmlformats.org/officeDocument/2006/relationships/hyperlink" Target="https://maxmobiles.ru/mikrofon-zamena-odin-iz-iphone-16-plus/" TargetMode="External"/><Relationship Id="rId358" Type="http://schemas.openxmlformats.org/officeDocument/2006/relationships/hyperlink" Target="https://maxmobiles.ru/proshivka-bez-rezervnoy-kopii-iphone-11/" TargetMode="External"/><Relationship Id="rId115" Type="http://schemas.openxmlformats.org/officeDocument/2006/relationships/hyperlink" Target="https://maxmobiles.ru/razem-zaryadki-zamena-iphone-16-plus/" TargetMode="External"/><Relationship Id="rId357" Type="http://schemas.openxmlformats.org/officeDocument/2006/relationships/hyperlink" Target="https://maxmobiles.ru/knopka-vkl-power-zamena-remont-iphone-13-mini/" TargetMode="External"/><Relationship Id="rId599" Type="http://schemas.openxmlformats.org/officeDocument/2006/relationships/hyperlink" Target="https://maxmobiles.ru/zamena-razema-zaryadki-iphone-se-2020/" TargetMode="External"/><Relationship Id="rId119" Type="http://schemas.openxmlformats.org/officeDocument/2006/relationships/hyperlink" Target="https://maxmobiles.ru/kamera-osnovnaya-zadnyaya-zamena-iphone-16-plus/" TargetMode="External"/><Relationship Id="rId110" Type="http://schemas.openxmlformats.org/officeDocument/2006/relationships/hyperlink" Target="https://maxmobiles.ru/displey-kopiya-vysochayshego-kachestva-zamena-iphone-16-plus/" TargetMode="External"/><Relationship Id="rId352" Type="http://schemas.openxmlformats.org/officeDocument/2006/relationships/hyperlink" Target="https://maxmobiles.ru/dinamik-razgovornyy-verhniy-iphone-13-mini/" TargetMode="External"/><Relationship Id="rId594" Type="http://schemas.openxmlformats.org/officeDocument/2006/relationships/hyperlink" Target="https://maxmobiles.ru/zamena-displeya-iphone-se-2020-kopiya/" TargetMode="External"/><Relationship Id="rId351" Type="http://schemas.openxmlformats.org/officeDocument/2006/relationships/hyperlink" Target="https://maxmobiles.ru/dinamik-vyzova-zvonok-gromkaya-svyaz-zamena-iphone-13-mini/" TargetMode="External"/><Relationship Id="rId593" Type="http://schemas.openxmlformats.org/officeDocument/2006/relationships/hyperlink" Target="https://maxmobiles.ru/zamena-stekla-iphone-se-2020/" TargetMode="External"/><Relationship Id="rId350" Type="http://schemas.openxmlformats.org/officeDocument/2006/relationships/hyperlink" Target="https://maxmobiles.ru/qwerty-ru-204/" TargetMode="External"/><Relationship Id="rId592" Type="http://schemas.openxmlformats.org/officeDocument/2006/relationships/hyperlink" Target="https://maxmobiles.ru/remont-platy-iphone-se-2022/" TargetMode="External"/><Relationship Id="rId591" Type="http://schemas.openxmlformats.org/officeDocument/2006/relationships/hyperlink" Target="https://maxmobiles.ru/proshivka-bez-rezervnoy-kopii-iphone-11/" TargetMode="External"/><Relationship Id="rId114" Type="http://schemas.openxmlformats.org/officeDocument/2006/relationships/hyperlink" Target="https://maxmobiles.ru/akkumulyator-original-zamena-iphone-16-plus/" TargetMode="External"/><Relationship Id="rId356" Type="http://schemas.openxmlformats.org/officeDocument/2006/relationships/hyperlink" Target="https://maxmobiles.ru/korpus-kopiya-vysokoe-kachestvo-zamena-iphone-13-mini/" TargetMode="External"/><Relationship Id="rId598" Type="http://schemas.openxmlformats.org/officeDocument/2006/relationships/hyperlink" Target="https://maxmobiles.ru/zamena-akkumulyatora-iphone-se-2020/" TargetMode="External"/><Relationship Id="rId113" Type="http://schemas.openxmlformats.org/officeDocument/2006/relationships/hyperlink" Target="https://maxmobiles.ru/profilaktika-posle-vody-vosstanovlenie-cena-ot-trebuetsya-diagnostika-iphone-16-plus/" TargetMode="External"/><Relationship Id="rId355" Type="http://schemas.openxmlformats.org/officeDocument/2006/relationships/hyperlink" Target="https://maxmobiles.ru/kamera-zamena-razbitogo-stekla-1sht-iphone-13-mini/" TargetMode="External"/><Relationship Id="rId597" Type="http://schemas.openxmlformats.org/officeDocument/2006/relationships/hyperlink" Target="https://maxmobiles.ru/profilaktika-posle-vody-iphone-se-2020/" TargetMode="External"/><Relationship Id="rId112" Type="http://schemas.openxmlformats.org/officeDocument/2006/relationships/hyperlink" Target="https://maxmobiles.ru/zadnyaya-kryshka-kopiya-vysochayshego-kachestva-zamena-stekla-iphone-16-plus/" TargetMode="External"/><Relationship Id="rId354" Type="http://schemas.openxmlformats.org/officeDocument/2006/relationships/hyperlink" Target="https://maxmobiles.ru/kamera-frontalnaya-perednyaya-zamena-iphone-13-mini/" TargetMode="External"/><Relationship Id="rId596" Type="http://schemas.openxmlformats.org/officeDocument/2006/relationships/hyperlink" Target="https://maxmobiles.ru/zamena-zadney-kryshki-stekla-iphone-se-2020/" TargetMode="External"/><Relationship Id="rId111" Type="http://schemas.openxmlformats.org/officeDocument/2006/relationships/hyperlink" Target="https://maxmobiles.ru/displey-snyatyy-original-bez-privyazki-zamena-iphone-16-plus/" TargetMode="External"/><Relationship Id="rId353" Type="http://schemas.openxmlformats.org/officeDocument/2006/relationships/hyperlink" Target="https://maxmobiles.ru/kamera-osnovnaya-zamena-iphone-13-mini/" TargetMode="External"/><Relationship Id="rId595" Type="http://schemas.openxmlformats.org/officeDocument/2006/relationships/hyperlink" Target="https://maxmobiles.ru/zamena-displeya-iphone-se-2020/" TargetMode="External"/><Relationship Id="rId305" Type="http://schemas.openxmlformats.org/officeDocument/2006/relationships/hyperlink" Target="https://maxmobiles.ru/remont-platy-iphone-14/" TargetMode="External"/><Relationship Id="rId547" Type="http://schemas.openxmlformats.org/officeDocument/2006/relationships/hyperlink" Target="https://maxmobiles.ru/razem-zaryadki-zamena-iphone-x/" TargetMode="External"/><Relationship Id="rId789" Type="http://schemas.openxmlformats.org/officeDocument/2006/relationships/hyperlink" Target="https://maxmobiles.ru/razem-zaryadki-zamena-iphone-5s-5c-se/" TargetMode="External"/><Relationship Id="rId304" Type="http://schemas.openxmlformats.org/officeDocument/2006/relationships/hyperlink" Target="https://maxmobiles.ru/proshivka-bez-rezervnoy-kopii-iphone-11/" TargetMode="External"/><Relationship Id="rId546" Type="http://schemas.openxmlformats.org/officeDocument/2006/relationships/hyperlink" Target="https://maxmobiles.ru/akkumulyator-zamena-iphone-x/" TargetMode="External"/><Relationship Id="rId788" Type="http://schemas.openxmlformats.org/officeDocument/2006/relationships/hyperlink" Target="https://maxmobiles.ru/akkumulyator-zamena-iphone-5s-5c-se/" TargetMode="External"/><Relationship Id="rId303" Type="http://schemas.openxmlformats.org/officeDocument/2006/relationships/hyperlink" Target="https://maxmobiles.ru/knopka-vkl-power-zamena-remont-iphone-14/" TargetMode="External"/><Relationship Id="rId545" Type="http://schemas.openxmlformats.org/officeDocument/2006/relationships/hyperlink" Target="https://maxmobiles.ru/profilaktika-posle-vody-cena-ot-iphone-x/" TargetMode="External"/><Relationship Id="rId787" Type="http://schemas.openxmlformats.org/officeDocument/2006/relationships/hyperlink" Target="https://maxmobiles.ru/profilaktika-posle-vody-cena-ot-iphone-5s-5c-se/" TargetMode="External"/><Relationship Id="rId302" Type="http://schemas.openxmlformats.org/officeDocument/2006/relationships/hyperlink" Target="https://maxmobiles.ru/qwerty-ru-117/" TargetMode="External"/><Relationship Id="rId544" Type="http://schemas.openxmlformats.org/officeDocument/2006/relationships/hyperlink" Target="https://maxmobiles.ru/zadnyaya-kryshka-zamena-stekla-iphone-x/" TargetMode="External"/><Relationship Id="rId786" Type="http://schemas.openxmlformats.org/officeDocument/2006/relationships/hyperlink" Target="https://maxmobiles.ru/displey-original-zamena-iphone-5s-5c-se/" TargetMode="External"/><Relationship Id="rId309" Type="http://schemas.openxmlformats.org/officeDocument/2006/relationships/hyperlink" Target="https://maxmobiles.ru/displey-original-zamena-iphone-13-pro-max/" TargetMode="External"/><Relationship Id="rId308" Type="http://schemas.openxmlformats.org/officeDocument/2006/relationships/hyperlink" Target="https://maxmobiles.ru/displey-kopiya-aaa-zamena-iphone-13-pro-max/?action=preview" TargetMode="External"/><Relationship Id="rId307" Type="http://schemas.openxmlformats.org/officeDocument/2006/relationships/hyperlink" Target="https://maxmobiles.ru/displey-zamena-razbitogo-stekla-vosstanovlenie-iphone-13-pro-max/" TargetMode="External"/><Relationship Id="rId549" Type="http://schemas.openxmlformats.org/officeDocument/2006/relationships/hyperlink" Target="https://maxmobiles.ru/dinamik-vyzova-zvonok-gromkaya-svyaz-zamena-iphone-x/" TargetMode="External"/><Relationship Id="rId306" Type="http://schemas.openxmlformats.org/officeDocument/2006/relationships/hyperlink" Target="https://maxmobiles.ru/qewrty/" TargetMode="External"/><Relationship Id="rId548" Type="http://schemas.openxmlformats.org/officeDocument/2006/relationships/hyperlink" Target="https://maxmobiles.ru/mikrofon-odin-iz-zamena-iphone-x/" TargetMode="External"/><Relationship Id="rId781" Type="http://schemas.openxmlformats.org/officeDocument/2006/relationships/hyperlink" Target="https://maxmobiles.ru/zamena-korpusa-iphone-5s/" TargetMode="External"/><Relationship Id="rId780" Type="http://schemas.openxmlformats.org/officeDocument/2006/relationships/hyperlink" Target="https://maxmobiles.ru/zamena-stekla-kamery-iphone-5s/" TargetMode="External"/><Relationship Id="rId301" Type="http://schemas.openxmlformats.org/officeDocument/2006/relationships/hyperlink" Target="https://maxmobiles.ru/kamera-zamena-razbitogo-stekla-1sht-iphone-14/" TargetMode="External"/><Relationship Id="rId543" Type="http://schemas.openxmlformats.org/officeDocument/2006/relationships/hyperlink" Target="https://maxmobiles.ru/displey-original-zamena-iphone-x/" TargetMode="External"/><Relationship Id="rId785" Type="http://schemas.openxmlformats.org/officeDocument/2006/relationships/hyperlink" Target="https://maxmobiles.ru/displey-kopiya-aaa-zamena-iphone-5s-5c-se/" TargetMode="External"/><Relationship Id="rId300" Type="http://schemas.openxmlformats.org/officeDocument/2006/relationships/hyperlink" Target="https://maxmobiles.ru/qwerty-ru-116/" TargetMode="External"/><Relationship Id="rId542" Type="http://schemas.openxmlformats.org/officeDocument/2006/relationships/hyperlink" Target="https://maxmobiles.ru/displey-kopiya-aaa-zamena-iphone-x/?action=preview" TargetMode="External"/><Relationship Id="rId784" Type="http://schemas.openxmlformats.org/officeDocument/2006/relationships/hyperlink" Target="https://maxmobiles.ru/remont-platy-iphone-5s/" TargetMode="External"/><Relationship Id="rId541" Type="http://schemas.openxmlformats.org/officeDocument/2006/relationships/hyperlink" Target="https://maxmobiles.ru/displey-zamena-razbitogo-stekla-vosstanovlenie-iphone-x/" TargetMode="External"/><Relationship Id="rId783" Type="http://schemas.openxmlformats.org/officeDocument/2006/relationships/hyperlink" Target="https://maxmobiles.ru/proshivka-bez-rezervnoy-kopii-iphone-11/" TargetMode="External"/><Relationship Id="rId540" Type="http://schemas.openxmlformats.org/officeDocument/2006/relationships/hyperlink" Target="https://maxmobiles.ru/face-id-remont-vosstanovlenie-zamena-iphone-xs/" TargetMode="External"/><Relationship Id="rId782" Type="http://schemas.openxmlformats.org/officeDocument/2006/relationships/hyperlink" Target="https://maxmobiles.ru/zamena-knopok-iphone-5s/" TargetMode="External"/><Relationship Id="rId536" Type="http://schemas.openxmlformats.org/officeDocument/2006/relationships/hyperlink" Target="https://maxmobiles.ru/korpus-kopiya-vysokoe-kachestvo-zamena-iphone-xs/" TargetMode="External"/><Relationship Id="rId778" Type="http://schemas.openxmlformats.org/officeDocument/2006/relationships/hyperlink" Target="https://maxmobiles.ru/zamena-osnovnoy-kamery-iphone-5s/" TargetMode="External"/><Relationship Id="rId535" Type="http://schemas.openxmlformats.org/officeDocument/2006/relationships/hyperlink" Target="https://maxmobiles.ru/kamera-zamena-razbitogo-stekla-1sht-iphone-xs/" TargetMode="External"/><Relationship Id="rId777" Type="http://schemas.openxmlformats.org/officeDocument/2006/relationships/hyperlink" Target="https://maxmobiles.ru/zamena-dinamika-iphone-5s/" TargetMode="External"/><Relationship Id="rId534" Type="http://schemas.openxmlformats.org/officeDocument/2006/relationships/hyperlink" Target="https://maxmobiles.ru/kamera-frontalnaya-perednyaya-zamena-iphone-xs/" TargetMode="External"/><Relationship Id="rId776" Type="http://schemas.openxmlformats.org/officeDocument/2006/relationships/hyperlink" Target="https://maxmobiles.ru/zamena-dinamika-gromkoy-svyazi-iphone-5s/" TargetMode="External"/><Relationship Id="rId533" Type="http://schemas.openxmlformats.org/officeDocument/2006/relationships/hyperlink" Target="https://maxmobiles.ru/kamera-osnovnaya-zamena-iphone-xs/" TargetMode="External"/><Relationship Id="rId775" Type="http://schemas.openxmlformats.org/officeDocument/2006/relationships/hyperlink" Target="https://maxmobiles.ru/zamena-mikrofona-iphone-5s/" TargetMode="External"/><Relationship Id="rId539" Type="http://schemas.openxmlformats.org/officeDocument/2006/relationships/hyperlink" Target="https://maxmobiles.ru/remont-platy-iphone-xs/" TargetMode="External"/><Relationship Id="rId538" Type="http://schemas.openxmlformats.org/officeDocument/2006/relationships/hyperlink" Target="https://maxmobiles.ru/proshivka-bez-rezervnoy-kopii-iphone-11/" TargetMode="External"/><Relationship Id="rId537" Type="http://schemas.openxmlformats.org/officeDocument/2006/relationships/hyperlink" Target="https://maxmobiles.ru/knopka-vkl-power-zamena-remont-iphone-xs/" TargetMode="External"/><Relationship Id="rId779" Type="http://schemas.openxmlformats.org/officeDocument/2006/relationships/hyperlink" Target="https://maxmobiles.ru/zamena-frontalnoy-kamery-iphone-5s/" TargetMode="External"/><Relationship Id="rId770" Type="http://schemas.openxmlformats.org/officeDocument/2006/relationships/hyperlink" Target="https://maxmobiles.ru/zamena-displeya-iphone-5c-kopiya/" TargetMode="External"/><Relationship Id="rId532" Type="http://schemas.openxmlformats.org/officeDocument/2006/relationships/hyperlink" Target="https://maxmobiles.ru/dinamik-razgovornyy-verhniy-iphone-xs/" TargetMode="External"/><Relationship Id="rId774" Type="http://schemas.openxmlformats.org/officeDocument/2006/relationships/hyperlink" Target="https://maxmobiles.ru/zamena-razema-zaryadki-iphone-5s/" TargetMode="External"/><Relationship Id="rId531" Type="http://schemas.openxmlformats.org/officeDocument/2006/relationships/hyperlink" Target="https://maxmobiles.ru/dinamik-vyzova-zvonok-gromkaya-svyaz-zamena-iphone-xs/" TargetMode="External"/><Relationship Id="rId773" Type="http://schemas.openxmlformats.org/officeDocument/2006/relationships/hyperlink" Target="https://maxmobiles.ru/zamena-akkumulyatora-iphone-5s/" TargetMode="External"/><Relationship Id="rId530" Type="http://schemas.openxmlformats.org/officeDocument/2006/relationships/hyperlink" Target="https://maxmobiles.ru/mikrofon-odin-iz-zamena-iphone-xs/" TargetMode="External"/><Relationship Id="rId772" Type="http://schemas.openxmlformats.org/officeDocument/2006/relationships/hyperlink" Target="https://maxmobiles.ru/profilaktika-posle-vody-iphone-5s/" TargetMode="External"/><Relationship Id="rId771" Type="http://schemas.openxmlformats.org/officeDocument/2006/relationships/hyperlink" Target="https://maxmobiles.ru/zamena-displeya-iphone-5s/" TargetMode="External"/><Relationship Id="rId327" Type="http://schemas.openxmlformats.org/officeDocument/2006/relationships/hyperlink" Target="https://maxmobiles.ru/displey-original-zamena-iphone-13-pro/" TargetMode="External"/><Relationship Id="rId569" Type="http://schemas.openxmlformats.org/officeDocument/2006/relationships/hyperlink" Target="https://maxmobiles.ru/kamera-frontalnaya-perednyaya-zamena-iphone-xr/" TargetMode="External"/><Relationship Id="rId326" Type="http://schemas.openxmlformats.org/officeDocument/2006/relationships/hyperlink" Target="https://maxmobiles.ru/displey-kopiya-aaa-zamena-iphone-13-pro/?action=preview" TargetMode="External"/><Relationship Id="rId568" Type="http://schemas.openxmlformats.org/officeDocument/2006/relationships/hyperlink" Target="https://maxmobiles.ru/kamera-osnovnaya-zamena-iphone-xr/" TargetMode="External"/><Relationship Id="rId325" Type="http://schemas.openxmlformats.org/officeDocument/2006/relationships/hyperlink" Target="https://maxmobiles.ru/displey-zamena-razbitogo-stekla-vosstanovlenie-iphone-13-pro/" TargetMode="External"/><Relationship Id="rId567" Type="http://schemas.openxmlformats.org/officeDocument/2006/relationships/hyperlink" Target="https://maxmobiles.ru/dinamik-razgovornyy-verhniy-iphone-xr/" TargetMode="External"/><Relationship Id="rId324" Type="http://schemas.openxmlformats.org/officeDocument/2006/relationships/hyperlink" Target="https://maxmobiles.ru/face-id-remont-vosstanovlenie-zamena-iphone-13-pro-max/" TargetMode="External"/><Relationship Id="rId566" Type="http://schemas.openxmlformats.org/officeDocument/2006/relationships/hyperlink" Target="https://maxmobiles.ru/dinamik-vyzova-zvonok-gromkaya-svyaz-zamena-iphone-xr/" TargetMode="External"/><Relationship Id="rId329" Type="http://schemas.openxmlformats.org/officeDocument/2006/relationships/hyperlink" Target="https://maxmobiles.ru/profilaktika-posle-vody-cena-ot-iphone-13-pro/" TargetMode="External"/><Relationship Id="rId328" Type="http://schemas.openxmlformats.org/officeDocument/2006/relationships/hyperlink" Target="https://maxmobiles.ru/zadnyaya-kryshka-zamena-stekla-iphone-13-pro/" TargetMode="External"/><Relationship Id="rId561" Type="http://schemas.openxmlformats.org/officeDocument/2006/relationships/hyperlink" Target="https://maxmobiles.ru/zadnyaya-kryshka-zamena-stekla-iphone-xr/" TargetMode="External"/><Relationship Id="rId560" Type="http://schemas.openxmlformats.org/officeDocument/2006/relationships/hyperlink" Target="https://maxmobiles.ru/displey-original-zamena-iphone-xr/" TargetMode="External"/><Relationship Id="rId323" Type="http://schemas.openxmlformats.org/officeDocument/2006/relationships/hyperlink" Target="https://maxmobiles.ru/remont-platy-iphone-13-pro-max/" TargetMode="External"/><Relationship Id="rId565" Type="http://schemas.openxmlformats.org/officeDocument/2006/relationships/hyperlink" Target="https://maxmobiles.ru/mikrofon-odin-iz-zamena-iphone-xr/" TargetMode="External"/><Relationship Id="rId322" Type="http://schemas.openxmlformats.org/officeDocument/2006/relationships/hyperlink" Target="https://maxmobiles.ru/proshivka-bez-rezervnoy-kopii-iphone-11/" TargetMode="External"/><Relationship Id="rId564" Type="http://schemas.openxmlformats.org/officeDocument/2006/relationships/hyperlink" Target="https://maxmobiles.ru/razem-zaryadki-zamena-iphone-xr/" TargetMode="External"/><Relationship Id="rId321" Type="http://schemas.openxmlformats.org/officeDocument/2006/relationships/hyperlink" Target="https://maxmobiles.ru/knopka-vkl-power-zamena-remont-iphone-13-pro-max/" TargetMode="External"/><Relationship Id="rId563" Type="http://schemas.openxmlformats.org/officeDocument/2006/relationships/hyperlink" Target="https://maxmobiles.ru/akkumulyator-zamena-iphone-xr/" TargetMode="External"/><Relationship Id="rId320" Type="http://schemas.openxmlformats.org/officeDocument/2006/relationships/hyperlink" Target="https://maxmobiles.ru/korpus-kopiya-vysokoe-kachestvo-zamena-iphone-13-pro-max/" TargetMode="External"/><Relationship Id="rId562" Type="http://schemas.openxmlformats.org/officeDocument/2006/relationships/hyperlink" Target="https://maxmobiles.ru/profilaktika-posle-vody-cena-ot-iphone-xr/" TargetMode="External"/><Relationship Id="rId316" Type="http://schemas.openxmlformats.org/officeDocument/2006/relationships/hyperlink" Target="https://maxmobiles.ru/dinamik-razgovornyy-verhniy-iphone-13-pro-max/" TargetMode="External"/><Relationship Id="rId558" Type="http://schemas.openxmlformats.org/officeDocument/2006/relationships/hyperlink" Target="https://maxmobiles.ru/face-id-remont-vosstanovlenie-zamena-iphone-x/" TargetMode="External"/><Relationship Id="rId315" Type="http://schemas.openxmlformats.org/officeDocument/2006/relationships/hyperlink" Target="https://maxmobiles.ru/dinamik-vyzova-zvonok-gromkaya-svyaz-zamena-iphone-13-pro-max/" TargetMode="External"/><Relationship Id="rId557" Type="http://schemas.openxmlformats.org/officeDocument/2006/relationships/hyperlink" Target="https://maxmobiles.ru/remont-platy-iphone-x/" TargetMode="External"/><Relationship Id="rId799" Type="http://schemas.openxmlformats.org/officeDocument/2006/relationships/hyperlink" Target="https://maxmobiles.ru/remont-platy-iphone-5-5s-5c-se2016/" TargetMode="External"/><Relationship Id="rId314" Type="http://schemas.openxmlformats.org/officeDocument/2006/relationships/hyperlink" Target="https://maxmobiles.ru/mikrofon-odin-iz-zamena-iphone-13-pro-max/" TargetMode="External"/><Relationship Id="rId556" Type="http://schemas.openxmlformats.org/officeDocument/2006/relationships/hyperlink" Target="https://maxmobiles.ru/proshivka-bez-rezervnoy-kopii-iphone-11/" TargetMode="External"/><Relationship Id="rId798" Type="http://schemas.openxmlformats.org/officeDocument/2006/relationships/hyperlink" Target="https://maxmobiles.ru/proshivka-bez-rezervnoy-kopii-iphone-11/" TargetMode="External"/><Relationship Id="rId313" Type="http://schemas.openxmlformats.org/officeDocument/2006/relationships/hyperlink" Target="https://maxmobiles.ru/razem-zaryadki-zamena-iphone-13-pro-max/" TargetMode="External"/><Relationship Id="rId555" Type="http://schemas.openxmlformats.org/officeDocument/2006/relationships/hyperlink" Target="https://maxmobiles.ru/knopka-vkl-power-zamena-remont-iphone-x/" TargetMode="External"/><Relationship Id="rId797" Type="http://schemas.openxmlformats.org/officeDocument/2006/relationships/hyperlink" Target="https://maxmobiles.ru/knopka-vkl-power-zamena-remont-iphone-5s-5c-se/" TargetMode="External"/><Relationship Id="rId319" Type="http://schemas.openxmlformats.org/officeDocument/2006/relationships/hyperlink" Target="https://maxmobiles.ru/kamera-zamena-razbitogo-stekla-1sht-iphone-13-pro-max/" TargetMode="External"/><Relationship Id="rId318" Type="http://schemas.openxmlformats.org/officeDocument/2006/relationships/hyperlink" Target="https://maxmobiles.ru/qwerty-ru-142/" TargetMode="External"/><Relationship Id="rId317" Type="http://schemas.openxmlformats.org/officeDocument/2006/relationships/hyperlink" Target="https://maxmobiles.ru/kamera-osnovnaya-zamena-iphone-13-pro-max/" TargetMode="External"/><Relationship Id="rId559" Type="http://schemas.openxmlformats.org/officeDocument/2006/relationships/hyperlink" Target="https://maxmobiles.ru/displey-kopiya-aaa-zamena-iphone-xr/?action=preview" TargetMode="External"/><Relationship Id="rId550" Type="http://schemas.openxmlformats.org/officeDocument/2006/relationships/hyperlink" Target="https://maxmobiles.ru/dinamik-razgovornyy-verhniy-iphone-x/" TargetMode="External"/><Relationship Id="rId792" Type="http://schemas.openxmlformats.org/officeDocument/2006/relationships/hyperlink" Target="https://maxmobiles.ru/dinamik-razgovornyy-verhniy-iphone-5s-5c-se/" TargetMode="External"/><Relationship Id="rId791" Type="http://schemas.openxmlformats.org/officeDocument/2006/relationships/hyperlink" Target="https://maxmobiles.ru/dinamik-vyzova-zvonok-gromkaya-svyaz-zamena-iphone-5s-5c-se/" TargetMode="External"/><Relationship Id="rId790" Type="http://schemas.openxmlformats.org/officeDocument/2006/relationships/hyperlink" Target="https://maxmobiles.ru/mikrofon-odin-iz-zamena-iphone-5s-5c-se/" TargetMode="External"/><Relationship Id="rId312" Type="http://schemas.openxmlformats.org/officeDocument/2006/relationships/hyperlink" Target="https://maxmobiles.ru/akkumulyator-zamena-iphone-13-pro-max/" TargetMode="External"/><Relationship Id="rId554" Type="http://schemas.openxmlformats.org/officeDocument/2006/relationships/hyperlink" Target="https://maxmobiles.ru/qwerty-ru-574/" TargetMode="External"/><Relationship Id="rId796" Type="http://schemas.openxmlformats.org/officeDocument/2006/relationships/hyperlink" Target="https://maxmobiles.ru/korpus-kopiya-vysokoe-kachestvo-zamena-iphone-5s-5c-se/" TargetMode="External"/><Relationship Id="rId311" Type="http://schemas.openxmlformats.org/officeDocument/2006/relationships/hyperlink" Target="https://maxmobiles.ru/profilaktika-posle-vody-cena-ot-iphone-13-pro-max/" TargetMode="External"/><Relationship Id="rId553" Type="http://schemas.openxmlformats.org/officeDocument/2006/relationships/hyperlink" Target="https://maxmobiles.ru/kamera-zamena-razbitogo-stekla-1sht-iphone-x/" TargetMode="External"/><Relationship Id="rId795" Type="http://schemas.openxmlformats.org/officeDocument/2006/relationships/hyperlink" Target="https://maxmobiles.ru/kamera-zamena-razbitogo-stekla-1sht-iphone-5s-5c-se/" TargetMode="External"/><Relationship Id="rId310" Type="http://schemas.openxmlformats.org/officeDocument/2006/relationships/hyperlink" Target="https://maxmobiles.ru/zadnyaya-kryshka-zamena-stekla-iphone-13-pro-max/" TargetMode="External"/><Relationship Id="rId552" Type="http://schemas.openxmlformats.org/officeDocument/2006/relationships/hyperlink" Target="https://maxmobiles.ru/kamera-frontalnaya-perednyaya-zamena-iphone-x/" TargetMode="External"/><Relationship Id="rId794" Type="http://schemas.openxmlformats.org/officeDocument/2006/relationships/hyperlink" Target="https://maxmobiles.ru/kamera-frontalnaya-perednyaya-zamena-iphone-5s-5c-se/" TargetMode="External"/><Relationship Id="rId551" Type="http://schemas.openxmlformats.org/officeDocument/2006/relationships/hyperlink" Target="https://maxmobiles.ru/kamera-osnovnaya-zamena-iphone-x/" TargetMode="External"/><Relationship Id="rId793" Type="http://schemas.openxmlformats.org/officeDocument/2006/relationships/hyperlink" Target="https://maxmobiles.ru/kamera-osnovnaya-zamena-iphone-5s-5c-se/" TargetMode="External"/><Relationship Id="rId297" Type="http://schemas.openxmlformats.org/officeDocument/2006/relationships/hyperlink" Target="https://maxmobiles.ru/dinamik-vyzova-zvonok-gromkaya-svyaz-zamena-iphone-14/" TargetMode="External"/><Relationship Id="rId296" Type="http://schemas.openxmlformats.org/officeDocument/2006/relationships/hyperlink" Target="https://maxmobiles.ru/qwerty-ru-30/" TargetMode="External"/><Relationship Id="rId295" Type="http://schemas.openxmlformats.org/officeDocument/2006/relationships/hyperlink" Target="https://maxmobiles.ru/razem-zaryadki-zamena-iphone-14/" TargetMode="External"/><Relationship Id="rId294" Type="http://schemas.openxmlformats.org/officeDocument/2006/relationships/hyperlink" Target="https://maxmobiles.ru/akkumulyator-zamena-iphone-14/" TargetMode="External"/><Relationship Id="rId299" Type="http://schemas.openxmlformats.org/officeDocument/2006/relationships/hyperlink" Target="https://maxmobiles.ru/kamera-osnovnaya-zamena-iphone-14/" TargetMode="External"/><Relationship Id="rId298" Type="http://schemas.openxmlformats.org/officeDocument/2006/relationships/hyperlink" Target="https://maxmobiles.ru/dinamik-razgovornyy-verhniy-iphone-14/" TargetMode="External"/><Relationship Id="rId271" Type="http://schemas.openxmlformats.org/officeDocument/2006/relationships/hyperlink" Target="https://maxmobiles.ru/displey-zamena-razbitogo-stekla-vosstanovlenie-iphone-14-plus/" TargetMode="External"/><Relationship Id="rId270" Type="http://schemas.openxmlformats.org/officeDocument/2006/relationships/hyperlink" Target="https://maxmobiles.ru/face-id-remont-vosstanovlenie-zamena-iphone-14-pro/" TargetMode="External"/><Relationship Id="rId269" Type="http://schemas.openxmlformats.org/officeDocument/2006/relationships/hyperlink" Target="https://maxmobiles.ru/remont-platy-iphone-14-pro/" TargetMode="External"/><Relationship Id="rId264" Type="http://schemas.openxmlformats.org/officeDocument/2006/relationships/hyperlink" Target="https://maxmobiles.ru/kamera-frontalnaya-perednyaya-zamena-iphone-14-pro/" TargetMode="External"/><Relationship Id="rId263" Type="http://schemas.openxmlformats.org/officeDocument/2006/relationships/hyperlink" Target="https://maxmobiles.ru/kamera-osnovnaya-zamena-iphone-14-pro/" TargetMode="External"/><Relationship Id="rId262" Type="http://schemas.openxmlformats.org/officeDocument/2006/relationships/hyperlink" Target="https://maxmobiles.ru/dinamik-razgovornyy-verhniy-iphone-14-pro/" TargetMode="External"/><Relationship Id="rId261" Type="http://schemas.openxmlformats.org/officeDocument/2006/relationships/hyperlink" Target="https://maxmobiles.ru/dinamik-nizhniy-zvonok-gromkaya-svyaz-zamena-iphone-14-pro/" TargetMode="External"/><Relationship Id="rId268" Type="http://schemas.openxmlformats.org/officeDocument/2006/relationships/hyperlink" Target="https://maxmobiles.ru/proshivka-bez-rezervnoy-kopii-iphone-11/" TargetMode="External"/><Relationship Id="rId267" Type="http://schemas.openxmlformats.org/officeDocument/2006/relationships/hyperlink" Target="https://maxmobiles.ru/knopka-vkl-power-zamena-remont-iphone-14-pro/" TargetMode="External"/><Relationship Id="rId266" Type="http://schemas.openxmlformats.org/officeDocument/2006/relationships/hyperlink" Target="https://maxmobiles.ru/korpus-kopiya-vysokoe-kachestvo-zamena-iphone-14-pro/" TargetMode="External"/><Relationship Id="rId265" Type="http://schemas.openxmlformats.org/officeDocument/2006/relationships/hyperlink" Target="https://maxmobiles.ru/kamera-zamena-razbitogo-stekla-1sht-iphone-14-pro/" TargetMode="External"/><Relationship Id="rId260" Type="http://schemas.openxmlformats.org/officeDocument/2006/relationships/hyperlink" Target="https://maxmobiles.ru/mikrofon-odin-iz-zamena-iphone-14-pro/" TargetMode="External"/><Relationship Id="rId259" Type="http://schemas.openxmlformats.org/officeDocument/2006/relationships/hyperlink" Target="https://maxmobiles.ru/razem-zaryadki-zamena-iphone-14-pro/" TargetMode="External"/><Relationship Id="rId258" Type="http://schemas.openxmlformats.org/officeDocument/2006/relationships/hyperlink" Target="https://maxmobiles.ru/akkumulyator-zamena-iphone-14-pro/" TargetMode="External"/><Relationship Id="rId253" Type="http://schemas.openxmlformats.org/officeDocument/2006/relationships/hyperlink" Target="https://maxmobiles.ru/displey-zamena-razbitogo-stekla-vosstanovlenie-iphone-14-pro/" TargetMode="External"/><Relationship Id="rId495" Type="http://schemas.openxmlformats.org/officeDocument/2006/relationships/hyperlink" Target="https://maxmobiles.ru/dinamik-vyzova-zvonok-gromkaya-svyaz-zamena-iphone-11/" TargetMode="External"/><Relationship Id="rId252" Type="http://schemas.openxmlformats.org/officeDocument/2006/relationships/hyperlink" Target="https://maxmobiles.ru/face-id-remont-vosstanovlenie-zamena-iphone-14-pro-max/" TargetMode="External"/><Relationship Id="rId494" Type="http://schemas.openxmlformats.org/officeDocument/2006/relationships/hyperlink" Target="https://maxmobiles.ru/mikrofon-odin-iz-zamena-iphone-11/" TargetMode="External"/><Relationship Id="rId251" Type="http://schemas.openxmlformats.org/officeDocument/2006/relationships/hyperlink" Target="https://maxmobiles.ru/remont-platy-iphone-14-pro-max/" TargetMode="External"/><Relationship Id="rId493" Type="http://schemas.openxmlformats.org/officeDocument/2006/relationships/hyperlink" Target="https://maxmobiles.ru/razem-zaryadki-zamena-iphone-11/" TargetMode="External"/><Relationship Id="rId250" Type="http://schemas.openxmlformats.org/officeDocument/2006/relationships/hyperlink" Target="https://maxmobiles.ru/proshivka-bez-rezervnoy-kopii-iphone-11/" TargetMode="External"/><Relationship Id="rId492" Type="http://schemas.openxmlformats.org/officeDocument/2006/relationships/hyperlink" Target="https://maxmobiles.ru/akkumulyator-zamena-iphone-11/" TargetMode="External"/><Relationship Id="rId257" Type="http://schemas.openxmlformats.org/officeDocument/2006/relationships/hyperlink" Target="https://maxmobiles.ru/profilaktika-posle-vody-cena-ot-iphone-14-pro/" TargetMode="External"/><Relationship Id="rId499" Type="http://schemas.openxmlformats.org/officeDocument/2006/relationships/hyperlink" Target="https://maxmobiles.ru/kamera-zamena-razbitogo-stekla-1sht-iphone-11/" TargetMode="External"/><Relationship Id="rId256" Type="http://schemas.openxmlformats.org/officeDocument/2006/relationships/hyperlink" Target="https://maxmobiles.ru/zadnyaya-kryshka-zamena-stekla-iphone-14-pro/" TargetMode="External"/><Relationship Id="rId498" Type="http://schemas.openxmlformats.org/officeDocument/2006/relationships/hyperlink" Target="https://maxmobiles.ru/kamera-frontalnaya-perednyaya-zamena-iphone-11/" TargetMode="External"/><Relationship Id="rId255" Type="http://schemas.openxmlformats.org/officeDocument/2006/relationships/hyperlink" Target="https://maxmobiles.ru/displey-original-zamena-iphone-14-pro/" TargetMode="External"/><Relationship Id="rId497" Type="http://schemas.openxmlformats.org/officeDocument/2006/relationships/hyperlink" Target="https://maxmobiles.ru/kamera-osnovnaya-zamena-iphone-11/" TargetMode="External"/><Relationship Id="rId254" Type="http://schemas.openxmlformats.org/officeDocument/2006/relationships/hyperlink" Target="https://maxmobiles.ru/displey-kopiya-aaa-zamena-iphone-14-pro/?action=preview" TargetMode="External"/><Relationship Id="rId496" Type="http://schemas.openxmlformats.org/officeDocument/2006/relationships/hyperlink" Target="https://maxmobiles.ru/dinamik-razgovornyy-verhniy-iphone-11/" TargetMode="External"/><Relationship Id="rId293" Type="http://schemas.openxmlformats.org/officeDocument/2006/relationships/hyperlink" Target="https://maxmobiles.ru/profilaktika-posle-vody-cena-ot-iphone-14/" TargetMode="External"/><Relationship Id="rId292" Type="http://schemas.openxmlformats.org/officeDocument/2006/relationships/hyperlink" Target="https://maxmobiles.ru/zadnyaya-kryshka-zamena-stekla-iphone-14/" TargetMode="External"/><Relationship Id="rId291" Type="http://schemas.openxmlformats.org/officeDocument/2006/relationships/hyperlink" Target="https://maxmobiles.ru/displey-original-zamena-iphone-14/" TargetMode="External"/><Relationship Id="rId290" Type="http://schemas.openxmlformats.org/officeDocument/2006/relationships/hyperlink" Target="https://maxmobiles.ru/zamena-displeya-iphone-14-kopiya-vysochayshego-kachestva/?action=preview" TargetMode="External"/><Relationship Id="rId286" Type="http://schemas.openxmlformats.org/officeDocument/2006/relationships/hyperlink" Target="https://maxmobiles.ru/proshivka-bez-rezervnoy-kopii-iphone-11/" TargetMode="External"/><Relationship Id="rId285" Type="http://schemas.openxmlformats.org/officeDocument/2006/relationships/hyperlink" Target="https://maxmobiles.ru/knopka-vkl-power-zamena-remont-iphone-14-plus/" TargetMode="External"/><Relationship Id="rId284" Type="http://schemas.openxmlformats.org/officeDocument/2006/relationships/hyperlink" Target="https://maxmobiles.ru/qwerty-ru-79/" TargetMode="External"/><Relationship Id="rId283" Type="http://schemas.openxmlformats.org/officeDocument/2006/relationships/hyperlink" Target="https://maxmobiles.ru/kamera-zamena-razbitogo-stekla-1sht-iphone-14-plus/" TargetMode="External"/><Relationship Id="rId289" Type="http://schemas.openxmlformats.org/officeDocument/2006/relationships/hyperlink" Target="https://maxmobiles.ru/zamena-stekla-iphone-14/" TargetMode="External"/><Relationship Id="rId288" Type="http://schemas.openxmlformats.org/officeDocument/2006/relationships/hyperlink" Target="https://maxmobiles.ru/qwerty-ru-82/" TargetMode="External"/><Relationship Id="rId287" Type="http://schemas.openxmlformats.org/officeDocument/2006/relationships/hyperlink" Target="https://maxmobiles.ru/remont-platy-iphone-14-plus/" TargetMode="External"/><Relationship Id="rId282" Type="http://schemas.openxmlformats.org/officeDocument/2006/relationships/hyperlink" Target="https://maxmobiles.ru/qwerty-ru-78/" TargetMode="External"/><Relationship Id="rId281" Type="http://schemas.openxmlformats.org/officeDocument/2006/relationships/hyperlink" Target="https://maxmobiles.ru/kamera-osnovnaya-zamena-iphone-14-plus/" TargetMode="External"/><Relationship Id="rId280" Type="http://schemas.openxmlformats.org/officeDocument/2006/relationships/hyperlink" Target="https://maxmobiles.ru/dinamik-razgovornyy-verhniy-iphone-14-plus/" TargetMode="External"/><Relationship Id="rId275" Type="http://schemas.openxmlformats.org/officeDocument/2006/relationships/hyperlink" Target="https://maxmobiles.ru/profilaktika-posle-vody-cena-ot-iphone-14-plus/" TargetMode="External"/><Relationship Id="rId274" Type="http://schemas.openxmlformats.org/officeDocument/2006/relationships/hyperlink" Target="https://maxmobiles.ru/qwerty-ru-73/" TargetMode="External"/><Relationship Id="rId273" Type="http://schemas.openxmlformats.org/officeDocument/2006/relationships/hyperlink" Target="https://maxmobiles.ru/displey-original-zamena-iphone-14-plus/" TargetMode="External"/><Relationship Id="rId272" Type="http://schemas.openxmlformats.org/officeDocument/2006/relationships/hyperlink" Target="https://maxmobiles.ru/zamena-displeya-iphone-14-plus-kopiya-vysochayshego-kachestva/?action=preview" TargetMode="External"/><Relationship Id="rId279" Type="http://schemas.openxmlformats.org/officeDocument/2006/relationships/hyperlink" Target="https://maxmobiles.ru/dinamik-vyzova-zvonok-gromkaya-svyaz-zamena-iphone-14-plus/" TargetMode="External"/><Relationship Id="rId278" Type="http://schemas.openxmlformats.org/officeDocument/2006/relationships/hyperlink" Target="https://maxmobiles.ru/qwerty-ru-72/" TargetMode="External"/><Relationship Id="rId277" Type="http://schemas.openxmlformats.org/officeDocument/2006/relationships/hyperlink" Target="https://maxmobiles.ru/razem-zaryadki-zamena-iphone-14-plus/" TargetMode="External"/><Relationship Id="rId276" Type="http://schemas.openxmlformats.org/officeDocument/2006/relationships/hyperlink" Target="https://maxmobiles.ru/akkumulyator-zamena-iphone-14-plus/" TargetMode="External"/><Relationship Id="rId629" Type="http://schemas.openxmlformats.org/officeDocument/2006/relationships/hyperlink" Target="https://maxmobiles.ru/displey-original-zamena-iphone-8-se20/" TargetMode="External"/><Relationship Id="rId624" Type="http://schemas.openxmlformats.org/officeDocument/2006/relationships/hyperlink" Target="https://maxmobiles.ru/knopka-vkl-power-zamena-remont-iphone-8-plus/" TargetMode="External"/><Relationship Id="rId623" Type="http://schemas.openxmlformats.org/officeDocument/2006/relationships/hyperlink" Target="https://maxmobiles.ru/korpus-kopiya-vysokoe-kachestvo-zamena-iphone-8-plus/" TargetMode="External"/><Relationship Id="rId622" Type="http://schemas.openxmlformats.org/officeDocument/2006/relationships/hyperlink" Target="https://maxmobiles.ru/kamera-zamena-razbitogo-stekla-1sht-iphone-8-plus/" TargetMode="External"/><Relationship Id="rId621" Type="http://schemas.openxmlformats.org/officeDocument/2006/relationships/hyperlink" Target="https://maxmobiles.ru/kamera-frontalnaya-perednyaya-zamena-iphone-8-plus/" TargetMode="External"/><Relationship Id="rId628" Type="http://schemas.openxmlformats.org/officeDocument/2006/relationships/hyperlink" Target="https://maxmobiles.ru/displey-kopiya-aaa-zamena-iphone-8-se20/?action=preview" TargetMode="External"/><Relationship Id="rId627" Type="http://schemas.openxmlformats.org/officeDocument/2006/relationships/hyperlink" Target="https://maxmobiles.ru/displey-zamena-razbitogo-stekla-vosstanovlenie-iphone-8-se20/" TargetMode="External"/><Relationship Id="rId626" Type="http://schemas.openxmlformats.org/officeDocument/2006/relationships/hyperlink" Target="https://maxmobiles.ru/remont-platy-iphone-8-plus/" TargetMode="External"/><Relationship Id="rId625" Type="http://schemas.openxmlformats.org/officeDocument/2006/relationships/hyperlink" Target="https://maxmobiles.ru/proshivka-bez-rezervnoy-kopii-iphone-11/" TargetMode="External"/><Relationship Id="rId620" Type="http://schemas.openxmlformats.org/officeDocument/2006/relationships/hyperlink" Target="https://maxmobiles.ru/kamera-osnovnaya-zamena-iphone-8-plus/" TargetMode="External"/><Relationship Id="rId619" Type="http://schemas.openxmlformats.org/officeDocument/2006/relationships/hyperlink" Target="https://maxmobiles.ru/dinamik-razgovornyy-verhniy-iphone-8-plus/" TargetMode="External"/><Relationship Id="rId618" Type="http://schemas.openxmlformats.org/officeDocument/2006/relationships/hyperlink" Target="https://maxmobiles.ru/dinamik-vyzova-zvonok-gromkaya-svyaz-zamena-iphone-xr-ru/" TargetMode="External"/><Relationship Id="rId613" Type="http://schemas.openxmlformats.org/officeDocument/2006/relationships/hyperlink" Target="https://maxmobiles.ru/zadnyaya-kryshka-zamena-stekla-iphone-8-plus/" TargetMode="External"/><Relationship Id="rId612" Type="http://schemas.openxmlformats.org/officeDocument/2006/relationships/hyperlink" Target="https://maxmobiles.ru/displey-original-zamena-iphone-8-plus/" TargetMode="External"/><Relationship Id="rId611" Type="http://schemas.openxmlformats.org/officeDocument/2006/relationships/hyperlink" Target="https://maxmobiles.ru/displey-kopiya-aaa-zamena-iphone-8-plus/?action=preview" TargetMode="External"/><Relationship Id="rId610" Type="http://schemas.openxmlformats.org/officeDocument/2006/relationships/hyperlink" Target="https://maxmobiles.ru/displey-zamena-razbitogo-stekla-vosstanovlenie-iphone-8-plus/" TargetMode="External"/><Relationship Id="rId617" Type="http://schemas.openxmlformats.org/officeDocument/2006/relationships/hyperlink" Target="https://maxmobiles.ru/mikrofon-odin-iz-zamena-iphone-8-plus/" TargetMode="External"/><Relationship Id="rId616" Type="http://schemas.openxmlformats.org/officeDocument/2006/relationships/hyperlink" Target="https://maxmobiles.ru/razem-zaryadki-zamena-iphone-8-plus/" TargetMode="External"/><Relationship Id="rId615" Type="http://schemas.openxmlformats.org/officeDocument/2006/relationships/hyperlink" Target="https://maxmobiles.ru/akkumulyator-zamena-iphone-8-plus/" TargetMode="External"/><Relationship Id="rId614" Type="http://schemas.openxmlformats.org/officeDocument/2006/relationships/hyperlink" Target="https://maxmobiles.ru/profilaktika-posle-vody-cena-ot-iphone-8-plus/" TargetMode="External"/><Relationship Id="rId409" Type="http://schemas.openxmlformats.org/officeDocument/2006/relationships/hyperlink" Target="https://maxmobiles.ru/kamera-zamena-razbitogo-stekla-1sht-iphone-12-pro/" TargetMode="External"/><Relationship Id="rId404" Type="http://schemas.openxmlformats.org/officeDocument/2006/relationships/hyperlink" Target="https://maxmobiles.ru/mikrofon-odin-iz-zamena-iphone-12-pro/" TargetMode="External"/><Relationship Id="rId646" Type="http://schemas.openxmlformats.org/officeDocument/2006/relationships/hyperlink" Target="https://maxmobiles.ru/displey-original-zamena-iphone-7-plus/" TargetMode="External"/><Relationship Id="rId403" Type="http://schemas.openxmlformats.org/officeDocument/2006/relationships/hyperlink" Target="https://maxmobiles.ru/razem-zaryadki-zamena-iphone-12-pro/" TargetMode="External"/><Relationship Id="rId645" Type="http://schemas.openxmlformats.org/officeDocument/2006/relationships/hyperlink" Target="https://maxmobiles.ru/displey-kopiya-aaa-zamena-iphone-7-plus/?action=preview" TargetMode="External"/><Relationship Id="rId402" Type="http://schemas.openxmlformats.org/officeDocument/2006/relationships/hyperlink" Target="https://maxmobiles.ru/akkumulyator-zamena-iphone-12-pro/" TargetMode="External"/><Relationship Id="rId644" Type="http://schemas.openxmlformats.org/officeDocument/2006/relationships/hyperlink" Target="https://maxmobiles.ru/displey-zamena-razbitogo-stekla-vosstanovlenie-iphone-7-plus/" TargetMode="External"/><Relationship Id="rId401" Type="http://schemas.openxmlformats.org/officeDocument/2006/relationships/hyperlink" Target="https://maxmobiles.ru/profilaktika-posle-vody-cena-ot-iphone-12-pro/" TargetMode="External"/><Relationship Id="rId643" Type="http://schemas.openxmlformats.org/officeDocument/2006/relationships/hyperlink" Target="https://maxmobiles.ru/remont-platy-iphone-8-se2020/" TargetMode="External"/><Relationship Id="rId408" Type="http://schemas.openxmlformats.org/officeDocument/2006/relationships/hyperlink" Target="https://maxmobiles.ru/kamera-frontalnaya-perednyaya-zamena-iphone-12-pro/" TargetMode="External"/><Relationship Id="rId407" Type="http://schemas.openxmlformats.org/officeDocument/2006/relationships/hyperlink" Target="https://maxmobiles.ru/kamera-osnovnaya-zamena-iphone-12-pro/" TargetMode="External"/><Relationship Id="rId649" Type="http://schemas.openxmlformats.org/officeDocument/2006/relationships/hyperlink" Target="https://maxmobiles.ru/razem-zaryadki-zamena-iphone-7-plus/" TargetMode="External"/><Relationship Id="rId406" Type="http://schemas.openxmlformats.org/officeDocument/2006/relationships/hyperlink" Target="https://maxmobiles.ru/dinamik-razgovornyy-verhniy-iphone-12-pro/" TargetMode="External"/><Relationship Id="rId648" Type="http://schemas.openxmlformats.org/officeDocument/2006/relationships/hyperlink" Target="https://maxmobiles.ru/akkumulyator-zamena-iphone-7-plus/" TargetMode="External"/><Relationship Id="rId405" Type="http://schemas.openxmlformats.org/officeDocument/2006/relationships/hyperlink" Target="https://maxmobiles.ru/dinamik-vyzova-zvonok-gromkaya-svyaz-zamena-iphone-12-pro/" TargetMode="External"/><Relationship Id="rId647" Type="http://schemas.openxmlformats.org/officeDocument/2006/relationships/hyperlink" Target="https://maxmobiles.ru/profilaktika-posle-vody-cena-ot-iphone-7-plus/" TargetMode="External"/><Relationship Id="rId400" Type="http://schemas.openxmlformats.org/officeDocument/2006/relationships/hyperlink" Target="https://maxmobiles.ru/zadnyaya-kryshka-zamena-stekla-iphone-12-pro/" TargetMode="External"/><Relationship Id="rId642" Type="http://schemas.openxmlformats.org/officeDocument/2006/relationships/hyperlink" Target="https://maxmobiles.ru/proshivka-bez-rezervnoy-kopii-iphone-11/" TargetMode="External"/><Relationship Id="rId641" Type="http://schemas.openxmlformats.org/officeDocument/2006/relationships/hyperlink" Target="https://maxmobiles.ru/knopka-vkl-power-zamena-remont-iphone-8-se20/" TargetMode="External"/><Relationship Id="rId640" Type="http://schemas.openxmlformats.org/officeDocument/2006/relationships/hyperlink" Target="https://maxmobiles.ru/korpus-kopiya-vysokoe-kachestvo-zamena-iphone-8-se20/" TargetMode="External"/><Relationship Id="rId635" Type="http://schemas.openxmlformats.org/officeDocument/2006/relationships/hyperlink" Target="https://maxmobiles.ru/dinamik-vyzova-zvonok-gromkaya-svyaz-zamena-iphone-8-se20/" TargetMode="External"/><Relationship Id="rId634" Type="http://schemas.openxmlformats.org/officeDocument/2006/relationships/hyperlink" Target="https://maxmobiles.ru/mikrofon-odin-iz-zamena-iphone-8-se20/" TargetMode="External"/><Relationship Id="rId633" Type="http://schemas.openxmlformats.org/officeDocument/2006/relationships/hyperlink" Target="https://maxmobiles.ru/razem-zaryadki-zamena-iphone-8-se20/" TargetMode="External"/><Relationship Id="rId632" Type="http://schemas.openxmlformats.org/officeDocument/2006/relationships/hyperlink" Target="https://maxmobiles.ru/akkumulyator-zamena-iphone-8-se20/" TargetMode="External"/><Relationship Id="rId639" Type="http://schemas.openxmlformats.org/officeDocument/2006/relationships/hyperlink" Target="https://maxmobiles.ru/kamera-zamena-razbitogo-stekla-1sht-iphone-8-se20/" TargetMode="External"/><Relationship Id="rId638" Type="http://schemas.openxmlformats.org/officeDocument/2006/relationships/hyperlink" Target="https://maxmobiles.ru/kamera-frontalnaya-perednyaya-zamena-iphone-8-se20/" TargetMode="External"/><Relationship Id="rId637" Type="http://schemas.openxmlformats.org/officeDocument/2006/relationships/hyperlink" Target="https://maxmobiles.ru/kamera-osnovnaya-zamena-iphone-8-se20/" TargetMode="External"/><Relationship Id="rId636" Type="http://schemas.openxmlformats.org/officeDocument/2006/relationships/hyperlink" Target="https://maxmobiles.ru/dinamik-razgovornyy-verhniy-iphone-8-se20/" TargetMode="External"/><Relationship Id="rId631" Type="http://schemas.openxmlformats.org/officeDocument/2006/relationships/hyperlink" Target="https://maxmobiles.ru/profilaktika-posle-vody-cena-ot-iphone-8-se20/" TargetMode="External"/><Relationship Id="rId630" Type="http://schemas.openxmlformats.org/officeDocument/2006/relationships/hyperlink" Target="https://maxmobiles.ru/zadnyaya-kryshka-zamena-stekla-iphone-8-se20/" TargetMode="External"/><Relationship Id="rId609" Type="http://schemas.openxmlformats.org/officeDocument/2006/relationships/hyperlink" Target="https://maxmobiles.ru/remont-platy-iphone-se-2020/" TargetMode="External"/><Relationship Id="rId608" Type="http://schemas.openxmlformats.org/officeDocument/2006/relationships/hyperlink" Target="https://maxmobiles.ru/proshivka-bez-rezervnoy-kopii-iphone-11/" TargetMode="External"/><Relationship Id="rId607" Type="http://schemas.openxmlformats.org/officeDocument/2006/relationships/hyperlink" Target="https://maxmobiles.ru/zamena-knopok-iphone-se-2020/" TargetMode="External"/><Relationship Id="rId602" Type="http://schemas.openxmlformats.org/officeDocument/2006/relationships/hyperlink" Target="https://maxmobiles.ru/zamena-dinamika-iphone-se-2020/" TargetMode="External"/><Relationship Id="rId601" Type="http://schemas.openxmlformats.org/officeDocument/2006/relationships/hyperlink" Target="https://maxmobiles.ru/zamena-dinamika-gromkoy-svyazi-iphone-se-2020/" TargetMode="External"/><Relationship Id="rId600" Type="http://schemas.openxmlformats.org/officeDocument/2006/relationships/hyperlink" Target="https://maxmobiles.ru/zamena-mikrofona-iphone-se-2020/" TargetMode="External"/><Relationship Id="rId606" Type="http://schemas.openxmlformats.org/officeDocument/2006/relationships/hyperlink" Target="https://maxmobiles.ru/zamena-korpusa-iphone-se-2020/" TargetMode="External"/><Relationship Id="rId605" Type="http://schemas.openxmlformats.org/officeDocument/2006/relationships/hyperlink" Target="https://maxmobiles.ru/zamena-stekla-kamery-iphone-se-2020/" TargetMode="External"/><Relationship Id="rId604" Type="http://schemas.openxmlformats.org/officeDocument/2006/relationships/hyperlink" Target="https://maxmobiles.ru/zamena-frontalnoy-kamery-iphone-se-2020/" TargetMode="External"/><Relationship Id="rId603" Type="http://schemas.openxmlformats.org/officeDocument/2006/relationships/hyperlink" Target="https://maxmobiles.ru/zamena-osnovnoy-kamery-iphone-se-2020/" TargetMode="External"/><Relationship Id="rId228" Type="http://schemas.openxmlformats.org/officeDocument/2006/relationships/hyperlink" Target="https://maxmobiles.ru/kamera-frontalnaya-perednyaya-zamena-iphone-15/" TargetMode="External"/><Relationship Id="rId227" Type="http://schemas.openxmlformats.org/officeDocument/2006/relationships/hyperlink" Target="https://maxmobiles.ru/kamera-osnovnaya-zamena-iphone-15/" TargetMode="External"/><Relationship Id="rId469" Type="http://schemas.openxmlformats.org/officeDocument/2006/relationships/hyperlink" Target="https://maxmobiles.ru/displey-zamena-razbitogo-stekla-vosstanovlenie-iphone-11-pro/" TargetMode="External"/><Relationship Id="rId226" Type="http://schemas.openxmlformats.org/officeDocument/2006/relationships/hyperlink" Target="https://maxmobiles.ru/dinamik-razgovornyy-verhniy-iphone-15/" TargetMode="External"/><Relationship Id="rId468" Type="http://schemas.openxmlformats.org/officeDocument/2006/relationships/hyperlink" Target="https://maxmobiles.ru/face-id-remont-vosstanovlenie-zamena-iphone-11-pro-max/" TargetMode="External"/><Relationship Id="rId225" Type="http://schemas.openxmlformats.org/officeDocument/2006/relationships/hyperlink" Target="https://maxmobiles.ru/dinamik-vyzova-zvonok-gromkaya-svyaz-zamena-iphone-15/" TargetMode="External"/><Relationship Id="rId467" Type="http://schemas.openxmlformats.org/officeDocument/2006/relationships/hyperlink" Target="https://maxmobiles.ru/remont-platy-iphone-11-pro-max/" TargetMode="External"/><Relationship Id="rId229" Type="http://schemas.openxmlformats.org/officeDocument/2006/relationships/hyperlink" Target="https://maxmobiles.ru/kamera-zamena-razbitogo-stekla-1-sht-iphone-15/" TargetMode="External"/><Relationship Id="rId220" Type="http://schemas.openxmlformats.org/officeDocument/2006/relationships/hyperlink" Target="https://maxmobiles.ru/zadnyaya-kryshka-zamena-stekla-iphone-15/" TargetMode="External"/><Relationship Id="rId462" Type="http://schemas.openxmlformats.org/officeDocument/2006/relationships/hyperlink" Target="https://maxmobiles.ru/kamera-frontalnaya-perednyaya-zamena-iphone-11-pro-max/" TargetMode="External"/><Relationship Id="rId461" Type="http://schemas.openxmlformats.org/officeDocument/2006/relationships/hyperlink" Target="https://maxmobiles.ru/kamera-osnovnaya-zamena-iphone-11-pro-max/" TargetMode="External"/><Relationship Id="rId460" Type="http://schemas.openxmlformats.org/officeDocument/2006/relationships/hyperlink" Target="https://maxmobiles.ru/dinamik-razgovornyy-verhniy-iphone-11-pro-max/" TargetMode="External"/><Relationship Id="rId224" Type="http://schemas.openxmlformats.org/officeDocument/2006/relationships/hyperlink" Target="https://maxmobiles.ru/mikrofon-odin-iz-zamena-iphone-15/" TargetMode="External"/><Relationship Id="rId466" Type="http://schemas.openxmlformats.org/officeDocument/2006/relationships/hyperlink" Target="https://maxmobiles.ru/proshivka-bez-rezervnoy-kopii-iphone-11/" TargetMode="External"/><Relationship Id="rId223" Type="http://schemas.openxmlformats.org/officeDocument/2006/relationships/hyperlink" Target="https://maxmobiles.ru/razem-zaryadki-zamena-iphone-15/" TargetMode="External"/><Relationship Id="rId465" Type="http://schemas.openxmlformats.org/officeDocument/2006/relationships/hyperlink" Target="https://maxmobiles.ru/knopka-vkl-power-zamena-remont-iphone-11-pro-max/" TargetMode="External"/><Relationship Id="rId222" Type="http://schemas.openxmlformats.org/officeDocument/2006/relationships/hyperlink" Target="https://maxmobiles.ru/akkumulyator-zamena-iphone-15/" TargetMode="External"/><Relationship Id="rId464" Type="http://schemas.openxmlformats.org/officeDocument/2006/relationships/hyperlink" Target="https://maxmobiles.ru/korpus-kopiya-vysokoe-kachestvo-zamena-iphone-11-pro-max/" TargetMode="External"/><Relationship Id="rId221" Type="http://schemas.openxmlformats.org/officeDocument/2006/relationships/hyperlink" Target="https://maxmobiles.ru/profilaktika-posle-vody-cena-ot-iphone-15/" TargetMode="External"/><Relationship Id="rId463" Type="http://schemas.openxmlformats.org/officeDocument/2006/relationships/hyperlink" Target="https://maxmobiles.ru/kamera-zamena-razbitogo-stekla-1sht-iphone-11-pro-max/" TargetMode="External"/><Relationship Id="rId217" Type="http://schemas.openxmlformats.org/officeDocument/2006/relationships/hyperlink" Target="https://maxmobiles.ru/displey-zamena-razbitogo-stekla-iphone-15/" TargetMode="External"/><Relationship Id="rId459" Type="http://schemas.openxmlformats.org/officeDocument/2006/relationships/hyperlink" Target="https://maxmobiles.ru/dinamik-vyzova-zvonok-gromkaya-svyaz-zamena-iphone-11-pro-max/" TargetMode="External"/><Relationship Id="rId216" Type="http://schemas.openxmlformats.org/officeDocument/2006/relationships/hyperlink" Target="https://maxmobiles.ru/face-id-remont-vostanovlenie-zamena-iphone-15-plus/" TargetMode="External"/><Relationship Id="rId458" Type="http://schemas.openxmlformats.org/officeDocument/2006/relationships/hyperlink" Target="https://maxmobiles.ru/mikrofon-odin-iz-zamena-iphone-11-pro-max/" TargetMode="External"/><Relationship Id="rId215" Type="http://schemas.openxmlformats.org/officeDocument/2006/relationships/hyperlink" Target="https://maxmobiles.ru/remont-platy-iphone-15-plus/" TargetMode="External"/><Relationship Id="rId457" Type="http://schemas.openxmlformats.org/officeDocument/2006/relationships/hyperlink" Target="https://maxmobiles.ru/razem-zaryadki-zamena-iphone-11-pro-max/" TargetMode="External"/><Relationship Id="rId699" Type="http://schemas.openxmlformats.org/officeDocument/2006/relationships/hyperlink" Target="https://maxmobiles.ru/dinamik-vyzova-zvonok-gromkaya-svyaz-zamena-iphone-6s/" TargetMode="External"/><Relationship Id="rId214" Type="http://schemas.openxmlformats.org/officeDocument/2006/relationships/hyperlink" Target="https://maxmobiles.ru/proshivka-bez-rezervnoy-kopii-iphone-11/" TargetMode="External"/><Relationship Id="rId456" Type="http://schemas.openxmlformats.org/officeDocument/2006/relationships/hyperlink" Target="https://maxmobiles.ru/akkumulyator-zamena-iphone-11-pro-max/" TargetMode="External"/><Relationship Id="rId698" Type="http://schemas.openxmlformats.org/officeDocument/2006/relationships/hyperlink" Target="https://maxmobiles.ru/mikrofon-odin-iz-zamena-iphone-6s/" TargetMode="External"/><Relationship Id="rId219" Type="http://schemas.openxmlformats.org/officeDocument/2006/relationships/hyperlink" Target="https://maxmobiles.ru/displey-original-zamena-iphone-15/" TargetMode="External"/><Relationship Id="rId218" Type="http://schemas.openxmlformats.org/officeDocument/2006/relationships/hyperlink" Target="https://maxmobiles.ru/zamena-displeya-iphone-15-kopiya/" TargetMode="External"/><Relationship Id="rId451" Type="http://schemas.openxmlformats.org/officeDocument/2006/relationships/hyperlink" Target="https://maxmobiles.ru/displey-zamena-razbitogo-stekla-vosstanovlenie-iphone-11-pro-max/" TargetMode="External"/><Relationship Id="rId693" Type="http://schemas.openxmlformats.org/officeDocument/2006/relationships/hyperlink" Target="https://maxmobiles.ru/displey-kopiya-aaa-zamena-iphone-6s/?action=preview" TargetMode="External"/><Relationship Id="rId450" Type="http://schemas.openxmlformats.org/officeDocument/2006/relationships/hyperlink" Target="https://maxmobiles.ru/face-id-remont-vosstanovlenie-zamena-iphone-12/" TargetMode="External"/><Relationship Id="rId692" Type="http://schemas.openxmlformats.org/officeDocument/2006/relationships/hyperlink" Target="https://maxmobiles.ru/displey-zamena-razbitogo-stekla-vosstanovlenie-iphone-6s/" TargetMode="External"/><Relationship Id="rId691" Type="http://schemas.openxmlformats.org/officeDocument/2006/relationships/hyperlink" Target="https://maxmobiles.ru/remont-platy-iphone-6s-plus/" TargetMode="External"/><Relationship Id="rId690" Type="http://schemas.openxmlformats.org/officeDocument/2006/relationships/hyperlink" Target="https://maxmobiles.ru/proshivka-bez-rezervnoy-kopii-iphone-11/" TargetMode="External"/><Relationship Id="rId213" Type="http://schemas.openxmlformats.org/officeDocument/2006/relationships/hyperlink" Target="https://maxmobiles.ru/knopka-vklyucheniya-zamena-remont-iphone-15-plus/" TargetMode="External"/><Relationship Id="rId455" Type="http://schemas.openxmlformats.org/officeDocument/2006/relationships/hyperlink" Target="https://maxmobiles.ru/profilaktika-posle-vody-cena-ot-iphone-11-pro-max/" TargetMode="External"/><Relationship Id="rId697" Type="http://schemas.openxmlformats.org/officeDocument/2006/relationships/hyperlink" Target="https://maxmobiles.ru/razem-zaryadki-zamena-iphone-6s/" TargetMode="External"/><Relationship Id="rId212" Type="http://schemas.openxmlformats.org/officeDocument/2006/relationships/hyperlink" Target="https://maxmobiles.ru/korpus-replika-snyatyy-zamena-iphone-15-plus/" TargetMode="External"/><Relationship Id="rId454" Type="http://schemas.openxmlformats.org/officeDocument/2006/relationships/hyperlink" Target="https://maxmobiles.ru/zadnyaya-kryshka-zamena-stekla-iphone-11-pro-max/" TargetMode="External"/><Relationship Id="rId696" Type="http://schemas.openxmlformats.org/officeDocument/2006/relationships/hyperlink" Target="https://maxmobiles.ru/akkumulyator-zamena-iphone-6s/" TargetMode="External"/><Relationship Id="rId211" Type="http://schemas.openxmlformats.org/officeDocument/2006/relationships/hyperlink" Target="https://maxmobiles.ru/kamera-zamena-razbitogo-stekla-1-sht-iphone-15-plus/" TargetMode="External"/><Relationship Id="rId453" Type="http://schemas.openxmlformats.org/officeDocument/2006/relationships/hyperlink" Target="https://maxmobiles.ru/displey-original-zamena-iphone-11-pro-max/" TargetMode="External"/><Relationship Id="rId695" Type="http://schemas.openxmlformats.org/officeDocument/2006/relationships/hyperlink" Target="https://maxmobiles.ru/profilaktika-posle-vody-cena-ot-iphone-6s/" TargetMode="External"/><Relationship Id="rId210" Type="http://schemas.openxmlformats.org/officeDocument/2006/relationships/hyperlink" Target="https://maxmobiles.ru/kamera-frontalnaya-perednyaya-zamena-iphone-15-plus/" TargetMode="External"/><Relationship Id="rId452" Type="http://schemas.openxmlformats.org/officeDocument/2006/relationships/hyperlink" Target="https://maxmobiles.ru/displey-kopiya-aaa-zamena-iphone-11-pro-max/?action=preview" TargetMode="External"/><Relationship Id="rId694" Type="http://schemas.openxmlformats.org/officeDocument/2006/relationships/hyperlink" Target="https://maxmobiles.ru/displey-original-zamena-iphone-6s/" TargetMode="External"/><Relationship Id="rId491" Type="http://schemas.openxmlformats.org/officeDocument/2006/relationships/hyperlink" Target="https://maxmobiles.ru/profilaktika-posle-vody-cena-ot-iphone-11/" TargetMode="External"/><Relationship Id="rId490" Type="http://schemas.openxmlformats.org/officeDocument/2006/relationships/hyperlink" Target="https://maxmobiles.ru/zadnyaya-kryshka-zamena-stekla-iphone-11/" TargetMode="External"/><Relationship Id="rId249" Type="http://schemas.openxmlformats.org/officeDocument/2006/relationships/hyperlink" Target="https://maxmobiles.ru/knopka-vkl-power-zamena-remont-iphone-14-pro-max/" TargetMode="External"/><Relationship Id="rId248" Type="http://schemas.openxmlformats.org/officeDocument/2006/relationships/hyperlink" Target="https://maxmobiles.ru/korpus-kopiya-vysokoe-kachestvo-zamena-iphone-14-pro-max/" TargetMode="External"/><Relationship Id="rId247" Type="http://schemas.openxmlformats.org/officeDocument/2006/relationships/hyperlink" Target="https://maxmobiles.ru/kamera-zamena-razbitogo-stekla-1sht-iphone-14-pro-max/" TargetMode="External"/><Relationship Id="rId489" Type="http://schemas.openxmlformats.org/officeDocument/2006/relationships/hyperlink" Target="https://maxmobiles.ru/displey-original-zamena-iphone-11/" TargetMode="External"/><Relationship Id="rId242" Type="http://schemas.openxmlformats.org/officeDocument/2006/relationships/hyperlink" Target="https://maxmobiles.ru/mikrofon-odin-iz-zamena-iphone-14-pro-max/" TargetMode="External"/><Relationship Id="rId484" Type="http://schemas.openxmlformats.org/officeDocument/2006/relationships/hyperlink" Target="https://maxmobiles.ru/proshivka-bez-rezervnoy-kopii-iphone-11/" TargetMode="External"/><Relationship Id="rId241" Type="http://schemas.openxmlformats.org/officeDocument/2006/relationships/hyperlink" Target="https://maxmobiles.ru/razem-zaryadki-zamena-iphone-14-pro-max/" TargetMode="External"/><Relationship Id="rId483" Type="http://schemas.openxmlformats.org/officeDocument/2006/relationships/hyperlink" Target="https://maxmobiles.ru/knopka-vkl-power-zamena-remont-iphone-11-pro/" TargetMode="External"/><Relationship Id="rId240" Type="http://schemas.openxmlformats.org/officeDocument/2006/relationships/hyperlink" Target="https://maxmobiles.ru/akkumulyator-zamena-iphone-14-pro-max/" TargetMode="External"/><Relationship Id="rId482" Type="http://schemas.openxmlformats.org/officeDocument/2006/relationships/hyperlink" Target="https://maxmobiles.ru/korpus-kopiya-vysokoe-kachestvo-zamena-iphone-11-pro/" TargetMode="External"/><Relationship Id="rId481" Type="http://schemas.openxmlformats.org/officeDocument/2006/relationships/hyperlink" Target="https://maxmobiles.ru/kamera-zamena-razbitogo-stekla-1sht-iphone-11-pro/" TargetMode="External"/><Relationship Id="rId246" Type="http://schemas.openxmlformats.org/officeDocument/2006/relationships/hyperlink" Target="https://maxmobiles.ru/kamera-frontalnaya-perednyaya-zamena-iphone-14-pro-max/" TargetMode="External"/><Relationship Id="rId488" Type="http://schemas.openxmlformats.org/officeDocument/2006/relationships/hyperlink" Target="https://maxmobiles.ru/displey-kopiya-aaa-zamena-iphone-11/?action=preview" TargetMode="External"/><Relationship Id="rId245" Type="http://schemas.openxmlformats.org/officeDocument/2006/relationships/hyperlink" Target="https://maxmobiles.ru/kamera-osnovnaya-zamena-iphone-14-pro-max/" TargetMode="External"/><Relationship Id="rId487" Type="http://schemas.openxmlformats.org/officeDocument/2006/relationships/hyperlink" Target="https://maxmobiles.ru/displey-zamena-razbitogo-stekla-vosstanovlenie-iphone-11/" TargetMode="External"/><Relationship Id="rId244" Type="http://schemas.openxmlformats.org/officeDocument/2006/relationships/hyperlink" Target="https://maxmobiles.ru/dinamik-razgovornyy-verhniy-iphone-14-pro-max/" TargetMode="External"/><Relationship Id="rId486" Type="http://schemas.openxmlformats.org/officeDocument/2006/relationships/hyperlink" Target="https://maxmobiles.ru/face-id-remont-vosstanovlenie-zamena-iphone-11-pro/" TargetMode="External"/><Relationship Id="rId243" Type="http://schemas.openxmlformats.org/officeDocument/2006/relationships/hyperlink" Target="https://maxmobiles.ru/dinamik-vyzova-zvonok-gromkaya-svyaz-zamena-iphone-14-pro-max/" TargetMode="External"/><Relationship Id="rId485" Type="http://schemas.openxmlformats.org/officeDocument/2006/relationships/hyperlink" Target="https://maxmobiles.ru/remont-platy-iphone-11-pro/" TargetMode="External"/><Relationship Id="rId480" Type="http://schemas.openxmlformats.org/officeDocument/2006/relationships/hyperlink" Target="https://maxmobiles.ru/kamera-frontalnaya-perednyaya-zamena-iphone-11-pro/" TargetMode="External"/><Relationship Id="rId239" Type="http://schemas.openxmlformats.org/officeDocument/2006/relationships/hyperlink" Target="https://maxmobiles.ru/profilaktika-posle-vody-cena-ot-iphone-14-pro-max/" TargetMode="External"/><Relationship Id="rId238" Type="http://schemas.openxmlformats.org/officeDocument/2006/relationships/hyperlink" Target="https://maxmobiles.ru/zadnyaya-kryshka-zamena-stekla-iphone-14-pro-max/" TargetMode="External"/><Relationship Id="rId237" Type="http://schemas.openxmlformats.org/officeDocument/2006/relationships/hyperlink" Target="https://maxmobiles.ru/displey-original-zamena-iphone-14-pro-max/" TargetMode="External"/><Relationship Id="rId479" Type="http://schemas.openxmlformats.org/officeDocument/2006/relationships/hyperlink" Target="https://maxmobiles.ru/kamera-osnovnaya-zamena-iphone-11-pro/" TargetMode="External"/><Relationship Id="rId236" Type="http://schemas.openxmlformats.org/officeDocument/2006/relationships/hyperlink" Target="https://maxmobiles.ru/displey-kopiya-aaa-zamena-iphone-14-pro-max/?action=preview" TargetMode="External"/><Relationship Id="rId478" Type="http://schemas.openxmlformats.org/officeDocument/2006/relationships/hyperlink" Target="https://maxmobiles.ru/dinamik-razgovornyy-verhniy-iphone-11-pro/" TargetMode="External"/><Relationship Id="rId231" Type="http://schemas.openxmlformats.org/officeDocument/2006/relationships/hyperlink" Target="https://maxmobiles.ru/knopka-vklyucheniya-zamena-remont-iphone-15/" TargetMode="External"/><Relationship Id="rId473" Type="http://schemas.openxmlformats.org/officeDocument/2006/relationships/hyperlink" Target="https://maxmobiles.ru/profilaktika-posle-vody-cena-ot-iphone-11-pro/" TargetMode="External"/><Relationship Id="rId230" Type="http://schemas.openxmlformats.org/officeDocument/2006/relationships/hyperlink" Target="https://maxmobiles.ru/korpus-replika-snyatyy-zamena-iphone-15/" TargetMode="External"/><Relationship Id="rId472" Type="http://schemas.openxmlformats.org/officeDocument/2006/relationships/hyperlink" Target="https://maxmobiles.ru/zadnyaya-kryshka-zamena-stekla-iphone-11-pro/" TargetMode="External"/><Relationship Id="rId471" Type="http://schemas.openxmlformats.org/officeDocument/2006/relationships/hyperlink" Target="https://maxmobiles.ru/displey-original-zamena-iphone-11-pro/" TargetMode="External"/><Relationship Id="rId470" Type="http://schemas.openxmlformats.org/officeDocument/2006/relationships/hyperlink" Target="https://maxmobiles.ru/displey-kopiya-aaa-zamena-iphone-11-pro/?action=preview" TargetMode="External"/><Relationship Id="rId235" Type="http://schemas.openxmlformats.org/officeDocument/2006/relationships/hyperlink" Target="https://maxmobiles.ru/displey-zamena-razbitogo-stekla-vosstanovlenie-iphone-14-pro-max/" TargetMode="External"/><Relationship Id="rId477" Type="http://schemas.openxmlformats.org/officeDocument/2006/relationships/hyperlink" Target="https://maxmobiles.ru/dinamik-vyzova-zvonok-gromkaya-svyaz-zamena-iphone-11-pro/" TargetMode="External"/><Relationship Id="rId234" Type="http://schemas.openxmlformats.org/officeDocument/2006/relationships/hyperlink" Target="https://maxmobiles.ru/face-id-remont-vostanovlenie-zamena-iphone-15/" TargetMode="External"/><Relationship Id="rId476" Type="http://schemas.openxmlformats.org/officeDocument/2006/relationships/hyperlink" Target="https://maxmobiles.ru/mikrofon-odin-iz-zamena-iphone-11-pro/" TargetMode="External"/><Relationship Id="rId233" Type="http://schemas.openxmlformats.org/officeDocument/2006/relationships/hyperlink" Target="https://maxmobiles.ru/remont-platy-iphone-15/" TargetMode="External"/><Relationship Id="rId475" Type="http://schemas.openxmlformats.org/officeDocument/2006/relationships/hyperlink" Target="https://maxmobiles.ru/razem-zaryadki-zamena-iphone-11-pro/" TargetMode="External"/><Relationship Id="rId232" Type="http://schemas.openxmlformats.org/officeDocument/2006/relationships/hyperlink" Target="https://maxmobiles.ru/proshivka-bez-rezervnoy-kopii-iphone-11/" TargetMode="External"/><Relationship Id="rId474" Type="http://schemas.openxmlformats.org/officeDocument/2006/relationships/hyperlink" Target="https://maxmobiles.ru/akkumulyator-zamena-iphone-11-pro/" TargetMode="External"/><Relationship Id="rId426" Type="http://schemas.openxmlformats.org/officeDocument/2006/relationships/hyperlink" Target="https://maxmobiles.ru/kamera-frontalnaya-perednyaya-zamena-iphone-12-mini/" TargetMode="External"/><Relationship Id="rId668" Type="http://schemas.openxmlformats.org/officeDocument/2006/relationships/hyperlink" Target="https://maxmobiles.ru/dinamik-razgovornyy-verhniy-iphone-7/" TargetMode="External"/><Relationship Id="rId425" Type="http://schemas.openxmlformats.org/officeDocument/2006/relationships/hyperlink" Target="https://maxmobiles.ru/kamera-osnovnaya-zamena-iphone-12-mini/" TargetMode="External"/><Relationship Id="rId667" Type="http://schemas.openxmlformats.org/officeDocument/2006/relationships/hyperlink" Target="https://maxmobiles.ru/dinamik-vyzova-zvonok-gromkaya-svyaz-zamena-iphone-7/" TargetMode="External"/><Relationship Id="rId424" Type="http://schemas.openxmlformats.org/officeDocument/2006/relationships/hyperlink" Target="https://maxmobiles.ru/dinamik-razgovornyy-verhniy-iphone-12-mini/" TargetMode="External"/><Relationship Id="rId666" Type="http://schemas.openxmlformats.org/officeDocument/2006/relationships/hyperlink" Target="https://maxmobiles.ru/mikrofon-odin-iz-zamena-iphone-7/" TargetMode="External"/><Relationship Id="rId423" Type="http://schemas.openxmlformats.org/officeDocument/2006/relationships/hyperlink" Target="https://maxmobiles.ru/dinamik-vyzova-zvonok-gromkaya-svyaz-zamena-iphone-12-mini/" TargetMode="External"/><Relationship Id="rId665" Type="http://schemas.openxmlformats.org/officeDocument/2006/relationships/hyperlink" Target="https://maxmobiles.ru/razem-zaryadki-zamena-iphone-7/" TargetMode="External"/><Relationship Id="rId429" Type="http://schemas.openxmlformats.org/officeDocument/2006/relationships/hyperlink" Target="https://maxmobiles.ru/knopka-vkl-power-zamena-remont-iphone-12-mini/" TargetMode="External"/><Relationship Id="rId428" Type="http://schemas.openxmlformats.org/officeDocument/2006/relationships/hyperlink" Target="https://maxmobiles.ru/korpus-kopiya-vysokoe-kachestvo-zamena-iphone-12-mini/" TargetMode="External"/><Relationship Id="rId427" Type="http://schemas.openxmlformats.org/officeDocument/2006/relationships/hyperlink" Target="https://maxmobiles.ru/kamera-zamena-razbitogo-stekla-1sht-iphone-12-mini/" TargetMode="External"/><Relationship Id="rId669" Type="http://schemas.openxmlformats.org/officeDocument/2006/relationships/hyperlink" Target="https://maxmobiles.ru/kamera-osnovnaya-zamena-iphone-7/" TargetMode="External"/><Relationship Id="rId660" Type="http://schemas.openxmlformats.org/officeDocument/2006/relationships/hyperlink" Target="https://maxmobiles.ru/displey-zamena-razbitogo-stekla-vosstanovlenie-iphone-7/" TargetMode="External"/><Relationship Id="rId422" Type="http://schemas.openxmlformats.org/officeDocument/2006/relationships/hyperlink" Target="https://maxmobiles.ru/mikrofon-odin-iz-zamena-iphone-12-mini/" TargetMode="External"/><Relationship Id="rId664" Type="http://schemas.openxmlformats.org/officeDocument/2006/relationships/hyperlink" Target="https://maxmobiles.ru/akkumulyator-zamena-iphone-7/" TargetMode="External"/><Relationship Id="rId421" Type="http://schemas.openxmlformats.org/officeDocument/2006/relationships/hyperlink" Target="https://maxmobiles.ru/razem-zaryadki-zamena-iphone-12-mini/" TargetMode="External"/><Relationship Id="rId663" Type="http://schemas.openxmlformats.org/officeDocument/2006/relationships/hyperlink" Target="https://maxmobiles.ru/profilaktika-posle-vody-cena-ot-iphone-7/" TargetMode="External"/><Relationship Id="rId420" Type="http://schemas.openxmlformats.org/officeDocument/2006/relationships/hyperlink" Target="https://maxmobiles.ru/akkumulyator-zamena-iphone-12-mini/" TargetMode="External"/><Relationship Id="rId662" Type="http://schemas.openxmlformats.org/officeDocument/2006/relationships/hyperlink" Target="https://maxmobiles.ru/displey-original-zamena-iphone-7/" TargetMode="External"/><Relationship Id="rId661" Type="http://schemas.openxmlformats.org/officeDocument/2006/relationships/hyperlink" Target="https://maxmobiles.ru/displey-kopiya-aaa-zamena-iphone-7/?action=preview" TargetMode="External"/><Relationship Id="rId415" Type="http://schemas.openxmlformats.org/officeDocument/2006/relationships/hyperlink" Target="https://maxmobiles.ru/displey-zamena-razbitogo-stekla-vosstanovlenie-iphone-12-mini/" TargetMode="External"/><Relationship Id="rId657" Type="http://schemas.openxmlformats.org/officeDocument/2006/relationships/hyperlink" Target="https://maxmobiles.ru/knopka-vkl-power-zamena-remont-iphone-7-plus/" TargetMode="External"/><Relationship Id="rId414" Type="http://schemas.openxmlformats.org/officeDocument/2006/relationships/hyperlink" Target="https://maxmobiles.ru/face-id-remont-vosstanovlenie-zamena-iphone-12-pro/" TargetMode="External"/><Relationship Id="rId656" Type="http://schemas.openxmlformats.org/officeDocument/2006/relationships/hyperlink" Target="https://maxmobiles.ru/korpus-kopiya-vysokoe-kachestvo-zamena-iphone-7-plus/" TargetMode="External"/><Relationship Id="rId413" Type="http://schemas.openxmlformats.org/officeDocument/2006/relationships/hyperlink" Target="https://maxmobiles.ru/remont-platy-iphone-12-pro/" TargetMode="External"/><Relationship Id="rId655" Type="http://schemas.openxmlformats.org/officeDocument/2006/relationships/hyperlink" Target="https://maxmobiles.ru/kamera-zamena-razbitogo-stekla-1sht-iphone-7-plus/" TargetMode="External"/><Relationship Id="rId412" Type="http://schemas.openxmlformats.org/officeDocument/2006/relationships/hyperlink" Target="https://maxmobiles.ru/proshivka-bez-rezervnoy-kopii-iphone-11/" TargetMode="External"/><Relationship Id="rId654" Type="http://schemas.openxmlformats.org/officeDocument/2006/relationships/hyperlink" Target="https://maxmobiles.ru/kamera-frontalnaya-perednyaya-zamena-iphone-7-plus/" TargetMode="External"/><Relationship Id="rId419" Type="http://schemas.openxmlformats.org/officeDocument/2006/relationships/hyperlink" Target="https://maxmobiles.ru/profilaktika-posle-vody-cena-ot-iphone-12-mini/" TargetMode="External"/><Relationship Id="rId418" Type="http://schemas.openxmlformats.org/officeDocument/2006/relationships/hyperlink" Target="https://maxmobiles.ru/zadnyaya-kryshka-zamena-stekla-iphone-12-mini/" TargetMode="External"/><Relationship Id="rId417" Type="http://schemas.openxmlformats.org/officeDocument/2006/relationships/hyperlink" Target="https://maxmobiles.ru/displey-original-zamena-iphone-12-mini/" TargetMode="External"/><Relationship Id="rId659" Type="http://schemas.openxmlformats.org/officeDocument/2006/relationships/hyperlink" Target="https://maxmobiles.ru/remont-platy-iphone-7-plus/" TargetMode="External"/><Relationship Id="rId416" Type="http://schemas.openxmlformats.org/officeDocument/2006/relationships/hyperlink" Target="https://maxmobiles.ru/displey-kopiya-aaa-zamena-iphone-12-mini/?action=preview" TargetMode="External"/><Relationship Id="rId658" Type="http://schemas.openxmlformats.org/officeDocument/2006/relationships/hyperlink" Target="https://maxmobiles.ru/proshivka-bez-rezervnoy-kopii-iphone-11/" TargetMode="External"/><Relationship Id="rId411" Type="http://schemas.openxmlformats.org/officeDocument/2006/relationships/hyperlink" Target="https://maxmobiles.ru/knopka-vkl-power-zamena-remont-iphone-12-pro/" TargetMode="External"/><Relationship Id="rId653" Type="http://schemas.openxmlformats.org/officeDocument/2006/relationships/hyperlink" Target="https://maxmobiles.ru/kamera-osnovnaya-zamena-iphone-7-plus/" TargetMode="External"/><Relationship Id="rId410" Type="http://schemas.openxmlformats.org/officeDocument/2006/relationships/hyperlink" Target="https://maxmobiles.ru/korpus-kopiya-vysokoe-kachestvo-zamena-iphone-12-pro/" TargetMode="External"/><Relationship Id="rId652" Type="http://schemas.openxmlformats.org/officeDocument/2006/relationships/hyperlink" Target="https://maxmobiles.ru/dinamik-razgovornyy-verhniy-iphone-7-plus/" TargetMode="External"/><Relationship Id="rId651" Type="http://schemas.openxmlformats.org/officeDocument/2006/relationships/hyperlink" Target="https://maxmobiles.ru/dinamik-vyzova-zvonok-gromkaya-svyaz-zamena-iphone-7-plus/" TargetMode="External"/><Relationship Id="rId650" Type="http://schemas.openxmlformats.org/officeDocument/2006/relationships/hyperlink" Target="https://maxmobiles.ru/mikrofon-odin-iz-zamena-iphone-7-plus/" TargetMode="External"/><Relationship Id="rId206" Type="http://schemas.openxmlformats.org/officeDocument/2006/relationships/hyperlink" Target="https://maxmobiles.ru/mikrofon-odin-iz-zamena-iphone-15-plus/" TargetMode="External"/><Relationship Id="rId448" Type="http://schemas.openxmlformats.org/officeDocument/2006/relationships/hyperlink" Target="https://maxmobiles.ru/proshivka-bez-rezervnoy-kopii-iphone-11/" TargetMode="External"/><Relationship Id="rId205" Type="http://schemas.openxmlformats.org/officeDocument/2006/relationships/hyperlink" Target="https://maxmobiles.ru/razem-zaryadki-zamena-iphone-15-plus/" TargetMode="External"/><Relationship Id="rId447" Type="http://schemas.openxmlformats.org/officeDocument/2006/relationships/hyperlink" Target="https://maxmobiles.ru/knopka-vkl-power-zamena-remont-iphone-12/" TargetMode="External"/><Relationship Id="rId689" Type="http://schemas.openxmlformats.org/officeDocument/2006/relationships/hyperlink" Target="https://maxmobiles.ru/knopka-vkl-power-zamena-remont-iphone-6s-plus/" TargetMode="External"/><Relationship Id="rId204" Type="http://schemas.openxmlformats.org/officeDocument/2006/relationships/hyperlink" Target="https://maxmobiles.ru/akkumulyator-zamena-iphone-15-plus/" TargetMode="External"/><Relationship Id="rId446" Type="http://schemas.openxmlformats.org/officeDocument/2006/relationships/hyperlink" Target="https://maxmobiles.ru/korpus-kopiya-vysokoe-kachestvo-zamena-iphone-12/" TargetMode="External"/><Relationship Id="rId688" Type="http://schemas.openxmlformats.org/officeDocument/2006/relationships/hyperlink" Target="https://maxmobiles.ru/korpus-kopiya-vysochayshego-kachestva-zamena-iphone-6s-plus/" TargetMode="External"/><Relationship Id="rId203" Type="http://schemas.openxmlformats.org/officeDocument/2006/relationships/hyperlink" Target="https://maxmobiles.ru/profilaktika-posle-vody-cena-ot-iphone-15-plus/" TargetMode="External"/><Relationship Id="rId445" Type="http://schemas.openxmlformats.org/officeDocument/2006/relationships/hyperlink" Target="https://maxmobiles.ru/kamera-zamena-razbitogo-stekla-1sht-iphone-12/" TargetMode="External"/><Relationship Id="rId687" Type="http://schemas.openxmlformats.org/officeDocument/2006/relationships/hyperlink" Target="https://maxmobiles.ru/kamera-zamena-razbitogo-stekla-1sht-iphone-6s-plus/" TargetMode="External"/><Relationship Id="rId209" Type="http://schemas.openxmlformats.org/officeDocument/2006/relationships/hyperlink" Target="https://maxmobiles.ru/kamera-osnovnaya-zamena-iphone-15-plus/" TargetMode="External"/><Relationship Id="rId208" Type="http://schemas.openxmlformats.org/officeDocument/2006/relationships/hyperlink" Target="https://maxmobiles.ru/dinamik-razgovornyy-verhniy-iphone-15-plus/" TargetMode="External"/><Relationship Id="rId207" Type="http://schemas.openxmlformats.org/officeDocument/2006/relationships/hyperlink" Target="https://maxmobiles.ru/dinamik-vyzova-zvonok-gromkaya-svyaz-zamena-iphone-15-plus/" TargetMode="External"/><Relationship Id="rId449" Type="http://schemas.openxmlformats.org/officeDocument/2006/relationships/hyperlink" Target="https://maxmobiles.ru/remont-platy-iphone-12/" TargetMode="External"/><Relationship Id="rId440" Type="http://schemas.openxmlformats.org/officeDocument/2006/relationships/hyperlink" Target="https://maxmobiles.ru/mikrofon-odin-iz-zamena-iphone-12/" TargetMode="External"/><Relationship Id="rId682" Type="http://schemas.openxmlformats.org/officeDocument/2006/relationships/hyperlink" Target="https://maxmobiles.ru/mikrofon-odin-iz-zamena-iphone-6s-plus/" TargetMode="External"/><Relationship Id="rId681" Type="http://schemas.openxmlformats.org/officeDocument/2006/relationships/hyperlink" Target="https://maxmobiles.ru/razem-zaryadki-zamena-iphone-6s-plus/" TargetMode="External"/><Relationship Id="rId680" Type="http://schemas.openxmlformats.org/officeDocument/2006/relationships/hyperlink" Target="https://maxmobiles.ru/akkumulyator-zamena-iphone-6s-plus/" TargetMode="External"/><Relationship Id="rId202" Type="http://schemas.openxmlformats.org/officeDocument/2006/relationships/hyperlink" Target="https://maxmobiles.ru/zadnyaya-kryshka-kopiya-vysochayshego-kachestva-zamena-stekla-iphone-15-plus/" TargetMode="External"/><Relationship Id="rId444" Type="http://schemas.openxmlformats.org/officeDocument/2006/relationships/hyperlink" Target="https://maxmobiles.ru/kamera-frontalnaya-perednyaya-zamena-iphone-12/" TargetMode="External"/><Relationship Id="rId686" Type="http://schemas.openxmlformats.org/officeDocument/2006/relationships/hyperlink" Target="https://maxmobiles.ru/kamera-frontalnaya-perednyaya-zamena-iphone-6s-plus/" TargetMode="External"/><Relationship Id="rId201" Type="http://schemas.openxmlformats.org/officeDocument/2006/relationships/hyperlink" Target="https://maxmobiles.ru/displey-original-zamena-iphone-15-plus/" TargetMode="External"/><Relationship Id="rId443" Type="http://schemas.openxmlformats.org/officeDocument/2006/relationships/hyperlink" Target="https://maxmobiles.ru/kamera-osnovnaya-zamena-iphone-12/" TargetMode="External"/><Relationship Id="rId685" Type="http://schemas.openxmlformats.org/officeDocument/2006/relationships/hyperlink" Target="https://maxmobiles.ru/kamera-osnovnaya-zamena-iphone-6s-plus/" TargetMode="External"/><Relationship Id="rId200" Type="http://schemas.openxmlformats.org/officeDocument/2006/relationships/hyperlink" Target="https://maxmobiles.ru/zamena-displeya-iphone-15-plus-kopiya/?action=preview" TargetMode="External"/><Relationship Id="rId442" Type="http://schemas.openxmlformats.org/officeDocument/2006/relationships/hyperlink" Target="https://maxmobiles.ru/dinamik-razgovornyy-verhniy-iphone-12/" TargetMode="External"/><Relationship Id="rId684" Type="http://schemas.openxmlformats.org/officeDocument/2006/relationships/hyperlink" Target="https://maxmobiles.ru/dinamik-razgovornyy-verhniy-iphone-6s-plus/" TargetMode="External"/><Relationship Id="rId441" Type="http://schemas.openxmlformats.org/officeDocument/2006/relationships/hyperlink" Target="https://maxmobiles.ru/dinamik-vyzova-zvonok-gromkaya-svyaz-zamena-iphone-12/" TargetMode="External"/><Relationship Id="rId683" Type="http://schemas.openxmlformats.org/officeDocument/2006/relationships/hyperlink" Target="https://maxmobiles.ru/dinamik-vyzova-zvonok-gromkaya-svyaz-zamena-iphone-6s-plus/" TargetMode="External"/><Relationship Id="rId437" Type="http://schemas.openxmlformats.org/officeDocument/2006/relationships/hyperlink" Target="https://maxmobiles.ru/profilaktika-posle-vody-cena-ot-iphone-12/" TargetMode="External"/><Relationship Id="rId679" Type="http://schemas.openxmlformats.org/officeDocument/2006/relationships/hyperlink" Target="https://maxmobiles.ru/profilaktika-posle-vody-cena-ot-iphone-6s-plus/" TargetMode="External"/><Relationship Id="rId436" Type="http://schemas.openxmlformats.org/officeDocument/2006/relationships/hyperlink" Target="https://maxmobiles.ru/zadnyaya-kryshka-zamena-stekla-iphone-12/" TargetMode="External"/><Relationship Id="rId678" Type="http://schemas.openxmlformats.org/officeDocument/2006/relationships/hyperlink" Target="https://maxmobiles.ru/displey-original-zamena-iphone-6s-plus/" TargetMode="External"/><Relationship Id="rId435" Type="http://schemas.openxmlformats.org/officeDocument/2006/relationships/hyperlink" Target="https://maxmobiles.ru/displey-original-zamena-iphone-12/" TargetMode="External"/><Relationship Id="rId677" Type="http://schemas.openxmlformats.org/officeDocument/2006/relationships/hyperlink" Target="https://maxmobiles.ru/displey-kopiya-aaa-zamena-iphone-6s-plus/?action=preview" TargetMode="External"/><Relationship Id="rId434" Type="http://schemas.openxmlformats.org/officeDocument/2006/relationships/hyperlink" Target="https://maxmobiles.ru/displey-kopiya-aaa-zamena-iphone-12/?action=preview" TargetMode="External"/><Relationship Id="rId676" Type="http://schemas.openxmlformats.org/officeDocument/2006/relationships/hyperlink" Target="https://maxmobiles.ru/displey-zamena-razbitogo-stekla-vosstanovlenie-iphone-6s-plus/" TargetMode="External"/><Relationship Id="rId439" Type="http://schemas.openxmlformats.org/officeDocument/2006/relationships/hyperlink" Target="https://maxmobiles.ru/razem-zaryadki-zamena-iphone-12/" TargetMode="External"/><Relationship Id="rId438" Type="http://schemas.openxmlformats.org/officeDocument/2006/relationships/hyperlink" Target="https://maxmobiles.ru/akkumulyator-zamena-iphone-12/" TargetMode="External"/><Relationship Id="rId671" Type="http://schemas.openxmlformats.org/officeDocument/2006/relationships/hyperlink" Target="https://maxmobiles.ru/kamera-zamena-razbitogo-stekla-1sht-iphone-7/" TargetMode="External"/><Relationship Id="rId670" Type="http://schemas.openxmlformats.org/officeDocument/2006/relationships/hyperlink" Target="https://maxmobiles.ru/kamera-frontalnaya-perednyaya-zamena-iphone-7/" TargetMode="External"/><Relationship Id="rId433" Type="http://schemas.openxmlformats.org/officeDocument/2006/relationships/hyperlink" Target="https://maxmobiles.ru/displey-zamena-razbitogo-stekla-vosstanovlenie-iphone-12/" TargetMode="External"/><Relationship Id="rId675" Type="http://schemas.openxmlformats.org/officeDocument/2006/relationships/hyperlink" Target="https://maxmobiles.ru/remont-platy-iphone-7/" TargetMode="External"/><Relationship Id="rId432" Type="http://schemas.openxmlformats.org/officeDocument/2006/relationships/hyperlink" Target="https://maxmobiles.ru/face-id-remont-vosstanovlenie-zamena-iphone-12-mini/" TargetMode="External"/><Relationship Id="rId674" Type="http://schemas.openxmlformats.org/officeDocument/2006/relationships/hyperlink" Target="https://maxmobiles.ru/proshivka-bez-rezervnoy-kopii-iphone-11/" TargetMode="External"/><Relationship Id="rId431" Type="http://schemas.openxmlformats.org/officeDocument/2006/relationships/hyperlink" Target="https://maxmobiles.ru/remont-platy-iphone-12-mini/" TargetMode="External"/><Relationship Id="rId673" Type="http://schemas.openxmlformats.org/officeDocument/2006/relationships/hyperlink" Target="https://maxmobiles.ru/knopka-vkl-power-zamena-remont-iphone-7/" TargetMode="External"/><Relationship Id="rId430" Type="http://schemas.openxmlformats.org/officeDocument/2006/relationships/hyperlink" Target="https://maxmobiles.ru/proshivka-bez-rezervnoy-kopii-iphone-11/" TargetMode="External"/><Relationship Id="rId672" Type="http://schemas.openxmlformats.org/officeDocument/2006/relationships/hyperlink" Target="https://maxmobiles.ru/korpus-kopiya-vysokoe-kachestvo-zamena-iphone-7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icomponents.ru/catalog/iphone/iphone_13_pro/iphone_13_pro_displey_orig_ref_als_shleyf_clean/" TargetMode="External"/><Relationship Id="rId194" Type="http://schemas.openxmlformats.org/officeDocument/2006/relationships/hyperlink" Target="https://icomponents.ru/catalog/iphone/iphone_13_pro_max/iphone_13_pro_max_displey_orig_ref_als_shleyf_clean/" TargetMode="External"/><Relationship Id="rId193" Type="http://schemas.openxmlformats.org/officeDocument/2006/relationships/hyperlink" Target="https://icomponents.ru/catalog/iphone/iphone_13_pro_max/iphone_13_pro_max_displey_snyatyy_orig/" TargetMode="External"/><Relationship Id="rId192" Type="http://schemas.openxmlformats.org/officeDocument/2006/relationships/hyperlink" Target="https://icomponents.ru/catalog/iphone/iphone_13_pro_max/iphone_13_pro_max_displey_snyatyy_orig_als_shleyf_clean/" TargetMode="External"/><Relationship Id="rId191" Type="http://schemas.openxmlformats.org/officeDocument/2006/relationships/hyperlink" Target="https://icomponents.ru/catalog/iphone/iphone_13_pro_max/iphone_13_pro_max_displey_service_orig_als_shleyf_clean/" TargetMode="External"/><Relationship Id="rId187" Type="http://schemas.openxmlformats.org/officeDocument/2006/relationships/hyperlink" Target="https://icomponents.ru/catalog/iphone/iphone_13_pro/iphone_13_pro_displey_snyatyy_orig_als_shleyf_clean/" TargetMode="External"/><Relationship Id="rId186" Type="http://schemas.openxmlformats.org/officeDocument/2006/relationships/hyperlink" Target="https://icomponents.ru/catalog/iphone/iphone_13_pro/iphone_13_pro_displey_service_orig_als_shleyf_clean/" TargetMode="External"/><Relationship Id="rId185" Type="http://schemas.openxmlformats.org/officeDocument/2006/relationships/hyperlink" Target="https://icomponents.ru/catalog/iphone/iphone_13_mini/iphone_13_mini_displey_orig_ref/" TargetMode="External"/><Relationship Id="rId184" Type="http://schemas.openxmlformats.org/officeDocument/2006/relationships/hyperlink" Target="https://icomponents.ru/catalog/iphone/iphone_13_mini/iphone_13_mini_displey_snyatyy_orig/" TargetMode="External"/><Relationship Id="rId189" Type="http://schemas.openxmlformats.org/officeDocument/2006/relationships/hyperlink" Target="https://icomponents.ru/catalog/iphone/iphone_13_pro/iphone_13_pro_displey_orig_ref_als_shleyf_clean/" TargetMode="External"/><Relationship Id="rId188" Type="http://schemas.openxmlformats.org/officeDocument/2006/relationships/hyperlink" Target="https://icomponents.ru/catalog/iphone/iphone_13_pro/iphone_13_pro_displey_snyatyy_orig/" TargetMode="External"/><Relationship Id="rId183" Type="http://schemas.openxmlformats.org/officeDocument/2006/relationships/hyperlink" Target="https://icomponents.ru/catalog/iphone/iphone_13_mini/iphone_13_mini_displey_snyatyy_orig_als_shleyf_clean/" TargetMode="External"/><Relationship Id="rId182" Type="http://schemas.openxmlformats.org/officeDocument/2006/relationships/hyperlink" Target="https://icomponents.ru/catalog/iphone/iphone_13/iphone_13_displey_orig_ref/" TargetMode="External"/><Relationship Id="rId181" Type="http://schemas.openxmlformats.org/officeDocument/2006/relationships/hyperlink" Target="https://icomponents.ru/catalog/iphone/iphone_13/iphone_13_displey_orig_ref_als_shleyf_clean/" TargetMode="External"/><Relationship Id="rId180" Type="http://schemas.openxmlformats.org/officeDocument/2006/relationships/hyperlink" Target="https://icomponents.ru/catalog/iphone/iphone_13/iphone_13_displey_snyatyy_orig/" TargetMode="External"/><Relationship Id="rId176" Type="http://schemas.openxmlformats.org/officeDocument/2006/relationships/hyperlink" Target="https://icomponents.ru/catalog/iphone/iphone_12_mini/iphone_12_mini_displey_orig_ref/" TargetMode="External"/><Relationship Id="rId175" Type="http://schemas.openxmlformats.org/officeDocument/2006/relationships/hyperlink" Target="https://icomponents.ru/catalog/iphone/iphone_12_mini/iphone_12_mini_displey_snyatyy_orig/" TargetMode="External"/><Relationship Id="rId174" Type="http://schemas.openxmlformats.org/officeDocument/2006/relationships/hyperlink" Target="https://icomponents.ru/catalog/iphone/iphone_12_pro/iphone_12_12_pro_displey_orig_ref/" TargetMode="External"/><Relationship Id="rId173" Type="http://schemas.openxmlformats.org/officeDocument/2006/relationships/hyperlink" Target="https://icomponents.ru/catalog/iphone/iphone_12_pro/iphone_12_12_pro_displey_snyatyy_orig/" TargetMode="External"/><Relationship Id="rId179" Type="http://schemas.openxmlformats.org/officeDocument/2006/relationships/hyperlink" Target="https://icomponents.ru/catalog/iphone/iphone_13/iphone_13_displey_snyatyy_orig_als_shleyf_clean/" TargetMode="External"/><Relationship Id="rId178" Type="http://schemas.openxmlformats.org/officeDocument/2006/relationships/hyperlink" Target="https://icomponents.ru/catalog/iphone/iphone_12_pro_max/iphone_12_pro_max_displey_orig_ref/" TargetMode="External"/><Relationship Id="rId177" Type="http://schemas.openxmlformats.org/officeDocument/2006/relationships/hyperlink" Target="https://icomponents.ru/catalog/iphone/iphone_12_pro_max/iphone_12_pro_makh_displey_snyatyy_orig/" TargetMode="External"/><Relationship Id="rId198" Type="http://schemas.openxmlformats.org/officeDocument/2006/relationships/hyperlink" Target="https://icomponents.ru/catalog/iphone/iphone_14/iphone_14_displey_orig_ref_als_shleyf_clean/" TargetMode="External"/><Relationship Id="rId197" Type="http://schemas.openxmlformats.org/officeDocument/2006/relationships/hyperlink" Target="https://icomponents.ru/catalog/iphone/iphone_14/iphone_14_displey_snyatyy_orig/" TargetMode="External"/><Relationship Id="rId196" Type="http://schemas.openxmlformats.org/officeDocument/2006/relationships/hyperlink" Target="https://icomponents.ru/catalog/iphone/iphone_14/iphone_14_displey_snyatyy_orig_als_shleyf_clean/" TargetMode="External"/><Relationship Id="rId195" Type="http://schemas.openxmlformats.org/officeDocument/2006/relationships/hyperlink" Target="https://icomponents.ru/catalog/iphone/iphone_13_pro_max/iphone_13_pro_max_displey_orig_ref/" TargetMode="External"/><Relationship Id="rId199" Type="http://schemas.openxmlformats.org/officeDocument/2006/relationships/hyperlink" Target="https://icomponents.ru/catalog/iphone/iphone_14/iphone_14_displey_orig_ref/" TargetMode="External"/><Relationship Id="rId150" Type="http://schemas.openxmlformats.org/officeDocument/2006/relationships/hyperlink" Target="https://icomponents.ru/catalog/iphone/iphone_8_se2020/iphone_8_se2020_se2022_displey_chernyy_snyatyy_orig/" TargetMode="External"/><Relationship Id="rId392" Type="http://schemas.openxmlformats.org/officeDocument/2006/relationships/hyperlink" Target="https://icomponents.ru/catalog/iphone/iphone_16_pro/iphone_16_pro_zadnyaya_kryshka_nfc_orig_snyataya_white_titanium/" TargetMode="External"/><Relationship Id="rId391" Type="http://schemas.openxmlformats.org/officeDocument/2006/relationships/hyperlink" Target="https://icomponents.ru/catalog/iphone/iphone_16_pro/iphone_16_pro_zadnyaya_kryshka_nfc_orig_snyataya_desert_titanium/" TargetMode="External"/><Relationship Id="rId390" Type="http://schemas.openxmlformats.org/officeDocument/2006/relationships/hyperlink" Target="https://icomponents.ru/catalog/iphone/iphone_16_pro/iphone_16_pro_zadnyaya_kryshka_nfc_orig_snyataya_natural_titanium/" TargetMode="External"/><Relationship Id="rId1" Type="http://schemas.openxmlformats.org/officeDocument/2006/relationships/hyperlink" Target="https://icomponents.ru/catalog/iphone/iphone_5/iphone_5_akkumulyatornaya_batareya_akb_orig/" TargetMode="External"/><Relationship Id="rId2" Type="http://schemas.openxmlformats.org/officeDocument/2006/relationships/hyperlink" Target="https://icomponents.ru/catalog/iphone/iphone_5s/iphone_5s_akkumulyatornaya_batareya_akb_orig/" TargetMode="External"/><Relationship Id="rId3" Type="http://schemas.openxmlformats.org/officeDocument/2006/relationships/hyperlink" Target="https://icomponents.ru/catalog/iphone/iphone_se/iphone_se_akkumulyatornaya_batareya_akb_orig/" TargetMode="External"/><Relationship Id="rId149" Type="http://schemas.openxmlformats.org/officeDocument/2006/relationships/hyperlink" Target="https://icomponents.ru/catalog/iphone/iphone_8_se2020/iphone_8_displey_belyy_snyatyy_orig/" TargetMode="External"/><Relationship Id="rId4" Type="http://schemas.openxmlformats.org/officeDocument/2006/relationships/hyperlink" Target="https://icomponents.ru/catalog/iphone/iphone_6/iphone_6_akkumulyatornaya_batareya_akb_orig/" TargetMode="External"/><Relationship Id="rId148" Type="http://schemas.openxmlformats.org/officeDocument/2006/relationships/hyperlink" Target="https://icomponents.ru/catalog/iphone/iphone_7/iphone_7_modul_lcd_touchscreen_chernyy_orig_ref_2/" TargetMode="External"/><Relationship Id="rId9" Type="http://schemas.openxmlformats.org/officeDocument/2006/relationships/hyperlink" Target="https://icomponents.ru/catalog/iphone/iphone_7/iphone_7_akkumulyatornaya_batareya_akb_orig_2/" TargetMode="External"/><Relationship Id="rId143" Type="http://schemas.openxmlformats.org/officeDocument/2006/relationships/hyperlink" Target="https://icomponents.ru/catalog/iphone/iphone_7_2/iphone_7_modul_lcd_touchscreen_belyy_orig_ref/" TargetMode="External"/><Relationship Id="rId385" Type="http://schemas.openxmlformats.org/officeDocument/2006/relationships/hyperlink" Target="https://icomponents.ru/catalog/iphone/iphone_16/iphone_16_zadnyaya_kryshka_chernaya_v_sbore_s_krepleniem_i_linzami_kamery/" TargetMode="External"/><Relationship Id="rId142" Type="http://schemas.openxmlformats.org/officeDocument/2006/relationships/hyperlink" Target="https://icomponents.ru/catalog/iphone/iphone_7_2/iphone_7_displey_chernyy_snyatyy_orig/" TargetMode="External"/><Relationship Id="rId384" Type="http://schemas.openxmlformats.org/officeDocument/2006/relationships/hyperlink" Target="https://icomponents.ru/catalog/iphone/iphone_16/iphone_16_zadnyaya_kryshka_rozovaya_v_sbore_s_krepleniem_i_linzami_kamery/" TargetMode="External"/><Relationship Id="rId141" Type="http://schemas.openxmlformats.org/officeDocument/2006/relationships/hyperlink" Target="https://icomponents.ru/catalog/iphone/iphone_7_2/iphone_7_displey_belyy_snyatyy_orig/" TargetMode="External"/><Relationship Id="rId383" Type="http://schemas.openxmlformats.org/officeDocument/2006/relationships/hyperlink" Target="https://icomponents.ru/catalog/iphone/iphone_16/iphone_16_zadnyaya_kryshka_belaya_v_sbore_s_krepleniem_i_linzami_kamery/" TargetMode="External"/><Relationship Id="rId140" Type="http://schemas.openxmlformats.org/officeDocument/2006/relationships/hyperlink" Target="https://icomponents.ru/catalog/iphone/iphone_6s/iphone_6s_modul_lcd_touchscreen_chernyy_orig_ref_2/" TargetMode="External"/><Relationship Id="rId382" Type="http://schemas.openxmlformats.org/officeDocument/2006/relationships/hyperlink" Target="https://icomponents.ru/catalog/iphone/iphone_16/iphone_16_zadnyaya_kryshka_biryuzovaya_v_sbore_s_krepleniem_i_linzami_kamery/" TargetMode="External"/><Relationship Id="rId5" Type="http://schemas.openxmlformats.org/officeDocument/2006/relationships/hyperlink" Target="https://icomponents.ru/catalog/iphone/iphone_6_2/iphone_6_akkumulyatornaya_batareya_akb_orig_2/" TargetMode="External"/><Relationship Id="rId147" Type="http://schemas.openxmlformats.org/officeDocument/2006/relationships/hyperlink" Target="https://icomponents.ru/catalog/iphone/iphone_7/iphone_7_modul_lcd_touchscreen_belyy_orig_ref_2/" TargetMode="External"/><Relationship Id="rId389" Type="http://schemas.openxmlformats.org/officeDocument/2006/relationships/hyperlink" Target="https://icomponents.ru/catalog/iphone/iphone_16_plus/iphone_16_plus_zadnee_steklo_chernoe_v_sbore_s_krepleniem/" TargetMode="External"/><Relationship Id="rId6" Type="http://schemas.openxmlformats.org/officeDocument/2006/relationships/hyperlink" Target="https://icomponents.ru/catalog/iphone/iphone_6s_2/iphone_6s_akkumulyatornaya_batareya_akb_orig/" TargetMode="External"/><Relationship Id="rId146" Type="http://schemas.openxmlformats.org/officeDocument/2006/relationships/hyperlink" Target="https://icomponents.ru/catalog/iphone/iphone_7/iphone_7_plus_displey_chernyy_snyatyy_orig/" TargetMode="External"/><Relationship Id="rId388" Type="http://schemas.openxmlformats.org/officeDocument/2006/relationships/hyperlink" Target="https://icomponents.ru/catalog/iphone/iphone_16_plus/iphone_16_plus_zadnee_steklo_rozovoe_v_sbore_s_krepleniem/" TargetMode="External"/><Relationship Id="rId7" Type="http://schemas.openxmlformats.org/officeDocument/2006/relationships/hyperlink" Target="https://icomponents.ru/catalog/iphone/iphone_6s/iphone_6s_akkumulyatornaya_batareya_akb_orig_2/" TargetMode="External"/><Relationship Id="rId145" Type="http://schemas.openxmlformats.org/officeDocument/2006/relationships/hyperlink" Target="https://icomponents.ru/catalog/iphone/iphone_7/iphone_7_plus_displey_belyy_snyatyy_orig/" TargetMode="External"/><Relationship Id="rId387" Type="http://schemas.openxmlformats.org/officeDocument/2006/relationships/hyperlink" Target="https://icomponents.ru/catalog/iphone/iphone_16_plus/iphone_16_plus_zadnee_steklo_beloe_v_sbore_s_krepleniem/" TargetMode="External"/><Relationship Id="rId8" Type="http://schemas.openxmlformats.org/officeDocument/2006/relationships/hyperlink" Target="https://icomponents.ru/catalog/iphone/iphone_7_2/iphone_7_akkumulyatornaya_batareya_akb_orig/" TargetMode="External"/><Relationship Id="rId144" Type="http://schemas.openxmlformats.org/officeDocument/2006/relationships/hyperlink" Target="https://icomponents.ru/catalog/iphone/iphone_7_2/iphone_7_modul_lcd_touchscreen_chernyy_orig_ref/" TargetMode="External"/><Relationship Id="rId386" Type="http://schemas.openxmlformats.org/officeDocument/2006/relationships/hyperlink" Target="https://icomponents.ru/catalog/iphone/iphone_16_plus/iphone_16_plus_zadnee_steklo_biryuzovyy_v_sbore_s_krepleniem/" TargetMode="External"/><Relationship Id="rId381" Type="http://schemas.openxmlformats.org/officeDocument/2006/relationships/hyperlink" Target="https://icomponents.ru/catalog/iphone/iphone_16/iphone_16_zadnyaya_kryshka_ultramarin_v_sbore_s_krepleniem_i_linzami_kamery/" TargetMode="External"/><Relationship Id="rId380" Type="http://schemas.openxmlformats.org/officeDocument/2006/relationships/hyperlink" Target="https://icomponents.ru/catalog/iphone/iphone_16/iphone_16_zadnyaya_kryshka_nfc_orig_snyataya_black/" TargetMode="External"/><Relationship Id="rId139" Type="http://schemas.openxmlformats.org/officeDocument/2006/relationships/hyperlink" Target="https://icomponents.ru/catalog/iphone/iphone_6s/iphone_6s_modul_lcd_touchscreen_belyy_orig_ref_2/" TargetMode="External"/><Relationship Id="rId138" Type="http://schemas.openxmlformats.org/officeDocument/2006/relationships/hyperlink" Target="https://icomponents.ru/catalog/iphone/iphone_6s/iphone_6s_modul_lcd_touchscreen_chernyy_snyatyy_orig_2/" TargetMode="External"/><Relationship Id="rId137" Type="http://schemas.openxmlformats.org/officeDocument/2006/relationships/hyperlink" Target="https://icomponents.ru/catalog/iphone/iphone_6s/iphone_6s_modul_lcd_touchscreen_belyy_snyatyy_orig_2/" TargetMode="External"/><Relationship Id="rId379" Type="http://schemas.openxmlformats.org/officeDocument/2006/relationships/hyperlink" Target="https://icomponents.ru/catalog/iphone/iphone_16/iphone_16_zadnyaya_kryshka_nfc_orig_snyataya_pink/" TargetMode="External"/><Relationship Id="rId132" Type="http://schemas.openxmlformats.org/officeDocument/2006/relationships/hyperlink" Target="https://icomponents.ru/catalog/iphone/iphone_6_2/iphone_6_modul_lcd_touchscreen_chernyy_orig_ref_2/" TargetMode="External"/><Relationship Id="rId374" Type="http://schemas.openxmlformats.org/officeDocument/2006/relationships/hyperlink" Target="https://icomponents.ru/catalog/iphone/iphone_15_pro_max/iphone_15_pro_max_zadnyaya_kryshka_belaya_v_sbore_s_krepleniem_i_linzami_kamery/" TargetMode="External"/><Relationship Id="rId131" Type="http://schemas.openxmlformats.org/officeDocument/2006/relationships/hyperlink" Target="https://icomponents.ru/catalog/iphone/iphone_6_2/iphone_6_modul_lcd_touchscreen_belyy_orig_ref_2/" TargetMode="External"/><Relationship Id="rId373" Type="http://schemas.openxmlformats.org/officeDocument/2006/relationships/hyperlink" Target="https://icomponents.ru/catalog/iphone/iphone_15_pro_max/iphone_15_pro_max_zadnyaya_kryshka_sinyaya_v_sbore_s_krepleniem_i_linzami_kamery/" TargetMode="External"/><Relationship Id="rId130" Type="http://schemas.openxmlformats.org/officeDocument/2006/relationships/hyperlink" Target="https://icomponents.ru/catalog/iphone/iphone_6_2/iphone_6_modul_lcd_touchscreen_chernyy_snyatyy_orig_2/" TargetMode="External"/><Relationship Id="rId372" Type="http://schemas.openxmlformats.org/officeDocument/2006/relationships/hyperlink" Target="https://icomponents.ru/catalog/iphone/iphone_15_pro_max/iphone_15_pro_max_zadnyaya_kryshka_naturalnyy_titan_v_sbore_s_krepleniem_i_linzami_kamery/" TargetMode="External"/><Relationship Id="rId371" Type="http://schemas.openxmlformats.org/officeDocument/2006/relationships/hyperlink" Target="https://icomponents.ru/catalog/iphone/iphone_15_pro_max/iphone_15_pro_max_zadnyaya_kryshka_nfc_orig_snyataya_black_titanium/" TargetMode="External"/><Relationship Id="rId136" Type="http://schemas.openxmlformats.org/officeDocument/2006/relationships/hyperlink" Target="https://icomponents.ru/catalog/iphone/iphone_6s_2/iphone_6s_modul_lcd_touchscreen_chernyy_orig_ref/" TargetMode="External"/><Relationship Id="rId378" Type="http://schemas.openxmlformats.org/officeDocument/2006/relationships/hyperlink" Target="https://icomponents.ru/catalog/iphone/iphone_16/iphone_16_zadnyaya_kryshka_nfc_orig_snyataya_white/" TargetMode="External"/><Relationship Id="rId135" Type="http://schemas.openxmlformats.org/officeDocument/2006/relationships/hyperlink" Target="https://icomponents.ru/catalog/iphone/iphone_6s_2/iphone_6s_modul_lcd_touchscreen_belyy_orig_ref/" TargetMode="External"/><Relationship Id="rId377" Type="http://schemas.openxmlformats.org/officeDocument/2006/relationships/hyperlink" Target="https://icomponents.ru/catalog/iphone/iphone_16/iphone_16_zadnyaya_kryshka_nfc_orig_snyataya_teal/" TargetMode="External"/><Relationship Id="rId134" Type="http://schemas.openxmlformats.org/officeDocument/2006/relationships/hyperlink" Target="https://icomponents.ru/catalog/iphone/iphone_6s_2/iphone_6s_modul_lcd_touchscreen_chernyy_snyatyy_orig/" TargetMode="External"/><Relationship Id="rId376" Type="http://schemas.openxmlformats.org/officeDocument/2006/relationships/hyperlink" Target="https://icomponents.ru/catalog/iphone/iphone_16/iphone_16_zadnyaya_kryshka_nfc_orig_snyataya_ultramarine/" TargetMode="External"/><Relationship Id="rId133" Type="http://schemas.openxmlformats.org/officeDocument/2006/relationships/hyperlink" Target="https://icomponents.ru/catalog/iphone/iphone_6s_2/iphone_6s_modul_lcd_touchscreen_belyy_snyatyy_orig/" TargetMode="External"/><Relationship Id="rId375" Type="http://schemas.openxmlformats.org/officeDocument/2006/relationships/hyperlink" Target="https://icomponents.ru/catalog/iphone/iphone_15_pro_max/iphone_15_pro_max_zadnyaya_kryshka_chernaya_v_sbore_s_krepleniem_i_linzami_kamery/" TargetMode="External"/><Relationship Id="rId172" Type="http://schemas.openxmlformats.org/officeDocument/2006/relationships/hyperlink" Target="https://icomponents.ru/catalog/iphone/iphone_12_pro/iphone_12_12_pro_displey_snyatyy_orig_als_shleyf_clean/" TargetMode="External"/><Relationship Id="rId171" Type="http://schemas.openxmlformats.org/officeDocument/2006/relationships/hyperlink" Target="https://icomponents.ru/catalog/iphone/iphone_12_pro/iphone_12_12_pro_displey_service_orig_als_shleyf_clean/" TargetMode="External"/><Relationship Id="rId170" Type="http://schemas.openxmlformats.org/officeDocument/2006/relationships/hyperlink" Target="https://icomponents.ru/catalog/iphone/iphone_11_pro_max/iphone_11_pro_max_displey_orig_ref/" TargetMode="External"/><Relationship Id="rId165" Type="http://schemas.openxmlformats.org/officeDocument/2006/relationships/hyperlink" Target="https://icomponents.ru/catalog/iphone/iphone_11/iphone_11_displey_snyatyy_orig/" TargetMode="External"/><Relationship Id="rId164" Type="http://schemas.openxmlformats.org/officeDocument/2006/relationships/hyperlink" Target="https://icomponents.ru/catalog/iphone/iphone_xs_max/iphone_xs_max_displey_orig_ref/" TargetMode="External"/><Relationship Id="rId163" Type="http://schemas.openxmlformats.org/officeDocument/2006/relationships/hyperlink" Target="https://icomponents.ru/catalog/iphone/iphone_xs_max/iphone_xs_max_displey_snyatyy_orig/" TargetMode="External"/><Relationship Id="rId162" Type="http://schemas.openxmlformats.org/officeDocument/2006/relationships/hyperlink" Target="https://icomponents.ru/catalog/iphone/iphone_xs/iphone_xs_displey_orig_ref/" TargetMode="External"/><Relationship Id="rId169" Type="http://schemas.openxmlformats.org/officeDocument/2006/relationships/hyperlink" Target="https://icomponents.ru/catalog/iphone/iphone_11_pro_max/iphone_11_pro_makh_displey_snyatyy_orig/" TargetMode="External"/><Relationship Id="rId168" Type="http://schemas.openxmlformats.org/officeDocument/2006/relationships/hyperlink" Target="https://icomponents.ru/catalog/iphone/iphone_11_pro/iphone_11_pro_displey_orig_ref/" TargetMode="External"/><Relationship Id="rId167" Type="http://schemas.openxmlformats.org/officeDocument/2006/relationships/hyperlink" Target="https://icomponents.ru/catalog/iphone/iphone_11_pro/iphone_11_pro_displey_snyatyy_orig/" TargetMode="External"/><Relationship Id="rId166" Type="http://schemas.openxmlformats.org/officeDocument/2006/relationships/hyperlink" Target="https://icomponents.ru/catalog/iphone/iphone_11/iphone_11_displey_orig_ref/" TargetMode="External"/><Relationship Id="rId161" Type="http://schemas.openxmlformats.org/officeDocument/2006/relationships/hyperlink" Target="https://icomponents.ru/catalog/iphone/iphone_xs/iphone_xs_displey_snyatyy_orig/" TargetMode="External"/><Relationship Id="rId160" Type="http://schemas.openxmlformats.org/officeDocument/2006/relationships/hyperlink" Target="https://icomponents.ru/catalog/iphone/iphone_x/iphone_x_displey_orig_ref/" TargetMode="External"/><Relationship Id="rId159" Type="http://schemas.openxmlformats.org/officeDocument/2006/relationships/hyperlink" Target="https://icomponents.ru/catalog/iphone/iphone_x/iphone_x_displey_snyatyy_orig/" TargetMode="External"/><Relationship Id="rId154" Type="http://schemas.openxmlformats.org/officeDocument/2006/relationships/hyperlink" Target="https://icomponents.ru/catalog/iphone/iphone_8/iphone_8_plus_displey_chernyy_snyatyy_orig/" TargetMode="External"/><Relationship Id="rId396" Type="http://schemas.openxmlformats.org/officeDocument/2006/relationships/hyperlink" Target="https://icomponents.ru/catalog/iphone/iphone_16_pro/iphone_16_pro_zadnyaya_kryshka_belaya_v_sbore_s_krepleniem_i_linzami_kamery/" TargetMode="External"/><Relationship Id="rId153" Type="http://schemas.openxmlformats.org/officeDocument/2006/relationships/hyperlink" Target="https://icomponents.ru/catalog/iphone/iphone_8/iphone_8_plus_displey_belyy_snyatyy_orig/" TargetMode="External"/><Relationship Id="rId395" Type="http://schemas.openxmlformats.org/officeDocument/2006/relationships/hyperlink" Target="https://icomponents.ru/catalog/iphone/iphone_16_pro/iphone_16_pro_zadnyaya_kryshka_pustynnyy_titan_v_sbore_s_krepleniem_i_linzami_kamery/" TargetMode="External"/><Relationship Id="rId152" Type="http://schemas.openxmlformats.org/officeDocument/2006/relationships/hyperlink" Target="https://icomponents.ru/catalog/iphone/iphone_8_se2020/iphone_8_se2020_modul_lcd_touchscreen_chernyy_orig_ref/" TargetMode="External"/><Relationship Id="rId394" Type="http://schemas.openxmlformats.org/officeDocument/2006/relationships/hyperlink" Target="https://icomponents.ru/catalog/iphone/iphone_16_pro/iphone_16_pro_zadnyaya_kryshka_naturalnyy_titan_v_sbore_s_krepleniem_i_linzami_kamery/" TargetMode="External"/><Relationship Id="rId151" Type="http://schemas.openxmlformats.org/officeDocument/2006/relationships/hyperlink" Target="https://icomponents.ru/catalog/iphone/iphone_8_se2020/iphone_8_modul_lcd_touchscreen_belyy_orig_ref/" TargetMode="External"/><Relationship Id="rId393" Type="http://schemas.openxmlformats.org/officeDocument/2006/relationships/hyperlink" Target="https://icomponents.ru/catalog/iphone/iphone_16_pro/iphone_16_pro_zadnyaya_kryshka_nfc_orig_snyataya_black_titanium/" TargetMode="External"/><Relationship Id="rId158" Type="http://schemas.openxmlformats.org/officeDocument/2006/relationships/hyperlink" Target="https://icomponents.ru/catalog/iphone/iphone_xr/iphone_xr_displey_orig_ref/" TargetMode="External"/><Relationship Id="rId157" Type="http://schemas.openxmlformats.org/officeDocument/2006/relationships/hyperlink" Target="https://icomponents.ru/catalog/iphone/iphone_xr/iphone_xr_displey_snyatyy_orig/" TargetMode="External"/><Relationship Id="rId399" Type="http://schemas.openxmlformats.org/officeDocument/2006/relationships/hyperlink" Target="https://icomponents.ru/catalog/iphone/iphone_16_pro_max/iphone_16_pro_max_zadnyaya_kryshka_nfc_orig_snyataya_desert_titanium/" TargetMode="External"/><Relationship Id="rId156" Type="http://schemas.openxmlformats.org/officeDocument/2006/relationships/hyperlink" Target="https://icomponents.ru/catalog/iphone/iphone_8/iphone_8_modul_lcd_touchscreen_chernyy_orig_ref/" TargetMode="External"/><Relationship Id="rId398" Type="http://schemas.openxmlformats.org/officeDocument/2006/relationships/hyperlink" Target="https://icomponents.ru/catalog/iphone/iphone_16_pro_max/iphone_16_pro_max_zadnyaya_kryshka_nfc_orig_snyataya_natural_titanium/" TargetMode="External"/><Relationship Id="rId155" Type="http://schemas.openxmlformats.org/officeDocument/2006/relationships/hyperlink" Target="https://icomponents.ru/catalog/iphone/iphone_8/iphone_8_modul_lcd_touchscreen_belyy_orig_ref_2/" TargetMode="External"/><Relationship Id="rId397" Type="http://schemas.openxmlformats.org/officeDocument/2006/relationships/hyperlink" Target="https://icomponents.ru/catalog/iphone/iphone_16_pro/iphone_16_pro_zadnyaya_kryshka_chernaya_v_sbore_s_krepleniem_i_linzami_kamery/" TargetMode="External"/><Relationship Id="rId40" Type="http://schemas.openxmlformats.org/officeDocument/2006/relationships/hyperlink" Target="https://icomponents.ru/catalog/iphone/iphone_12_pro_max/iphone_12_pro_max_akkumulyator_podlinnaya_detal_genuine_new_povyshennaya_emkost_4420_mah/" TargetMode="External"/><Relationship Id="rId42" Type="http://schemas.openxmlformats.org/officeDocument/2006/relationships/hyperlink" Target="https://icomponents.ru/catalog/iphone/iphone_12_pro_max/iphone_12_pro_max_akkumulyatornaya_batareya_skotch_akb_orig/" TargetMode="External"/><Relationship Id="rId41" Type="http://schemas.openxmlformats.org/officeDocument/2006/relationships/hyperlink" Target="https://icomponents.ru/catalog/iphone/iphone_12_pro_max/iphone_12_pro_max_akkumulyator_akb_premium_clean_ios_18_26/" TargetMode="External"/><Relationship Id="rId44" Type="http://schemas.openxmlformats.org/officeDocument/2006/relationships/hyperlink" Target="https://icomponents.ru/catalog/iphone/iphone_13/iphone_13_akkumulyatornaya_batareya_akb_service_pack_orig/" TargetMode="External"/><Relationship Id="rId43" Type="http://schemas.openxmlformats.org/officeDocument/2006/relationships/hyperlink" Target="https://icomponents.ru/catalog/iphone/iphone_12_pro_max/iphone_12_pro_max_banka_akb_s_komplektom_nakleek_bez_shleyfa/" TargetMode="External"/><Relationship Id="rId46" Type="http://schemas.openxmlformats.org/officeDocument/2006/relationships/hyperlink" Target="https://icomponents.ru/catalog/iphone/iphone_13/iphone_13_akkumulyator_akb_premium_clean_ios_18_26/" TargetMode="External"/><Relationship Id="rId45" Type="http://schemas.openxmlformats.org/officeDocument/2006/relationships/hyperlink" Target="https://icomponents.ru/catalog/iphone/iphone_13/iphone_13_akkumulyator_snyatyy_orig_privyazka_b_u_100_emkost/" TargetMode="External"/><Relationship Id="rId509" Type="http://schemas.openxmlformats.org/officeDocument/2006/relationships/hyperlink" Target="https://icomponents.ru/catalog/iphone/iphone_14/iphone_14_nizhniy_shleyf_s_razemom_zaryadki_orig_belyy/" TargetMode="External"/><Relationship Id="rId508" Type="http://schemas.openxmlformats.org/officeDocument/2006/relationships/hyperlink" Target="https://icomponents.ru/catalog/iphone/iphone_14/iphone_14_nizhniy_shleyf_s_razemom_zaryadki_orig_chernyy/" TargetMode="External"/><Relationship Id="rId503" Type="http://schemas.openxmlformats.org/officeDocument/2006/relationships/hyperlink" Target="https://icomponents.ru/catalog/iphone/iphone_13_mini/iphone_13_mini_nizhniy_shleyf_s_razemom_zaryadki_orig_chernyy/" TargetMode="External"/><Relationship Id="rId502" Type="http://schemas.openxmlformats.org/officeDocument/2006/relationships/hyperlink" Target="https://icomponents.ru/catalog/iphone/iphone_13/iphone_13_nizhniy_shleyf_s_razemom_zaryadki_orig_siniy/" TargetMode="External"/><Relationship Id="rId501" Type="http://schemas.openxmlformats.org/officeDocument/2006/relationships/hyperlink" Target="https://icomponents.ru/catalog/iphone/iphone_13/iphone_13_nizhniy_shleyf_s_razemom_zaryadki_orig_belyy/" TargetMode="External"/><Relationship Id="rId500" Type="http://schemas.openxmlformats.org/officeDocument/2006/relationships/hyperlink" Target="https://icomponents.ru/catalog/iphone/iphone_12_pro_max/iphone_12_pro_max_nizhniy_shleyf_s_razemom_zaryadki_orig_zolotoy/" TargetMode="External"/><Relationship Id="rId507" Type="http://schemas.openxmlformats.org/officeDocument/2006/relationships/hyperlink" Target="https://icomponents.ru/catalog/iphone/iphone_13_pro_max/iphone_13_pro_max_nizhniy_shleyf_s_razemom_zaryadki_orig_belyy/" TargetMode="External"/><Relationship Id="rId506" Type="http://schemas.openxmlformats.org/officeDocument/2006/relationships/hyperlink" Target="https://icomponents.ru/catalog/iphone/iphone_13_pro_max/iphone_13_pro_max_nizhniy_shleyf_s_razemom_zaryadki_orig_chernyy/" TargetMode="External"/><Relationship Id="rId505" Type="http://schemas.openxmlformats.org/officeDocument/2006/relationships/hyperlink" Target="https://icomponents.ru/catalog/iphone/iphone_13_pro/iphone_13_pro_nizhniy_shleyf_s_razemom_zaryadki_orig_belyy/" TargetMode="External"/><Relationship Id="rId504" Type="http://schemas.openxmlformats.org/officeDocument/2006/relationships/hyperlink" Target="https://icomponents.ru/catalog/iphone/iphone_13_pro/iphone_13_pro_nizhniy_shleyf_s_razemom_zaryadki_orig_chernyy/" TargetMode="External"/><Relationship Id="rId48" Type="http://schemas.openxmlformats.org/officeDocument/2006/relationships/hyperlink" Target="https://icomponents.ru/catalog/iphone/iphone_13/iphone_13_akkumulyatornaya_batareya_skotch_akb_orig/" TargetMode="External"/><Relationship Id="rId47" Type="http://schemas.openxmlformats.org/officeDocument/2006/relationships/hyperlink" Target="https://icomponents.ru/catalog/iphone/iphone_13/iphone_13_akkumulyator_akb_premium_clean_ios_18_26/" TargetMode="External"/><Relationship Id="rId49" Type="http://schemas.openxmlformats.org/officeDocument/2006/relationships/hyperlink" Target="https://icomponents.ru/catalog/iphone/iphone_13/iphone_13_banka_akb_s_komplektom_nakleek_bez_shleyfa/" TargetMode="External"/><Relationship Id="rId31" Type="http://schemas.openxmlformats.org/officeDocument/2006/relationships/hyperlink" Target="https://icomponents.ru/catalog/iphone/iphone_12_pro/iphone_12_12_pro_akkumulyatornaya_batareya_skotch_akb_orig/" TargetMode="External"/><Relationship Id="rId30" Type="http://schemas.openxmlformats.org/officeDocument/2006/relationships/hyperlink" Target="https://icomponents.ru/catalog/iphone/iphone_12_pro/iphone_12_12_pro_akkumulyator_akb_premium_clean_ios_18_26/" TargetMode="External"/><Relationship Id="rId33" Type="http://schemas.openxmlformats.org/officeDocument/2006/relationships/hyperlink" Target="https://icomponents.ru/catalog/iphone/iphone_12_mini/iphone_12_mini_akkumulyatornaya_batareya_akb_service_pack_orig/" TargetMode="External"/><Relationship Id="rId32" Type="http://schemas.openxmlformats.org/officeDocument/2006/relationships/hyperlink" Target="https://icomponents.ru/catalog/iphone/iphone_12/iphone_12_12_pro_banka_akb_s_komplektom_nakleek_bez_shleyfa/" TargetMode="External"/><Relationship Id="rId35" Type="http://schemas.openxmlformats.org/officeDocument/2006/relationships/hyperlink" Target="https://icomponents.ru/catalog/iphone/iphone_12_mini/iphone_12_mini_akkumulyator_akb_premium_clean_ios_18_26/" TargetMode="External"/><Relationship Id="rId34" Type="http://schemas.openxmlformats.org/officeDocument/2006/relationships/hyperlink" Target="https://icomponents.ru/catalog/iphone/iphone_12_mini/iphone_12_mini_akkumulyator_podlinnaya_detal_genuine_new_povyshennaya_emkost_2520_mah/" TargetMode="External"/><Relationship Id="rId37" Type="http://schemas.openxmlformats.org/officeDocument/2006/relationships/hyperlink" Target="https://icomponents.ru/catalog/iphone/iphone_12_mini/iphone_12_mini_banka_akb_s_komplektom_nakleek_bez_shleyfa/" TargetMode="External"/><Relationship Id="rId36" Type="http://schemas.openxmlformats.org/officeDocument/2006/relationships/hyperlink" Target="https://icomponents.ru/catalog/iphone/iphone_12_mini/iphone_12_mini_akkumulyatornaya_batareya_skotch_akb_orig/" TargetMode="External"/><Relationship Id="rId39" Type="http://schemas.openxmlformats.org/officeDocument/2006/relationships/hyperlink" Target="https://icomponents.ru/catalog/iphone/iphone_12_pro_max/iphone_12_pro_max_akkumulyator_snyatyy_orig_privyazka_b_u_100_emkost/" TargetMode="External"/><Relationship Id="rId38" Type="http://schemas.openxmlformats.org/officeDocument/2006/relationships/hyperlink" Target="https://icomponents.ru/catalog/iphone/iphone_12_pro_max/iphone_12_pro_max_akkumulyatornaya_batareya_akb_service_pack_orig/" TargetMode="External"/><Relationship Id="rId20" Type="http://schemas.openxmlformats.org/officeDocument/2006/relationships/hyperlink" Target="https://icomponents.ru/catalog/iphone/iphone_xs_max/iphone_xs_max_banka_akb_s_komplektom_nakleek_bez_shleyfa/" TargetMode="External"/><Relationship Id="rId22" Type="http://schemas.openxmlformats.org/officeDocument/2006/relationships/hyperlink" Target="https://icomponents.ru/catalog/iphone/iphone_11/iphone_11_banka_akb_s_komplektom_nakleek_bez_shleyfa/" TargetMode="External"/><Relationship Id="rId21" Type="http://schemas.openxmlformats.org/officeDocument/2006/relationships/hyperlink" Target="https://icomponents.ru/catalog/iphone/iphone_11/iphone_11_akkumulyatornaya_batareya_skotch_akb_orig/" TargetMode="External"/><Relationship Id="rId24" Type="http://schemas.openxmlformats.org/officeDocument/2006/relationships/hyperlink" Target="https://icomponents.ru/catalog/iphone/iphone_11_pro/iphone_11_pro_banka_akb_s_komplektom_nakleek_bez_shleyfa/" TargetMode="External"/><Relationship Id="rId23" Type="http://schemas.openxmlformats.org/officeDocument/2006/relationships/hyperlink" Target="https://icomponents.ru/catalog/iphone/iphone_11_pro/iphone_11_pro_akkumulyatornaya_batareya_skotch_akb_orig/" TargetMode="External"/><Relationship Id="rId525" Type="http://schemas.openxmlformats.org/officeDocument/2006/relationships/hyperlink" Target="https://icomponents.ru/catalog/iphone/iphone_16/iphone_16_nizhniy_shleyf_s_razemom_zaryadki_orig_belyy/" TargetMode="External"/><Relationship Id="rId524" Type="http://schemas.openxmlformats.org/officeDocument/2006/relationships/hyperlink" Target="https://icomponents.ru/catalog/iphone/iphone_16/iphone_16_nizhniy_shleyf_s_razemom_zaryadki_orig_chernyy/" TargetMode="External"/><Relationship Id="rId523" Type="http://schemas.openxmlformats.org/officeDocument/2006/relationships/hyperlink" Target="https://icomponents.ru/catalog/iphone/iphone_15_pro_max/iphone_15_pro_max_nizhniy_shleyf_s_razemom_zaryadki_orig_belyy/" TargetMode="External"/><Relationship Id="rId522" Type="http://schemas.openxmlformats.org/officeDocument/2006/relationships/hyperlink" Target="https://icomponents.ru/catalog/iphone/iphone_15_pro_max/iphone_15_pro_max_nizhniy_shleyf_s_razemom_zaryadki_orig_chernyy/" TargetMode="External"/><Relationship Id="rId529" Type="http://schemas.openxmlformats.org/officeDocument/2006/relationships/hyperlink" Target="https://icomponents.ru/catalog/iphone/iphone_16_pro/iphone_16_pro_nizhniy_shleyf_s_razemom_zaryadki_orig_belyy/" TargetMode="External"/><Relationship Id="rId528" Type="http://schemas.openxmlformats.org/officeDocument/2006/relationships/hyperlink" Target="https://icomponents.ru/catalog/iphone/iphone_16_pro/iphone_16_pro_nizhniy_shleyf_s_razemom_zaryadki_orig_chernyy/" TargetMode="External"/><Relationship Id="rId527" Type="http://schemas.openxmlformats.org/officeDocument/2006/relationships/hyperlink" Target="https://icomponents.ru/catalog/iphone/iphone_16_plus/iphone_16_plus_nizhniy_shleyf_s_razemom_zaryadki_orig_belyy/" TargetMode="External"/><Relationship Id="rId526" Type="http://schemas.openxmlformats.org/officeDocument/2006/relationships/hyperlink" Target="https://icomponents.ru/catalog/iphone/iphone_16_plus/iphone_16_plus_nizhniy_shleyf_s_razemom_zaryadki_orig_chernyy/" TargetMode="External"/><Relationship Id="rId26" Type="http://schemas.openxmlformats.org/officeDocument/2006/relationships/hyperlink" Target="https://icomponents.ru/catalog/iphone/iphone_11_pro_max/iphone_11_pro_max_banka_akb_s_komplektom_nakleek_bez_shleyfa/" TargetMode="External"/><Relationship Id="rId25" Type="http://schemas.openxmlformats.org/officeDocument/2006/relationships/hyperlink" Target="https://icomponents.ru/catalog/iphone/iphone_11_pro_max/iphone_11_pro_max_akkumulyatornaya_batareya_skotch_akb_orig/" TargetMode="External"/><Relationship Id="rId28" Type="http://schemas.openxmlformats.org/officeDocument/2006/relationships/hyperlink" Target="https://icomponents.ru/catalog/iphone/iphone_12_pro/iphone_12_12_pro_akkumulyator_snyatyy_orig_privyazka_b_u_100_emkost/" TargetMode="External"/><Relationship Id="rId27" Type="http://schemas.openxmlformats.org/officeDocument/2006/relationships/hyperlink" Target="https://icomponents.ru/catalog/iphone/iphone_12_pro/iphone_12_12_pro_akkumulyatornaya_batareya_akb_service_pack_orig/" TargetMode="External"/><Relationship Id="rId521" Type="http://schemas.openxmlformats.org/officeDocument/2006/relationships/hyperlink" Target="https://icomponents.ru/catalog/iphone/iphone_15_pro/iphone_15_pro_nizhniy_shleyf_s_razemom_zaryadki_orig_belyy/" TargetMode="External"/><Relationship Id="rId29" Type="http://schemas.openxmlformats.org/officeDocument/2006/relationships/hyperlink" Target="https://icomponents.ru/catalog/iphone/iphone_12/iphone_12_12_pro_akkumulyator_podlinnaya_detal_genuine_new_povyshennaya_emkost_3320_mah/" TargetMode="External"/><Relationship Id="rId520" Type="http://schemas.openxmlformats.org/officeDocument/2006/relationships/hyperlink" Target="https://icomponents.ru/catalog/iphone/iphone_15_pro/iphone_15_pro_nizhniy_shleyf_s_razemom_zaryadki_orig_chernyy/" TargetMode="External"/><Relationship Id="rId11" Type="http://schemas.openxmlformats.org/officeDocument/2006/relationships/hyperlink" Target="https://icomponents.ru/catalog/iphone/iphone_8/iphone_8_akkumulyatornaya_batareya_akb_orig_2/" TargetMode="External"/><Relationship Id="rId10" Type="http://schemas.openxmlformats.org/officeDocument/2006/relationships/hyperlink" Target="https://icomponents.ru/catalog/iphone/iphone_8_se2020/iphone_8_akkumulyatornaya_batareya_akb_orig/" TargetMode="External"/><Relationship Id="rId13" Type="http://schemas.openxmlformats.org/officeDocument/2006/relationships/hyperlink" Target="https://icomponents.ru/catalog/iphone/iphone_8_se2020/iphone_se_2022_akkumulyatornaya_batareya_akb_orig/" TargetMode="External"/><Relationship Id="rId12" Type="http://schemas.openxmlformats.org/officeDocument/2006/relationships/hyperlink" Target="https://icomponents.ru/catalog/iphone/iphone_8_se2020/iphone_se_2020_akkumulyatornaya_batareya_akb_orig/" TargetMode="External"/><Relationship Id="rId519" Type="http://schemas.openxmlformats.org/officeDocument/2006/relationships/hyperlink" Target="https://icomponents.ru/catalog/iphone/iphone_15_plus/iphone_15_plus_nizhniy_shleyf_s_razemom_zaryadki_orig_belyy/" TargetMode="External"/><Relationship Id="rId514" Type="http://schemas.openxmlformats.org/officeDocument/2006/relationships/hyperlink" Target="https://icomponents.ru/catalog/iphone/iphone_14_pro_max/iphone_14_pro_max_nizhniy_shleyf_s_razemom_zaryadki_orig_chernyy/" TargetMode="External"/><Relationship Id="rId513" Type="http://schemas.openxmlformats.org/officeDocument/2006/relationships/hyperlink" Target="https://icomponents.ru/catalog/iphone/iphone_14_pro/iphone_14_pro_nizhniy_shleyf_s_razemom_zaryadki_orig_belyy/" TargetMode="External"/><Relationship Id="rId512" Type="http://schemas.openxmlformats.org/officeDocument/2006/relationships/hyperlink" Target="https://icomponents.ru/catalog/iphone/iphone_14_pro/iphone_14_pro_nizhniy_shleyf_s_razemom_zaryadki_orig_chernyy/" TargetMode="External"/><Relationship Id="rId511" Type="http://schemas.openxmlformats.org/officeDocument/2006/relationships/hyperlink" Target="https://icomponents.ru/catalog/iphone/iphone_14_plus/iphone_14_plus_nizhniy_shleyf_s_razemom_zaryadki_orig_belyy/" TargetMode="External"/><Relationship Id="rId518" Type="http://schemas.openxmlformats.org/officeDocument/2006/relationships/hyperlink" Target="https://icomponents.ru/catalog/iphone/iphone_15_plus/iphone_15_plus_nizhniy_shleyf_s_razemom_zaryadki_orig_chernyy/" TargetMode="External"/><Relationship Id="rId517" Type="http://schemas.openxmlformats.org/officeDocument/2006/relationships/hyperlink" Target="https://icomponents.ru/catalog/iphone/iphone_15/iphone_15_nizhniy_shleyf_s_razemom_zaryadki_orig_belyy/" TargetMode="External"/><Relationship Id="rId516" Type="http://schemas.openxmlformats.org/officeDocument/2006/relationships/hyperlink" Target="https://icomponents.ru/catalog/iphone/iphone_15/iphone_15_nizhniy_shleyf_s_razemom_zaryadki_orig_chernyy/" TargetMode="External"/><Relationship Id="rId515" Type="http://schemas.openxmlformats.org/officeDocument/2006/relationships/hyperlink" Target="https://icomponents.ru/catalog/iphone/iphone_14_pro_max/iphone_14_pro_max_nizhniy_shleyf_s_razemom_zaryadki_orig_belyy/" TargetMode="External"/><Relationship Id="rId15" Type="http://schemas.openxmlformats.org/officeDocument/2006/relationships/hyperlink" Target="https://icomponents.ru/catalog/iphone/iphone_xr/iphone_xr_banka_akb_s_komplektom_nakleek_bez_shleyfa/" TargetMode="External"/><Relationship Id="rId14" Type="http://schemas.openxmlformats.org/officeDocument/2006/relationships/hyperlink" Target="https://icomponents.ru/catalog/iphone/iphone_xr/iphone_xr_akkumulyatornaya_batareya_skotch_akb_orig/" TargetMode="External"/><Relationship Id="rId17" Type="http://schemas.openxmlformats.org/officeDocument/2006/relationships/hyperlink" Target="https://icomponents.ru/catalog/iphone/iphone_xs/iphone_xs_akkumulyatornaya_batareya_skotch_akb_orig/" TargetMode="External"/><Relationship Id="rId16" Type="http://schemas.openxmlformats.org/officeDocument/2006/relationships/hyperlink" Target="https://icomponents.ru/catalog/iphone/iphone_x/iphone_x_akkumulyatornaya_batareya_skotch_akb_orig/" TargetMode="External"/><Relationship Id="rId19" Type="http://schemas.openxmlformats.org/officeDocument/2006/relationships/hyperlink" Target="https://icomponents.ru/catalog/iphone/iphone_xs_max/iphone_xs_max_akkumulyatornaya_batareya_skotch_akb_orig/" TargetMode="External"/><Relationship Id="rId510" Type="http://schemas.openxmlformats.org/officeDocument/2006/relationships/hyperlink" Target="https://icomponents.ru/catalog/iphone/iphone_14_plus/iphone_14_plus_nizhniy_shleyf_s_razemom_zaryadki_orig_chernyy/" TargetMode="External"/><Relationship Id="rId18" Type="http://schemas.openxmlformats.org/officeDocument/2006/relationships/hyperlink" Target="https://icomponents.ru/catalog/iphone/iphone_xs/iphone_xs_banka_akb_s_komplektom_nakleek_bez_shleyfa/" TargetMode="External"/><Relationship Id="rId84" Type="http://schemas.openxmlformats.org/officeDocument/2006/relationships/hyperlink" Target="https://icomponents.ru/catalog/iphone/iphone_14_pro_max/iphone_14_pro_max_akkumulyator_snyatyy_orig_privyazka_b_u_100_emkost/" TargetMode="External"/><Relationship Id="rId83" Type="http://schemas.openxmlformats.org/officeDocument/2006/relationships/hyperlink" Target="https://icomponents.ru/catalog/iphone/iphone_14_pro_max/iphone_14_pro_max_akkumulyatornaya_batareya_akb_service_pack_orig/" TargetMode="External"/><Relationship Id="rId86" Type="http://schemas.openxmlformats.org/officeDocument/2006/relationships/hyperlink" Target="https://icomponents.ru/catalog/iphone/iphone_14_pro_max/iphone_14_pro_max_akkumulyator_akb_premium_clean_ios_18_26/" TargetMode="External"/><Relationship Id="rId85" Type="http://schemas.openxmlformats.org/officeDocument/2006/relationships/hyperlink" Target="https://icomponents.ru/catalog/iphone/iphone_14_pro_max/iphone_14_pro_max_akkumulyator_podlinnaya_detal_genuine_new_povyshennaya_emkost_4770_mah/" TargetMode="External"/><Relationship Id="rId88" Type="http://schemas.openxmlformats.org/officeDocument/2006/relationships/hyperlink" Target="https://icomponents.ru/catalog/iphone/iphone_14_pro_max/iphone_14_pro_max_banka_akb_s_komplektom_nakleek_bez_shleyfa/" TargetMode="External"/><Relationship Id="rId87" Type="http://schemas.openxmlformats.org/officeDocument/2006/relationships/hyperlink" Target="https://icomponents.ru/catalog/iphone/iphone_14_pro_max/iphone_14_pro_max_akkumulyatornaya_batareya_skotch_akb_orig/" TargetMode="External"/><Relationship Id="rId89" Type="http://schemas.openxmlformats.org/officeDocument/2006/relationships/hyperlink" Target="https://icomponents.ru/catalog/iphone/iphone_15/iphone_15_akkumulyatornaya_batareya_akb_service_pack_orig/" TargetMode="External"/><Relationship Id="rId80" Type="http://schemas.openxmlformats.org/officeDocument/2006/relationships/hyperlink" Target="https://icomponents.ru/catalog/iphone/iphone_14_pro/iphone_14_pro_akkumulyator_akb_premium_clean_ios_18_26/" TargetMode="External"/><Relationship Id="rId82" Type="http://schemas.openxmlformats.org/officeDocument/2006/relationships/hyperlink" Target="https://icomponents.ru/catalog/iphone/iphone_14_pro/iphone_14_pro_banka_akb_s_komplektom_nakleek_bez_shleyfa/" TargetMode="External"/><Relationship Id="rId81" Type="http://schemas.openxmlformats.org/officeDocument/2006/relationships/hyperlink" Target="https://icomponents.ru/catalog/iphone/iphone_14_pro/iphone_14_pro_akkumulyatornaya_batareya_skotch_akb_orig/" TargetMode="External"/><Relationship Id="rId73" Type="http://schemas.openxmlformats.org/officeDocument/2006/relationships/hyperlink" Target="https://icomponents.ru/catalog/iphone/iphone_14_plus/iphone_14_plus_akkumulyatornaya_batareya_akb_service_pack_orig/" TargetMode="External"/><Relationship Id="rId72" Type="http://schemas.openxmlformats.org/officeDocument/2006/relationships/hyperlink" Target="https://icomponents.ru/catalog/iphone/iphone_14/iphone_14_banka_akb_s_komplektom_nakleek_bez_shleyfa/" TargetMode="External"/><Relationship Id="rId75" Type="http://schemas.openxmlformats.org/officeDocument/2006/relationships/hyperlink" Target="https://icomponents.ru/catalog/iphone/iphone_14_plus/iphone_14_plus_akkumulyator_akb_premium_clean_ios_18_26/" TargetMode="External"/><Relationship Id="rId74" Type="http://schemas.openxmlformats.org/officeDocument/2006/relationships/hyperlink" Target="https://icomponents.ru/catalog/iphone/iphone_14_plus/iphone_14_plus_akkumulyator_snyatyy_orig_privyazka_b_u_100_emkost/" TargetMode="External"/><Relationship Id="rId77" Type="http://schemas.openxmlformats.org/officeDocument/2006/relationships/hyperlink" Target="https://icomponents.ru/catalog/iphone/iphone_14_pro/iphone_14_pro_akkumulyatornaya_batareya_akb_service_pack_orig/" TargetMode="External"/><Relationship Id="rId76" Type="http://schemas.openxmlformats.org/officeDocument/2006/relationships/hyperlink" Target="https://icomponents.ru/catalog/iphone/iphone_14_plus/iphone_14_plus_akkumulyatornaya_batareya_skotch_akb_orig/" TargetMode="External"/><Relationship Id="rId79" Type="http://schemas.openxmlformats.org/officeDocument/2006/relationships/hyperlink" Target="https://icomponents.ru/catalog/iphone/iphone_14_pro/iphone_14_pro_akkumulyator_podlinnaya_detal_genuine_new_povyshennaya_emkost_3480_mah/" TargetMode="External"/><Relationship Id="rId78" Type="http://schemas.openxmlformats.org/officeDocument/2006/relationships/hyperlink" Target="https://icomponents.ru/catalog/iphone/iphone_14_pro/iphone_14_pro_akkumulyator_snyatyy_orig_privyazka_b_u_100_emkost/" TargetMode="External"/><Relationship Id="rId71" Type="http://schemas.openxmlformats.org/officeDocument/2006/relationships/hyperlink" Target="https://icomponents.ru/catalog/iphone/iphone_14/iphone_14_akkumulyatornaya_batareya_skotch_akb_orig/" TargetMode="External"/><Relationship Id="rId70" Type="http://schemas.openxmlformats.org/officeDocument/2006/relationships/hyperlink" Target="https://icomponents.ru/catalog/iphone/iphone_14/iphone_14_akkumulyator_akb_premium_clean_ios_18_26/" TargetMode="External"/><Relationship Id="rId62" Type="http://schemas.openxmlformats.org/officeDocument/2006/relationships/hyperlink" Target="https://icomponents.ru/catalog/iphone/iphone_13_pro_max/iphone_13_pro_max_akkumulyator_snyatyy_orig_privyazka_b_u_100_emkost/" TargetMode="External"/><Relationship Id="rId61" Type="http://schemas.openxmlformats.org/officeDocument/2006/relationships/hyperlink" Target="https://icomponents.ru/catalog/iphone/iphone_13_pro_max/iphone_13_pro_max_akkumulyatornaya_batareya_akb_service_pack_orig/" TargetMode="External"/><Relationship Id="rId64" Type="http://schemas.openxmlformats.org/officeDocument/2006/relationships/hyperlink" Target="https://icomponents.ru/catalog/iphone/iphone_13_pro_max/iphone_13_pro_max_akkumulyator_akb_premium_clean_ios_18_26/" TargetMode="External"/><Relationship Id="rId63" Type="http://schemas.openxmlformats.org/officeDocument/2006/relationships/hyperlink" Target="https://icomponents.ru/catalog/iphone/iphone_13_pro_max/iphone_13_pro_max_akkumulyator_podlinnaya_detal_genuine_new_povyshennaya_emkost_4650_mah/" TargetMode="External"/><Relationship Id="rId66" Type="http://schemas.openxmlformats.org/officeDocument/2006/relationships/hyperlink" Target="https://icomponents.ru/catalog/iphone/iphone_13_pro_max/iphone_13_pro_max_banka_akb_s_komplektom_nakleek_bez_shleyfa/" TargetMode="External"/><Relationship Id="rId65" Type="http://schemas.openxmlformats.org/officeDocument/2006/relationships/hyperlink" Target="https://icomponents.ru/catalog/iphone/iphone_13_pro_max/iphone_13_pro_max_akkumulyatornaya_batareya_skotch_akb_orig/" TargetMode="External"/><Relationship Id="rId68" Type="http://schemas.openxmlformats.org/officeDocument/2006/relationships/hyperlink" Target="https://icomponents.ru/catalog/iphone/iphone_14/iphone_14_akkumulyator_snyatyy_orig_privyazka_b_u_100_emkost/" TargetMode="External"/><Relationship Id="rId67" Type="http://schemas.openxmlformats.org/officeDocument/2006/relationships/hyperlink" Target="https://icomponents.ru/catalog/iphone/iphone_14/iphone_14_akkumulyatornaya_batareya_akb_service_pack_orig/" TargetMode="External"/><Relationship Id="rId60" Type="http://schemas.openxmlformats.org/officeDocument/2006/relationships/hyperlink" Target="https://icomponents.ru/catalog/iphone/iphone_13_pro/iphone_13_pro_banka_akb_s_komplektom_nakleek_bez_shleyfa/" TargetMode="External"/><Relationship Id="rId69" Type="http://schemas.openxmlformats.org/officeDocument/2006/relationships/hyperlink" Target="https://icomponents.ru/catalog/iphone/iphone_14/iphone_14_akkumulyator_podlinnaya_detal_genuine_new_povyshennaya_emkost_3670_mah/" TargetMode="External"/><Relationship Id="rId51" Type="http://schemas.openxmlformats.org/officeDocument/2006/relationships/hyperlink" Target="https://icomponents.ru/catalog/iphone/iphone_13_mini/iphone_13_mini_akkumulyator_podlinnaya_detal_genuine_new_povyshennaya_emkost_2580_mah/" TargetMode="External"/><Relationship Id="rId50" Type="http://schemas.openxmlformats.org/officeDocument/2006/relationships/hyperlink" Target="https://icomponents.ru/catalog/iphone/iphone_13_mini/iphone_13_mini_akkumulyatornaya_batareya_akb_service_pack_orig/" TargetMode="External"/><Relationship Id="rId53" Type="http://schemas.openxmlformats.org/officeDocument/2006/relationships/hyperlink" Target="https://icomponents.ru/catalog/iphone/iphone_13_mini/iphone_13_mini_akkumulyatornaya_batareya_skotch_akb_orig/" TargetMode="External"/><Relationship Id="rId52" Type="http://schemas.openxmlformats.org/officeDocument/2006/relationships/hyperlink" Target="https://icomponents.ru/catalog/iphone/iphone_13_mini/iphone_13_mini_akkumulyator_akb_premium_clean_ios_18_26/" TargetMode="External"/><Relationship Id="rId55" Type="http://schemas.openxmlformats.org/officeDocument/2006/relationships/hyperlink" Target="https://icomponents.ru/catalog/iphone/iphone_13_pro/iphone_13_pro_akkumulyatornaya_batareya_akb_service_pack_orig/" TargetMode="External"/><Relationship Id="rId54" Type="http://schemas.openxmlformats.org/officeDocument/2006/relationships/hyperlink" Target="https://icomponents.ru/catalog/iphone/iphone_13_mini/iphone_13_mini_banka_akb_s_komplektom_nakleek_bez_shleyfa/" TargetMode="External"/><Relationship Id="rId57" Type="http://schemas.openxmlformats.org/officeDocument/2006/relationships/hyperlink" Target="https://icomponents.ru/catalog/iphone/iphone_13_pro/iphone_13_pro_akkumulyator_podlinnaya_detal_genuine_new_povyshennaya_emkost_3300_mah/" TargetMode="External"/><Relationship Id="rId56" Type="http://schemas.openxmlformats.org/officeDocument/2006/relationships/hyperlink" Target="https://icomponents.ru/catalog/iphone/iphone_13_pro/iphone_13_pro_akkumulyator_snyatyy_orig_privyazka_b_u_100_emkost/" TargetMode="External"/><Relationship Id="rId59" Type="http://schemas.openxmlformats.org/officeDocument/2006/relationships/hyperlink" Target="https://icomponents.ru/catalog/iphone/iphone_13_pro/iphone_13_pro_akkumulyatornaya_batareya_skotch_akb_orig/" TargetMode="External"/><Relationship Id="rId58" Type="http://schemas.openxmlformats.org/officeDocument/2006/relationships/hyperlink" Target="https://icomponents.ru/catalog/iphone/iphone_13_pro/iphone_13_pro_akkumulyator_akb_premium_clean_ios_18_26/" TargetMode="External"/><Relationship Id="rId590" Type="http://schemas.openxmlformats.org/officeDocument/2006/relationships/hyperlink" Target="https://icomponents.ru/catalog/iphone/iphone_13/iphone_13_frontalnaya_kamera_orig/" TargetMode="External"/><Relationship Id="rId107" Type="http://schemas.openxmlformats.org/officeDocument/2006/relationships/hyperlink" Target="https://icomponents.ru/catalog/iphone/iphone_15_pro_max/iphone_15_pro_max_akkumulyator_akb_premium_clean_ios_18_26/" TargetMode="External"/><Relationship Id="rId349" Type="http://schemas.openxmlformats.org/officeDocument/2006/relationships/hyperlink" Target="https://icomponents.ru/catalog/iphone/iphone_14_pro_max/iphone_14_pro_max_zadnee_steklo_zolotoe_shirokiy_vyrez/" TargetMode="External"/><Relationship Id="rId106" Type="http://schemas.openxmlformats.org/officeDocument/2006/relationships/hyperlink" Target="https://icomponents.ru/catalog/iphone/iphone_15_pro_max/iphone_15_pro_max_akkumulyator_podlinnaya_detal_genuine_new_povyshennaya_emkost_4850_mah/" TargetMode="External"/><Relationship Id="rId348" Type="http://schemas.openxmlformats.org/officeDocument/2006/relationships/hyperlink" Target="https://icomponents.ru/catalog/iphone/iphone_14_pro_max/iphone_14_pro_max_zadnee_steklo_beloe_shirokiy_vyrez/" TargetMode="External"/><Relationship Id="rId105" Type="http://schemas.openxmlformats.org/officeDocument/2006/relationships/hyperlink" Target="https://icomponents.ru/catalog/iphone/iphone_15_pro_max/iphone_15_pro_max_akkumulyator_snyatyy_orig_privyazka_b_u_100_emkost/" TargetMode="External"/><Relationship Id="rId347" Type="http://schemas.openxmlformats.org/officeDocument/2006/relationships/hyperlink" Target="https://icomponents.ru/catalog/iphone/iphone_14_pro_max/iphone_14_pro_max_zadnee_steklo_chernoe_shirokiy_vyrez/" TargetMode="External"/><Relationship Id="rId589" Type="http://schemas.openxmlformats.org/officeDocument/2006/relationships/hyperlink" Target="https://icomponents.ru/catalog/iphone/iphone_12_pro_max/iphone_12_pro_max_frontalnaya_kamera_orig/" TargetMode="External"/><Relationship Id="rId104" Type="http://schemas.openxmlformats.org/officeDocument/2006/relationships/hyperlink" Target="https://icomponents.ru/catalog/iphone/iphone_15_pro_max/iphone_15_pro_max_akkumulyatornaya_batareya_akb_service_pack_orig/" TargetMode="External"/><Relationship Id="rId346" Type="http://schemas.openxmlformats.org/officeDocument/2006/relationships/hyperlink" Target="https://icomponents.ru/catalog/iphone/iphone_14_pro_max/iphone_14_pro_max_zadnee_steklo_fioletovoe_shirokiy_vyrez/" TargetMode="External"/><Relationship Id="rId588" Type="http://schemas.openxmlformats.org/officeDocument/2006/relationships/hyperlink" Target="https://icomponents.ru/catalog/iphone/iphone_12/iphone_12_12_pro_frontalnaya_kamera_orig/" TargetMode="External"/><Relationship Id="rId109" Type="http://schemas.openxmlformats.org/officeDocument/2006/relationships/hyperlink" Target="https://icomponents.ru/catalog/iphone/iphone_15_pro_max/iphone_15_pro_max_banka_akb_s_komplektom_nakleek_bez_shleyfa/" TargetMode="External"/><Relationship Id="rId108" Type="http://schemas.openxmlformats.org/officeDocument/2006/relationships/hyperlink" Target="https://icomponents.ru/catalog/iphone/iphone_15_pro_max/iphone_15_pro_max_akkumulyatornaya_batareya_skotch_akb_orig/" TargetMode="External"/><Relationship Id="rId341" Type="http://schemas.openxmlformats.org/officeDocument/2006/relationships/hyperlink" Target="https://icomponents.ru/catalog/iphone/iphone_14_plus/iphone_14_plus_zadnee_steklo_zheltoe_v_sbore_s_krepleniem/" TargetMode="External"/><Relationship Id="rId583" Type="http://schemas.openxmlformats.org/officeDocument/2006/relationships/hyperlink" Target="https://icomponents.ru/catalog/iphone/iphone_xs/iphone_xs_frontalnaya_kamera_orig/" TargetMode="External"/><Relationship Id="rId340" Type="http://schemas.openxmlformats.org/officeDocument/2006/relationships/hyperlink" Target="https://icomponents.ru/catalog/iphone/iphone_14_plus/iphone_14_plus_zadnee_steklo_krasnoe_v_sbore_s_krepleniem/" TargetMode="External"/><Relationship Id="rId582" Type="http://schemas.openxmlformats.org/officeDocument/2006/relationships/hyperlink" Target="https://icomponents.ru/catalog/iphone/iphone_x/iphone_x_frontalnaya_kamera_orig/" TargetMode="External"/><Relationship Id="rId581" Type="http://schemas.openxmlformats.org/officeDocument/2006/relationships/hyperlink" Target="https://icomponents.ru/catalog/iphone/iphone_xr/iphone_xr_frontalnaya_kamera_orig/" TargetMode="External"/><Relationship Id="rId580" Type="http://schemas.openxmlformats.org/officeDocument/2006/relationships/hyperlink" Target="https://icomponents.ru/catalog/iphone/iphone_8_se2020/iphone_se_2020_zadnyaya_osnovnaya_kamera_orig/" TargetMode="External"/><Relationship Id="rId103" Type="http://schemas.openxmlformats.org/officeDocument/2006/relationships/hyperlink" Target="https://icomponents.ru/catalog/iphone/iphone_15_pro/iphone_15_pro_banka_akb_s_komplektom_nakleek_bez_shleyfa/" TargetMode="External"/><Relationship Id="rId345" Type="http://schemas.openxmlformats.org/officeDocument/2006/relationships/hyperlink" Target="https://icomponents.ru/catalog/iphone/iphone_14_pro/iphone_14_pro_zadnee_steklo_zolotoe_shirokiy_vyrez/" TargetMode="External"/><Relationship Id="rId587" Type="http://schemas.openxmlformats.org/officeDocument/2006/relationships/hyperlink" Target="https://icomponents.ru/catalog/iphone/iphone_11_pro_max/iphone_11_pro_max_frontalnaya_kamera_orig/" TargetMode="External"/><Relationship Id="rId102" Type="http://schemas.openxmlformats.org/officeDocument/2006/relationships/hyperlink" Target="https://icomponents.ru/catalog/iphone/iphone_15_pro/iphone_15_pro_akkumulyatornaya_batareya_skotch_akb_orig/" TargetMode="External"/><Relationship Id="rId344" Type="http://schemas.openxmlformats.org/officeDocument/2006/relationships/hyperlink" Target="https://icomponents.ru/catalog/iphone/iphone_14_pro/iphone_14_pro_zadnee_steklo_beloe_shirokiy_vyrez/" TargetMode="External"/><Relationship Id="rId586" Type="http://schemas.openxmlformats.org/officeDocument/2006/relationships/hyperlink" Target="https://icomponents.ru/catalog/iphone/iphone_11_pro/iphone_11_pro_frontalnaya_kamera_orig/" TargetMode="External"/><Relationship Id="rId101" Type="http://schemas.openxmlformats.org/officeDocument/2006/relationships/hyperlink" Target="https://icomponents.ru/catalog/iphone/iphone_15_pro/iphone_15_pro_akkumulyator_akb_premium_clean_ios_18_26/" TargetMode="External"/><Relationship Id="rId343" Type="http://schemas.openxmlformats.org/officeDocument/2006/relationships/hyperlink" Target="https://icomponents.ru/catalog/iphone/iphone_14_pro/iphone_14_pro_zadnee_steklo_chernoe_shirokiy_vyrez/" TargetMode="External"/><Relationship Id="rId585" Type="http://schemas.openxmlformats.org/officeDocument/2006/relationships/hyperlink" Target="https://icomponents.ru/catalog/iphone/iphone_11/iphone_11_frontalnaya_kamera_orig/" TargetMode="External"/><Relationship Id="rId100" Type="http://schemas.openxmlformats.org/officeDocument/2006/relationships/hyperlink" Target="https://icomponents.ru/catalog/iphone/iphone_15_pro/iphone_15_pro_akkumulyator_podlinnaya_detal_genuine_new_povyshennaya_emkost_3480_mah/" TargetMode="External"/><Relationship Id="rId342" Type="http://schemas.openxmlformats.org/officeDocument/2006/relationships/hyperlink" Target="https://icomponents.ru/catalog/iphone/iphone_14_pro/iphone_14_pro_zadnee_steklo_fioletovoe_shirokiy_vyrez/" TargetMode="External"/><Relationship Id="rId584" Type="http://schemas.openxmlformats.org/officeDocument/2006/relationships/hyperlink" Target="https://icomponents.ru/catalog/iphone/iphone_xs_max/iphone_xs_max_frontalnaya_kamera_orig/" TargetMode="External"/><Relationship Id="rId338" Type="http://schemas.openxmlformats.org/officeDocument/2006/relationships/hyperlink" Target="https://icomponents.ru/catalog/iphone/iphone_14_plus/iphone_14_plus_zadnee_steklo_beloe_v_sbore_s_krepleniem/" TargetMode="External"/><Relationship Id="rId337" Type="http://schemas.openxmlformats.org/officeDocument/2006/relationships/hyperlink" Target="https://icomponents.ru/catalog/iphone/iphone_14_plus/iphone_14_plus_zadnee_steklo_chernoe_v_sbore_s_krepleniem/" TargetMode="External"/><Relationship Id="rId579" Type="http://schemas.openxmlformats.org/officeDocument/2006/relationships/hyperlink" Target="https://icomponents.ru/catalog/iphone/iphone_8/iphone_8_frontalnaya_kamera_orig_2/" TargetMode="External"/><Relationship Id="rId336" Type="http://schemas.openxmlformats.org/officeDocument/2006/relationships/hyperlink" Target="https://icomponents.ru/catalog/iphone/iphone_14/iphone_14_zadnyaya_kryshka_zheltaya_v_sbore_s_krepleniem_i_linzami_kamery/" TargetMode="External"/><Relationship Id="rId578" Type="http://schemas.openxmlformats.org/officeDocument/2006/relationships/hyperlink" Target="https://icomponents.ru/catalog/iphone/iphone_8_se2020/iphone_8_frontalnaya_kamera_orig/" TargetMode="External"/><Relationship Id="rId335" Type="http://schemas.openxmlformats.org/officeDocument/2006/relationships/hyperlink" Target="https://icomponents.ru/catalog/iphone/iphone_14/iphone_14_zadnyaya_kryshka_krasnaya_v_sbore_s_krepleniem_i_linzami_kamery/" TargetMode="External"/><Relationship Id="rId577" Type="http://schemas.openxmlformats.org/officeDocument/2006/relationships/hyperlink" Target="https://icomponents.ru/catalog/iphone/iphone_7/iphone_7_frontalnaya_kamera_orig_2/" TargetMode="External"/><Relationship Id="rId339" Type="http://schemas.openxmlformats.org/officeDocument/2006/relationships/hyperlink" Target="https://icomponents.ru/catalog/iphone/iphone_14_plus/iphone_14_plus_zadnee_steklo_goluboe_v_sbore_s_krepleniem/" TargetMode="External"/><Relationship Id="rId330" Type="http://schemas.openxmlformats.org/officeDocument/2006/relationships/hyperlink" Target="https://icomponents.ru/catalog/iphone/iphone_13_pro_max/iphone_13_pro_max_zadnee_steklo_zelenoe_shirokiy_vyrez/" TargetMode="External"/><Relationship Id="rId572" Type="http://schemas.openxmlformats.org/officeDocument/2006/relationships/hyperlink" Target="https://icomponents.ru/catalog/iphone/iphone_6/iphone_6_frontalnaya_kamera_orig/" TargetMode="External"/><Relationship Id="rId571" Type="http://schemas.openxmlformats.org/officeDocument/2006/relationships/hyperlink" Target="https://icomponents.ru/catalog/iphone/iphone_17_pro_max/iphone_17_pro_max_kamera_osnovnaya_zadnyaya_orig_clean/" TargetMode="External"/><Relationship Id="rId570" Type="http://schemas.openxmlformats.org/officeDocument/2006/relationships/hyperlink" Target="https://icomponents.ru/catalog/iphone/iphone_17_pro/iphone_17_pro_kamera_osnovnaya_zadnyaya_orig_clean/" TargetMode="External"/><Relationship Id="rId334" Type="http://schemas.openxmlformats.org/officeDocument/2006/relationships/hyperlink" Target="https://icomponents.ru/catalog/iphone/iphone_14/iphone_14_zadnyaya_kryshka_fioletovaya_v_sbore_s_krepleniem_i_linzami_kamery/" TargetMode="External"/><Relationship Id="rId576" Type="http://schemas.openxmlformats.org/officeDocument/2006/relationships/hyperlink" Target="https://icomponents.ru/catalog/iphone/iphone_7_2/iphone_7_frontalnaya_kamera_orig/" TargetMode="External"/><Relationship Id="rId333" Type="http://schemas.openxmlformats.org/officeDocument/2006/relationships/hyperlink" Target="https://icomponents.ru/catalog/iphone/iphone_14/iphone_14_zadnyaya_kryshka_golubaya_v_sbore_s_krepleniem_i_linzami_kamery/" TargetMode="External"/><Relationship Id="rId575" Type="http://schemas.openxmlformats.org/officeDocument/2006/relationships/hyperlink" Target="https://icomponents.ru/catalog/iphone/iphone_6s/iphone_6s_frontalnaya_kamera_orig_2/" TargetMode="External"/><Relationship Id="rId332" Type="http://schemas.openxmlformats.org/officeDocument/2006/relationships/hyperlink" Target="https://icomponents.ru/catalog/iphone/iphone_14/iphone_14_zadnyaya_kryshka_belaya_v_sbore_s_krepleniem_i_linzami_kamery/" TargetMode="External"/><Relationship Id="rId574" Type="http://schemas.openxmlformats.org/officeDocument/2006/relationships/hyperlink" Target="https://icomponents.ru/catalog/iphone/iphone_6s_2/iphone_6s_frontalnaya_kamera_orig/" TargetMode="External"/><Relationship Id="rId331" Type="http://schemas.openxmlformats.org/officeDocument/2006/relationships/hyperlink" Target="https://icomponents.ru/catalog/iphone/iphone_14/iphone_14_zadnyaya_kryshka_chernaya_v_sbore_s_krepleniem_i_linzami_kamery/" TargetMode="External"/><Relationship Id="rId573" Type="http://schemas.openxmlformats.org/officeDocument/2006/relationships/hyperlink" Target="https://icomponents.ru/catalog/iphone/iphone_6_2/iphone_6_frontalnaya_kamera_orig_2/" TargetMode="External"/><Relationship Id="rId370" Type="http://schemas.openxmlformats.org/officeDocument/2006/relationships/hyperlink" Target="https://icomponents.ru/catalog/iphone/iphone_15_pro_max/iphone_15_pro_max_zadnyaya_kryshka_nfc_orig_snyataya_white_titanium/" TargetMode="External"/><Relationship Id="rId129" Type="http://schemas.openxmlformats.org/officeDocument/2006/relationships/hyperlink" Target="https://icomponents.ru/catalog/iphone/iphone_6_2/iphone_6_modul_lcd_touchscreen_belyy_snyatyy_orig_2/" TargetMode="External"/><Relationship Id="rId128" Type="http://schemas.openxmlformats.org/officeDocument/2006/relationships/hyperlink" Target="https://icomponents.ru/catalog/iphone/iphone_6/iphone_6_modul_lcd_touchscreen_chernyy_orig_ref/" TargetMode="External"/><Relationship Id="rId127" Type="http://schemas.openxmlformats.org/officeDocument/2006/relationships/hyperlink" Target="https://icomponents.ru/catalog/iphone/iphone_6/iphone_6_modul_lcd_touchscreen_belyy_orig_ref/" TargetMode="External"/><Relationship Id="rId369" Type="http://schemas.openxmlformats.org/officeDocument/2006/relationships/hyperlink" Target="https://icomponents.ru/catalog/iphone/iphone_15_pro_max/iphone_15_pro_max_zadnyaya_kryshka_nfc_orig_snyataya_blue_titanium/" TargetMode="External"/><Relationship Id="rId126" Type="http://schemas.openxmlformats.org/officeDocument/2006/relationships/hyperlink" Target="https://icomponents.ru/catalog/iphone/iphone_6/iphone_6_modul_lcd_touchscreen_belyy_snyatyy_orig/" TargetMode="External"/><Relationship Id="rId368" Type="http://schemas.openxmlformats.org/officeDocument/2006/relationships/hyperlink" Target="https://icomponents.ru/catalog/iphone/iphone_15_pro_max/iphone_15_pro_max_zadnyaya_kryshka_nfc_orig_snyataya_natural_titanium/" TargetMode="External"/><Relationship Id="rId121" Type="http://schemas.openxmlformats.org/officeDocument/2006/relationships/hyperlink" Target="https://icomponents.ru/catalog/iphone/iphone_5s/iphone_5s_lcd_touchscreen_belyy_snyatyy_orig/" TargetMode="External"/><Relationship Id="rId363" Type="http://schemas.openxmlformats.org/officeDocument/2006/relationships/hyperlink" Target="https://icomponents.ru/catalog/iphone/iphone_15_pro/iphone_15_pro_zadnyaya_kryshka_nfc_orig_snyataya_black_titanium/" TargetMode="External"/><Relationship Id="rId120" Type="http://schemas.openxmlformats.org/officeDocument/2006/relationships/hyperlink" Target="https://icomponents.ru/catalog/iphone/iphone_16_pro_max/iphone_16_pro_max_akkumulyatornaya_batareya_skotch_akb_orig/" TargetMode="External"/><Relationship Id="rId362" Type="http://schemas.openxmlformats.org/officeDocument/2006/relationships/hyperlink" Target="https://icomponents.ru/catalog/iphone/iphone_15_pro/iphone_15_pro_zadnyaya_kryshka_nfc_orig_snyataya_white_titanium/" TargetMode="External"/><Relationship Id="rId361" Type="http://schemas.openxmlformats.org/officeDocument/2006/relationships/hyperlink" Target="https://icomponents.ru/catalog/iphone/iphone_15_pro/iphone_15_pro_zadnyaya_kryshka_nfc_orig_snyataya_blue_titanium/" TargetMode="External"/><Relationship Id="rId360" Type="http://schemas.openxmlformats.org/officeDocument/2006/relationships/hyperlink" Target="https://icomponents.ru/catalog/iphone/iphone_15_pro/iphone_15_pro_zadnyaya_kryshka_nfc_orig_snyataya_natural_titanium/" TargetMode="External"/><Relationship Id="rId125" Type="http://schemas.openxmlformats.org/officeDocument/2006/relationships/hyperlink" Target="https://icomponents.ru/catalog/iphone/iphone_6/iphone_6_modul_lcd_touchscreen_chernyy_snyatyy_orig/" TargetMode="External"/><Relationship Id="rId367" Type="http://schemas.openxmlformats.org/officeDocument/2006/relationships/hyperlink" Target="https://icomponents.ru/catalog/iphone/iphone_15_pro/iphone_15_pro_zadnyaya_kryshka_chernaya_v_sbore_s_krepleniem_i_linzami_kamery/" TargetMode="External"/><Relationship Id="rId124" Type="http://schemas.openxmlformats.org/officeDocument/2006/relationships/hyperlink" Target="https://icomponents.ru/catalog/iphone/iphone_5s/iphone_5s_modul_lcd_touchscreen_chernyy_orig_ref/" TargetMode="External"/><Relationship Id="rId366" Type="http://schemas.openxmlformats.org/officeDocument/2006/relationships/hyperlink" Target="https://icomponents.ru/catalog/iphone/iphone_15_pro/iphone_15_pro_zadnyaya_kryshka_belaya_v_sbore_s_krepleniem_i_linzami_kamery/" TargetMode="External"/><Relationship Id="rId123" Type="http://schemas.openxmlformats.org/officeDocument/2006/relationships/hyperlink" Target="https://icomponents.ru/catalog/iphone/iphone_5s/iphone_5s_modul_lcd_touchscreen_belyy_orig_ref/" TargetMode="External"/><Relationship Id="rId365" Type="http://schemas.openxmlformats.org/officeDocument/2006/relationships/hyperlink" Target="https://icomponents.ru/catalog/iphone/iphone_15_pro/iphone_15_pro_zadnyaya_kryshka_sinyaya_v_sbore_s_krepleniem_i_linzami_kamery/" TargetMode="External"/><Relationship Id="rId122" Type="http://schemas.openxmlformats.org/officeDocument/2006/relationships/hyperlink" Target="https://icomponents.ru/catalog/iphone/iphone_5s/iphone_5s_lcd_touchscreen_chernyy_snyatyy_orig/" TargetMode="External"/><Relationship Id="rId364" Type="http://schemas.openxmlformats.org/officeDocument/2006/relationships/hyperlink" Target="https://icomponents.ru/catalog/iphone/iphone_15_pro/iphone_15_pro_zadnyaya_kryshka_naturalnyy_titan_v_sbore_s_krepleniem_i_linzami_kamery/" TargetMode="External"/><Relationship Id="rId95" Type="http://schemas.openxmlformats.org/officeDocument/2006/relationships/hyperlink" Target="https://icomponents.ru/catalog/iphone/iphone_15_plus/iphone_15_plus_akkumulyatornaya_batareya_akb_service_pack_orig/" TargetMode="External"/><Relationship Id="rId94" Type="http://schemas.openxmlformats.org/officeDocument/2006/relationships/hyperlink" Target="https://icomponents.ru/catalog/iphone/iphone_15/iphone_15_banka_akb_s_komplektom_nakleek_bez_shleyfa/" TargetMode="External"/><Relationship Id="rId97" Type="http://schemas.openxmlformats.org/officeDocument/2006/relationships/hyperlink" Target="https://icomponents.ru/catalog/iphone/iphone_15_plus/iphone_15_plus_akkumulyatornaya_batareya_skotch_akb_orig/" TargetMode="External"/><Relationship Id="rId96" Type="http://schemas.openxmlformats.org/officeDocument/2006/relationships/hyperlink" Target="https://icomponents.ru/catalog/iphone/iphone_15_plus/iphone_15_plus_akkumulyator_akb_premium_clean_ios_18_26/" TargetMode="External"/><Relationship Id="rId99" Type="http://schemas.openxmlformats.org/officeDocument/2006/relationships/hyperlink" Target="https://icomponents.ru/catalog/iphone/iphone_15_pro/iphone_15_pro_akkumulyator_snyatyy_orig_privyazka_b_u_100_emkost/" TargetMode="External"/><Relationship Id="rId98" Type="http://schemas.openxmlformats.org/officeDocument/2006/relationships/hyperlink" Target="https://icomponents.ru/catalog/iphone/iphone_15_pro/iphone_15_pro_akkumulyatornaya_batareya_akb_service_pack_orig/" TargetMode="External"/><Relationship Id="rId91" Type="http://schemas.openxmlformats.org/officeDocument/2006/relationships/hyperlink" Target="https://icomponents.ru/catalog/iphone/iphone_15/iphone_15_akkumulyator_podlinnaya_detal_genuine_new_povyshennaya_emkost_3600_mah/" TargetMode="External"/><Relationship Id="rId90" Type="http://schemas.openxmlformats.org/officeDocument/2006/relationships/hyperlink" Target="https://icomponents.ru/catalog/iphone/iphone_15/iphone_15_akkumulyator_snyatyy_orig_privyazka_b_u_100_emkost/" TargetMode="External"/><Relationship Id="rId93" Type="http://schemas.openxmlformats.org/officeDocument/2006/relationships/hyperlink" Target="https://icomponents.ru/catalog/iphone/iphone_15/iphone_15_akkumulyatornaya_batareya_skotch_akb_orig/" TargetMode="External"/><Relationship Id="rId92" Type="http://schemas.openxmlformats.org/officeDocument/2006/relationships/hyperlink" Target="https://icomponents.ru/catalog/iphone/iphone_15/iphone_15_akkumulyator_akb_premium_clean_ios_18_26/" TargetMode="External"/><Relationship Id="rId118" Type="http://schemas.openxmlformats.org/officeDocument/2006/relationships/hyperlink" Target="https://icomponents.ru/catalog/iphone/iphone_16_pro_max/iphone_16_pro_max_akkumulyatornaya_batareya_akb_service_pack_orig/" TargetMode="External"/><Relationship Id="rId117" Type="http://schemas.openxmlformats.org/officeDocument/2006/relationships/hyperlink" Target="https://icomponents.ru/catalog/iphone/iphone_16_pro/iphone_16_pro_akkumulyatornaya_batareya_skotch_akb_orig/" TargetMode="External"/><Relationship Id="rId359" Type="http://schemas.openxmlformats.org/officeDocument/2006/relationships/hyperlink" Target="https://icomponents.ru/catalog/iphone/iphone_15/iphone_15_zadnyaya_kryshka_zheltaya_v_sbore_s_krepleniem_i_linzami_kamery/" TargetMode="External"/><Relationship Id="rId116" Type="http://schemas.openxmlformats.org/officeDocument/2006/relationships/hyperlink" Target="https://icomponents.ru/catalog/iphone/iphone_16_pro/iphone_16_pro_akkumulyator_snyatyy_orig_privyazka_b_u_100_emkost/" TargetMode="External"/><Relationship Id="rId358" Type="http://schemas.openxmlformats.org/officeDocument/2006/relationships/hyperlink" Target="https://icomponents.ru/catalog/iphone/iphone_15/iphone_15_zadnyaya_kryshka_rozovaya_v_sbore_s_krepleniem_i_linzami_kamery/" TargetMode="External"/><Relationship Id="rId115" Type="http://schemas.openxmlformats.org/officeDocument/2006/relationships/hyperlink" Target="https://icomponents.ru/catalog/iphone/iphone_16_pro/iphone_16_pro_akkumulyatornaya_batareya_akb_service_pack_orig/" TargetMode="External"/><Relationship Id="rId357" Type="http://schemas.openxmlformats.org/officeDocument/2006/relationships/hyperlink" Target="https://icomponents.ru/catalog/iphone/iphone_15/iphone_15_zadnyaya_kryshka_zelenaya_v_sbore_s_krepleniem_i_linzami_kamery/" TargetMode="External"/><Relationship Id="rId599" Type="http://schemas.openxmlformats.org/officeDocument/2006/relationships/hyperlink" Target="https://icomponents.ru/catalog/iphone/iphone_15_pro/iphone_15_pro_frontalnaya_kamera_orig/" TargetMode="External"/><Relationship Id="rId119" Type="http://schemas.openxmlformats.org/officeDocument/2006/relationships/hyperlink" Target="https://icomponents.ru/catalog/iphone/iphone_16_pro_max/iphone_16_pro_max_akkumulyator_snyatyy_orig_privyazka_b_u_100_emkost/" TargetMode="External"/><Relationship Id="rId110" Type="http://schemas.openxmlformats.org/officeDocument/2006/relationships/hyperlink" Target="https://icomponents.ru/catalog/iphone/iphone_16/iphone_16_akkumulyatornaya_batareya_akb_service_pack_orig/" TargetMode="External"/><Relationship Id="rId352" Type="http://schemas.openxmlformats.org/officeDocument/2006/relationships/hyperlink" Target="https://icomponents.ru/catalog/iphone/iphone_15/iphone_15_zadnyaya_kryshka_nfc_orig_snyataya_green/" TargetMode="External"/><Relationship Id="rId594" Type="http://schemas.openxmlformats.org/officeDocument/2006/relationships/hyperlink" Target="https://icomponents.ru/catalog/iphone/iphone_14_plus/iphone_14_plus_frontalnaya_kamera_orig/" TargetMode="External"/><Relationship Id="rId351" Type="http://schemas.openxmlformats.org/officeDocument/2006/relationships/hyperlink" Target="https://icomponents.ru/catalog/iphone/iphone_15/iphone_15_zadnyaya_kryshka_nfc_orig_snyataya_blue/" TargetMode="External"/><Relationship Id="rId593" Type="http://schemas.openxmlformats.org/officeDocument/2006/relationships/hyperlink" Target="https://icomponents.ru/catalog/iphone/iphone_14/iphone_14_frontalnaya_kamera_orig/" TargetMode="External"/><Relationship Id="rId350" Type="http://schemas.openxmlformats.org/officeDocument/2006/relationships/hyperlink" Target="https://icomponents.ru/catalog/iphone/iphone_15/iphone_15_zadnyaya_kryshka_nfc_orig_snyataya_black/" TargetMode="External"/><Relationship Id="rId592" Type="http://schemas.openxmlformats.org/officeDocument/2006/relationships/hyperlink" Target="https://icomponents.ru/catalog/iphone/iphone_13_pro_max/iphone_13_pro_max_frontalnaya_kamera_orig/" TargetMode="External"/><Relationship Id="rId591" Type="http://schemas.openxmlformats.org/officeDocument/2006/relationships/hyperlink" Target="https://icomponents.ru/catalog/iphone/iphone_13_pro/iphone_13_pro_frontalnaya_kamera_orig/" TargetMode="External"/><Relationship Id="rId114" Type="http://schemas.openxmlformats.org/officeDocument/2006/relationships/hyperlink" Target="https://icomponents.ru/catalog/iphone/iphone_16_plus/iphone_16_plus_akkumulyatornaya_batareya_skotch_akb_orig/" TargetMode="External"/><Relationship Id="rId356" Type="http://schemas.openxmlformats.org/officeDocument/2006/relationships/hyperlink" Target="https://icomponents.ru/catalog/iphone/iphone_15/iphone_15_zadnyaya_kryshka_golubaya_v_sbore_s_krepleniem_i_linzami_kamery/" TargetMode="External"/><Relationship Id="rId598" Type="http://schemas.openxmlformats.org/officeDocument/2006/relationships/hyperlink" Target="https://icomponents.ru/catalog/iphone/iphone_15_plus/iphone_15_plus_frontalnaya_kamera_orig/" TargetMode="External"/><Relationship Id="rId113" Type="http://schemas.openxmlformats.org/officeDocument/2006/relationships/hyperlink" Target="https://icomponents.ru/catalog/iphone/iphone_16_plus/iphone_16_plus_akkumulyatornaya_batareya_akb_service_pack_orig/" TargetMode="External"/><Relationship Id="rId355" Type="http://schemas.openxmlformats.org/officeDocument/2006/relationships/hyperlink" Target="https://icomponents.ru/catalog/iphone/iphone_15/iphone_15_zadnyaya_kryshka_chernaya_v_sbore_s_krepleniem_i_linzami_kamery/" TargetMode="External"/><Relationship Id="rId597" Type="http://schemas.openxmlformats.org/officeDocument/2006/relationships/hyperlink" Target="https://icomponents.ru/catalog/iphone/iphone_15/iphone_15_frontalnaya_kamera_orig/" TargetMode="External"/><Relationship Id="rId112" Type="http://schemas.openxmlformats.org/officeDocument/2006/relationships/hyperlink" Target="https://icomponents.ru/catalog/iphone/iphone_16/iphone_16_akkumulyatornaya_batareya_skotch_akb_orig/" TargetMode="External"/><Relationship Id="rId354" Type="http://schemas.openxmlformats.org/officeDocument/2006/relationships/hyperlink" Target="https://icomponents.ru/catalog/iphone/iphone_15/iphone_15_zadnyaya_kryshka_nfc_orig_snyataya_yellow/" TargetMode="External"/><Relationship Id="rId596" Type="http://schemas.openxmlformats.org/officeDocument/2006/relationships/hyperlink" Target="https://icomponents.ru/catalog/iphone/iphone_14_pro_max/iphone_14_pro_max_frontalnaya_kamera_orig/" TargetMode="External"/><Relationship Id="rId111" Type="http://schemas.openxmlformats.org/officeDocument/2006/relationships/hyperlink" Target="https://icomponents.ru/catalog/iphone/iphone_16/iphone_16_akkumulyator_snyatyy_orig_privyazka_b_u_100_emkost/" TargetMode="External"/><Relationship Id="rId353" Type="http://schemas.openxmlformats.org/officeDocument/2006/relationships/hyperlink" Target="https://icomponents.ru/catalog/iphone/iphone_15/iphone_15_zadnyaya_kryshka_nfc_orig_snyataya_pink/" TargetMode="External"/><Relationship Id="rId595" Type="http://schemas.openxmlformats.org/officeDocument/2006/relationships/hyperlink" Target="https://icomponents.ru/catalog/iphone/iphone_14_pro/iphone_14_pro_frontalnaya_kamera_orig/" TargetMode="External"/><Relationship Id="rId305" Type="http://schemas.openxmlformats.org/officeDocument/2006/relationships/hyperlink" Target="https://icomponents.ru/catalog/iphone/iphone_12_pro/iphone_12_pro_zadnee_steklo_zolotoe_shirokiy_vyrez/" TargetMode="External"/><Relationship Id="rId547" Type="http://schemas.openxmlformats.org/officeDocument/2006/relationships/hyperlink" Target="https://icomponents.ru/catalog/iphone/iphone_xs/iphone_xs_xs_max_zadnyaya_osnovnaya_kamera_orig/" TargetMode="External"/><Relationship Id="rId304" Type="http://schemas.openxmlformats.org/officeDocument/2006/relationships/hyperlink" Target="https://icomponents.ru/catalog/iphone/iphone_12_pro/iphone_12_pro_zadnee_steklo_beloe_shirokiy_vyrez/" TargetMode="External"/><Relationship Id="rId546" Type="http://schemas.openxmlformats.org/officeDocument/2006/relationships/hyperlink" Target="https://icomponents.ru/catalog/iphone/iphone_x/iphone_x_zadnyaya_osnovnaya_kamera_orig/" TargetMode="External"/><Relationship Id="rId303" Type="http://schemas.openxmlformats.org/officeDocument/2006/relationships/hyperlink" Target="https://icomponents.ru/catalog/iphone/iphone_12_pro/iphone_12_pro_zadnee_steklo_sinee_shirokiy_vyrez/" TargetMode="External"/><Relationship Id="rId545" Type="http://schemas.openxmlformats.org/officeDocument/2006/relationships/hyperlink" Target="https://icomponents.ru/catalog/iphone/iphone_xr/iphone_xr_zadnyaya_osnovnaya_kamera_orig/" TargetMode="External"/><Relationship Id="rId302" Type="http://schemas.openxmlformats.org/officeDocument/2006/relationships/hyperlink" Target="https://icomponents.ru/catalog/iphone/iphone_12_pro/iphone_12_pro_zadnee_steklo_chernoe_shirokiy_vyrez/" TargetMode="External"/><Relationship Id="rId544" Type="http://schemas.openxmlformats.org/officeDocument/2006/relationships/hyperlink" Target="https://icomponents.ru/catalog/iphone/iphone_8_se2020/iphone_se_2020_zadnyaya_osnovnaya_kamera_orig/" TargetMode="External"/><Relationship Id="rId309" Type="http://schemas.openxmlformats.org/officeDocument/2006/relationships/hyperlink" Target="https://icomponents.ru/catalog/iphone/iphone_13/iphone_13_zadnee_steklo_chernoe_shirokiy_vyrez/" TargetMode="External"/><Relationship Id="rId308" Type="http://schemas.openxmlformats.org/officeDocument/2006/relationships/hyperlink" Target="https://icomponents.ru/catalog/iphone/iphone_12_pro_max/iphone_12_pro_max_zadnee_steklo_beloe_shirokiy_vyrez/" TargetMode="External"/><Relationship Id="rId307" Type="http://schemas.openxmlformats.org/officeDocument/2006/relationships/hyperlink" Target="https://icomponents.ru/catalog/iphone/iphone_12_pro_max/iphone_12_pro_max_zadnee_steklo_sinee_shirokiy_vyrez/" TargetMode="External"/><Relationship Id="rId549" Type="http://schemas.openxmlformats.org/officeDocument/2006/relationships/hyperlink" Target="https://icomponents.ru/catalog/iphone/iphone_11_pro_max/iphone_11_pro_pro_max_zadnyaya_osnovnaya_kamera_orig/" TargetMode="External"/><Relationship Id="rId306" Type="http://schemas.openxmlformats.org/officeDocument/2006/relationships/hyperlink" Target="https://icomponents.ru/catalog/iphone/iphone_12_pro_max/iphone_12_pro_max_zadnee_steklo_chernoe_shirokiy_vyrez/" TargetMode="External"/><Relationship Id="rId548" Type="http://schemas.openxmlformats.org/officeDocument/2006/relationships/hyperlink" Target="https://icomponents.ru/catalog/iphone/iphone_11/iphone_11_zadnyaya_osnovnaya_kamera_orig/" TargetMode="External"/><Relationship Id="rId301" Type="http://schemas.openxmlformats.org/officeDocument/2006/relationships/hyperlink" Target="https://icomponents.ru/catalog/iphone/iphone_12_mini/iphone_12_mini_zadnee_steklo_krasnoe_shirokiy_vyrez/" TargetMode="External"/><Relationship Id="rId543" Type="http://schemas.openxmlformats.org/officeDocument/2006/relationships/hyperlink" Target="https://icomponents.ru/catalog/iphone/iphone_8/iphone_8_zadnyaya_osnovnaya_kamera_orig_2/" TargetMode="External"/><Relationship Id="rId300" Type="http://schemas.openxmlformats.org/officeDocument/2006/relationships/hyperlink" Target="https://icomponents.ru/catalog/iphone/iphone_12_mini/iphone_12_mini_zadnee_steklo_fioletovoe_shirokiy_vyrez/" TargetMode="External"/><Relationship Id="rId542" Type="http://schemas.openxmlformats.org/officeDocument/2006/relationships/hyperlink" Target="https://icomponents.ru/catalog/iphone/iphone_8_se2020/iphone_8_zadnyaya_osnovnaya_kamera_orig/" TargetMode="External"/><Relationship Id="rId541" Type="http://schemas.openxmlformats.org/officeDocument/2006/relationships/hyperlink" Target="https://icomponents.ru/catalog/iphone/iphone_7/iphone_7_zadnyaya_osnovnaya_kamera_orig_2/" TargetMode="External"/><Relationship Id="rId540" Type="http://schemas.openxmlformats.org/officeDocument/2006/relationships/hyperlink" Target="https://icomponents.ru/catalog/iphone/iphone_7_2/iphone_7_zadnyaya_osnovnaya_kamera_orig/" TargetMode="External"/><Relationship Id="rId536" Type="http://schemas.openxmlformats.org/officeDocument/2006/relationships/hyperlink" Target="https://icomponents.ru/catalog/iphone/iphone_6/iphone_6_zadnyaya_osnovnaya_kamera_orig/" TargetMode="External"/><Relationship Id="rId535" Type="http://schemas.openxmlformats.org/officeDocument/2006/relationships/hyperlink" Target="https://icomponents.ru/catalog/iphone/iphone_17_pro_max/iphone_17_pro_max_nizhniy_shleyf_s_razemom_zaryadki_deep_blue_orig/" TargetMode="External"/><Relationship Id="rId534" Type="http://schemas.openxmlformats.org/officeDocument/2006/relationships/hyperlink" Target="https://icomponents.ru/catalog/iphone/iphone_17_pro/iphone_17_pro_nizhniy_shleyf_s_razemom_zaryadki_deep_blue_orig/" TargetMode="External"/><Relationship Id="rId533" Type="http://schemas.openxmlformats.org/officeDocument/2006/relationships/hyperlink" Target="https://icomponents.ru/catalog/iphone/iphone_17_air/iphone_17_air_nizhniy_shleyf_s_razemom_zaryadki_orig_chernyy/" TargetMode="External"/><Relationship Id="rId539" Type="http://schemas.openxmlformats.org/officeDocument/2006/relationships/hyperlink" Target="https://icomponents.ru/catalog/iphone/iphone_6s/iphone_6s_zadnyaya_osnovnaya_kamera_orig_2/" TargetMode="External"/><Relationship Id="rId538" Type="http://schemas.openxmlformats.org/officeDocument/2006/relationships/hyperlink" Target="https://icomponents.ru/catalog/iphone/iphone_6s_2/iphone_6s_zadnyaya_osnovnaya_kamera_orig/" TargetMode="External"/><Relationship Id="rId537" Type="http://schemas.openxmlformats.org/officeDocument/2006/relationships/hyperlink" Target="https://icomponents.ru/catalog/iphone/iphone_6_2/iphone_6_zadnyaya_osnovnaya_kamera_orig_2/" TargetMode="External"/><Relationship Id="rId532" Type="http://schemas.openxmlformats.org/officeDocument/2006/relationships/hyperlink" Target="https://icomponents.ru/catalog/iphone/iphone_17/iphone_17_nizhniy_shleyf_s_razemom_zaryadki_orig_chernyy/" TargetMode="External"/><Relationship Id="rId531" Type="http://schemas.openxmlformats.org/officeDocument/2006/relationships/hyperlink" Target="https://icomponents.ru/catalog/iphone/iphone_16_pro_max/iphone_16_pro_max_nizhniy_shleyf_s_razemom_zaryadki_orig_belyy/" TargetMode="External"/><Relationship Id="rId530" Type="http://schemas.openxmlformats.org/officeDocument/2006/relationships/hyperlink" Target="https://icomponents.ru/catalog/iphone/iphone_16_pro_max/iphone_16_pro_max_nizhniy_shleyf_s_razemom_zaryadki_orig_chernyy/" TargetMode="External"/><Relationship Id="rId327" Type="http://schemas.openxmlformats.org/officeDocument/2006/relationships/hyperlink" Target="https://icomponents.ru/catalog/iphone/iphone_13_pro_max/iphone_13_pro_max_zadnee_steklo_goluboe_shirokiy_vyrez/" TargetMode="External"/><Relationship Id="rId569" Type="http://schemas.openxmlformats.org/officeDocument/2006/relationships/hyperlink" Target="https://icomponents.ru/catalog/iphone/iphone_17_air/iphone_air_kamera_osnovnaya_zadnyaya_orig/" TargetMode="External"/><Relationship Id="rId326" Type="http://schemas.openxmlformats.org/officeDocument/2006/relationships/hyperlink" Target="https://icomponents.ru/catalog/iphone/iphone_13_pro_max/iphone_13_pro_max_zadnee_steklo_chernoe_shirokiy_vyrez/" TargetMode="External"/><Relationship Id="rId568" Type="http://schemas.openxmlformats.org/officeDocument/2006/relationships/hyperlink" Target="https://icomponents.ru/catalog/iphone/iphone_17/iphone_17_kamera_osnovnaya_zadnyaya_orig/" TargetMode="External"/><Relationship Id="rId325" Type="http://schemas.openxmlformats.org/officeDocument/2006/relationships/hyperlink" Target="https://icomponents.ru/catalog/iphone/iphone_13_pro/iphone_13_pro_zadnee_steklo_zelenoe_shirokiy_vyrez/" TargetMode="External"/><Relationship Id="rId567" Type="http://schemas.openxmlformats.org/officeDocument/2006/relationships/hyperlink" Target="https://icomponents.ru/catalog/iphone/iphone_16_pro_max/iphone_16_pro_max_kamera_osnovnaya_zadnyaya_orig/" TargetMode="External"/><Relationship Id="rId324" Type="http://schemas.openxmlformats.org/officeDocument/2006/relationships/hyperlink" Target="https://icomponents.ru/catalog/iphone/iphone_13_pro/iphone_13_pro_zadnee_steklo_zolotoe_shirokiy_vyrez/" TargetMode="External"/><Relationship Id="rId566" Type="http://schemas.openxmlformats.org/officeDocument/2006/relationships/hyperlink" Target="https://icomponents.ru/catalog/iphone/iphone_16_pro/iphone_16_pro_kamera_osnovnaya_zadnyaya_orig/" TargetMode="External"/><Relationship Id="rId329" Type="http://schemas.openxmlformats.org/officeDocument/2006/relationships/hyperlink" Target="https://icomponents.ru/catalog/iphone/iphone_13_pro_max/iphone_13_pro_max_zadnee_steklo_zolotoe_shirokiy_vyrez/" TargetMode="External"/><Relationship Id="rId328" Type="http://schemas.openxmlformats.org/officeDocument/2006/relationships/hyperlink" Target="https://icomponents.ru/catalog/iphone/iphone_13_pro_max/iphone_13_pro_max_zadnee_steklo_beloe_shirokiy_vyrez/" TargetMode="External"/><Relationship Id="rId561" Type="http://schemas.openxmlformats.org/officeDocument/2006/relationships/hyperlink" Target="https://icomponents.ru/catalog/iphone/iphone_15_plus/iphone_15_plus_kamera_osnovnaya_zadnyaya_orig/" TargetMode="External"/><Relationship Id="rId560" Type="http://schemas.openxmlformats.org/officeDocument/2006/relationships/hyperlink" Target="https://icomponents.ru/catalog/iphone/iphone_15/iphone_15_kamera_osnovnaya_zadnyaya_orig/" TargetMode="External"/><Relationship Id="rId323" Type="http://schemas.openxmlformats.org/officeDocument/2006/relationships/hyperlink" Target="https://icomponents.ru/catalog/iphone/iphone_13_pro/iphone_13_pro_zadnee_steklo_beloe_shirokiy_vyrez/" TargetMode="External"/><Relationship Id="rId565" Type="http://schemas.openxmlformats.org/officeDocument/2006/relationships/hyperlink" Target="https://icomponents.ru/catalog/iphone/iphone_16_plus/iphone_16_plus_kamera_osnovnaya_zadnyaya_orig/" TargetMode="External"/><Relationship Id="rId322" Type="http://schemas.openxmlformats.org/officeDocument/2006/relationships/hyperlink" Target="https://icomponents.ru/catalog/iphone/iphone_13_pro/iphone_13_pro_zadnee_steklo_sinee_shirokiy_vyrez/" TargetMode="External"/><Relationship Id="rId564" Type="http://schemas.openxmlformats.org/officeDocument/2006/relationships/hyperlink" Target="https://icomponents.ru/catalog/iphone/iphone_16/iphone_16_kamera_osnovnaya_zadnyaya_orig_clean/" TargetMode="External"/><Relationship Id="rId321" Type="http://schemas.openxmlformats.org/officeDocument/2006/relationships/hyperlink" Target="https://icomponents.ru/catalog/iphone/iphone_13_pro/iphone_13_pro_zadnee_steklo_chernoe_shirokiy_vyrez/" TargetMode="External"/><Relationship Id="rId563" Type="http://schemas.openxmlformats.org/officeDocument/2006/relationships/hyperlink" Target="https://icomponents.ru/catalog/iphone/iphone_15_pro_max/iphone_15_pro_max_kamera_osnovnaya_zadnyaya_orig/" TargetMode="External"/><Relationship Id="rId320" Type="http://schemas.openxmlformats.org/officeDocument/2006/relationships/hyperlink" Target="https://icomponents.ru/catalog/iphone/iphone_13_mini/iphone_13_mini_zadnee_steklo_krasnoe_shirokiy_vyrez/" TargetMode="External"/><Relationship Id="rId562" Type="http://schemas.openxmlformats.org/officeDocument/2006/relationships/hyperlink" Target="https://icomponents.ru/catalog/iphone/iphone_15_pro/iphone_15_pro_kamera_osnovnaya_zadnyaya_orig/" TargetMode="External"/><Relationship Id="rId316" Type="http://schemas.openxmlformats.org/officeDocument/2006/relationships/hyperlink" Target="https://icomponents.ru/catalog/iphone/iphone_13_mini/iphone_13_mini_zadnee_steklo_beloe_shirokiy_vyrez/" TargetMode="External"/><Relationship Id="rId558" Type="http://schemas.openxmlformats.org/officeDocument/2006/relationships/hyperlink" Target="https://icomponents.ru/catalog/iphone/iphone_14_pro/iphone_14_pro_kamera_osnovnaya_zadnyaya_orig/" TargetMode="External"/><Relationship Id="rId315" Type="http://schemas.openxmlformats.org/officeDocument/2006/relationships/hyperlink" Target="https://icomponents.ru/catalog/iphone/iphone_13_mini/iphone_13_mini_zadnee_steklo_chernoe_shirokiy_vyrez/" TargetMode="External"/><Relationship Id="rId557" Type="http://schemas.openxmlformats.org/officeDocument/2006/relationships/hyperlink" Target="https://icomponents.ru/catalog/iphone/iphone_14_plus/iphone_14_plus_kamera_osnovnaya_zadnyaya_orig/" TargetMode="External"/><Relationship Id="rId314" Type="http://schemas.openxmlformats.org/officeDocument/2006/relationships/hyperlink" Target="https://icomponents.ru/catalog/iphone/iphone_13/iphone_13_zadnee_steklo_krasnoe_shirokiy_vyrez/" TargetMode="External"/><Relationship Id="rId556" Type="http://schemas.openxmlformats.org/officeDocument/2006/relationships/hyperlink" Target="https://icomponents.ru/catalog/iphone/iphone_14/iphone_14_kamera_osnovnaya_zadnyaya_orig/" TargetMode="External"/><Relationship Id="rId313" Type="http://schemas.openxmlformats.org/officeDocument/2006/relationships/hyperlink" Target="https://icomponents.ru/catalog/iphone/iphone_13/iphone_13_zadnee_steklo_rozovoe_shirokiy_vyrez/" TargetMode="External"/><Relationship Id="rId555" Type="http://schemas.openxmlformats.org/officeDocument/2006/relationships/hyperlink" Target="https://icomponents.ru/catalog/iphone/iphone_13_pro/iphone_13_pro_13_pro_max_kamera_osnovnaya_zadnyaya_orig/" TargetMode="External"/><Relationship Id="rId319" Type="http://schemas.openxmlformats.org/officeDocument/2006/relationships/hyperlink" Target="https://icomponents.ru/catalog/iphone/iphone_13_mini/iphone_13_mini_zadnee_steklo_rozovoe_shirokiy_vyrez/" TargetMode="External"/><Relationship Id="rId318" Type="http://schemas.openxmlformats.org/officeDocument/2006/relationships/hyperlink" Target="https://icomponents.ru/catalog/iphone/iphone_13_mini/iphone_13_mini_zadnee_steklo_zelenoe_shirokiy_vyrez/" TargetMode="External"/><Relationship Id="rId317" Type="http://schemas.openxmlformats.org/officeDocument/2006/relationships/hyperlink" Target="https://icomponents.ru/catalog/iphone/iphone_13_mini/iphone_13_mini_zadnee_steklo_sinee_shirokiy_vyrez/" TargetMode="External"/><Relationship Id="rId559" Type="http://schemas.openxmlformats.org/officeDocument/2006/relationships/hyperlink" Target="https://icomponents.ru/catalog/iphone/iphone_14_pro_max/iphone_14_pro_max_kamera_osnovnaya_zadnyaya_orig/" TargetMode="External"/><Relationship Id="rId550" Type="http://schemas.openxmlformats.org/officeDocument/2006/relationships/hyperlink" Target="https://icomponents.ru/catalog/iphone/iphone_12/iphone_12_zadnyaya_osnovnaya_kamera_orig/" TargetMode="External"/><Relationship Id="rId312" Type="http://schemas.openxmlformats.org/officeDocument/2006/relationships/hyperlink" Target="https://icomponents.ru/catalog/iphone/iphone_13/iphone_13_zadnee_steklo_zelenoe_shirokiy_vyrez/" TargetMode="External"/><Relationship Id="rId554" Type="http://schemas.openxmlformats.org/officeDocument/2006/relationships/hyperlink" Target="https://icomponents.ru/catalog/iphone/iphone_13/iphone_13_13_mini_kamera_osnovnaya_zadnyaya_orig/" TargetMode="External"/><Relationship Id="rId311" Type="http://schemas.openxmlformats.org/officeDocument/2006/relationships/hyperlink" Target="https://icomponents.ru/catalog/iphone/iphone_13/iphone_13_zadnee_steklo_sinee_shirokiy_vyrez/" TargetMode="External"/><Relationship Id="rId553" Type="http://schemas.openxmlformats.org/officeDocument/2006/relationships/hyperlink" Target="https://icomponents.ru/catalog/iphone/iphone_12_pro_max/iphone_12_pro_max_kamera_osnovnaya_zadnyaya_orig/" TargetMode="External"/><Relationship Id="rId310" Type="http://schemas.openxmlformats.org/officeDocument/2006/relationships/hyperlink" Target="https://icomponents.ru/catalog/iphone/iphone_13/iphone_13_zadnee_steklo_beloe_shirokiy_vyrez/" TargetMode="External"/><Relationship Id="rId552" Type="http://schemas.openxmlformats.org/officeDocument/2006/relationships/hyperlink" Target="https://icomponents.ru/catalog/iphone/iphone_12_pro/iphone_12_pro_zadnyaya_osnovnaya_kamera_orig/" TargetMode="External"/><Relationship Id="rId551" Type="http://schemas.openxmlformats.org/officeDocument/2006/relationships/hyperlink" Target="https://icomponents.ru/catalog/iphone/iphone_12_mini/iphone_12_mini_kamera_osnovnaya_zadnyaya_orig/" TargetMode="External"/><Relationship Id="rId297" Type="http://schemas.openxmlformats.org/officeDocument/2006/relationships/hyperlink" Target="https://icomponents.ru/catalog/iphone/iphone_12_mini/iphone_12_mini_zadnee_steklo_beloe_shirokiy_vyrez/" TargetMode="External"/><Relationship Id="rId296" Type="http://schemas.openxmlformats.org/officeDocument/2006/relationships/hyperlink" Target="https://icomponents.ru/catalog/iphone/iphone_12_mini/iphone_12_mini_zadnee_steklo_chernoe_shirokiy_vyrez/" TargetMode="External"/><Relationship Id="rId295" Type="http://schemas.openxmlformats.org/officeDocument/2006/relationships/hyperlink" Target="https://icomponents.ru/catalog/iphone/iphone_12/iphone_12_zadnee_steklo_krasnoe_shirokiy_vyrez/" TargetMode="External"/><Relationship Id="rId294" Type="http://schemas.openxmlformats.org/officeDocument/2006/relationships/hyperlink" Target="https://icomponents.ru/catalog/iphone/iphone_12/iphone_12_zadnee_steklo_fioletovoe_shirokiy_vyrez/" TargetMode="External"/><Relationship Id="rId299" Type="http://schemas.openxmlformats.org/officeDocument/2006/relationships/hyperlink" Target="https://icomponents.ru/catalog/iphone/iphone_12_mini/iphone_12_mini_zadnee_steklo_zelenoe_shirokiy_vyrez/" TargetMode="External"/><Relationship Id="rId298" Type="http://schemas.openxmlformats.org/officeDocument/2006/relationships/hyperlink" Target="https://icomponents.ru/catalog/iphone/iphone_12_mini/iphone_12_mini_zadnee_steklo_sinee_shirokiy_vyrez/" TargetMode="External"/><Relationship Id="rId271" Type="http://schemas.openxmlformats.org/officeDocument/2006/relationships/hyperlink" Target="https://icomponents.ru/catalog/iphone/iphone_xs/iphone_xs_zadnee_steklo_chernoe_shirokiy_vyrez/" TargetMode="External"/><Relationship Id="rId270" Type="http://schemas.openxmlformats.org/officeDocument/2006/relationships/hyperlink" Target="https://icomponents.ru/catalog/iphone/iphone_x/iphone_x_zadnee_steklo_beloe_shirokiy_vyrez/" TargetMode="External"/><Relationship Id="rId269" Type="http://schemas.openxmlformats.org/officeDocument/2006/relationships/hyperlink" Target="https://icomponents.ru/catalog/iphone/iphone_x/iphone_x_zadnee_steklo_chernoe_shirokiy_vyrez/" TargetMode="External"/><Relationship Id="rId264" Type="http://schemas.openxmlformats.org/officeDocument/2006/relationships/hyperlink" Target="https://icomponents.ru/catalog/iphone/iphone_xr/iphone_xr_zadnee_steklo_chernoe_shirokiy_vyrez/" TargetMode="External"/><Relationship Id="rId263" Type="http://schemas.openxmlformats.org/officeDocument/2006/relationships/hyperlink" Target="https://icomponents.ru/catalog/iphone/iphone_8_se2020/iphone_se_2020_zadnee_steklo_krasnoe_shirokiy_vyrez/" TargetMode="External"/><Relationship Id="rId262" Type="http://schemas.openxmlformats.org/officeDocument/2006/relationships/hyperlink" Target="https://icomponents.ru/catalog/iphone/iphone_8_se2020/iphone_se_2020_zadnee_steklo_beloe_shirokiy_vyrez/" TargetMode="External"/><Relationship Id="rId261" Type="http://schemas.openxmlformats.org/officeDocument/2006/relationships/hyperlink" Target="https://icomponents.ru/catalog/iphone/iphone_8_se2020/iphone_se_2020_zadnee_steklo_chernoe_shirokiy_vyrez/" TargetMode="External"/><Relationship Id="rId268" Type="http://schemas.openxmlformats.org/officeDocument/2006/relationships/hyperlink" Target="https://icomponents.ru/catalog/iphone/iphone_xr/iphone_xr_zadnee_steklo_oranzhevoe_shirokiy_vyrez/" TargetMode="External"/><Relationship Id="rId267" Type="http://schemas.openxmlformats.org/officeDocument/2006/relationships/hyperlink" Target="https://icomponents.ru/catalog/iphone/iphone_xr/iphone_xr_zadnee_steklo_zheltoe_shirokiy_vyrez/" TargetMode="External"/><Relationship Id="rId266" Type="http://schemas.openxmlformats.org/officeDocument/2006/relationships/hyperlink" Target="https://icomponents.ru/catalog/iphone/iphone_xr/iphone_xr_zadnee_steklo_goluboe_shirokiy_vyrez/" TargetMode="External"/><Relationship Id="rId265" Type="http://schemas.openxmlformats.org/officeDocument/2006/relationships/hyperlink" Target="https://icomponents.ru/catalog/iphone/iphone_xr/iphone_xr_zadnee_steklo_beloe_shirokiy_vyrez/" TargetMode="External"/><Relationship Id="rId260" Type="http://schemas.openxmlformats.org/officeDocument/2006/relationships/hyperlink" Target="https://icomponents.ru/catalog/iphone/iphone_8/iphone_8_zadnee_steklo_krasnoe_shirokiy_vyrez/" TargetMode="External"/><Relationship Id="rId259" Type="http://schemas.openxmlformats.org/officeDocument/2006/relationships/hyperlink" Target="https://icomponents.ru/catalog/iphone/iphone_8/iphone_8_zadnee_steklo_zolotoe_shirokiy_vyrez/" TargetMode="External"/><Relationship Id="rId258" Type="http://schemas.openxmlformats.org/officeDocument/2006/relationships/hyperlink" Target="https://icomponents.ru/catalog/iphone/iphone_8/iphone_8_zadnee_steklo_beloe_shirokiy_vyrez/" TargetMode="External"/><Relationship Id="rId253" Type="http://schemas.openxmlformats.org/officeDocument/2006/relationships/hyperlink" Target="https://icomponents.ru/catalog/iphone/iphone_8_se2020/iphone_8_zadnee_steklo_chernoe_shirokiy_vyrez_2/" TargetMode="External"/><Relationship Id="rId495" Type="http://schemas.openxmlformats.org/officeDocument/2006/relationships/hyperlink" Target="https://icomponents.ru/catalog/iphone/iphone_12/iphone_12_nizhniy_shleyf_s_razemom_zaryadki_orig_zolotoy/" TargetMode="External"/><Relationship Id="rId252" Type="http://schemas.openxmlformats.org/officeDocument/2006/relationships/hyperlink" Target="https://icomponents.ru/catalog/iphone/iphone_17_pro_max/iphone_17_pro_max_displey_snyatyy_orig/" TargetMode="External"/><Relationship Id="rId494" Type="http://schemas.openxmlformats.org/officeDocument/2006/relationships/hyperlink" Target="https://icomponents.ru/catalog/iphone/iphone_12/iphone_12_nizhniy_shleyf_s_razemom_zaryadki_orig_krasnyy/" TargetMode="External"/><Relationship Id="rId251" Type="http://schemas.openxmlformats.org/officeDocument/2006/relationships/hyperlink" Target="https://icomponents.ru/catalog/iphone/iphone_17_pro_max/iphone_17_pro_max_displey_snyatyy_orig_als_shleyf_clean/" TargetMode="External"/><Relationship Id="rId493" Type="http://schemas.openxmlformats.org/officeDocument/2006/relationships/hyperlink" Target="https://icomponents.ru/catalog/iphone/iphone_12/iphone_12_nizhniy_shleyf_s_razemom_zaryadki_orig_goluboy/" TargetMode="External"/><Relationship Id="rId250" Type="http://schemas.openxmlformats.org/officeDocument/2006/relationships/hyperlink" Target="https://icomponents.ru/catalog/iphone/iphone_17_pro_max/iphone_17_pro_max_displey_service_orig_als_shleyf_clean/" TargetMode="External"/><Relationship Id="rId492" Type="http://schemas.openxmlformats.org/officeDocument/2006/relationships/hyperlink" Target="https://icomponents.ru/catalog/iphone/iphone_12/iphone_12_nizhniy_shleyf_s_razemom_zaryadki_orig_belyy/" TargetMode="External"/><Relationship Id="rId257" Type="http://schemas.openxmlformats.org/officeDocument/2006/relationships/hyperlink" Target="https://icomponents.ru/catalog/iphone/iphone_8/iphone_8_zadnee_steklo_chernoe_shirokiy_vyrez/" TargetMode="External"/><Relationship Id="rId499" Type="http://schemas.openxmlformats.org/officeDocument/2006/relationships/hyperlink" Target="https://icomponents.ru/catalog/iphone/iphone_12_pro_max/iphone_12_pro_max_nizhniy_shleyf_s_razemom_zaryadki_orig_goluboy/" TargetMode="External"/><Relationship Id="rId256" Type="http://schemas.openxmlformats.org/officeDocument/2006/relationships/hyperlink" Target="https://icomponents.ru/catalog/iphone/iphone_8_se2020/iphone_8_zadnee_steklo_krasnoe_shirokiy_vyrez_2/" TargetMode="External"/><Relationship Id="rId498" Type="http://schemas.openxmlformats.org/officeDocument/2006/relationships/hyperlink" Target="https://icomponents.ru/catalog/iphone/iphone_12_pro_max/iphone_12_pro_max_nizhniy_shleyf_s_razemom_zaryadki_orig_belyy/" TargetMode="External"/><Relationship Id="rId255" Type="http://schemas.openxmlformats.org/officeDocument/2006/relationships/hyperlink" Target="https://icomponents.ru/catalog/iphone/iphone_8_se2020/iphone_8_zadnee_steklo_zolotoe_shirokiy_vyrez_2/" TargetMode="External"/><Relationship Id="rId497" Type="http://schemas.openxmlformats.org/officeDocument/2006/relationships/hyperlink" Target="https://icomponents.ru/catalog/iphone/iphone_12_pro_max/iphone_12_pro_max_nizhniy_shleyf_s_razemom_zaryadki_orig_chernyy/" TargetMode="External"/><Relationship Id="rId254" Type="http://schemas.openxmlformats.org/officeDocument/2006/relationships/hyperlink" Target="https://icomponents.ru/catalog/iphone/iphone_8_se2020/iphone_8_zadnee_steklo_beloe_shirokiy_vyrez_2/" TargetMode="External"/><Relationship Id="rId496" Type="http://schemas.openxmlformats.org/officeDocument/2006/relationships/hyperlink" Target="https://icomponents.ru/catalog/iphone/iphone_12_mini/iphone_12_mini_nizhniy_shleyf_s_razemom_zaryadki_orig_chernyy/" TargetMode="External"/><Relationship Id="rId293" Type="http://schemas.openxmlformats.org/officeDocument/2006/relationships/hyperlink" Target="https://icomponents.ru/catalog/iphone/iphone_12/iphone_12_zadnee_steklo_zelenoe_shirokiy_vyrez/" TargetMode="External"/><Relationship Id="rId292" Type="http://schemas.openxmlformats.org/officeDocument/2006/relationships/hyperlink" Target="https://icomponents.ru/catalog/iphone/iphone_12/iphone_12_zadnee_steklo_sinee_shirokiy_vyrez/" TargetMode="External"/><Relationship Id="rId291" Type="http://schemas.openxmlformats.org/officeDocument/2006/relationships/hyperlink" Target="https://icomponents.ru/catalog/iphone/iphone_12/iphone_12_zadnee_steklo_beloe_shirokiy_vyrez/" TargetMode="External"/><Relationship Id="rId290" Type="http://schemas.openxmlformats.org/officeDocument/2006/relationships/hyperlink" Target="https://icomponents.ru/catalog/iphone/iphone_12/iphone_12_zadnee_steklo_chernoe_shirokiy_vyrez/" TargetMode="External"/><Relationship Id="rId286" Type="http://schemas.openxmlformats.org/officeDocument/2006/relationships/hyperlink" Target="https://icomponents.ru/catalog/iphone/iphone_11_pro/iphone_11_pro_zadnee_steklo_chernoe_shirokiy_vyrez/" TargetMode="External"/><Relationship Id="rId285" Type="http://schemas.openxmlformats.org/officeDocument/2006/relationships/hyperlink" Target="https://icomponents.ru/catalog/iphone/iphone_11_pro/iphone_11_pro_zadnee_steklo_temno_zelenoe_shirokiy_vyrez/" TargetMode="External"/><Relationship Id="rId284" Type="http://schemas.openxmlformats.org/officeDocument/2006/relationships/hyperlink" Target="https://icomponents.ru/catalog/iphone/iphone_11_pro/iphone_11_pro_zadnee_steklo_zolotoe_shirokiy_vyrez/" TargetMode="External"/><Relationship Id="rId283" Type="http://schemas.openxmlformats.org/officeDocument/2006/relationships/hyperlink" Target="https://icomponents.ru/catalog/iphone/iphone_11_pro/iphone_11_pro_zadnee_steklo_beloe_shirokiy_vyrez/" TargetMode="External"/><Relationship Id="rId289" Type="http://schemas.openxmlformats.org/officeDocument/2006/relationships/hyperlink" Target="https://icomponents.ru/catalog/iphone/iphone_11_pro/iphone_11_pro_zadnee_steklo_temno_zelenoe_shirokiy_vyrez/" TargetMode="External"/><Relationship Id="rId288" Type="http://schemas.openxmlformats.org/officeDocument/2006/relationships/hyperlink" Target="https://icomponents.ru/catalog/iphone/iphone_11_pro/iphone_11_pro_zadnee_steklo_zolotoe_shirokiy_vyrez/" TargetMode="External"/><Relationship Id="rId287" Type="http://schemas.openxmlformats.org/officeDocument/2006/relationships/hyperlink" Target="https://icomponents.ru/catalog/iphone/iphone_11_pro/iphone_11_pro_zadnee_steklo_beloe_shirokiy_vyrez/" TargetMode="External"/><Relationship Id="rId282" Type="http://schemas.openxmlformats.org/officeDocument/2006/relationships/hyperlink" Target="https://icomponents.ru/catalog/iphone/iphone_11_pro/iphone_11_pro_zadnee_steklo_chernoe_shirokiy_vyrez/" TargetMode="External"/><Relationship Id="rId281" Type="http://schemas.openxmlformats.org/officeDocument/2006/relationships/hyperlink" Target="https://icomponents.ru/catalog/iphone/iphone_11/iphone_11_zadnee_steklo_fioletovoe_shirokiy_vyrez/" TargetMode="External"/><Relationship Id="rId280" Type="http://schemas.openxmlformats.org/officeDocument/2006/relationships/hyperlink" Target="https://icomponents.ru/catalog/iphone/iphone_11/iphone_11_zadnee_steklo_zheltoe_shirokiy_vyrez/" TargetMode="External"/><Relationship Id="rId275" Type="http://schemas.openxmlformats.org/officeDocument/2006/relationships/hyperlink" Target="https://icomponents.ru/catalog/iphone/iphone_xs_max/iphone_xs_max_zadnee_steklo_beloe_shirokiy_vyrez/" TargetMode="External"/><Relationship Id="rId274" Type="http://schemas.openxmlformats.org/officeDocument/2006/relationships/hyperlink" Target="https://icomponents.ru/catalog/iphone/iphone_xs_max/iphone_xs_max_zadnee_steklo_chernoe_shirokiy_vyrez/" TargetMode="External"/><Relationship Id="rId273" Type="http://schemas.openxmlformats.org/officeDocument/2006/relationships/hyperlink" Target="https://icomponents.ru/catalog/iphone/iphone_xs/iphone_xs_zadnee_steklo_zolotoe_shirokiy_vyrez/" TargetMode="External"/><Relationship Id="rId272" Type="http://schemas.openxmlformats.org/officeDocument/2006/relationships/hyperlink" Target="https://icomponents.ru/catalog/iphone/iphone_xs/iphone_xs_zadnee_steklo_beloe_shirokiy_vyrez/" TargetMode="External"/><Relationship Id="rId279" Type="http://schemas.openxmlformats.org/officeDocument/2006/relationships/hyperlink" Target="https://icomponents.ru/catalog/iphone/iphone_11/iphone_11_zadnee_steklo_zelenoe_shirokiy_vyrez/" TargetMode="External"/><Relationship Id="rId278" Type="http://schemas.openxmlformats.org/officeDocument/2006/relationships/hyperlink" Target="https://icomponents.ru/catalog/iphone/iphone_11/iphone_11_zadnee_steklo_beloe_shirokiy_vyrez/" TargetMode="External"/><Relationship Id="rId277" Type="http://schemas.openxmlformats.org/officeDocument/2006/relationships/hyperlink" Target="https://icomponents.ru/catalog/iphone/iphone_11/iphone_11_zadnee_steklo_chernoe_shirokiy_vyrez/" TargetMode="External"/><Relationship Id="rId276" Type="http://schemas.openxmlformats.org/officeDocument/2006/relationships/hyperlink" Target="https://icomponents.ru/catalog/iphone/iphone_xs_max/iphone_xs_max_zadnee_steklo_zolotoe_shirokiy_vyrez/" TargetMode="External"/><Relationship Id="rId629" Type="http://schemas.openxmlformats.org/officeDocument/2006/relationships/hyperlink" Target="https://icomponents.ru/catalog/iphone/iphone_13_pro_max/iphone_13_pro_max_slukhovoy_dinamik_orig/" TargetMode="External"/><Relationship Id="rId624" Type="http://schemas.openxmlformats.org/officeDocument/2006/relationships/hyperlink" Target="https://icomponents.ru/catalog/iphone/iphone_12_pro/iphone_12_pro_slukhovoy_dinamik_orig/" TargetMode="External"/><Relationship Id="rId623" Type="http://schemas.openxmlformats.org/officeDocument/2006/relationships/hyperlink" Target="https://icomponents.ru/catalog/iphone/iphone_11_pro_max/iphone_11_pro_max_slukhovoy_dinamik_orig/" TargetMode="External"/><Relationship Id="rId622" Type="http://schemas.openxmlformats.org/officeDocument/2006/relationships/hyperlink" Target="https://icomponents.ru/catalog/iphone/iphone_11_pro/iphone_11_pro_slukhovoy_dinamik_s_datchikom_i_shleyfom_orig/" TargetMode="External"/><Relationship Id="rId621" Type="http://schemas.openxmlformats.org/officeDocument/2006/relationships/hyperlink" Target="https://icomponents.ru/catalog/iphone/iphone_11/iphone_11_slukhovoy_dinamik_s_datchikom_i_shleyfom_orig/" TargetMode="External"/><Relationship Id="rId628" Type="http://schemas.openxmlformats.org/officeDocument/2006/relationships/hyperlink" Target="https://icomponents.ru/catalog/iphone/iphone_13_pro/iphone_13_pro_slukhovoy_dinamik_orig/" TargetMode="External"/><Relationship Id="rId627" Type="http://schemas.openxmlformats.org/officeDocument/2006/relationships/hyperlink" Target="https://icomponents.ru/catalog/iphone/iphone_13/iphone_13_slukhovoy_dinamik_orig/" TargetMode="External"/><Relationship Id="rId626" Type="http://schemas.openxmlformats.org/officeDocument/2006/relationships/hyperlink" Target="https://icomponents.ru/catalog/iphone/iphone_12_pro_max/iphone_12_pro_max_slukhovoy_dinamik_s_datchikom_i_shleyfom_orig/" TargetMode="External"/><Relationship Id="rId625" Type="http://schemas.openxmlformats.org/officeDocument/2006/relationships/hyperlink" Target="https://icomponents.ru/catalog/iphone/iphone_12/iphone_12_slukhovoy_dinamik_s_shleyfom_orig/" TargetMode="External"/><Relationship Id="rId620" Type="http://schemas.openxmlformats.org/officeDocument/2006/relationships/hyperlink" Target="https://icomponents.ru/catalog/iphone/iphone_xs_max/iphone_xs_max_clukhovoy_dinamik_s_datchikom_i_shleyfom_orig/" TargetMode="External"/><Relationship Id="rId619" Type="http://schemas.openxmlformats.org/officeDocument/2006/relationships/hyperlink" Target="https://icomponents.ru/catalog/iphone/iphone_xs/iphone_xs_clukhovoy_dinamik_s_datchikom_i_shleyfom_orig/" TargetMode="External"/><Relationship Id="rId618" Type="http://schemas.openxmlformats.org/officeDocument/2006/relationships/hyperlink" Target="https://icomponents.ru/catalog/iphone/iphone_x/iphone_x_slukhovoy_dinamik_s_datchikom_i_shleyfom_orig/" TargetMode="External"/><Relationship Id="rId613" Type="http://schemas.openxmlformats.org/officeDocument/2006/relationships/hyperlink" Target="https://icomponents.ru/catalog/iphone/iphone_7_2/iphone_7_slukhovoy_dinamik_orig/" TargetMode="External"/><Relationship Id="rId612" Type="http://schemas.openxmlformats.org/officeDocument/2006/relationships/hyperlink" Target="https://icomponents.ru/catalog/iphone/iphone_6s/iphone_6s_slukhovoy_dinamik_2/" TargetMode="External"/><Relationship Id="rId611" Type="http://schemas.openxmlformats.org/officeDocument/2006/relationships/hyperlink" Target="https://icomponents.ru/catalog/iphone/iphone_6s_2/iphone_6s_slukhovoy_dinamik/" TargetMode="External"/><Relationship Id="rId610" Type="http://schemas.openxmlformats.org/officeDocument/2006/relationships/hyperlink" Target="https://icomponents.ru/catalog/iphone/iphone_6_2/iphone_6_slukhovoy_dinamik_2/" TargetMode="External"/><Relationship Id="rId617" Type="http://schemas.openxmlformats.org/officeDocument/2006/relationships/hyperlink" Target="https://icomponents.ru/catalog/iphone/iphone_xr/iphone_xr_clukhovoy_dinamik_s_datchikom_i_shleyfom_orig/" TargetMode="External"/><Relationship Id="rId616" Type="http://schemas.openxmlformats.org/officeDocument/2006/relationships/hyperlink" Target="https://icomponents.ru/catalog/iphone/iphone_8_se2020/iphone_8_dinamik_verkhniy_slukhovoy_orig_2/" TargetMode="External"/><Relationship Id="rId615" Type="http://schemas.openxmlformats.org/officeDocument/2006/relationships/hyperlink" Target="https://icomponents.ru/catalog/iphone/iphone_8/iphone_8_dinamik_verkhniy_slukhovoy_orig/" TargetMode="External"/><Relationship Id="rId614" Type="http://schemas.openxmlformats.org/officeDocument/2006/relationships/hyperlink" Target="https://icomponents.ru/catalog/iphone/iphone_7/iphone_7_clukhovoy_dinamik_orig/" TargetMode="External"/><Relationship Id="rId409" Type="http://schemas.openxmlformats.org/officeDocument/2006/relationships/hyperlink" Target="https://icomponents.ru/catalog/iphone/iphone_17/iphone_17_zadnyaya_kryshka_nfc_orig_snyataya_mist_blue/" TargetMode="External"/><Relationship Id="rId404" Type="http://schemas.openxmlformats.org/officeDocument/2006/relationships/hyperlink" Target="https://icomponents.ru/catalog/iphone/iphone_16_pro_max/iphone_16_pro_max_zadnyaya_kryshka_belaya_v_sbore_s_krepleniem_i_linzami_kamery/" TargetMode="External"/><Relationship Id="rId646" Type="http://schemas.openxmlformats.org/officeDocument/2006/relationships/hyperlink" Target="https://icomponents.ru/catalog/iphone/iphone_7/iphone_7_polifonicheskiy_dinamik/" TargetMode="External"/><Relationship Id="rId403" Type="http://schemas.openxmlformats.org/officeDocument/2006/relationships/hyperlink" Target="https://icomponents.ru/catalog/iphone/iphone_16_pro_max/iphone_16_pro_max_zadnyaya_kryshka_pustannyy_titan_v_sbore_s_krepleniem_i_linzami_kamery/" TargetMode="External"/><Relationship Id="rId645" Type="http://schemas.openxmlformats.org/officeDocument/2006/relationships/hyperlink" Target="https://icomponents.ru/catalog/iphone/iphone_7_2/iphone_7_polifonicheskiy_dinamik_orig/" TargetMode="External"/><Relationship Id="rId402" Type="http://schemas.openxmlformats.org/officeDocument/2006/relationships/hyperlink" Target="https://icomponents.ru/catalog/iphone/iphone_16_pro_max/iphone_16_pro_max_zadnyaya_kryshka_naturalnyy_titan_v_sbore_s_krepleniem_i_linzami_kamery/" TargetMode="External"/><Relationship Id="rId644" Type="http://schemas.openxmlformats.org/officeDocument/2006/relationships/hyperlink" Target="https://icomponents.ru/catalog/iphone/iphone_6s/iphone_6s_polifonicheskiy_dinamik_2/" TargetMode="External"/><Relationship Id="rId401" Type="http://schemas.openxmlformats.org/officeDocument/2006/relationships/hyperlink" Target="https://icomponents.ru/catalog/iphone/iphone_16_pro_max/iphone_16_pro_max_zadnyaya_kryshka_nfc_orig_snyataya_black_titanium/" TargetMode="External"/><Relationship Id="rId643" Type="http://schemas.openxmlformats.org/officeDocument/2006/relationships/hyperlink" Target="https://icomponents.ru/catalog/iphone/iphone_6s_2/iphone_6s_polifonicheskiy_dinamik/" TargetMode="External"/><Relationship Id="rId408" Type="http://schemas.openxmlformats.org/officeDocument/2006/relationships/hyperlink" Target="https://icomponents.ru/catalog/iphone/iphone_17/iphone_17_zadnyaya_kryshka_nfc_orig_snyataya_white/" TargetMode="External"/><Relationship Id="rId407" Type="http://schemas.openxmlformats.org/officeDocument/2006/relationships/hyperlink" Target="https://icomponents.ru/catalog/iphone/iphone_17/iphone_17_zadnyaya_kryshka_nfc_orig_snyataya_sage/" TargetMode="External"/><Relationship Id="rId649" Type="http://schemas.openxmlformats.org/officeDocument/2006/relationships/hyperlink" Target="https://icomponents.ru/catalog/iphone/iphone_xr/iphone_xr_polifonicheskiy_dinamik_orig/" TargetMode="External"/><Relationship Id="rId406" Type="http://schemas.openxmlformats.org/officeDocument/2006/relationships/hyperlink" Target="https://icomponents.ru/catalog/iphone/iphone_17/iphone_17_zadnyaya_kryshka_nfc_orig_snyataya_lavender/" TargetMode="External"/><Relationship Id="rId648" Type="http://schemas.openxmlformats.org/officeDocument/2006/relationships/hyperlink" Target="https://icomponents.ru/catalog/iphone/iphone_8/iphone_8_nizhniy_dinamik_orig/" TargetMode="External"/><Relationship Id="rId405" Type="http://schemas.openxmlformats.org/officeDocument/2006/relationships/hyperlink" Target="https://icomponents.ru/catalog/iphone/iphone_16_pro_max/iphone_16_pro_max_zadnyaya_kryshka_chernaya_v_sbore_s_krepleniem_i_linzami_kamery/" TargetMode="External"/><Relationship Id="rId647" Type="http://schemas.openxmlformats.org/officeDocument/2006/relationships/hyperlink" Target="https://icomponents.ru/catalog/iphone/iphone_8_se2020/iphone_8_nizhniy_dinamik_orig_2/" TargetMode="External"/><Relationship Id="rId400" Type="http://schemas.openxmlformats.org/officeDocument/2006/relationships/hyperlink" Target="https://icomponents.ru/catalog/iphone/iphone_16_pro_max/iphone_16_pro_max_zadnyaya_kryshka_nfc_orig_snyataya_white_titanium/" TargetMode="External"/><Relationship Id="rId642" Type="http://schemas.openxmlformats.org/officeDocument/2006/relationships/hyperlink" Target="https://icomponents.ru/catalog/iphone/iphone_6_2/iphone_6_polifonicheskiy_dinamik_2/" TargetMode="External"/><Relationship Id="rId641" Type="http://schemas.openxmlformats.org/officeDocument/2006/relationships/hyperlink" Target="https://icomponents.ru/catalog/iphone/iphone_6/iphone_6_polifonicheskiy_dinamik/" TargetMode="External"/><Relationship Id="rId640" Type="http://schemas.openxmlformats.org/officeDocument/2006/relationships/hyperlink" Target="https://icomponents.ru/catalog/iphone/iphone_16_pro_max/iphone_16_pro_max_verkhniy_dinamik_v_sbore_s_antennoy_wifi_nfc_bluetooth_eu/" TargetMode="External"/><Relationship Id="rId635" Type="http://schemas.openxmlformats.org/officeDocument/2006/relationships/hyperlink" Target="https://icomponents.ru/catalog/iphone/iphone_15_pro/iphone_15_pro_slukhovoy_dinamik_orig/" TargetMode="External"/><Relationship Id="rId634" Type="http://schemas.openxmlformats.org/officeDocument/2006/relationships/hyperlink" Target="https://icomponents.ru/catalog/iphone/iphone_15_plus/iphone_15_plus_slukhovoy_dinamik_orig/" TargetMode="External"/><Relationship Id="rId633" Type="http://schemas.openxmlformats.org/officeDocument/2006/relationships/hyperlink" Target="https://icomponents.ru/catalog/iphone/iphone_15/iphone_15_slukhovoy_dinamik_orig/" TargetMode="External"/><Relationship Id="rId632" Type="http://schemas.openxmlformats.org/officeDocument/2006/relationships/hyperlink" Target="https://icomponents.ru/catalog/iphone/iphone_14_pro_max/iphone_14_pro_max_slukhovoy_dinamik_orig/" TargetMode="External"/><Relationship Id="rId639" Type="http://schemas.openxmlformats.org/officeDocument/2006/relationships/hyperlink" Target="https://icomponents.ru/catalog/iphone/iphone_16_pro/iphone_16_pro_verkhniy_dinamik_v_sbore_s_antennoy_wifi_nfc_bluetooth_eu/" TargetMode="External"/><Relationship Id="rId638" Type="http://schemas.openxmlformats.org/officeDocument/2006/relationships/hyperlink" Target="https://icomponents.ru/catalog/iphone/iphone_16_plus/iphone_16_plus_slukhovoy_dinamik_orig/" TargetMode="External"/><Relationship Id="rId637" Type="http://schemas.openxmlformats.org/officeDocument/2006/relationships/hyperlink" Target="https://icomponents.ru/catalog/iphone/iphone_16/iphone_16_slukhovoy_dinamik_orig/" TargetMode="External"/><Relationship Id="rId636" Type="http://schemas.openxmlformats.org/officeDocument/2006/relationships/hyperlink" Target="https://icomponents.ru/catalog/iphone/iphone_15_pro_max/iphone_15_pro_max_slukhovoy_dinamik_orig/" TargetMode="External"/><Relationship Id="rId631" Type="http://schemas.openxmlformats.org/officeDocument/2006/relationships/hyperlink" Target="https://icomponents.ru/catalog/iphone/iphone_14_pro/iphone_14_pro_slukhovoy_dinamik_orig/" TargetMode="External"/><Relationship Id="rId630" Type="http://schemas.openxmlformats.org/officeDocument/2006/relationships/hyperlink" Target="https://icomponents.ru/catalog/iphone/iphone_14_plus/iphone_14_plus_slukhovoy_dinamik_orig/" TargetMode="External"/><Relationship Id="rId609" Type="http://schemas.openxmlformats.org/officeDocument/2006/relationships/hyperlink" Target="https://icomponents.ru/catalog/iphone/iphone_6/iphone_6_slukhovoy_dinamik/" TargetMode="External"/><Relationship Id="rId608" Type="http://schemas.openxmlformats.org/officeDocument/2006/relationships/hyperlink" Target="https://icomponents.ru/catalog/iphone/iphone_17_pro_max/iphone_17_pro_max_frontalnaya_kamera_orig/" TargetMode="External"/><Relationship Id="rId607" Type="http://schemas.openxmlformats.org/officeDocument/2006/relationships/hyperlink" Target="https://icomponents.ru/catalog/iphone/iphone_17_pro/iphone_17_pro_frontalnaya_kamera_orig/" TargetMode="External"/><Relationship Id="rId602" Type="http://schemas.openxmlformats.org/officeDocument/2006/relationships/hyperlink" Target="https://icomponents.ru/catalog/iphone/iphone_16_plus/iphone_16_plus_frontalnaya_kamera_orig/" TargetMode="External"/><Relationship Id="rId601" Type="http://schemas.openxmlformats.org/officeDocument/2006/relationships/hyperlink" Target="https://icomponents.ru/catalog/iphone/iphone_16/iphone_16_frontalnaya_kamera_orig/" TargetMode="External"/><Relationship Id="rId600" Type="http://schemas.openxmlformats.org/officeDocument/2006/relationships/hyperlink" Target="https://icomponents.ru/catalog/iphone/iphone_15_pro_max/iphone_15_pro_max_frontalnaya_kamera_orig/" TargetMode="External"/><Relationship Id="rId606" Type="http://schemas.openxmlformats.org/officeDocument/2006/relationships/hyperlink" Target="https://icomponents.ru/catalog/iphone/iphone_17_air/iphone_air_frontalnaya_kamera_orig/" TargetMode="External"/><Relationship Id="rId605" Type="http://schemas.openxmlformats.org/officeDocument/2006/relationships/hyperlink" Target="https://icomponents.ru/catalog/iphone/iphone_17/iphone_17_frontalnaya_kamera_orig/" TargetMode="External"/><Relationship Id="rId604" Type="http://schemas.openxmlformats.org/officeDocument/2006/relationships/hyperlink" Target="https://icomponents.ru/catalog/iphone/iphone_16_pro_max/iphone_16_pro_max_frontalnaya_kamera_orig/" TargetMode="External"/><Relationship Id="rId603" Type="http://schemas.openxmlformats.org/officeDocument/2006/relationships/hyperlink" Target="https://icomponents.ru/catalog/iphone/iphone_16_pro/iphone_16_pro_frontalnaya_kamera_orig/" TargetMode="External"/><Relationship Id="rId228" Type="http://schemas.openxmlformats.org/officeDocument/2006/relationships/hyperlink" Target="https://icomponents.ru/catalog/iphone/iphone_16/iphone_16_displey_orig_ref_als_shleyf_clean/" TargetMode="External"/><Relationship Id="rId227" Type="http://schemas.openxmlformats.org/officeDocument/2006/relationships/hyperlink" Target="https://icomponents.ru/catalog/iphone/iphone_16/iphone_16_displey_snyatyy_orig/" TargetMode="External"/><Relationship Id="rId469" Type="http://schemas.openxmlformats.org/officeDocument/2006/relationships/hyperlink" Target="https://icomponents.ru/catalog/iphone/iphone_8/iphone_8_plus_nizhniy_shleyf_s_razemom_zaryadki_orig_belyy/" TargetMode="External"/><Relationship Id="rId226" Type="http://schemas.openxmlformats.org/officeDocument/2006/relationships/hyperlink" Target="https://icomponents.ru/catalog/iphone/iphone_16/iphone_16_displey_snyatyy_orig_als_shleyf_clean/" TargetMode="External"/><Relationship Id="rId468" Type="http://schemas.openxmlformats.org/officeDocument/2006/relationships/hyperlink" Target="https://icomponents.ru/catalog/iphone/iphone_8/iphone_8_plus_nizhniy_shleyf_s_razemom_zaryadki_orig_chernyy/" TargetMode="External"/><Relationship Id="rId225" Type="http://schemas.openxmlformats.org/officeDocument/2006/relationships/hyperlink" Target="https://icomponents.ru/catalog/iphone/iphone_15_pro_max/iphone_15_pro_max_displey_orig_ref/" TargetMode="External"/><Relationship Id="rId467" Type="http://schemas.openxmlformats.org/officeDocument/2006/relationships/hyperlink" Target="https://icomponents.ru/catalog/iphone/iphone_8_se2020/iphone_8_nizhniy_shleyf_s_razemom_zaryadki_orig_zolotoy/" TargetMode="External"/><Relationship Id="rId229" Type="http://schemas.openxmlformats.org/officeDocument/2006/relationships/hyperlink" Target="https://icomponents.ru/catalog/iphone/iphone_16e/iphone_16e_displey_snyatyy_orig/" TargetMode="External"/><Relationship Id="rId220" Type="http://schemas.openxmlformats.org/officeDocument/2006/relationships/hyperlink" Target="https://icomponents.ru/catalog/iphone/iphone_15_pro/iphone_15_pro_displey_orig_ref/" TargetMode="External"/><Relationship Id="rId462" Type="http://schemas.openxmlformats.org/officeDocument/2006/relationships/hyperlink" Target="https://icomponents.ru/catalog/iphone/iphone_7_2/iphone_7_nizhniy_shleyf_s_razemom_zaryadki_orig_belyy/" TargetMode="External"/><Relationship Id="rId461" Type="http://schemas.openxmlformats.org/officeDocument/2006/relationships/hyperlink" Target="https://icomponents.ru/catalog/iphone/iphone_7_2/iphone_7_nizhniy_shleyf_s_razemom_zaryadki_orig_chernyy/" TargetMode="External"/><Relationship Id="rId460" Type="http://schemas.openxmlformats.org/officeDocument/2006/relationships/hyperlink" Target="https://icomponents.ru/catalog/iphone/iphone_6s/iphone_6s_nizhniy_shleyf_zaryadki_belyy_2/" TargetMode="External"/><Relationship Id="rId224" Type="http://schemas.openxmlformats.org/officeDocument/2006/relationships/hyperlink" Target="https://icomponents.ru/catalog/iphone/iphone_15_pro_max/iphone_15_pro_max_displey_orig_ref_als_shleyf_clean/" TargetMode="External"/><Relationship Id="rId466" Type="http://schemas.openxmlformats.org/officeDocument/2006/relationships/hyperlink" Target="https://icomponents.ru/catalog/iphone/iphone_8_se2020/iphone_8_nizhniy_shleyf_s_razemom_zaryadki_orig_belyy/" TargetMode="External"/><Relationship Id="rId223" Type="http://schemas.openxmlformats.org/officeDocument/2006/relationships/hyperlink" Target="https://icomponents.ru/catalog/iphone/iphone_15_pro_max/iphone_15_pro_max_displey_snyatyy_orig/" TargetMode="External"/><Relationship Id="rId465" Type="http://schemas.openxmlformats.org/officeDocument/2006/relationships/hyperlink" Target="https://icomponents.ru/catalog/iphone/iphone_8_se2020/iphone_8_nizhniy_shleyf_s_razemom_zaryadki_orig_chernyy/" TargetMode="External"/><Relationship Id="rId222" Type="http://schemas.openxmlformats.org/officeDocument/2006/relationships/hyperlink" Target="https://icomponents.ru/catalog/iphone/iphone_15_pro_max/iphone_15_pro_max_displey_snyatyy_orig_als_shleyf_clean/" TargetMode="External"/><Relationship Id="rId464" Type="http://schemas.openxmlformats.org/officeDocument/2006/relationships/hyperlink" Target="https://icomponents.ru/catalog/iphone/iphone_7/iphone_7_plus_nizhniy_shleyf_s_razemom_zaryadki_orig_belyy/" TargetMode="External"/><Relationship Id="rId221" Type="http://schemas.openxmlformats.org/officeDocument/2006/relationships/hyperlink" Target="https://icomponents.ru/catalog/iphone/iphone_15_pro_max/iphone_15_pro_max_displey_service_orig_als_shleyf_clean/" TargetMode="External"/><Relationship Id="rId463" Type="http://schemas.openxmlformats.org/officeDocument/2006/relationships/hyperlink" Target="https://icomponents.ru/catalog/iphone/iphone_7/iphone_7_plus_nizhniy_shleyf_s_razemom_zaryadki_orig_chernyy/" TargetMode="External"/><Relationship Id="rId217" Type="http://schemas.openxmlformats.org/officeDocument/2006/relationships/hyperlink" Target="https://icomponents.ru/catalog/iphone/iphone_15_pro/iphone_15_pro_displey_snyatyy_orig_als_shleyf_clean/" TargetMode="External"/><Relationship Id="rId459" Type="http://schemas.openxmlformats.org/officeDocument/2006/relationships/hyperlink" Target="https://icomponents.ru/catalog/iphone/iphone_6s/iphone_6s_nizhniy_shleyf_zaryadki_chernyy_2/" TargetMode="External"/><Relationship Id="rId216" Type="http://schemas.openxmlformats.org/officeDocument/2006/relationships/hyperlink" Target="https://icomponents.ru/catalog/iphone/iphone_15_pro/iphone_15_pro_displey_service_orig_als_shleyf_clean/" TargetMode="External"/><Relationship Id="rId458" Type="http://schemas.openxmlformats.org/officeDocument/2006/relationships/hyperlink" Target="https://icomponents.ru/catalog/iphone/iphone_6s_2/iphone_6s_nizhniy_shleyf_zaryadki_belyy/" TargetMode="External"/><Relationship Id="rId215" Type="http://schemas.openxmlformats.org/officeDocument/2006/relationships/hyperlink" Target="https://icomponents.ru/catalog/iphone/iphone_15_plus/iphone_15_plus_displey_snyatyy_orig/" TargetMode="External"/><Relationship Id="rId457" Type="http://schemas.openxmlformats.org/officeDocument/2006/relationships/hyperlink" Target="https://icomponents.ru/catalog/iphone/iphone_6s_2/iphone_6s_nizhniy_shleyf_zaryadki_chernyy/" TargetMode="External"/><Relationship Id="rId214" Type="http://schemas.openxmlformats.org/officeDocument/2006/relationships/hyperlink" Target="https://icomponents.ru/catalog/iphone/iphone_15/iphone_15_displey_orig_ref/" TargetMode="External"/><Relationship Id="rId456" Type="http://schemas.openxmlformats.org/officeDocument/2006/relationships/hyperlink" Target="https://icomponents.ru/catalog/iphone/iphone_6_2/iphone_6_nizhniy_shleyf_zaryadki_belyy_2/" TargetMode="External"/><Relationship Id="rId219" Type="http://schemas.openxmlformats.org/officeDocument/2006/relationships/hyperlink" Target="https://icomponents.ru/catalog/iphone/iphone_15_pro/iphone_15_pro_displey_orig_ref_als_shleyf_clean/" TargetMode="External"/><Relationship Id="rId218" Type="http://schemas.openxmlformats.org/officeDocument/2006/relationships/hyperlink" Target="https://icomponents.ru/catalog/iphone/iphone_15_pro/iphone_15_pro_displey_snyatyy_orig/" TargetMode="External"/><Relationship Id="rId451" Type="http://schemas.openxmlformats.org/officeDocument/2006/relationships/hyperlink" Target="https://icomponents.ru/catalog/iphone/iphone_17_pro/iphone_17_pro_steklo_kamery_orig_komplekt/" TargetMode="External"/><Relationship Id="rId450" Type="http://schemas.openxmlformats.org/officeDocument/2006/relationships/hyperlink" Target="https://icomponents.ru/catalog/iphone/iphone_17_air/iphone_air_steklo_kamery_orig_komplekt/" TargetMode="External"/><Relationship Id="rId213" Type="http://schemas.openxmlformats.org/officeDocument/2006/relationships/hyperlink" Target="https://icomponents.ru/catalog/iphone/iphone_15/iphone_15_displey_orig_ref_als_shleyf_clean/" TargetMode="External"/><Relationship Id="rId455" Type="http://schemas.openxmlformats.org/officeDocument/2006/relationships/hyperlink" Target="https://icomponents.ru/catalog/iphone/iphone_6_2/iphone_6_nizhniy_shleyf_zaryadki_chernyy_2/" TargetMode="External"/><Relationship Id="rId212" Type="http://schemas.openxmlformats.org/officeDocument/2006/relationships/hyperlink" Target="https://icomponents.ru/catalog/iphone/iphone_15/iphone_15_displey_snyatyy_orig/" TargetMode="External"/><Relationship Id="rId454" Type="http://schemas.openxmlformats.org/officeDocument/2006/relationships/hyperlink" Target="https://icomponents.ru/catalog/iphone/iphone_6/iphone_6_nizhniy_shleyf_zaryadki_belyy/" TargetMode="External"/><Relationship Id="rId211" Type="http://schemas.openxmlformats.org/officeDocument/2006/relationships/hyperlink" Target="https://icomponents.ru/catalog/iphone/iphone_15/iphone_15_displey_snyatyy_orig_als_shleyf_clean/" TargetMode="External"/><Relationship Id="rId453" Type="http://schemas.openxmlformats.org/officeDocument/2006/relationships/hyperlink" Target="https://icomponents.ru/catalog/iphone/iphone_6/iphone_6_nizhniy_shleyf_zaryadki_chernyy/" TargetMode="External"/><Relationship Id="rId210" Type="http://schemas.openxmlformats.org/officeDocument/2006/relationships/hyperlink" Target="https://icomponents.ru/catalog/iphone/iphone_14_pro_max/iphone_14_pro_max_displey_orig_ref/" TargetMode="External"/><Relationship Id="rId452" Type="http://schemas.openxmlformats.org/officeDocument/2006/relationships/hyperlink" Target="https://icomponents.ru/catalog/iphone/iphone_17_pro_max/iphone_17_pro_max_steklo_kamery_orig_komplekt/" TargetMode="External"/><Relationship Id="rId491" Type="http://schemas.openxmlformats.org/officeDocument/2006/relationships/hyperlink" Target="https://icomponents.ru/catalog/iphone/iphone_12/iphone_12_nizhniy_shleyf_s_razemom_zaryadki_orig_chernyy/" TargetMode="External"/><Relationship Id="rId490" Type="http://schemas.openxmlformats.org/officeDocument/2006/relationships/hyperlink" Target="https://icomponents.ru/catalog/iphone/iphone_11_pro_max/iphone_11_pro_max_nizhniy_shleyf_s_razemom_zaryadki_orig_belyy/" TargetMode="External"/><Relationship Id="rId249" Type="http://schemas.openxmlformats.org/officeDocument/2006/relationships/hyperlink" Target="https://icomponents.ru/catalog/iphone/iphone_17_pro/iphone_17_pro_displey_snyatyy_orig/" TargetMode="External"/><Relationship Id="rId248" Type="http://schemas.openxmlformats.org/officeDocument/2006/relationships/hyperlink" Target="https://icomponents.ru/catalog/iphone/iphone_17_pro/iphone_17_pro_displey_snyatyy_orig_als_shleyf_clean/" TargetMode="External"/><Relationship Id="rId247" Type="http://schemas.openxmlformats.org/officeDocument/2006/relationships/hyperlink" Target="https://icomponents.ru/catalog/iphone/iphone_17_pro/iphone_17_pro_displey_service_orig_als_shleyf_clean/" TargetMode="External"/><Relationship Id="rId489" Type="http://schemas.openxmlformats.org/officeDocument/2006/relationships/hyperlink" Target="https://icomponents.ru/catalog/iphone/iphone_11_pro_max/iphone_11_pro_max_nizhniy_shleyf_s_razemom_zaryadki_orig_chernyy/" TargetMode="External"/><Relationship Id="rId242" Type="http://schemas.openxmlformats.org/officeDocument/2006/relationships/hyperlink" Target="https://icomponents.ru/catalog/iphone/iphone_17/iphone_17_displey_snyatyy_orig_als_shleyf_clean/" TargetMode="External"/><Relationship Id="rId484" Type="http://schemas.openxmlformats.org/officeDocument/2006/relationships/hyperlink" Target="https://icomponents.ru/catalog/iphone/iphone_11/iphone_11_nizhniy_shleyf_s_razemom_zaryadki_orig_zelenyy/" TargetMode="External"/><Relationship Id="rId241" Type="http://schemas.openxmlformats.org/officeDocument/2006/relationships/hyperlink" Target="https://icomponents.ru/catalog/iphone/iphone_17/iphone_17_displey_service_orig_als_shleyf_clean/" TargetMode="External"/><Relationship Id="rId483" Type="http://schemas.openxmlformats.org/officeDocument/2006/relationships/hyperlink" Target="https://icomponents.ru/catalog/iphone/iphone_11/iphone_11_nizhniy_shleyf_s_razemom_zaryadki_orig_fioletovyy/" TargetMode="External"/><Relationship Id="rId240" Type="http://schemas.openxmlformats.org/officeDocument/2006/relationships/hyperlink" Target="https://icomponents.ru/catalog/iphone/iphone_16_pro_max/iphone_16_pro_max_displey_orig_ref/" TargetMode="External"/><Relationship Id="rId482" Type="http://schemas.openxmlformats.org/officeDocument/2006/relationships/hyperlink" Target="https://icomponents.ru/catalog/iphone/iphone_11/iphone_11_nizhniy_shleyf_s_razemom_zaryadki_orig_belyy/" TargetMode="External"/><Relationship Id="rId481" Type="http://schemas.openxmlformats.org/officeDocument/2006/relationships/hyperlink" Target="https://icomponents.ru/catalog/iphone/iphone_11/iphone_11_nizhniy_shleyf_s_razemom_zaryadki_orig_chernyy/" TargetMode="External"/><Relationship Id="rId246" Type="http://schemas.openxmlformats.org/officeDocument/2006/relationships/hyperlink" Target="https://icomponents.ru/catalog/iphone/iphone_17_air/iphone_17_air_displey_snyatyy_orig/" TargetMode="External"/><Relationship Id="rId488" Type="http://schemas.openxmlformats.org/officeDocument/2006/relationships/hyperlink" Target="https://icomponents.ru/catalog/iphone/iphone_11_pro/iphone_11_pro_nizhniy_shleyf_s_razemom_zaryadki_orig_belyy/" TargetMode="External"/><Relationship Id="rId245" Type="http://schemas.openxmlformats.org/officeDocument/2006/relationships/hyperlink" Target="https://icomponents.ru/catalog/iphone/iphone_17_air/iphone_17_air_displey_snyatyy_orig_als_shleyf_clean/" TargetMode="External"/><Relationship Id="rId487" Type="http://schemas.openxmlformats.org/officeDocument/2006/relationships/hyperlink" Target="https://icomponents.ru/catalog/iphone/iphone_11_pro/iphone_11_pro_nizhniy_shleyf_s_razemom_zaryadki_orig_chernyy/" TargetMode="External"/><Relationship Id="rId244" Type="http://schemas.openxmlformats.org/officeDocument/2006/relationships/hyperlink" Target="https://icomponents.ru/catalog/iphone/iphone_17_air/iphone_17_air_displey_service_orig_als_shleyf_clean/" TargetMode="External"/><Relationship Id="rId486" Type="http://schemas.openxmlformats.org/officeDocument/2006/relationships/hyperlink" Target="https://icomponents.ru/catalog/iphone/iphone_11/iphone_11_nizhniy_shleyf_s_razemom_zaryadki_orig_zheltyy/" TargetMode="External"/><Relationship Id="rId243" Type="http://schemas.openxmlformats.org/officeDocument/2006/relationships/hyperlink" Target="https://icomponents.ru/catalog/iphone/iphone_17/iphone_17_displey_snyatyy_orig/" TargetMode="External"/><Relationship Id="rId485" Type="http://schemas.openxmlformats.org/officeDocument/2006/relationships/hyperlink" Target="https://icomponents.ru/catalog/iphone/iphone_11/iphone_11_nizhniy_shleyf_s_razemom_zaryadki_orig_krasnyy/" TargetMode="External"/><Relationship Id="rId480" Type="http://schemas.openxmlformats.org/officeDocument/2006/relationships/hyperlink" Target="https://icomponents.ru/catalog/iphone/iphone_xs_max/iphone_xs_max_nizhniy_shleyf_s_razemom_zaryadki_orig_zolotoy/" TargetMode="External"/><Relationship Id="rId239" Type="http://schemas.openxmlformats.org/officeDocument/2006/relationships/hyperlink" Target="https://icomponents.ru/catalog/iphone/iphone_16_pro_max/iphone_16_pro_max_displey_orig_ref_als_shleyf_clean/" TargetMode="External"/><Relationship Id="rId238" Type="http://schemas.openxmlformats.org/officeDocument/2006/relationships/hyperlink" Target="https://icomponents.ru/catalog/iphone/iphone_16_pro_max/iphone_16_pro_max_displey_snyatyy_orig_samsung/" TargetMode="External"/><Relationship Id="rId237" Type="http://schemas.openxmlformats.org/officeDocument/2006/relationships/hyperlink" Target="https://icomponents.ru/catalog/iphone/iphone_16_pro_max/iphone_16_pro_max_displey_snyatyy_orig_als_shleyf_clean/" TargetMode="External"/><Relationship Id="rId479" Type="http://schemas.openxmlformats.org/officeDocument/2006/relationships/hyperlink" Target="https://icomponents.ru/catalog/iphone/iphone_xs_max/iphone_xs_max_nizhniy_shleyf_s_razemom_zaryadki_orig_belyy/" TargetMode="External"/><Relationship Id="rId236" Type="http://schemas.openxmlformats.org/officeDocument/2006/relationships/hyperlink" Target="https://icomponents.ru/catalog/iphone/iphone_16_pro_max/iphone_16_pro_max_displey_service_orig_als_shleyf_clean/" TargetMode="External"/><Relationship Id="rId478" Type="http://schemas.openxmlformats.org/officeDocument/2006/relationships/hyperlink" Target="https://icomponents.ru/catalog/iphone/iphone_xs_max/iphone_xs_max_nizhniy_shleyf_s_razemom_zaryadki_orig_chernyy/" TargetMode="External"/><Relationship Id="rId231" Type="http://schemas.openxmlformats.org/officeDocument/2006/relationships/hyperlink" Target="https://icomponents.ru/catalog/iphone/iphone_16_pro/iphone_16_pro_displey_service_orig_als_shleyf_clean/" TargetMode="External"/><Relationship Id="rId473" Type="http://schemas.openxmlformats.org/officeDocument/2006/relationships/hyperlink" Target="https://icomponents.ru/catalog/iphone/iphone_xr/iphone_xr_nizhniy_shleyf_s_razemom_zaryadki_orig_belyy/" TargetMode="External"/><Relationship Id="rId230" Type="http://schemas.openxmlformats.org/officeDocument/2006/relationships/hyperlink" Target="https://icomponents.ru/catalog/iphone/iphone_16_plus/iphone_16_plus_displey_snyatyy_orig/" TargetMode="External"/><Relationship Id="rId472" Type="http://schemas.openxmlformats.org/officeDocument/2006/relationships/hyperlink" Target="https://icomponents.ru/catalog/iphone/iphone_xr/iphone_xr_nizhniy_shleyf_s_razemom_zaryadki_orig_chernyy/" TargetMode="External"/><Relationship Id="rId471" Type="http://schemas.openxmlformats.org/officeDocument/2006/relationships/hyperlink" Target="https://icomponents.ru/catalog/iphone/iphone_8_se2020/iphone_se_2020_nizhniy_shleyf_s_razemom_zaryadki_orig_belyy/" TargetMode="External"/><Relationship Id="rId470" Type="http://schemas.openxmlformats.org/officeDocument/2006/relationships/hyperlink" Target="https://icomponents.ru/catalog/iphone/iphone_8_se2020/iphone_se_2020_nizhniy_shleyf_s_razemom_zaryadki_orig_chernyy/" TargetMode="External"/><Relationship Id="rId235" Type="http://schemas.openxmlformats.org/officeDocument/2006/relationships/hyperlink" Target="https://icomponents.ru/catalog/iphone/iphone_16_pro/iphone_16_pro_displey_orig_ref/" TargetMode="External"/><Relationship Id="rId477" Type="http://schemas.openxmlformats.org/officeDocument/2006/relationships/hyperlink" Target="https://icomponents.ru/catalog/iphone/iphone_xs/iphone_xs_nizhniy_shleyf_s_razemom_zaryadki_orig_belyy/" TargetMode="External"/><Relationship Id="rId234" Type="http://schemas.openxmlformats.org/officeDocument/2006/relationships/hyperlink" Target="https://icomponents.ru/catalog/iphone/iphone_16_pro/iphone_16_pro_displey_orig_ref_als_shleyf_clean/" TargetMode="External"/><Relationship Id="rId476" Type="http://schemas.openxmlformats.org/officeDocument/2006/relationships/hyperlink" Target="https://icomponents.ru/catalog/iphone/iphone_xs/iphone_xs_nizhniy_shleyf_s_razemom_zaryadki_orig_belyy/" TargetMode="External"/><Relationship Id="rId233" Type="http://schemas.openxmlformats.org/officeDocument/2006/relationships/hyperlink" Target="https://icomponents.ru/catalog/iphone/iphone_16_pro/iphone_16_pro_displey_snyatyy_orig_samsung/" TargetMode="External"/><Relationship Id="rId475" Type="http://schemas.openxmlformats.org/officeDocument/2006/relationships/hyperlink" Target="https://icomponents.ru/catalog/iphone/iphone_x/iphone_x_nizhniy_shleyf_s_razemom_zaryadki_orig_belyy/" TargetMode="External"/><Relationship Id="rId232" Type="http://schemas.openxmlformats.org/officeDocument/2006/relationships/hyperlink" Target="https://icomponents.ru/catalog/iphone/iphone_16_pro/iphone_16_pro_displey_snyatyy_orig_als_shleyf_clean/" TargetMode="External"/><Relationship Id="rId474" Type="http://schemas.openxmlformats.org/officeDocument/2006/relationships/hyperlink" Target="https://icomponents.ru/catalog/iphone/iphone_x/iphone_x_nizhniy_shleyf_s_razemom_zaryadki_orig_chernyy/" TargetMode="External"/><Relationship Id="rId426" Type="http://schemas.openxmlformats.org/officeDocument/2006/relationships/hyperlink" Target="https://icomponents.ru/catalog/iphone/iphone_17_pro_max/iphone_17_pro_max_zadnyaya_kryshka_nfc_orig_snyataya_cosmic_orange/" TargetMode="External"/><Relationship Id="rId425" Type="http://schemas.openxmlformats.org/officeDocument/2006/relationships/hyperlink" Target="https://icomponents.ru/catalog/iphone/iphone_17_pro/iphone_17_pro_zadnyaya_kryshka_v_sbore_s_krepleniem_i_magnitami_silver/" TargetMode="External"/><Relationship Id="rId667" Type="http://schemas.openxmlformats.org/officeDocument/2006/relationships/drawing" Target="../drawings/drawing7.xml"/><Relationship Id="rId424" Type="http://schemas.openxmlformats.org/officeDocument/2006/relationships/hyperlink" Target="https://icomponents.ru/catalog/iphone/iphone_17_pro/iphone_17_pro_zadnyaya_kryshka_v_sbore_s_krepleniem_i_magnitami_deep_blue/" TargetMode="External"/><Relationship Id="rId666" Type="http://schemas.openxmlformats.org/officeDocument/2006/relationships/hyperlink" Target="https://icomponents.ru/catalog/iphone/iphone_15_pro_max/iphone_15_pro_max_polifonicheskiy_dinamik_orig/" TargetMode="External"/><Relationship Id="rId423" Type="http://schemas.openxmlformats.org/officeDocument/2006/relationships/hyperlink" Target="https://icomponents.ru/catalog/iphone/iphone_17_pro/iphone_17_pro_zadnyaya_kryshka_v_sbore_s_krepleniem_i_magnitami_cosmic_orange/" TargetMode="External"/><Relationship Id="rId665" Type="http://schemas.openxmlformats.org/officeDocument/2006/relationships/hyperlink" Target="https://icomponents.ru/catalog/iphone/iphone_15_pro/iphone_15_pro_polifonicheskiy_dinamik_orig/" TargetMode="External"/><Relationship Id="rId429" Type="http://schemas.openxmlformats.org/officeDocument/2006/relationships/hyperlink" Target="https://icomponents.ru/catalog/iphone/iphone_17_pro_max/iphone_17_pro_max_zadnyaya_kryshka_v_sbore_s_krepleniem_i_magnitami_cosmic_orange/" TargetMode="External"/><Relationship Id="rId428" Type="http://schemas.openxmlformats.org/officeDocument/2006/relationships/hyperlink" Target="https://icomponents.ru/catalog/iphone/iphone_17_pro_max/iphone_17_pro_max_zadnyaya_kryshka_nfc_orig_snyataya_silver/" TargetMode="External"/><Relationship Id="rId427" Type="http://schemas.openxmlformats.org/officeDocument/2006/relationships/hyperlink" Target="https://icomponents.ru/catalog/iphone/iphone_17_pro_max/iphone_17_pro_max_zadnyaya_kryshka_nfc_orig_snyataya_deep_blue/" TargetMode="External"/><Relationship Id="rId660" Type="http://schemas.openxmlformats.org/officeDocument/2006/relationships/hyperlink" Target="https://icomponents.ru/catalog/iphone/iphone_13_pro_max/iphone_13_pro_max_polifonicheskiy_dinamik_orig/" TargetMode="External"/><Relationship Id="rId422" Type="http://schemas.openxmlformats.org/officeDocument/2006/relationships/hyperlink" Target="https://icomponents.ru/catalog/iphone/iphone_17_pro/iphone_17_pro_zadnyaya_kryshka_nfc_orig_snyataya_silver/" TargetMode="External"/><Relationship Id="rId664" Type="http://schemas.openxmlformats.org/officeDocument/2006/relationships/hyperlink" Target="https://icomponents.ru/catalog/iphone/iphone_15/iphone_15_polifonicheskiy_dinamik_orig/" TargetMode="External"/><Relationship Id="rId421" Type="http://schemas.openxmlformats.org/officeDocument/2006/relationships/hyperlink" Target="https://icomponents.ru/catalog/iphone/iphone_17_pro/iphone_17_pro_zadnyaya_kryshka_nfc_orig_snyataya_deep_blue/" TargetMode="External"/><Relationship Id="rId663" Type="http://schemas.openxmlformats.org/officeDocument/2006/relationships/hyperlink" Target="https://icomponents.ru/catalog/iphone/iphone_14_pro_max/iphone_14_pro_max_polifonicheskiy_dinamik_orig/" TargetMode="External"/><Relationship Id="rId420" Type="http://schemas.openxmlformats.org/officeDocument/2006/relationships/hyperlink" Target="https://icomponents.ru/catalog/iphone/iphone_17_pro/iphone_17_pro_zadnyaya_kryshka_nfc_orig_snyataya_cosmic_orange/" TargetMode="External"/><Relationship Id="rId662" Type="http://schemas.openxmlformats.org/officeDocument/2006/relationships/hyperlink" Target="https://icomponents.ru/catalog/iphone/iphone_14_pro/iphone_14_pro_polifonicheskiy_dinamik_orig/" TargetMode="External"/><Relationship Id="rId661" Type="http://schemas.openxmlformats.org/officeDocument/2006/relationships/hyperlink" Target="https://icomponents.ru/catalog/iphone/iphone_14/iphone_14_polifonicheskiy_dinamik_orig/" TargetMode="External"/><Relationship Id="rId415" Type="http://schemas.openxmlformats.org/officeDocument/2006/relationships/hyperlink" Target="https://icomponents.ru/catalog/iphone/iphone_17/iphone_17_zadnyaya_kryshka_v_sbore_s_krepleniem_i_magnitami_black/" TargetMode="External"/><Relationship Id="rId657" Type="http://schemas.openxmlformats.org/officeDocument/2006/relationships/hyperlink" Target="https://icomponents.ru/catalog/iphone/iphone_12_pro_max/iphone_12_pro_max_polifonicheskiy_dinamik_orig/" TargetMode="External"/><Relationship Id="rId414" Type="http://schemas.openxmlformats.org/officeDocument/2006/relationships/hyperlink" Target="https://icomponents.ru/catalog/iphone/iphone_17/iphone_17_zadnyaya_kryshka_v_sbore_s_krepleniem_i_magnitami_mist_blue/" TargetMode="External"/><Relationship Id="rId656" Type="http://schemas.openxmlformats.org/officeDocument/2006/relationships/hyperlink" Target="https://icomponents.ru/catalog/iphone/iphone_12/iphone_12_polifonicheskiy_dinamik_orig/" TargetMode="External"/><Relationship Id="rId413" Type="http://schemas.openxmlformats.org/officeDocument/2006/relationships/hyperlink" Target="https://icomponents.ru/catalog/iphone/iphone_17/iphone_17_zadnyaya_kryshka_v_sbore_s_krepleniem_i_magnitami_white/" TargetMode="External"/><Relationship Id="rId655" Type="http://schemas.openxmlformats.org/officeDocument/2006/relationships/hyperlink" Target="https://icomponents.ru/catalog/iphone/iphone_11_pro_max/iphone_11_pro_max_polifonicheskiy_dinamik_orig/" TargetMode="External"/><Relationship Id="rId412" Type="http://schemas.openxmlformats.org/officeDocument/2006/relationships/hyperlink" Target="https://icomponents.ru/catalog/iphone/iphone_17/iphone_17_zadnyaya_kryshka_v_sbore_s_krepleniem_i_magnitami_sage/" TargetMode="External"/><Relationship Id="rId654" Type="http://schemas.openxmlformats.org/officeDocument/2006/relationships/hyperlink" Target="https://icomponents.ru/catalog/iphone/iphone_11_pro/iphone_11_pro_polifonicheskiy_dinamik_orig/" TargetMode="External"/><Relationship Id="rId419" Type="http://schemas.openxmlformats.org/officeDocument/2006/relationships/hyperlink" Target="https://icomponents.ru/catalog/iphone/iphone_17_air/iphone_17_air_zadnyaya_kryshka_nfc_orig_snyataya_black/" TargetMode="External"/><Relationship Id="rId418" Type="http://schemas.openxmlformats.org/officeDocument/2006/relationships/hyperlink" Target="https://icomponents.ru/catalog/iphone/iphone_17_air/iphone_17_air_zadnyaya_kryshka_nfc_orig_snyataya_blue/" TargetMode="External"/><Relationship Id="rId417" Type="http://schemas.openxmlformats.org/officeDocument/2006/relationships/hyperlink" Target="https://icomponents.ru/catalog/iphone/iphone_17_air/iphone_17_air_zadnyaya_kryshka_nfc_orig_snyataya_white/" TargetMode="External"/><Relationship Id="rId659" Type="http://schemas.openxmlformats.org/officeDocument/2006/relationships/hyperlink" Target="https://icomponents.ru/catalog/iphone/iphone_13_pro/iphone_13_pro_polifonicheskiy_dinamik_orig/" TargetMode="External"/><Relationship Id="rId416" Type="http://schemas.openxmlformats.org/officeDocument/2006/relationships/hyperlink" Target="https://icomponents.ru/catalog/iphone/iphone_17_air/iphone_17_air_zadnyaya_kryshka_nfc_orig_snyataya_gold/" TargetMode="External"/><Relationship Id="rId658" Type="http://schemas.openxmlformats.org/officeDocument/2006/relationships/hyperlink" Target="https://icomponents.ru/catalog/iphone/iphone_13/iphone_13_polifonicheskiy_dinamik_orig/" TargetMode="External"/><Relationship Id="rId411" Type="http://schemas.openxmlformats.org/officeDocument/2006/relationships/hyperlink" Target="https://icomponents.ru/catalog/iphone/iphone_17/iphone_17_zadnyaya_kryshka_v_sbore_s_krepleniem_i_magnitami_lavender/" TargetMode="External"/><Relationship Id="rId653" Type="http://schemas.openxmlformats.org/officeDocument/2006/relationships/hyperlink" Target="https://icomponents.ru/catalog/iphone/iphone_11/iphone_11_polifonicheskiy_dinamik_orig/" TargetMode="External"/><Relationship Id="rId410" Type="http://schemas.openxmlformats.org/officeDocument/2006/relationships/hyperlink" Target="https://icomponents.ru/catalog/iphone/iphone_17/iphone_17_zadnyaya_kryshka_nfc_orig_snyataya_black/" TargetMode="External"/><Relationship Id="rId652" Type="http://schemas.openxmlformats.org/officeDocument/2006/relationships/hyperlink" Target="https://icomponents.ru/catalog/iphone/iphone_xs_max/iphone_xs_max_polifonicheskiy_dinamik_orig/" TargetMode="External"/><Relationship Id="rId651" Type="http://schemas.openxmlformats.org/officeDocument/2006/relationships/hyperlink" Target="https://icomponents.ru/catalog/iphone/iphone_xs/iphone_xs_polifonicheskiy_dinamik_orig/" TargetMode="External"/><Relationship Id="rId650" Type="http://schemas.openxmlformats.org/officeDocument/2006/relationships/hyperlink" Target="https://icomponents.ru/catalog/iphone/iphone_x/iphone_x_polifonicheskiy_dinamik_orig/" TargetMode="External"/><Relationship Id="rId206" Type="http://schemas.openxmlformats.org/officeDocument/2006/relationships/hyperlink" Target="https://icomponents.ru/catalog/iphone/iphone_14_pro_max/iphone_14_pro_max_displey_service_orig_als_shleyf_clean/" TargetMode="External"/><Relationship Id="rId448" Type="http://schemas.openxmlformats.org/officeDocument/2006/relationships/hyperlink" Target="https://icomponents.ru/catalog/iphone/iphone_16_pro/iphone_16_pro_steklo_kamery_orig_komplekt/" TargetMode="External"/><Relationship Id="rId205" Type="http://schemas.openxmlformats.org/officeDocument/2006/relationships/hyperlink" Target="https://icomponents.ru/catalog/iphone/iphone_14_pro/iphone_14_pro_displey_orig_ref/" TargetMode="External"/><Relationship Id="rId447" Type="http://schemas.openxmlformats.org/officeDocument/2006/relationships/hyperlink" Target="https://icomponents.ru/catalog/iphone/iphone_16/iphone_16_steklo_kamery_orig_komplekt/" TargetMode="External"/><Relationship Id="rId204" Type="http://schemas.openxmlformats.org/officeDocument/2006/relationships/hyperlink" Target="https://icomponents.ru/catalog/iphone/iphone_14_pro/iphone_14_pro_displey_orig_ref_als_shleyf_clean/" TargetMode="External"/><Relationship Id="rId446" Type="http://schemas.openxmlformats.org/officeDocument/2006/relationships/hyperlink" Target="https://icomponents.ru/catalog/iphone/iphone_15_pro/iphone_15_pro_steklo_kamery_orig_komplekt/" TargetMode="External"/><Relationship Id="rId203" Type="http://schemas.openxmlformats.org/officeDocument/2006/relationships/hyperlink" Target="https://icomponents.ru/catalog/iphone/iphone_14_pro/iphone_14_pro_displey_snyatyy_orig/" TargetMode="External"/><Relationship Id="rId445" Type="http://schemas.openxmlformats.org/officeDocument/2006/relationships/hyperlink" Target="https://icomponents.ru/catalog/iphone/iphone_15/iphone_15_15_plus_steklo_kamery_orig_komplekt/" TargetMode="External"/><Relationship Id="rId209" Type="http://schemas.openxmlformats.org/officeDocument/2006/relationships/hyperlink" Target="https://icomponents.ru/catalog/iphone/iphone_14_pro_max/iphone_14_pro_max_displey_orig_ref_als_shleyf_clean/" TargetMode="External"/><Relationship Id="rId208" Type="http://schemas.openxmlformats.org/officeDocument/2006/relationships/hyperlink" Target="https://icomponents.ru/catalog/iphone/iphone_14_pro_max/iphone_14_pro_max_displey_cnyatyy_orig/" TargetMode="External"/><Relationship Id="rId207" Type="http://schemas.openxmlformats.org/officeDocument/2006/relationships/hyperlink" Target="https://icomponents.ru/catalog/iphone/iphone_14_pro_max/iphone_14_pro_max_displey_snyatyy_orig_als_shleyf_clean/" TargetMode="External"/><Relationship Id="rId449" Type="http://schemas.openxmlformats.org/officeDocument/2006/relationships/hyperlink" Target="https://icomponents.ru/catalog/iphone/iphone_17/iphone_17_steklo_kamery_orig_komplekt/" TargetMode="External"/><Relationship Id="rId440" Type="http://schemas.openxmlformats.org/officeDocument/2006/relationships/hyperlink" Target="https://icomponents.ru/catalog/iphone/iphone_12_pro_max/iphone_12_pro_max_steklo_kamery_orig_komplekt/" TargetMode="External"/><Relationship Id="rId202" Type="http://schemas.openxmlformats.org/officeDocument/2006/relationships/hyperlink" Target="https://icomponents.ru/catalog/iphone/iphone_14_pro/iphone_14_pro_displey_snyatyy_orig_als_shleyf_clean/" TargetMode="External"/><Relationship Id="rId444" Type="http://schemas.openxmlformats.org/officeDocument/2006/relationships/hyperlink" Target="https://icomponents.ru/catalog/iphone/iphone_14_pro/iphone_14_pro_steklo_kamery_orig_komplekt/" TargetMode="External"/><Relationship Id="rId201" Type="http://schemas.openxmlformats.org/officeDocument/2006/relationships/hyperlink" Target="https://icomponents.ru/catalog/iphone/iphone_14_pro/iphone_14_pro_displey_service_orig_als_shleyf_clean/" TargetMode="External"/><Relationship Id="rId443" Type="http://schemas.openxmlformats.org/officeDocument/2006/relationships/hyperlink" Target="https://icomponents.ru/catalog/iphone/iphone_14/iphone_14_steklo_kamery_orig_komplekt/" TargetMode="External"/><Relationship Id="rId200" Type="http://schemas.openxmlformats.org/officeDocument/2006/relationships/hyperlink" Target="https://icomponents.ru/catalog/iphone/iphone_14_plus/iphone_14_plus_displey_snyatyy_orig/" TargetMode="External"/><Relationship Id="rId442" Type="http://schemas.openxmlformats.org/officeDocument/2006/relationships/hyperlink" Target="https://icomponents.ru/catalog/iphone/iphone_13_pro/iphone_13_pro_steklo_kamery_orig_komplekt/" TargetMode="External"/><Relationship Id="rId441" Type="http://schemas.openxmlformats.org/officeDocument/2006/relationships/hyperlink" Target="https://icomponents.ru/catalog/iphone/iphone_13/iphone_13_steklo_kamery_orig_komplekt/" TargetMode="External"/><Relationship Id="rId437" Type="http://schemas.openxmlformats.org/officeDocument/2006/relationships/hyperlink" Target="https://icomponents.ru/catalog/iphone/iphone_xs/iphone_xs_xs_max_steklo_zadney_kamery_orig/" TargetMode="External"/><Relationship Id="rId436" Type="http://schemas.openxmlformats.org/officeDocument/2006/relationships/hyperlink" Target="https://icomponents.ru/catalog/iphone/iphone_x/iphone_x_steklo_zadney_kamery_orig/" TargetMode="External"/><Relationship Id="rId435" Type="http://schemas.openxmlformats.org/officeDocument/2006/relationships/hyperlink" Target="https://icomponents.ru/catalog/iphone/iphone_7/iphone_7_8_steklo_zadney_kamery_orig_2/" TargetMode="External"/><Relationship Id="rId434" Type="http://schemas.openxmlformats.org/officeDocument/2006/relationships/hyperlink" Target="https://icomponents.ru/catalog/iphone/iphone_7_2/iphone_7_8_steklo_zadney_kamery_orig/" TargetMode="External"/><Relationship Id="rId439" Type="http://schemas.openxmlformats.org/officeDocument/2006/relationships/hyperlink" Target="https://icomponents.ru/catalog/iphone/iphone_11_pro/iphone_11_pro_pro_max_12_pro_steklo_kamery_orig_komplekt/" TargetMode="External"/><Relationship Id="rId438" Type="http://schemas.openxmlformats.org/officeDocument/2006/relationships/hyperlink" Target="https://icomponents.ru/catalog/iphone/iphone_11/iphone_11_12_12_mini_steklo_kamery_orig_komplekt/" TargetMode="External"/><Relationship Id="rId433" Type="http://schemas.openxmlformats.org/officeDocument/2006/relationships/hyperlink" Target="https://icomponents.ru/catalog/iphone/iphone_6s_2/iphone_6s_6s_steklo_zadney_kamery/" TargetMode="External"/><Relationship Id="rId432" Type="http://schemas.openxmlformats.org/officeDocument/2006/relationships/hyperlink" Target="https://icomponents.ru/catalog/iphone/iphone_6/iphone_6_6s_steklo_zadney_kamery/" TargetMode="External"/><Relationship Id="rId431" Type="http://schemas.openxmlformats.org/officeDocument/2006/relationships/hyperlink" Target="https://icomponents.ru/catalog/iphone/iphone_17_pro_max/iphone_17_pro_max_zadnyaya_kryshka_v_sbore_s_krepleniem_i_magnitami_silver/" TargetMode="External"/><Relationship Id="rId430" Type="http://schemas.openxmlformats.org/officeDocument/2006/relationships/hyperlink" Target="https://icomponents.ru/catalog/iphone/iphone_17_pro_max/iphone_17_pro_max_zadnyaya_kryshka_v_sbore_s_krepleniem_i_magnitami_deep_blue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icomponents.ru/catalog/iphone/iphone_5/iphone_5_akkumulyatornaya_batareya_akb_orig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icomponents.ru/catalog/iphone/iphone_6/iphone_6_korpus_zadnyaya_kryshka_space_gray/" TargetMode="External"/><Relationship Id="rId2" Type="http://schemas.openxmlformats.org/officeDocument/2006/relationships/hyperlink" Target="https://icomponents.ru/catalog/iphone/iphone_6/iphone_6_korpus_zadnyaya_kryshka_silver/" TargetMode="External"/><Relationship Id="rId3" Type="http://schemas.openxmlformats.org/officeDocument/2006/relationships/hyperlink" Target="https://icomponents.ru/catalog/iphone/iphone_6/iphone_6_korpus_zadnyaya_kryshka_gold/" TargetMode="External"/><Relationship Id="rId4" Type="http://schemas.openxmlformats.org/officeDocument/2006/relationships/hyperlink" Target="https://icomponents.ru/catalog/iphone/iphone_6s_2/iphone_6s_korpus_zadnyaya_kryshka_space_gray/" TargetMode="External"/><Relationship Id="rId9" Type="http://schemas.openxmlformats.org/officeDocument/2006/relationships/hyperlink" Target="https://icomponents.ru/catalog/iphone/iphone_6s/iphone_6s_korpus_zadnyaya_kryshka_silver_2/" TargetMode="External"/><Relationship Id="rId5" Type="http://schemas.openxmlformats.org/officeDocument/2006/relationships/hyperlink" Target="https://icomponents.ru/catalog/iphone/iphone_6s_2/iphone_6s_korpus_zadnyaya_kryshka_silver/" TargetMode="External"/><Relationship Id="rId6" Type="http://schemas.openxmlformats.org/officeDocument/2006/relationships/hyperlink" Target="https://icomponents.ru/catalog/iphone/iphone_6s_2/iphone_6s_korpus_zadnyaya_kryshka_gold/" TargetMode="External"/><Relationship Id="rId7" Type="http://schemas.openxmlformats.org/officeDocument/2006/relationships/hyperlink" Target="https://icomponents.ru/catalog/iphone/iphone_6s_2/iphone_6s_korpus_zadnyaya_kryshka_rose_gold/" TargetMode="External"/><Relationship Id="rId8" Type="http://schemas.openxmlformats.org/officeDocument/2006/relationships/hyperlink" Target="https://icomponents.ru/catalog/iphone/iphone_6s/iphone_6s_korpus_zadnyaya_kryshka_space_gray_2/" TargetMode="External"/><Relationship Id="rId40" Type="http://schemas.openxmlformats.org/officeDocument/2006/relationships/hyperlink" Target="https://icomponents.ru/catalog/iphone/iphone_xr/iphone_xr_korpus_orig_1_1_krasnyy/" TargetMode="External"/><Relationship Id="rId42" Type="http://schemas.openxmlformats.org/officeDocument/2006/relationships/hyperlink" Target="https://icomponents.ru/catalog/iphone/iphone_x/iphone_x_korpus_orig_1_1_belyy/" TargetMode="External"/><Relationship Id="rId41" Type="http://schemas.openxmlformats.org/officeDocument/2006/relationships/hyperlink" Target="https://icomponents.ru/catalog/iphone/iphone_x/iphone_x_korpus_orig_1_1_chernyy/" TargetMode="External"/><Relationship Id="rId44" Type="http://schemas.openxmlformats.org/officeDocument/2006/relationships/hyperlink" Target="https://icomponents.ru/catalog/iphone/iphone_xs/iphone_xs_korpus_orig_1_1_belyy/" TargetMode="External"/><Relationship Id="rId43" Type="http://schemas.openxmlformats.org/officeDocument/2006/relationships/hyperlink" Target="https://icomponents.ru/catalog/iphone/iphone_xs/iphone_xs_korpus_orig_1_1_chernyy/" TargetMode="External"/><Relationship Id="rId46" Type="http://schemas.openxmlformats.org/officeDocument/2006/relationships/hyperlink" Target="https://icomponents.ru/catalog/iphone/iphone_xs_max/iphone_xs_max_korpus_orig_1_1_chernyy/" TargetMode="External"/><Relationship Id="rId45" Type="http://schemas.openxmlformats.org/officeDocument/2006/relationships/hyperlink" Target="https://icomponents.ru/catalog/iphone/iphone_xs/iphone_xs_korpus_orig_1_1_zolotoy/" TargetMode="External"/><Relationship Id="rId48" Type="http://schemas.openxmlformats.org/officeDocument/2006/relationships/hyperlink" Target="https://icomponents.ru/catalog/iphone/iphone_xs_max/iphone_xs_max_korpus_orig_1_1_zolotoy/" TargetMode="External"/><Relationship Id="rId47" Type="http://schemas.openxmlformats.org/officeDocument/2006/relationships/hyperlink" Target="https://icomponents.ru/catalog/iphone/iphone_xs_max/iphone_xs_max_korpus_orig_1_1_belyy/" TargetMode="External"/><Relationship Id="rId49" Type="http://schemas.openxmlformats.org/officeDocument/2006/relationships/hyperlink" Target="https://icomponents.ru/catalog/iphone/iphone_11/iphone_11_korpus_orig_1_1_chernyy/" TargetMode="External"/><Relationship Id="rId31" Type="http://schemas.openxmlformats.org/officeDocument/2006/relationships/hyperlink" Target="https://icomponents.ru/catalog/iphone/iphone_8/iphone_8_plus_korpus_orig_1_1_zolotoy/" TargetMode="External"/><Relationship Id="rId30" Type="http://schemas.openxmlformats.org/officeDocument/2006/relationships/hyperlink" Target="https://icomponents.ru/catalog/iphone/iphone_8/iphone_8_plus_korpus_orig_1_1_krasnyy/" TargetMode="External"/><Relationship Id="rId33" Type="http://schemas.openxmlformats.org/officeDocument/2006/relationships/hyperlink" Target="https://icomponents.ru/catalog/iphone/iphone_8_se2020/iphone_se_2020_korpus_orig_1_1_belyy/" TargetMode="External"/><Relationship Id="rId32" Type="http://schemas.openxmlformats.org/officeDocument/2006/relationships/hyperlink" Target="https://icomponents.ru/catalog/iphone/iphone_8_se2020/iphone_se_2020_korpus_orig_1_1_chernyy/" TargetMode="External"/><Relationship Id="rId35" Type="http://schemas.openxmlformats.org/officeDocument/2006/relationships/hyperlink" Target="https://icomponents.ru/catalog/iphone/iphone_xr/iphone_xr_korpus_orig_1_1_chernyy/" TargetMode="External"/><Relationship Id="rId34" Type="http://schemas.openxmlformats.org/officeDocument/2006/relationships/hyperlink" Target="https://icomponents.ru/catalog/iphone/iphone_8_se2020/iphone_se_2020_korpus_orig_1_1_krasnyy/" TargetMode="External"/><Relationship Id="rId37" Type="http://schemas.openxmlformats.org/officeDocument/2006/relationships/hyperlink" Target="https://icomponents.ru/catalog/iphone/iphone_xr/iphone_xr_korpus_orig_1_1_goluboy/" TargetMode="External"/><Relationship Id="rId36" Type="http://schemas.openxmlformats.org/officeDocument/2006/relationships/hyperlink" Target="https://icomponents.ru/catalog/iphone/iphone_xr/iphone_xr_korpus_orig_1_1_belyy/" TargetMode="External"/><Relationship Id="rId39" Type="http://schemas.openxmlformats.org/officeDocument/2006/relationships/hyperlink" Target="https://icomponents.ru/catalog/iphone/iphone_xr/iphone_xr_korpus_orig_1_1_oranzhevyy/" TargetMode="External"/><Relationship Id="rId38" Type="http://schemas.openxmlformats.org/officeDocument/2006/relationships/hyperlink" Target="https://icomponents.ru/catalog/iphone/iphone_xr/iphone_xr_korpus_orig_1_1_zheltyy/" TargetMode="External"/><Relationship Id="rId20" Type="http://schemas.openxmlformats.org/officeDocument/2006/relationships/hyperlink" Target="https://icomponents.ru/catalog/iphone/iphone_7/iphone_7_korpus_orig_1_1_belyy_2/" TargetMode="External"/><Relationship Id="rId22" Type="http://schemas.openxmlformats.org/officeDocument/2006/relationships/hyperlink" Target="https://icomponents.ru/catalog/iphone/iphone_7/iphone_7_korpus_orig_1_1_zolotoy_2/" TargetMode="External"/><Relationship Id="rId21" Type="http://schemas.openxmlformats.org/officeDocument/2006/relationships/hyperlink" Target="https://icomponents.ru/catalog/iphone/iphone_7/iphone_7_korpus_orig_1_1_krasnyy_2/" TargetMode="External"/><Relationship Id="rId24" Type="http://schemas.openxmlformats.org/officeDocument/2006/relationships/hyperlink" Target="https://icomponents.ru/catalog/iphone/iphone_8_se2020/iphone_8_korpus_orig_1_1_chernyy/" TargetMode="External"/><Relationship Id="rId23" Type="http://schemas.openxmlformats.org/officeDocument/2006/relationships/hyperlink" Target="https://icomponents.ru/catalog/iphone/iphone_7/iphone_7_korpus_orig_1_1_rozovyy_2/" TargetMode="External"/><Relationship Id="rId26" Type="http://schemas.openxmlformats.org/officeDocument/2006/relationships/hyperlink" Target="https://icomponents.ru/catalog/iphone/iphone_8_se2020/iphone_8_korpus_orig_1_1_krasnyy/" TargetMode="External"/><Relationship Id="rId25" Type="http://schemas.openxmlformats.org/officeDocument/2006/relationships/hyperlink" Target="https://icomponents.ru/catalog/iphone/iphone_8_se2020/iphone_8_korpus_orig_1_1_belyy/" TargetMode="External"/><Relationship Id="rId28" Type="http://schemas.openxmlformats.org/officeDocument/2006/relationships/hyperlink" Target="https://icomponents.ru/catalog/iphone/iphone_8/iphone_8_plus_korpus_orig_1_1_chernyy/" TargetMode="External"/><Relationship Id="rId27" Type="http://schemas.openxmlformats.org/officeDocument/2006/relationships/hyperlink" Target="https://icomponents.ru/catalog/iphone/iphone_8_se2020/iphone_8_korpus_orig_1_1_zolotoy/" TargetMode="External"/><Relationship Id="rId29" Type="http://schemas.openxmlformats.org/officeDocument/2006/relationships/hyperlink" Target="https://icomponents.ru/catalog/iphone/iphone_8/iphone_8_plus_korpus_orig_1_1_belyy/" TargetMode="External"/><Relationship Id="rId11" Type="http://schemas.openxmlformats.org/officeDocument/2006/relationships/hyperlink" Target="https://icomponents.ru/catalog/iphone/iphone_6s/iphone_6s_korpus_zadnyaya_kryshka_rose_gold_2/" TargetMode="External"/><Relationship Id="rId10" Type="http://schemas.openxmlformats.org/officeDocument/2006/relationships/hyperlink" Target="https://icomponents.ru/catalog/iphone/iphone_6s/iphone_6s_korpus_zadnyaya_kryshka_gold_2/" TargetMode="External"/><Relationship Id="rId13" Type="http://schemas.openxmlformats.org/officeDocument/2006/relationships/hyperlink" Target="https://icomponents.ru/catalog/iphone/iphone_7_2/iphone_7_korpus_orig_1_1_chernyy_matovyy/" TargetMode="External"/><Relationship Id="rId12" Type="http://schemas.openxmlformats.org/officeDocument/2006/relationships/hyperlink" Target="https://icomponents.ru/catalog/iphone/iphone_7_2/iphone_7_korpus_orig_1_1_chernyy_glyantsevyy/" TargetMode="External"/><Relationship Id="rId15" Type="http://schemas.openxmlformats.org/officeDocument/2006/relationships/hyperlink" Target="https://icomponents.ru/catalog/iphone/iphone_7_2/iphone_7_korpus_orig_1_1_krasnyy/" TargetMode="External"/><Relationship Id="rId14" Type="http://schemas.openxmlformats.org/officeDocument/2006/relationships/hyperlink" Target="https://icomponents.ru/catalog/iphone/iphone_7_2/iphone_7_korpus_orig_1_1_belyy/" TargetMode="External"/><Relationship Id="rId17" Type="http://schemas.openxmlformats.org/officeDocument/2006/relationships/hyperlink" Target="https://icomponents.ru/catalog/iphone/iphone_7_2/iphone_7_korpus_orig_1_1_rozovyy/" TargetMode="External"/><Relationship Id="rId16" Type="http://schemas.openxmlformats.org/officeDocument/2006/relationships/hyperlink" Target="https://icomponents.ru/catalog/iphone/iphone_7_2/iphone_7_korpus_orig_1_1_zolotoy/" TargetMode="External"/><Relationship Id="rId19" Type="http://schemas.openxmlformats.org/officeDocument/2006/relationships/hyperlink" Target="https://icomponents.ru/catalog/iphone/iphone_7/iphone_7_korpus_orig_1_1_chernyy_matovyy_2/" TargetMode="External"/><Relationship Id="rId18" Type="http://schemas.openxmlformats.org/officeDocument/2006/relationships/hyperlink" Target="https://icomponents.ru/catalog/iphone/iphone_7/iphone_7_korpus_orig_1_1_chernyy_glyantsevyy_2/" TargetMode="External"/><Relationship Id="rId84" Type="http://schemas.openxmlformats.org/officeDocument/2006/relationships/hyperlink" Target="https://icomponents.ru/catalog/iphone/iphone_13/iphone_13_korpus_orig_1_1_siniy/" TargetMode="External"/><Relationship Id="rId83" Type="http://schemas.openxmlformats.org/officeDocument/2006/relationships/hyperlink" Target="https://icomponents.ru/catalog/iphone/iphone_13/iphone_13_korpus_orig_1_1_belyy/" TargetMode="External"/><Relationship Id="rId86" Type="http://schemas.openxmlformats.org/officeDocument/2006/relationships/hyperlink" Target="https://icomponents.ru/catalog/iphone/iphone_13/iphone_13_korpus_orig_1_1_rozovyy/" TargetMode="External"/><Relationship Id="rId85" Type="http://schemas.openxmlformats.org/officeDocument/2006/relationships/hyperlink" Target="https://icomponents.ru/catalog/iphone/iphone_13/iphone_13_korpus_orig_1_1_zelenyy/" TargetMode="External"/><Relationship Id="rId88" Type="http://schemas.openxmlformats.org/officeDocument/2006/relationships/hyperlink" Target="https://icomponents.ru/catalog/iphone/iphone_13_pro/iphone_13_pro_korpus_orig_1_1_chernyy/" TargetMode="External"/><Relationship Id="rId87" Type="http://schemas.openxmlformats.org/officeDocument/2006/relationships/hyperlink" Target="https://icomponents.ru/catalog/iphone/iphone_13/iphone_13_korpus_orig_1_1_krasnyy/" TargetMode="External"/><Relationship Id="rId89" Type="http://schemas.openxmlformats.org/officeDocument/2006/relationships/hyperlink" Target="https://icomponents.ru/catalog/iphone/iphone_13_pro/iphone_13_pro_korpus_orig_1_1_nebesno_goluboy/" TargetMode="External"/><Relationship Id="rId80" Type="http://schemas.openxmlformats.org/officeDocument/2006/relationships/hyperlink" Target="https://icomponents.ru/catalog/iphone/iphone_12_pro_max/iphone_12_pro_max_korpus_orig_1_1_belyy/" TargetMode="External"/><Relationship Id="rId82" Type="http://schemas.openxmlformats.org/officeDocument/2006/relationships/hyperlink" Target="https://icomponents.ru/catalog/iphone/iphone_13/iphone_13_korpus_orig_1_1_chernyy/" TargetMode="External"/><Relationship Id="rId81" Type="http://schemas.openxmlformats.org/officeDocument/2006/relationships/hyperlink" Target="https://icomponents.ru/catalog/iphone/iphone_12_pro_max/iphone_12_pro_max_korpus_orig_1_1_zolotoy/" TargetMode="External"/><Relationship Id="rId73" Type="http://schemas.openxmlformats.org/officeDocument/2006/relationships/hyperlink" Target="https://icomponents.ru/catalog/iphone/iphone_12_mini/iphone_12_mini_korpus_orig_1_1_krasnyy/" TargetMode="External"/><Relationship Id="rId72" Type="http://schemas.openxmlformats.org/officeDocument/2006/relationships/hyperlink" Target="https://icomponents.ru/catalog/iphone/iphone_12_mini/iphone_12_mini_korpus_orig_1_1_zelenyy/" TargetMode="External"/><Relationship Id="rId75" Type="http://schemas.openxmlformats.org/officeDocument/2006/relationships/hyperlink" Target="https://icomponents.ru/catalog/iphone/iphone_12_pro/iphone_12_pro_korpus_orig_1_1_siniy/" TargetMode="External"/><Relationship Id="rId74" Type="http://schemas.openxmlformats.org/officeDocument/2006/relationships/hyperlink" Target="https://icomponents.ru/catalog/iphone/iphone_12_pro/iphone_12_pro_korpus_orig_1_1_chernyy/" TargetMode="External"/><Relationship Id="rId77" Type="http://schemas.openxmlformats.org/officeDocument/2006/relationships/hyperlink" Target="https://icomponents.ru/catalog/iphone/iphone_12_pro/iphone_12_pro_korpus_orig_1_1_zolotoy/" TargetMode="External"/><Relationship Id="rId76" Type="http://schemas.openxmlformats.org/officeDocument/2006/relationships/hyperlink" Target="https://icomponents.ru/catalog/iphone/iphone_12_pro/iphone_12_pro_korpus_orig_1_1_belyy/" TargetMode="External"/><Relationship Id="rId79" Type="http://schemas.openxmlformats.org/officeDocument/2006/relationships/hyperlink" Target="https://icomponents.ru/catalog/iphone/iphone_12_pro_max/iphone_12_pro_max_korpus_orig_1_1_siniy/" TargetMode="External"/><Relationship Id="rId78" Type="http://schemas.openxmlformats.org/officeDocument/2006/relationships/hyperlink" Target="https://icomponents.ru/catalog/iphone/iphone_12_pro_max/iphone_12_pro_max_korpus_orig_1_1_chernyy/" TargetMode="External"/><Relationship Id="rId71" Type="http://schemas.openxmlformats.org/officeDocument/2006/relationships/hyperlink" Target="https://icomponents.ru/catalog/iphone/iphone_12_mini/iphone_12_mini_korpus_orig_1_1_siniy/" TargetMode="External"/><Relationship Id="rId70" Type="http://schemas.openxmlformats.org/officeDocument/2006/relationships/hyperlink" Target="https://icomponents.ru/catalog/iphone/iphone_12_mini/iphone_12_mini_korpus_orig_1_1_belyy/" TargetMode="External"/><Relationship Id="rId62" Type="http://schemas.openxmlformats.org/officeDocument/2006/relationships/hyperlink" Target="https://icomponents.ru/catalog/iphone/iphone_11_pro_max/iphone_11_pro_max_korpus_1_1_temno_zelenyy/" TargetMode="External"/><Relationship Id="rId61" Type="http://schemas.openxmlformats.org/officeDocument/2006/relationships/hyperlink" Target="https://icomponents.ru/catalog/iphone/iphone_11_pro_max/iphone_11_pro_max_korpus_1_1_zolotoy/" TargetMode="External"/><Relationship Id="rId64" Type="http://schemas.openxmlformats.org/officeDocument/2006/relationships/hyperlink" Target="https://icomponents.ru/catalog/iphone/iphone_12/iphone_12_korpus_orig_1_1_belyy/" TargetMode="External"/><Relationship Id="rId63" Type="http://schemas.openxmlformats.org/officeDocument/2006/relationships/hyperlink" Target="https://icomponents.ru/catalog/iphone/iphone_12/iphone_12_korpus_orig_1_1_chernyy/" TargetMode="External"/><Relationship Id="rId66" Type="http://schemas.openxmlformats.org/officeDocument/2006/relationships/hyperlink" Target="https://icomponents.ru/catalog/iphone/iphone_12/iphone_12_korpus_orig_1_1_zelenyy/" TargetMode="External"/><Relationship Id="rId65" Type="http://schemas.openxmlformats.org/officeDocument/2006/relationships/hyperlink" Target="https://icomponents.ru/catalog/iphone/iphone_12/iphone_12_korpus_orig_1_1_siniy/" TargetMode="External"/><Relationship Id="rId68" Type="http://schemas.openxmlformats.org/officeDocument/2006/relationships/hyperlink" Target="https://icomponents.ru/catalog/iphone/iphone_12/iphone_12_korpus_orig_1_1_krasnyy/" TargetMode="External"/><Relationship Id="rId67" Type="http://schemas.openxmlformats.org/officeDocument/2006/relationships/hyperlink" Target="https://icomponents.ru/catalog/iphone/iphone_12/iphone_12_korpus_orig_1_1_fioletovyy/" TargetMode="External"/><Relationship Id="rId60" Type="http://schemas.openxmlformats.org/officeDocument/2006/relationships/hyperlink" Target="https://icomponents.ru/catalog/iphone/iphone_11_pro_max/iphone_11_pro_max_korpus_1_1_belyy/" TargetMode="External"/><Relationship Id="rId69" Type="http://schemas.openxmlformats.org/officeDocument/2006/relationships/hyperlink" Target="https://icomponents.ru/catalog/iphone/iphone_12_mini/iphone_12_mini_korpus_orig_1_1_chernyy/" TargetMode="External"/><Relationship Id="rId51" Type="http://schemas.openxmlformats.org/officeDocument/2006/relationships/hyperlink" Target="https://icomponents.ru/catalog/iphone/iphone_11/iphone_11_korpus_orig_1_1_zelenyy/" TargetMode="External"/><Relationship Id="rId50" Type="http://schemas.openxmlformats.org/officeDocument/2006/relationships/hyperlink" Target="https://icomponents.ru/catalog/iphone/iphone_11/iphone_11_korpus_orig_1_1_belyy/" TargetMode="External"/><Relationship Id="rId53" Type="http://schemas.openxmlformats.org/officeDocument/2006/relationships/hyperlink" Target="https://icomponents.ru/catalog/iphone/iphone_11/iphone_11_korpus_orig_1_1_fioletovyy/" TargetMode="External"/><Relationship Id="rId52" Type="http://schemas.openxmlformats.org/officeDocument/2006/relationships/hyperlink" Target="https://icomponents.ru/catalog/iphone/iphone_11/iphone_11_korpus_orig_1_1_zheltyy/" TargetMode="External"/><Relationship Id="rId55" Type="http://schemas.openxmlformats.org/officeDocument/2006/relationships/hyperlink" Target="https://icomponents.ru/catalog/iphone/iphone_11_pro/iphone_11_pro_korpus_orig_1_1_chernyy/" TargetMode="External"/><Relationship Id="rId54" Type="http://schemas.openxmlformats.org/officeDocument/2006/relationships/hyperlink" Target="https://icomponents.ru/catalog/iphone/iphone_11/iphone_11_korpus_orig_1_1_krasnyy/" TargetMode="External"/><Relationship Id="rId57" Type="http://schemas.openxmlformats.org/officeDocument/2006/relationships/hyperlink" Target="https://icomponents.ru/catalog/iphone/iphone_11_pro/iphone_11_pro_korpus_orig_1_1_zolotoy/" TargetMode="External"/><Relationship Id="rId56" Type="http://schemas.openxmlformats.org/officeDocument/2006/relationships/hyperlink" Target="https://icomponents.ru/catalog/iphone/iphone_11_pro/iphone_11_pro_korpus_orig_1_1_belyy/" TargetMode="External"/><Relationship Id="rId59" Type="http://schemas.openxmlformats.org/officeDocument/2006/relationships/hyperlink" Target="https://icomponents.ru/catalog/iphone/iphone_11_pro_max/iphone_11_pro_max_korpus_1_1_chernyy/" TargetMode="External"/><Relationship Id="rId58" Type="http://schemas.openxmlformats.org/officeDocument/2006/relationships/hyperlink" Target="https://icomponents.ru/catalog/iphone/iphone_11_pro/iphone_11_pro_korpus_orig_1_1_temno_zelenyy/" TargetMode="External"/><Relationship Id="rId107" Type="http://schemas.openxmlformats.org/officeDocument/2006/relationships/hyperlink" Target="https://icomponents.ru/catalog/iphone/iphone_14_pro_max/iphone_14_pro_max_korpus_orig_1_1_fioletovyy/" TargetMode="External"/><Relationship Id="rId106" Type="http://schemas.openxmlformats.org/officeDocument/2006/relationships/hyperlink" Target="https://icomponents.ru/catalog/iphone/iphone_14_pro/iphone_14_pro_korpus_orig_1_1_zolotoy/" TargetMode="External"/><Relationship Id="rId105" Type="http://schemas.openxmlformats.org/officeDocument/2006/relationships/hyperlink" Target="https://icomponents.ru/catalog/iphone/iphone_14_pro/iphone_14_pro_korpus_orig_1_1_belyy/" TargetMode="External"/><Relationship Id="rId104" Type="http://schemas.openxmlformats.org/officeDocument/2006/relationships/hyperlink" Target="https://icomponents.ru/catalog/iphone/iphone_14_pro/iphone_14_pro_korpus_orig_1_1_chernyy/" TargetMode="External"/><Relationship Id="rId109" Type="http://schemas.openxmlformats.org/officeDocument/2006/relationships/hyperlink" Target="https://icomponents.ru/catalog/iphone/iphone_14_pro_max/iphone_14_pro_max_korpus_orig_1_1_belyy/" TargetMode="External"/><Relationship Id="rId108" Type="http://schemas.openxmlformats.org/officeDocument/2006/relationships/hyperlink" Target="https://icomponents.ru/catalog/iphone/iphone_14_pro_max/iphone_14_pro_max_korpus_orig_1_1_chernyy/" TargetMode="External"/><Relationship Id="rId103" Type="http://schemas.openxmlformats.org/officeDocument/2006/relationships/hyperlink" Target="https://icomponents.ru/catalog/iphone/iphone_14_pro/iphone_14_pro_korpus_orig_1_1_fioletovyy/" TargetMode="External"/><Relationship Id="rId102" Type="http://schemas.openxmlformats.org/officeDocument/2006/relationships/hyperlink" Target="https://icomponents.ru/catalog/iphone/iphone_14/iphone_14_korpus_srednyaya_chast_orig_1_1_krasnyy/" TargetMode="External"/><Relationship Id="rId101" Type="http://schemas.openxmlformats.org/officeDocument/2006/relationships/hyperlink" Target="https://icomponents.ru/catalog/iphone/iphone_14/iphone_14_korpus_srednyaya_chast_orig_1_1_fioletovyy/" TargetMode="External"/><Relationship Id="rId100" Type="http://schemas.openxmlformats.org/officeDocument/2006/relationships/hyperlink" Target="https://icomponents.ru/catalog/iphone/iphone_14/iphone_14_korpus_srednyaya_chast_orig_1_1_goluboy/" TargetMode="External"/><Relationship Id="rId121" Type="http://schemas.openxmlformats.org/officeDocument/2006/relationships/hyperlink" Target="https://icomponents.ru/catalog/iphone/iphone_15_pro_max/iphone_15_pro_max_korpus_srednyaya_chast_orig1_1_siniy/" TargetMode="External"/><Relationship Id="rId120" Type="http://schemas.openxmlformats.org/officeDocument/2006/relationships/hyperlink" Target="https://icomponents.ru/catalog/iphone/iphone_15_pro_max/iphone_15_pro_max_korpus_srednyaya_chast_naturalnyy_titan_orig_1_1/" TargetMode="External"/><Relationship Id="rId124" Type="http://schemas.openxmlformats.org/officeDocument/2006/relationships/drawing" Target="../drawings/drawing10.xml"/><Relationship Id="rId123" Type="http://schemas.openxmlformats.org/officeDocument/2006/relationships/hyperlink" Target="https://icomponents.ru/catalog/iphone/iphone_15_pro_max/iphone_15_pro_max_korpus_srednyaya_chast_orig1_1_chernyy/" TargetMode="External"/><Relationship Id="rId122" Type="http://schemas.openxmlformats.org/officeDocument/2006/relationships/hyperlink" Target="https://icomponents.ru/catalog/iphone/iphone_15_pro_max/iphone_15_pro_max_korpus_srednyaya_chast_orig1_1_belyy/" TargetMode="External"/><Relationship Id="rId95" Type="http://schemas.openxmlformats.org/officeDocument/2006/relationships/hyperlink" Target="https://icomponents.ru/catalog/iphone/iphone_13_pro_max/iphone_13_pro_max_korpus_orig_1_1_belyy/" TargetMode="External"/><Relationship Id="rId94" Type="http://schemas.openxmlformats.org/officeDocument/2006/relationships/hyperlink" Target="https://icomponents.ru/catalog/iphone/iphone_13_pro_max/iphone_13_pro_max_korpus_orig_1_1_nebesno_goluboy/" TargetMode="External"/><Relationship Id="rId97" Type="http://schemas.openxmlformats.org/officeDocument/2006/relationships/hyperlink" Target="https://icomponents.ru/catalog/iphone/iphone_13_pro_max/iphone_13_pro_max_korpus_orig_1_1_zelenyy/" TargetMode="External"/><Relationship Id="rId96" Type="http://schemas.openxmlformats.org/officeDocument/2006/relationships/hyperlink" Target="https://icomponents.ru/catalog/iphone/iphone_13_pro_max/iphone_13_pro_max_korpus_orig_1_1_zolotoy/" TargetMode="External"/><Relationship Id="rId99" Type="http://schemas.openxmlformats.org/officeDocument/2006/relationships/hyperlink" Target="https://icomponents.ru/catalog/iphone/iphone_14/iphone_14_korpus_srednyaya_chast_orig_1_1_belyy/" TargetMode="External"/><Relationship Id="rId98" Type="http://schemas.openxmlformats.org/officeDocument/2006/relationships/hyperlink" Target="https://icomponents.ru/catalog/iphone/iphone_14/iphone_14_korpus_srednyaya_chast_orig_1_1_chernyy/" TargetMode="External"/><Relationship Id="rId91" Type="http://schemas.openxmlformats.org/officeDocument/2006/relationships/hyperlink" Target="https://icomponents.ru/catalog/iphone/iphone_13_pro/iphone_13_pro_korpus_orig_1_1_zolotoy/" TargetMode="External"/><Relationship Id="rId90" Type="http://schemas.openxmlformats.org/officeDocument/2006/relationships/hyperlink" Target="https://icomponents.ru/catalog/iphone/iphone_13_pro/iphone_13_pro_korpus_orig_1_1_belyy/" TargetMode="External"/><Relationship Id="rId93" Type="http://schemas.openxmlformats.org/officeDocument/2006/relationships/hyperlink" Target="https://icomponents.ru/catalog/iphone/iphone_13_pro_max/iphone_13_pro_max_korpus_orig_1_1_chernyy/" TargetMode="External"/><Relationship Id="rId92" Type="http://schemas.openxmlformats.org/officeDocument/2006/relationships/hyperlink" Target="https://icomponents.ru/catalog/iphone/iphone_13_pro/iphone_13_pro_korpus_orig_1_1_zelenyy/" TargetMode="External"/><Relationship Id="rId118" Type="http://schemas.openxmlformats.org/officeDocument/2006/relationships/hyperlink" Target="https://icomponents.ru/catalog/iphone/iphone_15_pro/iphone_15_pro_srednyaya_chast_korpusa_belyy/" TargetMode="External"/><Relationship Id="rId117" Type="http://schemas.openxmlformats.org/officeDocument/2006/relationships/hyperlink" Target="https://icomponents.ru/catalog/iphone/iphone_15_pro/iphone_15_pro_srednyaya_chast_korpusa_siniy/" TargetMode="External"/><Relationship Id="rId116" Type="http://schemas.openxmlformats.org/officeDocument/2006/relationships/hyperlink" Target="https://icomponents.ru/catalog/iphone/iphone_15_pro/iphone_15_pro_srednyaya_chast_korpusa_naturalnyy_titan/" TargetMode="External"/><Relationship Id="rId115" Type="http://schemas.openxmlformats.org/officeDocument/2006/relationships/hyperlink" Target="https://icomponents.ru/catalog/iphone/iphone_15/iphone_15_korpus_srednyaya_chast_orig_1_1_zheltyy/" TargetMode="External"/><Relationship Id="rId119" Type="http://schemas.openxmlformats.org/officeDocument/2006/relationships/hyperlink" Target="https://icomponents.ru/catalog/iphone/iphone_15_pro/iphone_15_pro_srednyaya_chast_korpusa_chernyy/" TargetMode="External"/><Relationship Id="rId110" Type="http://schemas.openxmlformats.org/officeDocument/2006/relationships/hyperlink" Target="https://icomponents.ru/catalog/iphone/iphone_14_pro_max/iphone_14_pro_max_korpus_orig_1_1_zolotoy/" TargetMode="External"/><Relationship Id="rId114" Type="http://schemas.openxmlformats.org/officeDocument/2006/relationships/hyperlink" Target="https://icomponents.ru/catalog/iphone/iphone_15/iphone_15_korpus_srednyaya_chast_orig_1_1_rozovyy/" TargetMode="External"/><Relationship Id="rId113" Type="http://schemas.openxmlformats.org/officeDocument/2006/relationships/hyperlink" Target="https://icomponents.ru/catalog/iphone/iphone_15/iphone_15_korpus_srednyaya_chast_orig_1_1_zelenyy/" TargetMode="External"/><Relationship Id="rId112" Type="http://schemas.openxmlformats.org/officeDocument/2006/relationships/hyperlink" Target="https://icomponents.ru/catalog/iphone/iphone_15/iphone_15_korpus_srednyaya_chast_orig_1_1_siniy/" TargetMode="External"/><Relationship Id="rId111" Type="http://schemas.openxmlformats.org/officeDocument/2006/relationships/hyperlink" Target="https://icomponents.ru/catalog/iphone/iphone_15/iphone_15_korpus_srednyaya_chast_orig_1_1_cherny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1" max="1" width="1.38"/>
    <col customWidth="1" min="2" max="2" width="20.13"/>
    <col customWidth="1" hidden="1" min="3" max="3" width="12.63"/>
    <col customWidth="1" min="4" max="4" width="12.63"/>
    <col customWidth="1" min="5" max="5" width="81.38"/>
    <col customWidth="1" min="6" max="6" width="13.25"/>
    <col customWidth="1" min="8" max="8" width="6.38"/>
    <col customWidth="1" min="9" max="9" width="1.38"/>
  </cols>
  <sheetData>
    <row r="1">
      <c r="A1" s="1"/>
      <c r="B1" s="2"/>
      <c r="C1" s="2"/>
      <c r="D1" s="2"/>
      <c r="E1" s="3"/>
      <c r="F1" s="4"/>
      <c r="G1" s="2"/>
      <c r="H1" s="5"/>
      <c r="I1" s="2"/>
      <c r="J1" s="2"/>
      <c r="K1" s="2"/>
      <c r="L1" s="2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6" t="s">
        <v>0</v>
      </c>
      <c r="C2" s="6" t="s">
        <v>1</v>
      </c>
      <c r="D2" s="6" t="s">
        <v>2</v>
      </c>
      <c r="E2" s="7" t="s">
        <v>3</v>
      </c>
      <c r="F2" s="8" t="s">
        <v>4</v>
      </c>
      <c r="G2" s="6" t="s">
        <v>5</v>
      </c>
      <c r="H2" s="9"/>
      <c r="I2" s="2"/>
      <c r="J2" s="2"/>
      <c r="K2" s="2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idden="1">
      <c r="A3" s="2"/>
      <c r="B3" s="10" t="s">
        <v>6</v>
      </c>
      <c r="C3" s="11"/>
      <c r="D3" s="11"/>
      <c r="E3" s="12" t="s">
        <v>7</v>
      </c>
      <c r="F3" s="13">
        <f>'МАТРИЦА_СТОИМОСТИ_РАБОТ'!C5</f>
        <v>1600</v>
      </c>
      <c r="G3" s="14"/>
      <c r="H3" s="15"/>
      <c r="I3" s="16" t="s">
        <v>8</v>
      </c>
      <c r="J3" s="17"/>
      <c r="K3" s="2"/>
      <c r="L3" s="2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idden="1">
      <c r="A4" s="2"/>
      <c r="B4" s="18"/>
      <c r="C4" s="11"/>
      <c r="D4" s="11"/>
      <c r="E4" s="12" t="s">
        <v>9</v>
      </c>
      <c r="F4" s="13">
        <f>'МАТРИЦА_СТОИМОСТИ_РАБОТ'!C6</f>
        <v>2200</v>
      </c>
      <c r="G4" s="19"/>
      <c r="H4" s="15"/>
      <c r="I4" s="20" t="s">
        <v>10</v>
      </c>
      <c r="J4" s="21"/>
      <c r="K4" s="2"/>
      <c r="L4" s="2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idden="1">
      <c r="A5" s="2"/>
      <c r="B5" s="18"/>
      <c r="C5" s="11"/>
      <c r="D5" s="11"/>
      <c r="E5" s="12" t="s">
        <v>11</v>
      </c>
      <c r="F5" s="13">
        <f>'МАТРИЦА_СТОИМОСТИ_РАБОТ'!C7</f>
        <v>4100</v>
      </c>
      <c r="G5" s="19"/>
      <c r="H5" s="15"/>
      <c r="I5" s="22" t="s">
        <v>12</v>
      </c>
      <c r="J5" s="23"/>
      <c r="K5" s="2"/>
      <c r="L5" s="2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idden="1">
      <c r="A6" s="2"/>
      <c r="B6" s="18"/>
      <c r="C6" s="11"/>
      <c r="D6" s="11"/>
      <c r="E6" s="12" t="s">
        <v>13</v>
      </c>
      <c r="F6" s="13">
        <f>'МАТРИЦА_СТОИМОСТИ_РАБОТ'!C8</f>
        <v>5100</v>
      </c>
      <c r="G6" s="19"/>
      <c r="H6" s="5"/>
      <c r="I6" s="24" t="s">
        <v>14</v>
      </c>
      <c r="J6" s="25"/>
      <c r="K6" s="26"/>
      <c r="L6" s="26"/>
      <c r="M6" s="27"/>
      <c r="N6" s="2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idden="1">
      <c r="A7" s="2"/>
      <c r="B7" s="18"/>
      <c r="C7" s="11"/>
      <c r="D7" s="11"/>
      <c r="E7" s="12" t="s">
        <v>15</v>
      </c>
      <c r="F7" s="13" t="str">
        <f>'МАТРИЦА_СТОИМОСТИ_РАБОТ'!C9</f>
        <v>?</v>
      </c>
      <c r="G7" s="28"/>
      <c r="H7" s="5"/>
      <c r="J7" s="2"/>
      <c r="K7" s="2"/>
      <c r="L7" s="2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idden="1">
      <c r="A8" s="2"/>
      <c r="B8" s="18"/>
      <c r="C8" s="11"/>
      <c r="D8" s="11"/>
      <c r="E8" s="12" t="s">
        <v>16</v>
      </c>
      <c r="F8" s="13">
        <f>'МАТРИЦА_СТОИМОСТИ_РАБОТ'!C10</f>
        <v>500</v>
      </c>
      <c r="G8" s="29"/>
      <c r="H8" s="5"/>
      <c r="I8" s="30"/>
      <c r="J8" s="1"/>
      <c r="K8" s="2"/>
      <c r="L8" s="2"/>
      <c r="M8" s="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idden="1">
      <c r="A9" s="2"/>
      <c r="B9" s="18"/>
      <c r="C9" s="31"/>
      <c r="D9" s="31"/>
      <c r="E9" s="32" t="s">
        <v>17</v>
      </c>
      <c r="F9" s="13">
        <f>'МАТРИЦА_СТОИМОСТИ_РАБОТ'!C11</f>
        <v>1100</v>
      </c>
      <c r="G9" s="33"/>
      <c r="H9" s="5"/>
      <c r="I9" s="30"/>
      <c r="J9" s="1"/>
      <c r="K9" s="2"/>
      <c r="L9" s="2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idden="1">
      <c r="A10" s="2"/>
      <c r="B10" s="18"/>
      <c r="C10" s="31"/>
      <c r="D10" s="31"/>
      <c r="E10" s="34" t="s">
        <v>18</v>
      </c>
      <c r="F10" s="13">
        <f>'МАТРИЦА_СТОИМОСТИ_РАБОТ'!C17</f>
        <v>0</v>
      </c>
      <c r="G10" s="33"/>
      <c r="H10" s="15"/>
      <c r="I10" s="30"/>
      <c r="J10" s="1"/>
      <c r="K10" s="2"/>
      <c r="L10" s="2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idden="1">
      <c r="A11" s="2"/>
      <c r="B11" s="35"/>
      <c r="C11" s="36"/>
      <c r="D11" s="36"/>
      <c r="E11" s="37" t="s">
        <v>19</v>
      </c>
      <c r="F11" s="38">
        <f>'МАТРИЦА_СТОИМОСТИ_РАБОТ'!C18</f>
        <v>1000</v>
      </c>
      <c r="G11" s="39"/>
      <c r="H11" s="5"/>
      <c r="J11" s="6" t="s">
        <v>20</v>
      </c>
      <c r="K11" s="6" t="str">
        <f t="array" ref="K11:K1487">{ "НАША ЦЕНА" ; IF(ROW(F12:F55), "", ); IF(F56:F1487="", "", F56:F1487) }</f>
        <v>НАША ЦЕНА</v>
      </c>
      <c r="L11" s="40" t="s">
        <v>21</v>
      </c>
      <c r="M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idden="1">
      <c r="A12" s="2"/>
      <c r="B12" s="1"/>
      <c r="C12" s="1"/>
      <c r="D12" s="1"/>
      <c r="E12" s="30"/>
      <c r="F12" s="4"/>
      <c r="G12" s="2"/>
      <c r="H12" s="5"/>
      <c r="I12" s="2"/>
      <c r="J12" s="2"/>
      <c r="K12" s="2" t="s">
        <v>22</v>
      </c>
      <c r="L12" s="2"/>
      <c r="M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idden="1">
      <c r="A13" s="2"/>
      <c r="B13" s="41" t="s">
        <v>23</v>
      </c>
      <c r="C13" s="42"/>
      <c r="D13" s="42">
        <v>0.0</v>
      </c>
      <c r="E13" s="43" t="s">
        <v>24</v>
      </c>
      <c r="F13" s="44" t="s">
        <v>25</v>
      </c>
      <c r="G13" s="45"/>
      <c r="H13" s="5"/>
      <c r="I13" s="2"/>
      <c r="J13" s="2"/>
      <c r="K13" s="2" t="s">
        <v>22</v>
      </c>
      <c r="L13" s="2"/>
      <c r="M13" s="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idden="1">
      <c r="A14" s="2"/>
      <c r="B14" s="46" t="s">
        <v>23</v>
      </c>
      <c r="C14" s="11"/>
      <c r="D14" s="11">
        <v>0.0</v>
      </c>
      <c r="E14" s="32" t="s">
        <v>26</v>
      </c>
      <c r="F14" s="13" t="s">
        <v>25</v>
      </c>
      <c r="G14" s="47"/>
      <c r="H14" s="5"/>
      <c r="I14" s="2"/>
      <c r="J14" s="2"/>
      <c r="K14" s="2" t="s">
        <v>22</v>
      </c>
      <c r="L14" s="2"/>
      <c r="M14" s="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idden="1">
      <c r="A15" s="2"/>
      <c r="B15" s="46" t="s">
        <v>23</v>
      </c>
      <c r="C15" s="11"/>
      <c r="D15" s="11">
        <v>0.0</v>
      </c>
      <c r="E15" s="32" t="s">
        <v>27</v>
      </c>
      <c r="F15" s="13" t="s">
        <v>25</v>
      </c>
      <c r="G15" s="33" t="str">
        <f>MIN(F15:F16) &amp; " - " &amp; MAX(F15:F16)</f>
        <v>0 - 0</v>
      </c>
      <c r="H15" s="5"/>
      <c r="I15" s="2"/>
      <c r="J15" s="2"/>
      <c r="K15" s="2" t="s">
        <v>22</v>
      </c>
      <c r="L15" s="2"/>
      <c r="M15" s="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idden="1">
      <c r="A16" s="2"/>
      <c r="B16" s="46" t="s">
        <v>23</v>
      </c>
      <c r="C16" s="11"/>
      <c r="D16" s="11">
        <v>0.0</v>
      </c>
      <c r="E16" s="32" t="s">
        <v>28</v>
      </c>
      <c r="F16" s="13" t="s">
        <v>25</v>
      </c>
      <c r="G16" s="28"/>
      <c r="H16" s="5"/>
      <c r="I16" s="2"/>
      <c r="J16" s="2"/>
      <c r="K16" s="2" t="s">
        <v>22</v>
      </c>
      <c r="L16" s="2"/>
      <c r="M16" s="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idden="1">
      <c r="A17" s="2"/>
      <c r="B17" s="46" t="s">
        <v>23</v>
      </c>
      <c r="C17" s="11"/>
      <c r="D17" s="11">
        <v>180.0</v>
      </c>
      <c r="E17" s="32" t="s">
        <v>29</v>
      </c>
      <c r="F17" s="13" t="s">
        <v>25</v>
      </c>
      <c r="G17" s="33" t="str">
        <f>MIN(F17:F22) &amp; " - " &amp; MAX(F17:F22)</f>
        <v>0 - 0</v>
      </c>
      <c r="H17" s="5"/>
      <c r="I17" s="2"/>
      <c r="J17" s="2"/>
      <c r="K17" s="2" t="s">
        <v>22</v>
      </c>
      <c r="L17" s="2"/>
      <c r="M17" s="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idden="1">
      <c r="A18" s="2"/>
      <c r="B18" s="46" t="s">
        <v>23</v>
      </c>
      <c r="C18" s="11"/>
      <c r="D18" s="11">
        <v>180.0</v>
      </c>
      <c r="E18" s="32" t="s">
        <v>30</v>
      </c>
      <c r="F18" s="13" t="s">
        <v>25</v>
      </c>
      <c r="G18" s="19"/>
      <c r="H18" s="5"/>
      <c r="I18" s="2"/>
      <c r="J18" s="2"/>
      <c r="K18" s="2" t="s">
        <v>22</v>
      </c>
      <c r="L18" s="2"/>
      <c r="M18" s="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idden="1">
      <c r="A19" s="2"/>
      <c r="B19" s="46" t="s">
        <v>23</v>
      </c>
      <c r="C19" s="11"/>
      <c r="D19" s="11">
        <v>180.0</v>
      </c>
      <c r="E19" s="32" t="s">
        <v>31</v>
      </c>
      <c r="F19" s="13" t="s">
        <v>25</v>
      </c>
      <c r="G19" s="19"/>
      <c r="H19" s="5"/>
      <c r="I19" s="2"/>
      <c r="J19" s="2"/>
      <c r="K19" s="2" t="s">
        <v>22</v>
      </c>
      <c r="L19" s="2"/>
      <c r="M19" s="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idden="1">
      <c r="A20" s="2"/>
      <c r="B20" s="46" t="s">
        <v>23</v>
      </c>
      <c r="C20" s="11"/>
      <c r="D20" s="11">
        <v>180.0</v>
      </c>
      <c r="E20" s="32" t="s">
        <v>32</v>
      </c>
      <c r="F20" s="13" t="s">
        <v>25</v>
      </c>
      <c r="G20" s="19"/>
      <c r="H20" s="5"/>
      <c r="I20" s="2"/>
      <c r="J20" s="2"/>
      <c r="K20" s="2" t="s">
        <v>22</v>
      </c>
      <c r="L20" s="2"/>
      <c r="M20" s="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idden="1">
      <c r="A21" s="2"/>
      <c r="B21" s="46" t="s">
        <v>23</v>
      </c>
      <c r="C21" s="11"/>
      <c r="D21" s="11">
        <v>180.0</v>
      </c>
      <c r="E21" s="32" t="s">
        <v>33</v>
      </c>
      <c r="F21" s="13" t="s">
        <v>25</v>
      </c>
      <c r="G21" s="19"/>
      <c r="H21" s="5"/>
      <c r="I21" s="2"/>
      <c r="J21" s="2"/>
      <c r="K21" s="2" t="s">
        <v>22</v>
      </c>
      <c r="L21" s="2"/>
      <c r="M21" s="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idden="1">
      <c r="A22" s="2"/>
      <c r="B22" s="46" t="s">
        <v>23</v>
      </c>
      <c r="C22" s="11"/>
      <c r="D22" s="11">
        <v>180.0</v>
      </c>
      <c r="E22" s="32" t="s">
        <v>34</v>
      </c>
      <c r="F22" s="13" t="s">
        <v>25</v>
      </c>
      <c r="G22" s="19"/>
      <c r="H22" s="5"/>
      <c r="I22" s="2"/>
      <c r="J22" s="2"/>
      <c r="K22" s="2" t="s">
        <v>22</v>
      </c>
      <c r="L22" s="2"/>
      <c r="M22" s="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idden="1">
      <c r="A23" s="2"/>
      <c r="B23" s="46" t="s">
        <v>23</v>
      </c>
      <c r="C23" s="11"/>
      <c r="D23" s="11">
        <v>180.0</v>
      </c>
      <c r="E23" s="32" t="s">
        <v>35</v>
      </c>
      <c r="F23" s="13" t="s">
        <v>25</v>
      </c>
      <c r="G23" s="28"/>
      <c r="H23" s="5"/>
      <c r="I23" s="2"/>
      <c r="J23" s="2"/>
      <c r="K23" s="2" t="s">
        <v>22</v>
      </c>
      <c r="L23" s="2"/>
      <c r="M23" s="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idden="1">
      <c r="A24" s="2"/>
      <c r="B24" s="46" t="s">
        <v>23</v>
      </c>
      <c r="C24" s="11"/>
      <c r="D24" s="11">
        <v>90.0</v>
      </c>
      <c r="E24" s="32" t="s">
        <v>36</v>
      </c>
      <c r="F24" s="13" t="s">
        <v>25</v>
      </c>
      <c r="G24" s="47"/>
      <c r="H24" s="5"/>
      <c r="I24" s="2"/>
      <c r="J24" s="2"/>
      <c r="K24" s="2" t="s">
        <v>22</v>
      </c>
      <c r="L24" s="2"/>
      <c r="M24" s="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idden="1">
      <c r="A25" s="2"/>
      <c r="B25" s="46" t="s">
        <v>23</v>
      </c>
      <c r="C25" s="11"/>
      <c r="D25" s="11">
        <v>90.0</v>
      </c>
      <c r="E25" s="32" t="s">
        <v>37</v>
      </c>
      <c r="F25" s="13" t="s">
        <v>25</v>
      </c>
      <c r="G25" s="33" t="str">
        <f>MIN(F25:F34) &amp; " - " &amp; MAX(F25:F34)</f>
        <v>0 - 0</v>
      </c>
      <c r="H25" s="5"/>
      <c r="I25" s="2"/>
      <c r="J25" s="2"/>
      <c r="K25" s="2" t="s">
        <v>22</v>
      </c>
      <c r="L25" s="2"/>
      <c r="M25" s="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idden="1">
      <c r="A26" s="2"/>
      <c r="B26" s="46" t="s">
        <v>23</v>
      </c>
      <c r="C26" s="11"/>
      <c r="D26" s="11">
        <v>90.0</v>
      </c>
      <c r="E26" s="32" t="s">
        <v>38</v>
      </c>
      <c r="F26" s="13" t="s">
        <v>25</v>
      </c>
      <c r="G26" s="19"/>
      <c r="H26" s="5"/>
      <c r="I26" s="2"/>
      <c r="J26" s="2"/>
      <c r="K26" s="2" t="s">
        <v>22</v>
      </c>
      <c r="L26" s="2"/>
      <c r="M26" s="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idden="1">
      <c r="A27" s="2"/>
      <c r="B27" s="46" t="s">
        <v>23</v>
      </c>
      <c r="C27" s="11"/>
      <c r="D27" s="11">
        <v>90.0</v>
      </c>
      <c r="E27" s="32" t="s">
        <v>39</v>
      </c>
      <c r="F27" s="13" t="s">
        <v>25</v>
      </c>
      <c r="G27" s="19"/>
      <c r="H27" s="5"/>
      <c r="I27" s="2"/>
      <c r="J27" s="2"/>
      <c r="K27" s="2" t="s">
        <v>22</v>
      </c>
      <c r="L27" s="2"/>
      <c r="M27" s="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idden="1">
      <c r="A28" s="2"/>
      <c r="B28" s="46" t="s">
        <v>23</v>
      </c>
      <c r="C28" s="11"/>
      <c r="D28" s="11">
        <v>90.0</v>
      </c>
      <c r="E28" s="32" t="s">
        <v>40</v>
      </c>
      <c r="F28" s="13" t="s">
        <v>25</v>
      </c>
      <c r="G28" s="19"/>
      <c r="H28" s="5"/>
      <c r="I28" s="2"/>
      <c r="J28" s="2"/>
      <c r="K28" s="2" t="s">
        <v>22</v>
      </c>
      <c r="L28" s="2"/>
      <c r="M28" s="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idden="1">
      <c r="A29" s="2"/>
      <c r="B29" s="46" t="s">
        <v>23</v>
      </c>
      <c r="C29" s="11"/>
      <c r="D29" s="11">
        <v>90.0</v>
      </c>
      <c r="E29" s="32" t="s">
        <v>41</v>
      </c>
      <c r="F29" s="13" t="s">
        <v>25</v>
      </c>
      <c r="G29" s="19"/>
      <c r="H29" s="5"/>
      <c r="I29" s="2"/>
      <c r="J29" s="2"/>
      <c r="K29" s="2" t="s">
        <v>22</v>
      </c>
      <c r="L29" s="2"/>
      <c r="M29" s="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idden="1">
      <c r="A30" s="2"/>
      <c r="B30" s="46" t="s">
        <v>23</v>
      </c>
      <c r="C30" s="11"/>
      <c r="D30" s="11">
        <v>90.0</v>
      </c>
      <c r="E30" s="32" t="s">
        <v>42</v>
      </c>
      <c r="F30" s="13" t="s">
        <v>25</v>
      </c>
      <c r="G30" s="19"/>
      <c r="H30" s="5"/>
      <c r="I30" s="2"/>
      <c r="J30" s="2"/>
      <c r="K30" s="2" t="s">
        <v>22</v>
      </c>
      <c r="L30" s="2"/>
      <c r="M30" s="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idden="1">
      <c r="A31" s="2"/>
      <c r="B31" s="46" t="s">
        <v>23</v>
      </c>
      <c r="C31" s="11"/>
      <c r="D31" s="11">
        <v>90.0</v>
      </c>
      <c r="E31" s="32" t="s">
        <v>43</v>
      </c>
      <c r="F31" s="13" t="s">
        <v>25</v>
      </c>
      <c r="G31" s="19"/>
      <c r="H31" s="5"/>
      <c r="I31" s="2"/>
      <c r="J31" s="2"/>
      <c r="K31" s="2" t="s">
        <v>22</v>
      </c>
      <c r="L31" s="2"/>
      <c r="M31" s="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idden="1">
      <c r="A32" s="2"/>
      <c r="B32" s="46" t="s">
        <v>23</v>
      </c>
      <c r="C32" s="11"/>
      <c r="D32" s="11">
        <v>90.0</v>
      </c>
      <c r="E32" s="32" t="s">
        <v>44</v>
      </c>
      <c r="F32" s="13" t="s">
        <v>25</v>
      </c>
      <c r="G32" s="19"/>
      <c r="H32" s="5"/>
      <c r="I32" s="2"/>
      <c r="J32" s="2"/>
      <c r="K32" s="2" t="s">
        <v>22</v>
      </c>
      <c r="L32" s="2"/>
      <c r="M32" s="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idden="1">
      <c r="A33" s="2"/>
      <c r="B33" s="46" t="s">
        <v>23</v>
      </c>
      <c r="C33" s="11"/>
      <c r="D33" s="11">
        <v>90.0</v>
      </c>
      <c r="E33" s="32" t="s">
        <v>45</v>
      </c>
      <c r="F33" s="13" t="s">
        <v>25</v>
      </c>
      <c r="G33" s="19"/>
      <c r="H33" s="5"/>
      <c r="I33" s="2"/>
      <c r="J33" s="2"/>
      <c r="K33" s="2" t="s">
        <v>22</v>
      </c>
      <c r="L33" s="2"/>
      <c r="M33" s="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idden="1">
      <c r="A34" s="2"/>
      <c r="B34" s="46" t="s">
        <v>23</v>
      </c>
      <c r="C34" s="11"/>
      <c r="D34" s="11">
        <v>90.0</v>
      </c>
      <c r="E34" s="32" t="s">
        <v>46</v>
      </c>
      <c r="F34" s="13" t="s">
        <v>25</v>
      </c>
      <c r="G34" s="28"/>
      <c r="H34" s="5"/>
      <c r="I34" s="2"/>
      <c r="J34" s="2"/>
      <c r="K34" s="2" t="s">
        <v>22</v>
      </c>
      <c r="L34" s="2"/>
      <c r="M34" s="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idden="1">
      <c r="A35" s="2"/>
      <c r="B35" s="46" t="s">
        <v>23</v>
      </c>
      <c r="C35" s="11"/>
      <c r="D35" s="11">
        <v>90.0</v>
      </c>
      <c r="E35" s="32" t="s">
        <v>47</v>
      </c>
      <c r="F35" s="13" t="s">
        <v>25</v>
      </c>
      <c r="G35" s="47"/>
      <c r="H35" s="5"/>
      <c r="I35" s="2"/>
      <c r="J35" s="2"/>
      <c r="K35" s="2" t="s">
        <v>22</v>
      </c>
      <c r="L35" s="2"/>
      <c r="M35" s="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idden="1">
      <c r="A36" s="2"/>
      <c r="B36" s="46" t="s">
        <v>23</v>
      </c>
      <c r="C36" s="11"/>
      <c r="D36" s="11">
        <v>90.0</v>
      </c>
      <c r="E36" s="32" t="s">
        <v>48</v>
      </c>
      <c r="F36" s="13" t="s">
        <v>25</v>
      </c>
      <c r="G36" s="33" t="str">
        <f>MIN(F36:F37) &amp; " - " &amp; MAX(F36:F37)</f>
        <v>0 - 0</v>
      </c>
      <c r="H36" s="5"/>
      <c r="I36" s="2"/>
      <c r="J36" s="2"/>
      <c r="K36" s="2" t="s">
        <v>22</v>
      </c>
      <c r="L36" s="2"/>
      <c r="M36" s="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idden="1">
      <c r="A37" s="2"/>
      <c r="B37" s="46" t="s">
        <v>23</v>
      </c>
      <c r="C37" s="11"/>
      <c r="D37" s="11">
        <v>90.0</v>
      </c>
      <c r="E37" s="32" t="s">
        <v>49</v>
      </c>
      <c r="F37" s="13" t="s">
        <v>25</v>
      </c>
      <c r="G37" s="28"/>
      <c r="H37" s="5"/>
      <c r="I37" s="2"/>
      <c r="J37" s="2"/>
      <c r="K37" s="2" t="s">
        <v>22</v>
      </c>
      <c r="L37" s="2"/>
      <c r="M37" s="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idden="1">
      <c r="A38" s="2"/>
      <c r="B38" s="46" t="s">
        <v>23</v>
      </c>
      <c r="C38" s="11"/>
      <c r="D38" s="11">
        <v>90.0</v>
      </c>
      <c r="E38" s="32" t="s">
        <v>50</v>
      </c>
      <c r="F38" s="13" t="s">
        <v>25</v>
      </c>
      <c r="G38" s="47"/>
      <c r="H38" s="5"/>
      <c r="I38" s="2"/>
      <c r="J38" s="2"/>
      <c r="K38" s="2" t="s">
        <v>22</v>
      </c>
      <c r="L38" s="2"/>
      <c r="M38" s="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idden="1">
      <c r="A39" s="2"/>
      <c r="B39" s="46" t="s">
        <v>23</v>
      </c>
      <c r="C39" s="11"/>
      <c r="D39" s="11">
        <v>90.0</v>
      </c>
      <c r="E39" s="32" t="s">
        <v>51</v>
      </c>
      <c r="F39" s="13" t="s">
        <v>25</v>
      </c>
      <c r="G39" s="47"/>
      <c r="H39" s="5"/>
      <c r="I39" s="2"/>
      <c r="J39" s="2"/>
      <c r="K39" s="2" t="s">
        <v>22</v>
      </c>
      <c r="L39" s="2"/>
      <c r="M39" s="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idden="1">
      <c r="A40" s="2"/>
      <c r="B40" s="46" t="s">
        <v>23</v>
      </c>
      <c r="C40" s="11"/>
      <c r="D40" s="11">
        <v>180.0</v>
      </c>
      <c r="E40" s="12" t="s">
        <v>52</v>
      </c>
      <c r="F40" s="13" t="s">
        <v>25</v>
      </c>
      <c r="G40" s="47"/>
      <c r="H40" s="5"/>
      <c r="I40" s="2"/>
      <c r="J40" s="2"/>
      <c r="K40" s="2" t="s">
        <v>22</v>
      </c>
      <c r="L40" s="2"/>
      <c r="M40" s="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idden="1">
      <c r="A41" s="2"/>
      <c r="B41" s="46" t="s">
        <v>23</v>
      </c>
      <c r="C41" s="11"/>
      <c r="D41" s="11">
        <v>90.0</v>
      </c>
      <c r="E41" s="32" t="s">
        <v>53</v>
      </c>
      <c r="F41" s="13" t="s">
        <v>25</v>
      </c>
      <c r="G41" s="47"/>
      <c r="H41" s="5"/>
      <c r="I41" s="2"/>
      <c r="J41" s="2"/>
      <c r="K41" s="2" t="s">
        <v>22</v>
      </c>
      <c r="L41" s="2"/>
      <c r="M41" s="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idden="1">
      <c r="A42" s="2"/>
      <c r="B42" s="46" t="s">
        <v>23</v>
      </c>
      <c r="C42" s="11"/>
      <c r="D42" s="11">
        <v>180.0</v>
      </c>
      <c r="E42" s="32" t="s">
        <v>54</v>
      </c>
      <c r="F42" s="13" t="s">
        <v>25</v>
      </c>
      <c r="G42" s="33" t="str">
        <f>MIN(F42:F43) &amp; " - " &amp; MAX(F42:F43)</f>
        <v>0 - 0</v>
      </c>
      <c r="H42" s="5"/>
      <c r="I42" s="2"/>
      <c r="J42" s="2"/>
      <c r="K42" s="2" t="s">
        <v>22</v>
      </c>
      <c r="L42" s="2"/>
      <c r="M42" s="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idden="1">
      <c r="A43" s="2"/>
      <c r="B43" s="46" t="s">
        <v>23</v>
      </c>
      <c r="C43" s="11"/>
      <c r="D43" s="11">
        <v>180.0</v>
      </c>
      <c r="E43" s="32" t="s">
        <v>55</v>
      </c>
      <c r="F43" s="13" t="s">
        <v>25</v>
      </c>
      <c r="G43" s="28"/>
      <c r="H43" s="5"/>
      <c r="I43" s="2"/>
      <c r="J43" s="2"/>
      <c r="K43" s="2" t="s">
        <v>22</v>
      </c>
      <c r="L43" s="2"/>
      <c r="M43" s="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idden="1">
      <c r="A44" s="2"/>
      <c r="B44" s="46" t="s">
        <v>23</v>
      </c>
      <c r="C44" s="11"/>
      <c r="D44" s="11">
        <v>180.0</v>
      </c>
      <c r="E44" s="32" t="s">
        <v>56</v>
      </c>
      <c r="F44" s="13" t="s">
        <v>25</v>
      </c>
      <c r="G44" s="29"/>
      <c r="H44" s="15"/>
      <c r="I44" s="2"/>
      <c r="J44" s="2"/>
      <c r="K44" s="2" t="s">
        <v>22</v>
      </c>
      <c r="L44" s="2"/>
      <c r="M44" s="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idden="1">
      <c r="A45" s="2"/>
      <c r="B45" s="46" t="s">
        <v>23</v>
      </c>
      <c r="C45" s="11"/>
      <c r="D45" s="11">
        <v>180.0</v>
      </c>
      <c r="E45" s="32" t="s">
        <v>57</v>
      </c>
      <c r="F45" s="13" t="s">
        <v>25</v>
      </c>
      <c r="G45" s="29"/>
      <c r="H45" s="15"/>
      <c r="I45" s="2"/>
      <c r="J45" s="2"/>
      <c r="K45" s="2" t="s">
        <v>22</v>
      </c>
      <c r="L45" s="2"/>
      <c r="M45" s="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idden="1">
      <c r="A46" s="2"/>
      <c r="B46" s="46" t="s">
        <v>23</v>
      </c>
      <c r="C46" s="11"/>
      <c r="D46" s="11">
        <v>90.0</v>
      </c>
      <c r="E46" s="32" t="s">
        <v>58</v>
      </c>
      <c r="F46" s="13" t="s">
        <v>25</v>
      </c>
      <c r="G46" s="47"/>
      <c r="H46" s="5"/>
      <c r="I46" s="2"/>
      <c r="J46" s="2"/>
      <c r="K46" s="2" t="s">
        <v>22</v>
      </c>
      <c r="L46" s="2"/>
      <c r="M46" s="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idden="1">
      <c r="A47" s="2"/>
      <c r="B47" s="46" t="s">
        <v>23</v>
      </c>
      <c r="C47" s="11"/>
      <c r="D47" s="11">
        <v>90.0</v>
      </c>
      <c r="E47" s="32" t="s">
        <v>59</v>
      </c>
      <c r="F47" s="13" t="s">
        <v>25</v>
      </c>
      <c r="G47" s="47"/>
      <c r="H47" s="5"/>
      <c r="I47" s="2"/>
      <c r="J47" s="2"/>
      <c r="K47" s="2" t="s">
        <v>22</v>
      </c>
      <c r="L47" s="2"/>
      <c r="M47" s="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idden="1">
      <c r="A48" s="2"/>
      <c r="B48" s="46" t="s">
        <v>23</v>
      </c>
      <c r="C48" s="11"/>
      <c r="D48" s="11">
        <v>90.0</v>
      </c>
      <c r="E48" s="32" t="s">
        <v>60</v>
      </c>
      <c r="F48" s="13" t="s">
        <v>25</v>
      </c>
      <c r="G48" s="47"/>
      <c r="H48" s="5"/>
      <c r="I48" s="2"/>
      <c r="J48" s="2"/>
      <c r="K48" s="2" t="s">
        <v>22</v>
      </c>
      <c r="L48" s="2"/>
      <c r="M48" s="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idden="1">
      <c r="A49" s="2"/>
      <c r="B49" s="46" t="s">
        <v>23</v>
      </c>
      <c r="C49" s="11"/>
      <c r="D49" s="11">
        <v>90.0</v>
      </c>
      <c r="E49" s="32" t="s">
        <v>61</v>
      </c>
      <c r="F49" s="13" t="s">
        <v>25</v>
      </c>
      <c r="G49" s="47"/>
      <c r="H49" s="5"/>
      <c r="I49" s="2"/>
      <c r="J49" s="2"/>
      <c r="K49" s="2" t="s">
        <v>22</v>
      </c>
      <c r="L49" s="2"/>
      <c r="M49" s="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idden="1">
      <c r="A50" s="2"/>
      <c r="B50" s="46" t="s">
        <v>23</v>
      </c>
      <c r="C50" s="11"/>
      <c r="D50" s="11">
        <v>90.0</v>
      </c>
      <c r="E50" s="32" t="s">
        <v>62</v>
      </c>
      <c r="F50" s="13" t="s">
        <v>25</v>
      </c>
      <c r="G50" s="47"/>
      <c r="H50" s="5"/>
      <c r="I50" s="2"/>
      <c r="J50" s="2"/>
      <c r="K50" s="2" t="s">
        <v>22</v>
      </c>
      <c r="L50" s="2"/>
      <c r="M50" s="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idden="1">
      <c r="A51" s="2"/>
      <c r="B51" s="46" t="s">
        <v>23</v>
      </c>
      <c r="C51" s="11"/>
      <c r="D51" s="11">
        <v>90.0</v>
      </c>
      <c r="E51" s="32" t="s">
        <v>63</v>
      </c>
      <c r="F51" s="13" t="s">
        <v>25</v>
      </c>
      <c r="G51" s="47"/>
      <c r="H51" s="5"/>
      <c r="I51" s="2"/>
      <c r="J51" s="2"/>
      <c r="K51" s="2" t="s">
        <v>22</v>
      </c>
      <c r="L51" s="2"/>
      <c r="M51" s="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idden="1">
      <c r="A52" s="2"/>
      <c r="B52" s="46" t="s">
        <v>23</v>
      </c>
      <c r="C52" s="11"/>
      <c r="D52" s="11">
        <v>90.0</v>
      </c>
      <c r="E52" s="32" t="s">
        <v>64</v>
      </c>
      <c r="F52" s="13" t="s">
        <v>25</v>
      </c>
      <c r="G52" s="47"/>
      <c r="H52" s="5"/>
      <c r="I52" s="2"/>
      <c r="J52" s="2"/>
      <c r="K52" s="2" t="s">
        <v>22</v>
      </c>
      <c r="L52" s="2"/>
      <c r="M52" s="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idden="1">
      <c r="A53" s="2"/>
      <c r="B53" s="46" t="s">
        <v>23</v>
      </c>
      <c r="C53" s="11"/>
      <c r="D53" s="11">
        <v>90.0</v>
      </c>
      <c r="E53" s="32" t="s">
        <v>65</v>
      </c>
      <c r="F53" s="13" t="s">
        <v>25</v>
      </c>
      <c r="G53" s="47"/>
      <c r="H53" s="5"/>
      <c r="I53" s="2"/>
      <c r="J53" s="2"/>
      <c r="K53" s="2" t="s">
        <v>22</v>
      </c>
      <c r="L53" s="2"/>
      <c r="M53" s="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idden="1">
      <c r="A54" s="2"/>
      <c r="B54" s="48" t="s">
        <v>23</v>
      </c>
      <c r="C54" s="36"/>
      <c r="D54" s="36">
        <v>90.0</v>
      </c>
      <c r="E54" s="49" t="s">
        <v>66</v>
      </c>
      <c r="F54" s="38" t="s">
        <v>25</v>
      </c>
      <c r="G54" s="50"/>
      <c r="H54" s="5"/>
      <c r="I54" s="2"/>
      <c r="J54" s="2"/>
      <c r="K54" s="2" t="s">
        <v>22</v>
      </c>
      <c r="L54" s="2"/>
      <c r="M54" s="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idden="1">
      <c r="A55" s="2"/>
      <c r="B55" s="1"/>
      <c r="C55" s="1"/>
      <c r="D55" s="1"/>
      <c r="E55" s="30"/>
      <c r="F55" s="4"/>
      <c r="G55" s="2"/>
      <c r="H55" s="5"/>
      <c r="I55" s="2"/>
      <c r="J55" s="2"/>
      <c r="K55" s="2" t="s">
        <v>22</v>
      </c>
      <c r="L55" s="2"/>
      <c r="M55" s="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idden="1">
      <c r="A56" s="2"/>
      <c r="B56" s="41" t="s">
        <v>67</v>
      </c>
      <c r="C56" s="42"/>
      <c r="D56" s="42">
        <v>0.0</v>
      </c>
      <c r="E56" s="51" t="s">
        <v>24</v>
      </c>
      <c r="F56" s="44">
        <f>'БД_УСЛУГИ_РО'!P56</f>
        <v>1</v>
      </c>
      <c r="G56" s="52"/>
      <c r="H56" s="15"/>
      <c r="I56" s="2"/>
      <c r="J56" s="53"/>
      <c r="K56" s="54">
        <v>1.0</v>
      </c>
      <c r="L56" s="55"/>
      <c r="M56" s="56"/>
      <c r="N56" s="5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idden="1">
      <c r="A57" s="2"/>
      <c r="B57" s="57" t="s">
        <v>67</v>
      </c>
      <c r="C57" s="11"/>
      <c r="D57" s="11">
        <v>0.0</v>
      </c>
      <c r="E57" s="32" t="s">
        <v>27</v>
      </c>
      <c r="F57" s="13">
        <f>'БД_УСЛУГИ_РО'!P57</f>
        <v>400</v>
      </c>
      <c r="G57" s="33" t="str">
        <f>MIN(F57:F58) &amp; " - " &amp; MAX(F57:F58)</f>
        <v>400 - 900</v>
      </c>
      <c r="H57" s="15"/>
      <c r="I57" s="2"/>
      <c r="J57" s="58"/>
      <c r="K57" s="59">
        <v>400.0</v>
      </c>
      <c r="L57" s="11"/>
      <c r="M57" s="60"/>
      <c r="N57" s="2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idden="1">
      <c r="A58" s="2"/>
      <c r="B58" s="57" t="s">
        <v>67</v>
      </c>
      <c r="C58" s="11"/>
      <c r="D58" s="11">
        <v>0.0</v>
      </c>
      <c r="E58" s="32" t="s">
        <v>28</v>
      </c>
      <c r="F58" s="13">
        <f>'БД_УСЛУГИ_РО'!P58</f>
        <v>900</v>
      </c>
      <c r="G58" s="28"/>
      <c r="H58" s="15"/>
      <c r="I58" s="2"/>
      <c r="J58" s="58"/>
      <c r="K58" s="59">
        <v>900.0</v>
      </c>
      <c r="L58" s="61"/>
      <c r="M58" s="60"/>
      <c r="N58" s="2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idden="1">
      <c r="A59" s="2"/>
      <c r="B59" s="57" t="s">
        <v>67</v>
      </c>
      <c r="C59" s="11"/>
      <c r="D59" s="11">
        <v>180.0</v>
      </c>
      <c r="E59" s="12" t="s">
        <v>31</v>
      </c>
      <c r="F59" s="13">
        <f>'БД_УСЛУГИ_РО'!P59+'БД_ЗАПЧАСТИ'!P5</f>
        <v>1200</v>
      </c>
      <c r="G59" s="29"/>
      <c r="H59" s="62">
        <f>'БД_УСЛУГИ_РО'!P59</f>
        <v>700</v>
      </c>
      <c r="I59" s="2"/>
      <c r="J59" s="63">
        <f t="shared" ref="J59:J60" si="1">F59</f>
        <v>1200</v>
      </c>
      <c r="K59" s="59">
        <v>1200.0</v>
      </c>
      <c r="L59" s="11" t="str">
        <f>IFERROR(VLOOKUP("iPhone 5 Замена аккумулятора (1440mAh) 3.8V Standard", 'РЕМОНТ_ЯБЛОК'!C:D, 2, 0), "Ошибка") &amp; " | " &amp; IFERROR(VLOOKUP("iPhone 5 Замена аккумулятора (1800mAh) 3.8V HC (повышенная емкость)", 'РЕМОНТ_ЯБЛОК'!C:D, 2, 0), "Ошибка")</f>
        <v>1200 | 1600</v>
      </c>
      <c r="M59" s="60"/>
      <c r="N59" s="2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idden="1">
      <c r="A60" s="2"/>
      <c r="B60" s="57" t="s">
        <v>67</v>
      </c>
      <c r="C60" s="11"/>
      <c r="D60" s="11">
        <v>90.0</v>
      </c>
      <c r="E60" s="12" t="s">
        <v>36</v>
      </c>
      <c r="F60" s="13">
        <f>'БД_УСЛУГИ_РО'!P60+'БД_ЗАПЧАСТИ'!P586</f>
        <v>750</v>
      </c>
      <c r="G60" s="29"/>
      <c r="H60" s="62">
        <f>'БД_УСЛУГИ_РО'!P60</f>
        <v>700</v>
      </c>
      <c r="I60" s="2"/>
      <c r="J60" s="63">
        <f t="shared" si="1"/>
        <v>750</v>
      </c>
      <c r="K60" s="59">
        <v>750.0</v>
      </c>
      <c r="L60" s="11">
        <f>IFERROR(VLOOKUP("iPhone 5 Разъем питания", 'РЕМОНТ_ЯБЛОК'!C:D, 2, 0), "Ошибка")</f>
        <v>1200</v>
      </c>
      <c r="M60" s="60"/>
      <c r="N60" s="2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2"/>
      <c r="B61" s="57" t="s">
        <v>67</v>
      </c>
      <c r="C61" s="11"/>
      <c r="D61" s="11">
        <v>90.0</v>
      </c>
      <c r="E61" s="12" t="s">
        <v>38</v>
      </c>
      <c r="F61" s="13">
        <f>'БД_УСЛУГИ_РО'!P61</f>
        <v>800</v>
      </c>
      <c r="G61" s="33"/>
      <c r="H61" s="62">
        <f>'БД_УСЛУГИ_РО'!P61</f>
        <v>800</v>
      </c>
      <c r="I61" s="2"/>
      <c r="J61" s="64" t="str">
        <f>IFERROR(__xludf.DUMMYFUNCTION("MIN(FILTER(F61:F62, F61:F62 &lt;&gt; H61:H62, F61:F62 &lt;&gt; """"))"),"#N/A")</f>
        <v>#N/A</v>
      </c>
      <c r="K61" s="59">
        <v>800.0</v>
      </c>
      <c r="L61" s="65">
        <f>IFERROR(VLOOKUP("iPhone 5 Замена дисплея (оригинал)", 'РЕМОНТ_ЯБЛОК'!C:D, 2, 0), "Ошибка")</f>
        <v>3000</v>
      </c>
      <c r="M61" s="60"/>
      <c r="N61" s="29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idden="1">
      <c r="A62" s="2"/>
      <c r="B62" s="57" t="s">
        <v>67</v>
      </c>
      <c r="C62" s="11"/>
      <c r="D62" s="11">
        <v>90.0</v>
      </c>
      <c r="E62" s="12" t="s">
        <v>41</v>
      </c>
      <c r="F62" s="13">
        <f>'БД_УСЛУГИ_РО'!P61</f>
        <v>800</v>
      </c>
      <c r="G62" s="19"/>
      <c r="H62" s="62">
        <f>'БД_УСЛУГИ_РО'!P61</f>
        <v>800</v>
      </c>
      <c r="I62" s="2"/>
      <c r="J62" s="66"/>
      <c r="K62" s="59">
        <v>800.0</v>
      </c>
      <c r="L62" s="67"/>
      <c r="M62" s="60"/>
      <c r="N62" s="29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2"/>
      <c r="B63" s="57" t="s">
        <v>67</v>
      </c>
      <c r="C63" s="11"/>
      <c r="D63" s="11">
        <v>90.0</v>
      </c>
      <c r="E63" s="12" t="s">
        <v>44</v>
      </c>
      <c r="F63" s="13">
        <f>'БД_УСЛУГИ_РО'!P61</f>
        <v>800</v>
      </c>
      <c r="G63" s="28"/>
      <c r="H63" s="62">
        <f>'БД_УСЛУГИ_РО'!P61</f>
        <v>800</v>
      </c>
      <c r="I63" s="2"/>
      <c r="J63" s="68">
        <f t="shared" ref="J63:J65" si="2">F63</f>
        <v>800</v>
      </c>
      <c r="K63" s="59">
        <v>800.0</v>
      </c>
      <c r="L63" s="61">
        <f>IFERROR(VLOOKUP("iPhone 5 Замена дисплея (аналог)", 'РЕМОНТ_ЯБЛОК'!C:D, 2, 0), "Ошибка")</f>
        <v>2000</v>
      </c>
      <c r="M63" s="60"/>
      <c r="N63" s="29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2"/>
      <c r="B64" s="57" t="s">
        <v>67</v>
      </c>
      <c r="C64" s="11"/>
      <c r="D64" s="11">
        <v>90.0</v>
      </c>
      <c r="E64" s="12" t="s">
        <v>50</v>
      </c>
      <c r="F64" s="13">
        <f>'БД_УСЛУГИ_РО'!P62+'БД_ЗАПЧАСТИ'!P751</f>
        <v>750</v>
      </c>
      <c r="G64" s="29"/>
      <c r="H64" s="62">
        <f>'БД_УСЛУГИ_РО'!P62</f>
        <v>700</v>
      </c>
      <c r="I64" s="2"/>
      <c r="J64" s="68">
        <f t="shared" si="2"/>
        <v>750</v>
      </c>
      <c r="K64" s="59">
        <v>750.0</v>
      </c>
      <c r="L64" s="61">
        <f>IFERROR(VLOOKUP("iPhone 5 Замена основной камеры", 'РЕМОНТ_ЯБЛОК'!C:D, 2, 0), "Ошибка")</f>
        <v>1200</v>
      </c>
      <c r="M64" s="60"/>
      <c r="N64" s="29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idden="1">
      <c r="A65" s="2"/>
      <c r="B65" s="57" t="s">
        <v>67</v>
      </c>
      <c r="C65" s="11"/>
      <c r="D65" s="11">
        <v>90.0</v>
      </c>
      <c r="E65" s="12" t="s">
        <v>51</v>
      </c>
      <c r="F65" s="13">
        <f>'БД_УСЛУГИ_РО'!P63+'БД_ЗАПЧАСТИ'!P792</f>
        <v>750</v>
      </c>
      <c r="G65" s="29"/>
      <c r="H65" s="62">
        <f>'БД_УСЛУГИ_РО'!P63</f>
        <v>700</v>
      </c>
      <c r="I65" s="2"/>
      <c r="J65" s="68">
        <f t="shared" si="2"/>
        <v>750</v>
      </c>
      <c r="K65" s="59">
        <v>750.0</v>
      </c>
      <c r="L65" s="61">
        <f>IFERROR(VLOOKUP("iPhone 5 Замена фронтальной камеры", 'РЕМОНТ_ЯБЛОК'!C:D, 2, 0), "Ошибка")</f>
        <v>1000</v>
      </c>
      <c r="M65" s="60"/>
      <c r="N65" s="29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2"/>
      <c r="B66" s="57" t="s">
        <v>67</v>
      </c>
      <c r="C66" s="11"/>
      <c r="D66" s="11">
        <v>180.0</v>
      </c>
      <c r="E66" s="12" t="s">
        <v>52</v>
      </c>
      <c r="F66" s="13">
        <f>'БД_УСЛУГИ_РО'!P64</f>
        <v>500</v>
      </c>
      <c r="G66" s="29"/>
      <c r="H66" s="62">
        <f>'БД_УСЛУГИ_РО'!P64</f>
        <v>500</v>
      </c>
      <c r="I66" s="2"/>
      <c r="J66" s="58"/>
      <c r="K66" s="59">
        <v>500.0</v>
      </c>
      <c r="L66" s="61"/>
      <c r="M66" s="60"/>
      <c r="N66" s="29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2"/>
      <c r="B67" s="57" t="s">
        <v>67</v>
      </c>
      <c r="C67" s="11"/>
      <c r="D67" s="11">
        <v>180.0</v>
      </c>
      <c r="E67" s="12" t="s">
        <v>56</v>
      </c>
      <c r="F67" s="13">
        <f>'БД_УСЛУГИ_РО'!P65</f>
        <v>800</v>
      </c>
      <c r="G67" s="29"/>
      <c r="H67" s="62">
        <f>'БД_УСЛУГИ_РО'!P65</f>
        <v>800</v>
      </c>
      <c r="I67" s="2"/>
      <c r="J67" s="68">
        <f t="shared" ref="J67:J72" si="3">F67</f>
        <v>800</v>
      </c>
      <c r="K67" s="59">
        <v>800.0</v>
      </c>
      <c r="L67" s="61">
        <f>IFERROR(VLOOKUP("iPhone 5 Замена корпуса", 'РЕМОНТ_ЯБЛОК'!C:D, 2, 0), "Ошибка")</f>
        <v>2500</v>
      </c>
      <c r="M67" s="60"/>
      <c r="N67" s="29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2"/>
      <c r="B68" s="57" t="s">
        <v>67</v>
      </c>
      <c r="C68" s="11"/>
      <c r="D68" s="11">
        <v>90.0</v>
      </c>
      <c r="E68" s="12" t="s">
        <v>58</v>
      </c>
      <c r="F68" s="13">
        <f>'БД_УСЛУГИ_РО'!P66</f>
        <v>700</v>
      </c>
      <c r="G68" s="29"/>
      <c r="H68" s="62">
        <f>'БД_УСЛУГИ_РО'!P66</f>
        <v>700</v>
      </c>
      <c r="I68" s="2"/>
      <c r="J68" s="68">
        <f t="shared" si="3"/>
        <v>700</v>
      </c>
      <c r="K68" s="59">
        <v>700.0</v>
      </c>
      <c r="L68" s="61">
        <f>IFERROR(VLOOKUP("iPhone 5 Замена кнопки Home", 'РЕМОНТ_ЯБЛОК'!C:D, 2, 0), "Ошибка")</f>
        <v>1000</v>
      </c>
      <c r="M68" s="60"/>
      <c r="N68" s="29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idden="1">
      <c r="A69" s="2"/>
      <c r="B69" s="57" t="s">
        <v>67</v>
      </c>
      <c r="C69" s="11"/>
      <c r="D69" s="11">
        <v>90.0</v>
      </c>
      <c r="E69" s="32" t="s">
        <v>59</v>
      </c>
      <c r="F69" s="13">
        <f>'БД_УСЛУГИ_РО'!P67</f>
        <v>700</v>
      </c>
      <c r="G69" s="29"/>
      <c r="H69" s="15"/>
      <c r="I69" s="2"/>
      <c r="J69" s="68">
        <f t="shared" si="3"/>
        <v>700</v>
      </c>
      <c r="K69" s="59">
        <v>700.0</v>
      </c>
      <c r="L69" s="61" t="str">
        <f>IFERROR(VLOOKUP("iPhone 5 Ремонт кнопки включения", 'РЕМОНТ_ЯБЛОК'!C:D, 2, 0), "Ошибка") &amp; " | " &amp; IFERROR(VLOOKUP("iPhone 5 Ремонт кнопок громкости", 'РЕМОНТ_ЯБЛОК'!C:D, 2, 0), "Ошибка")</f>
        <v>1200 | 1200</v>
      </c>
      <c r="M69" s="60"/>
      <c r="N69" s="29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idden="1">
      <c r="A70" s="2"/>
      <c r="B70" s="57" t="s">
        <v>67</v>
      </c>
      <c r="C70" s="11"/>
      <c r="D70" s="11">
        <v>90.0</v>
      </c>
      <c r="E70" s="12" t="s">
        <v>60</v>
      </c>
      <c r="F70" s="13">
        <f>'БД_УСЛУГИ_РО'!P68+'БД_ЗАПЧАСТИ'!P881</f>
        <v>850</v>
      </c>
      <c r="G70" s="29"/>
      <c r="H70" s="62">
        <f>'БД_УСЛУГИ_РО'!P68</f>
        <v>800</v>
      </c>
      <c r="I70" s="2"/>
      <c r="J70" s="68">
        <f t="shared" si="3"/>
        <v>850</v>
      </c>
      <c r="K70" s="59">
        <v>850.0</v>
      </c>
      <c r="L70" s="61">
        <f>IFERROR(VLOOKUP("iPhone 5 Замена динамика", 'РЕМОНТ_ЯБЛОК'!C:D, 2, 0), "Ошибка")</f>
        <v>800</v>
      </c>
      <c r="M70" s="60"/>
      <c r="N70" s="29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2"/>
      <c r="B71" s="57" t="s">
        <v>67</v>
      </c>
      <c r="C71" s="11"/>
      <c r="D71" s="11">
        <v>90.0</v>
      </c>
      <c r="E71" s="12" t="s">
        <v>61</v>
      </c>
      <c r="F71" s="13">
        <f>'БД_УСЛУГИ_РО'!P69+'БД_ЗАПЧАСТИ'!P836</f>
        <v>850</v>
      </c>
      <c r="G71" s="29"/>
      <c r="H71" s="62">
        <f>'БД_УСЛУГИ_РО'!P69</f>
        <v>800</v>
      </c>
      <c r="I71" s="2"/>
      <c r="J71" s="68">
        <f t="shared" si="3"/>
        <v>850</v>
      </c>
      <c r="K71" s="59">
        <v>850.0</v>
      </c>
      <c r="L71" s="61">
        <f>IFERROR(VLOOKUP("iPhone 5 Замена динамика", 'РЕМОНТ_ЯБЛОК'!C:D, 2, 0), "Ошибка")</f>
        <v>800</v>
      </c>
      <c r="M71" s="60"/>
      <c r="N71" s="29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idden="1">
      <c r="A72" s="2"/>
      <c r="B72" s="57" t="s">
        <v>67</v>
      </c>
      <c r="C72" s="11"/>
      <c r="D72" s="11">
        <v>90.0</v>
      </c>
      <c r="E72" s="32" t="s">
        <v>62</v>
      </c>
      <c r="F72" s="13">
        <f>'БД_УСЛУГИ_РО'!P70+'БД_ЗАПЧАСТИ'!P586</f>
        <v>1050</v>
      </c>
      <c r="G72" s="29"/>
      <c r="H72" s="62">
        <f>'БД_УСЛУГИ_РО'!P70</f>
        <v>1000</v>
      </c>
      <c r="I72" s="2"/>
      <c r="J72" s="68">
        <f t="shared" si="3"/>
        <v>1050</v>
      </c>
      <c r="K72" s="59">
        <v>1050.0</v>
      </c>
      <c r="L72" s="61">
        <f>IFERROR(VLOOKUP("iPhone 5 Замена микрофона", 'РЕМОНТ_ЯБЛОК'!C:D, 2, 0), "Ошибка")</f>
        <v>1200</v>
      </c>
      <c r="M72" s="60"/>
      <c r="N72" s="29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idden="1">
      <c r="A73" s="2"/>
      <c r="B73" s="57" t="s">
        <v>67</v>
      </c>
      <c r="C73" s="11"/>
      <c r="D73" s="11">
        <v>90.0</v>
      </c>
      <c r="E73" s="12" t="s">
        <v>63</v>
      </c>
      <c r="F73" s="13">
        <f>'БД_УСЛУГИ_РО'!P71</f>
        <v>1600</v>
      </c>
      <c r="G73" s="29"/>
      <c r="H73" s="15"/>
      <c r="I73" s="2"/>
      <c r="J73" s="58"/>
      <c r="K73" s="59">
        <v>1600.0</v>
      </c>
      <c r="L73" s="61"/>
      <c r="M73" s="60"/>
      <c r="N73" s="29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idden="1">
      <c r="A74" s="2"/>
      <c r="B74" s="57" t="s">
        <v>67</v>
      </c>
      <c r="C74" s="11"/>
      <c r="D74" s="11">
        <v>90.0</v>
      </c>
      <c r="E74" s="12" t="s">
        <v>64</v>
      </c>
      <c r="F74" s="13">
        <f>'БД_УСЛУГИ_РО'!P72</f>
        <v>2000</v>
      </c>
      <c r="G74" s="29"/>
      <c r="H74" s="15"/>
      <c r="I74" s="2"/>
      <c r="J74" s="58"/>
      <c r="K74" s="59">
        <v>2000.0</v>
      </c>
      <c r="L74" s="61"/>
      <c r="M74" s="60"/>
      <c r="N74" s="29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idden="1">
      <c r="A75" s="2"/>
      <c r="B75" s="57" t="s">
        <v>67</v>
      </c>
      <c r="C75" s="11"/>
      <c r="D75" s="11">
        <v>90.0</v>
      </c>
      <c r="E75" s="12" t="s">
        <v>65</v>
      </c>
      <c r="F75" s="13">
        <f>'БД_УСЛУГИ_РО'!P73</f>
        <v>2000</v>
      </c>
      <c r="G75" s="29"/>
      <c r="H75" s="15"/>
      <c r="I75" s="2"/>
      <c r="J75" s="58"/>
      <c r="K75" s="59">
        <v>2000.0</v>
      </c>
      <c r="L75" s="61"/>
      <c r="M75" s="60"/>
      <c r="N75" s="29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idden="1">
      <c r="A76" s="2"/>
      <c r="B76" s="69" t="s">
        <v>67</v>
      </c>
      <c r="C76" s="36"/>
      <c r="D76" s="36">
        <v>90.0</v>
      </c>
      <c r="E76" s="70" t="s">
        <v>66</v>
      </c>
      <c r="F76" s="38">
        <f>'БД_УСЛУГИ_РО'!P74</f>
        <v>900</v>
      </c>
      <c r="G76" s="39"/>
      <c r="H76" s="15"/>
      <c r="I76" s="2"/>
      <c r="J76" s="71">
        <f>F76</f>
        <v>900</v>
      </c>
      <c r="K76" s="72">
        <v>900.0</v>
      </c>
      <c r="L76" s="73">
        <f>IFERROR(VLOOKUP("iPhone 5 Ремонт WI-FI", 'РЕМОНТ_ЯБЛОК'!C:D, 2, 0), "Ошибка")</f>
        <v>3000</v>
      </c>
      <c r="M76" s="74"/>
      <c r="N76" s="39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idden="1">
      <c r="A77" s="2"/>
      <c r="B77" s="1"/>
      <c r="C77" s="1"/>
      <c r="D77" s="36"/>
      <c r="E77" s="75"/>
      <c r="F77" s="4"/>
      <c r="G77" s="76"/>
      <c r="H77" s="15"/>
      <c r="I77" s="2"/>
      <c r="K77" s="77" t="s">
        <v>22</v>
      </c>
      <c r="M77" s="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2"/>
      <c r="B78" s="41" t="s">
        <v>68</v>
      </c>
      <c r="C78" s="42"/>
      <c r="D78" s="42">
        <v>0.0</v>
      </c>
      <c r="E78" s="51" t="s">
        <v>24</v>
      </c>
      <c r="F78" s="44">
        <f>'БД_УСЛУГИ_РО'!P56</f>
        <v>1</v>
      </c>
      <c r="G78" s="78"/>
      <c r="H78" s="15"/>
      <c r="I78" s="2"/>
      <c r="J78" s="53"/>
      <c r="K78" s="54">
        <v>1.0</v>
      </c>
      <c r="L78" s="55"/>
      <c r="M78" s="56"/>
      <c r="N78" s="5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2"/>
      <c r="B79" s="57" t="s">
        <v>68</v>
      </c>
      <c r="C79" s="11"/>
      <c r="D79" s="11">
        <v>0.0</v>
      </c>
      <c r="E79" s="32" t="s">
        <v>27</v>
      </c>
      <c r="F79" s="13">
        <f>'БД_УСЛУГИ_РО'!P57</f>
        <v>400</v>
      </c>
      <c r="G79" s="33" t="str">
        <f>MIN(F79:F80) &amp; " - " &amp; MAX(F79:F80)</f>
        <v>400 - 900</v>
      </c>
      <c r="H79" s="15"/>
      <c r="I79" s="2"/>
      <c r="J79" s="58"/>
      <c r="K79" s="59">
        <v>400.0</v>
      </c>
      <c r="L79" s="61"/>
      <c r="M79" s="60"/>
      <c r="N79" s="29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idden="1">
      <c r="A80" s="2"/>
      <c r="B80" s="57" t="s">
        <v>68</v>
      </c>
      <c r="C80" s="11"/>
      <c r="D80" s="11">
        <v>0.0</v>
      </c>
      <c r="E80" s="32" t="s">
        <v>28</v>
      </c>
      <c r="F80" s="13">
        <f>'БД_УСЛУГИ_РО'!P58</f>
        <v>900</v>
      </c>
      <c r="G80" s="28"/>
      <c r="H80" s="15"/>
      <c r="I80" s="2"/>
      <c r="J80" s="58"/>
      <c r="K80" s="59">
        <v>900.0</v>
      </c>
      <c r="L80" s="61"/>
      <c r="M80" s="60"/>
      <c r="N80" s="29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idden="1">
      <c r="A81" s="2"/>
      <c r="B81" s="57" t="s">
        <v>68</v>
      </c>
      <c r="C81" s="11"/>
      <c r="D81" s="11">
        <v>180.0</v>
      </c>
      <c r="E81" s="12" t="s">
        <v>31</v>
      </c>
      <c r="F81" s="13">
        <f>'БД_УСЛУГИ_РО'!P59+'БД_ЗАПЧАСТИ'!P6</f>
        <v>1200</v>
      </c>
      <c r="G81" s="29"/>
      <c r="H81" s="62">
        <f>'БД_УСЛУГИ_РО'!P59</f>
        <v>700</v>
      </c>
      <c r="I81" s="2"/>
      <c r="J81" s="63">
        <f t="shared" ref="J81:J82" si="4">F81</f>
        <v>1200</v>
      </c>
      <c r="K81" s="59">
        <v>1200.0</v>
      </c>
      <c r="L81" s="11" t="str">
        <f>IFERROR(VLOOKUP("iPhone 5C Замена аккумулятора (1560mAh) 3.8V Standard", 'РЕМОНТ_ЯБЛОК'!C:D, 2, 0), "Ошибка") &amp; " | " &amp; IFERROR(VLOOKUP("iPhone 5C Замена аккумулятора (1800mAh) 3.8V HC (повышенная емкость)", 'РЕМОНТ_ЯБЛОК'!C:D, 2, 0), "Ошибка")</f>
        <v>1200 | 1600</v>
      </c>
      <c r="M81" s="60"/>
      <c r="N81" s="29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idden="1">
      <c r="A82" s="2"/>
      <c r="B82" s="57" t="s">
        <v>68</v>
      </c>
      <c r="C82" s="11"/>
      <c r="D82" s="11">
        <v>90.0</v>
      </c>
      <c r="E82" s="12" t="s">
        <v>36</v>
      </c>
      <c r="F82" s="13">
        <f>'БД_УСЛУГИ_РО'!P60+'БД_ЗАПЧАСТИ'!P586</f>
        <v>750</v>
      </c>
      <c r="G82" s="29"/>
      <c r="H82" s="62">
        <f>'БД_УСЛУГИ_РО'!P60</f>
        <v>700</v>
      </c>
      <c r="I82" s="2"/>
      <c r="J82" s="63">
        <f t="shared" si="4"/>
        <v>750</v>
      </c>
      <c r="K82" s="59">
        <v>750.0</v>
      </c>
      <c r="L82" s="11">
        <f>IFERROR(VLOOKUP("iPhone 5C Разъем питания", 'РЕМОНТ_ЯБЛОК'!C:D, 2, 0), "Ошибка")</f>
        <v>1200</v>
      </c>
      <c r="M82" s="60"/>
      <c r="N82" s="29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idden="1">
      <c r="A83" s="2"/>
      <c r="B83" s="57" t="s">
        <v>68</v>
      </c>
      <c r="C83" s="11"/>
      <c r="D83" s="11">
        <v>90.0</v>
      </c>
      <c r="E83" s="12" t="s">
        <v>38</v>
      </c>
      <c r="F83" s="13">
        <f>'БД_УСЛУГИ_РО'!P61</f>
        <v>800</v>
      </c>
      <c r="G83" s="33"/>
      <c r="H83" s="62">
        <f>'БД_УСЛУГИ_РО'!P61</f>
        <v>800</v>
      </c>
      <c r="I83" s="2"/>
      <c r="J83" s="79">
        <f>IFERROR(__xludf.DUMMYFUNCTION("MIN(FILTER(F83:F84, F83:F84 &lt;&gt; H83:H84, F83:F84 &lt;&gt; """"))"),850.0)</f>
        <v>850</v>
      </c>
      <c r="K83" s="59">
        <v>800.0</v>
      </c>
      <c r="L83" s="65">
        <f>IFERROR(VLOOKUP("iPhone 5C Замена дисплея (оригинал)", 'РЕМОНТ_ЯБЛОК'!C:D, 2, 0), "Ошибка")</f>
        <v>3000</v>
      </c>
      <c r="M83" s="60"/>
      <c r="N83" s="29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2"/>
      <c r="B84" s="57" t="s">
        <v>68</v>
      </c>
      <c r="C84" s="11"/>
      <c r="D84" s="11">
        <v>90.0</v>
      </c>
      <c r="E84" s="12" t="s">
        <v>41</v>
      </c>
      <c r="F84" s="13">
        <f>'БД_УСЛУГИ_РО'!P61+'БД_ЗАПЧАСТИ'!P149</f>
        <v>850</v>
      </c>
      <c r="G84" s="19"/>
      <c r="H84" s="62">
        <f>'БД_УСЛУГИ_РО'!P61</f>
        <v>800</v>
      </c>
      <c r="I84" s="2"/>
      <c r="J84" s="66"/>
      <c r="K84" s="59">
        <v>850.0</v>
      </c>
      <c r="L84" s="67"/>
      <c r="M84" s="60"/>
      <c r="N84" s="29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idden="1">
      <c r="A85" s="2"/>
      <c r="B85" s="57" t="s">
        <v>68</v>
      </c>
      <c r="C85" s="11"/>
      <c r="D85" s="11">
        <v>90.0</v>
      </c>
      <c r="E85" s="12" t="s">
        <v>44</v>
      </c>
      <c r="F85" s="13">
        <f>'БД_УСЛУГИ_РО'!P61</f>
        <v>800</v>
      </c>
      <c r="G85" s="28"/>
      <c r="H85" s="62">
        <f>'БД_УСЛУГИ_РО'!P61</f>
        <v>800</v>
      </c>
      <c r="I85" s="2"/>
      <c r="J85" s="68">
        <f t="shared" ref="J85:J87" si="5">F85</f>
        <v>800</v>
      </c>
      <c r="K85" s="59">
        <v>800.0</v>
      </c>
      <c r="L85" s="61">
        <f>IFERROR(VLOOKUP("iPhone 5C Замена дисплея (аналог)", 'РЕМОНТ_ЯБЛОК'!C:D, 2, 0), "Ошибка")</f>
        <v>2000</v>
      </c>
      <c r="M85" s="60"/>
      <c r="N85" s="29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idden="1">
      <c r="A86" s="2"/>
      <c r="B86" s="57" t="s">
        <v>68</v>
      </c>
      <c r="C86" s="11"/>
      <c r="D86" s="11">
        <v>90.0</v>
      </c>
      <c r="E86" s="12" t="s">
        <v>50</v>
      </c>
      <c r="F86" s="13">
        <f>'БД_УСЛУГИ_РО'!P62+'БД_ЗАПЧАСТИ'!P751</f>
        <v>750</v>
      </c>
      <c r="G86" s="29"/>
      <c r="H86" s="62">
        <f>'БД_УСЛУГИ_РО'!P62</f>
        <v>700</v>
      </c>
      <c r="I86" s="2"/>
      <c r="J86" s="68">
        <f t="shared" si="5"/>
        <v>750</v>
      </c>
      <c r="K86" s="59">
        <v>750.0</v>
      </c>
      <c r="L86" s="61">
        <f>IFERROR(VLOOKUP("iPhone 5C Замена основной камеры", 'РЕМОНТ_ЯБЛОК'!C:D, 2, 0), "Ошибка")</f>
        <v>1200</v>
      </c>
      <c r="M86" s="60"/>
      <c r="N86" s="29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idden="1">
      <c r="A87" s="2"/>
      <c r="B87" s="57" t="s">
        <v>68</v>
      </c>
      <c r="C87" s="11"/>
      <c r="D87" s="11">
        <v>90.0</v>
      </c>
      <c r="E87" s="12" t="s">
        <v>51</v>
      </c>
      <c r="F87" s="13">
        <f>'БД_УСЛУГИ_РО'!P63+'БД_ЗАПЧАСТИ'!P792</f>
        <v>750</v>
      </c>
      <c r="G87" s="29"/>
      <c r="H87" s="62">
        <f>'БД_УСЛУГИ_РО'!P63</f>
        <v>700</v>
      </c>
      <c r="I87" s="2"/>
      <c r="J87" s="68">
        <f t="shared" si="5"/>
        <v>750</v>
      </c>
      <c r="K87" s="59">
        <v>750.0</v>
      </c>
      <c r="L87" s="61">
        <f>IFERROR(VLOOKUP("iPhone 5C Замена фронтальной камеры", 'РЕМОНТ_ЯБЛОК'!C:D, 2, 0), "Ошибка")</f>
        <v>1000</v>
      </c>
      <c r="M87" s="60"/>
      <c r="N87" s="29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idden="1">
      <c r="A88" s="2"/>
      <c r="B88" s="57" t="s">
        <v>68</v>
      </c>
      <c r="C88" s="11"/>
      <c r="D88" s="11">
        <v>180.0</v>
      </c>
      <c r="E88" s="12" t="s">
        <v>52</v>
      </c>
      <c r="F88" s="13">
        <f>'БД_УСЛУГИ_РО'!P64</f>
        <v>500</v>
      </c>
      <c r="G88" s="29"/>
      <c r="H88" s="62">
        <f>'БД_УСЛУГИ_РО'!P64</f>
        <v>500</v>
      </c>
      <c r="I88" s="2"/>
      <c r="J88" s="58"/>
      <c r="K88" s="59">
        <v>500.0</v>
      </c>
      <c r="L88" s="61"/>
      <c r="M88" s="60"/>
      <c r="N88" s="29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idden="1">
      <c r="A89" s="2"/>
      <c r="B89" s="57" t="s">
        <v>68</v>
      </c>
      <c r="C89" s="11"/>
      <c r="D89" s="11">
        <v>180.0</v>
      </c>
      <c r="E89" s="12" t="s">
        <v>56</v>
      </c>
      <c r="F89" s="13">
        <f>'БД_УСЛУГИ_РО'!P65</f>
        <v>800</v>
      </c>
      <c r="G89" s="29"/>
      <c r="H89" s="62">
        <f>'БД_УСЛУГИ_РО'!P65</f>
        <v>800</v>
      </c>
      <c r="I89" s="2"/>
      <c r="J89" s="68">
        <f t="shared" ref="J89:J94" si="6">F89</f>
        <v>800</v>
      </c>
      <c r="K89" s="59">
        <v>800.0</v>
      </c>
      <c r="L89" s="61">
        <f>IFERROR(VLOOKUP("iPhone 5C Замена корпуса", 'РЕМОНТ_ЯБЛОК'!C:D, 2, 0), "Ошибка")</f>
        <v>2500</v>
      </c>
      <c r="M89" s="60"/>
      <c r="N89" s="29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2"/>
      <c r="B90" s="57" t="s">
        <v>68</v>
      </c>
      <c r="C90" s="11"/>
      <c r="D90" s="11">
        <v>90.0</v>
      </c>
      <c r="E90" s="12" t="s">
        <v>58</v>
      </c>
      <c r="F90" s="13">
        <f>'БД_УСЛУГИ_РО'!P66</f>
        <v>700</v>
      </c>
      <c r="G90" s="29"/>
      <c r="H90" s="62">
        <f>'БД_УСЛУГИ_РО'!P66</f>
        <v>700</v>
      </c>
      <c r="I90" s="2"/>
      <c r="J90" s="68">
        <f t="shared" si="6"/>
        <v>700</v>
      </c>
      <c r="K90" s="59">
        <v>700.0</v>
      </c>
      <c r="L90" s="61">
        <f>IFERROR(VLOOKUP("iPhone 5 Замена кнопки Home", 'РЕМОНТ_ЯБЛОК'!C:D, 2, 0), "Ошибка")</f>
        <v>1000</v>
      </c>
      <c r="M90" s="60"/>
      <c r="N90" s="29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idden="1">
      <c r="A91" s="2"/>
      <c r="B91" s="57" t="s">
        <v>68</v>
      </c>
      <c r="C91" s="11"/>
      <c r="D91" s="11">
        <v>90.0</v>
      </c>
      <c r="E91" s="32" t="s">
        <v>59</v>
      </c>
      <c r="F91" s="13">
        <f>'БД_УСЛУГИ_РО'!P67</f>
        <v>700</v>
      </c>
      <c r="G91" s="29"/>
      <c r="H91" s="15"/>
      <c r="I91" s="2"/>
      <c r="J91" s="68">
        <f t="shared" si="6"/>
        <v>700</v>
      </c>
      <c r="K91" s="59">
        <v>700.0</v>
      </c>
      <c r="L91" s="61" t="str">
        <f>IFERROR(VLOOKUP("iPhone 5C Ремонт кнопки включения", 'РЕМОНТ_ЯБЛОК'!C:D, 2, 0), "Ошибка") &amp; " | " &amp; IFERROR(VLOOKUP("iPhone 5C Ремонт кнопок громкости", 'РЕМОНТ_ЯБЛОК'!C:D, 2, 0), "Ошибка")</f>
        <v>1200 | 1200</v>
      </c>
      <c r="M91" s="60"/>
      <c r="N91" s="29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idden="1">
      <c r="A92" s="2"/>
      <c r="B92" s="57" t="s">
        <v>68</v>
      </c>
      <c r="C92" s="11"/>
      <c r="D92" s="11">
        <v>90.0</v>
      </c>
      <c r="E92" s="12" t="s">
        <v>69</v>
      </c>
      <c r="F92" s="13">
        <f>'БД_УСЛУГИ_РО'!P68</f>
        <v>800</v>
      </c>
      <c r="G92" s="29"/>
      <c r="H92" s="62">
        <f>'БД_УСЛУГИ_РО'!P68</f>
        <v>800</v>
      </c>
      <c r="I92" s="2"/>
      <c r="J92" s="68">
        <f t="shared" si="6"/>
        <v>800</v>
      </c>
      <c r="K92" s="59">
        <v>800.0</v>
      </c>
      <c r="L92" s="61">
        <f>IFERROR(VLOOKUP("iPhone 5C Замена динамика", 'РЕМОНТ_ЯБЛОК'!C:D, 2, 0), "Ошибка")</f>
        <v>800</v>
      </c>
      <c r="M92" s="60"/>
      <c r="N92" s="29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idden="1">
      <c r="A93" s="2"/>
      <c r="B93" s="57" t="s">
        <v>68</v>
      </c>
      <c r="C93" s="11"/>
      <c r="D93" s="11">
        <v>90.0</v>
      </c>
      <c r="E93" s="12" t="s">
        <v>70</v>
      </c>
      <c r="F93" s="13">
        <f>'БД_УСЛУГИ_РО'!P69+'БД_ЗАПЧАСТИ'!P836</f>
        <v>850</v>
      </c>
      <c r="G93" s="29"/>
      <c r="H93" s="62">
        <f>'БД_УСЛУГИ_РО'!P69</f>
        <v>800</v>
      </c>
      <c r="I93" s="2"/>
      <c r="J93" s="68">
        <f t="shared" si="6"/>
        <v>850</v>
      </c>
      <c r="K93" s="59">
        <v>850.0</v>
      </c>
      <c r="L93" s="61">
        <f>IFERROR(VLOOKUP("iPhone 5 Замена динамика", 'РЕМОНТ_ЯБЛОК'!C:D, 2, 0), "Ошибка")</f>
        <v>800</v>
      </c>
      <c r="M93" s="60"/>
      <c r="N93" s="29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idden="1">
      <c r="A94" s="2"/>
      <c r="B94" s="57" t="s">
        <v>68</v>
      </c>
      <c r="C94" s="11"/>
      <c r="D94" s="11">
        <v>90.0</v>
      </c>
      <c r="E94" s="32" t="s">
        <v>62</v>
      </c>
      <c r="F94" s="13">
        <f>'БД_УСЛУГИ_РО'!P70+'БД_ЗАПЧАСТИ'!P586</f>
        <v>1050</v>
      </c>
      <c r="G94" s="29"/>
      <c r="H94" s="62">
        <f>'БД_УСЛУГИ_РО'!P70</f>
        <v>1000</v>
      </c>
      <c r="I94" s="2"/>
      <c r="J94" s="68">
        <f t="shared" si="6"/>
        <v>1050</v>
      </c>
      <c r="K94" s="59">
        <v>1050.0</v>
      </c>
      <c r="L94" s="61">
        <f>IFERROR(VLOOKUP("iPhone 5C Замена микрофона", 'РЕМОНТ_ЯБЛОК'!C:D, 2, 0), "Ошибка")</f>
        <v>1200</v>
      </c>
      <c r="M94" s="60"/>
      <c r="N94" s="29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idden="1">
      <c r="A95" s="2"/>
      <c r="B95" s="57" t="s">
        <v>68</v>
      </c>
      <c r="C95" s="11"/>
      <c r="D95" s="11">
        <v>90.0</v>
      </c>
      <c r="E95" s="12" t="s">
        <v>63</v>
      </c>
      <c r="F95" s="13">
        <f>'БД_УСЛУГИ_РО'!P71</f>
        <v>1600</v>
      </c>
      <c r="G95" s="29"/>
      <c r="H95" s="15"/>
      <c r="I95" s="2"/>
      <c r="J95" s="58"/>
      <c r="K95" s="59">
        <v>1600.0</v>
      </c>
      <c r="L95" s="61"/>
      <c r="M95" s="60"/>
      <c r="N95" s="29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idden="1">
      <c r="A96" s="2"/>
      <c r="B96" s="57" t="s">
        <v>68</v>
      </c>
      <c r="C96" s="11"/>
      <c r="D96" s="11">
        <v>90.0</v>
      </c>
      <c r="E96" s="12" t="s">
        <v>64</v>
      </c>
      <c r="F96" s="13">
        <f>'БД_УСЛУГИ_РО'!P72</f>
        <v>2000</v>
      </c>
      <c r="G96" s="29"/>
      <c r="H96" s="15"/>
      <c r="I96" s="2"/>
      <c r="J96" s="58"/>
      <c r="K96" s="59">
        <v>2000.0</v>
      </c>
      <c r="L96" s="61"/>
      <c r="M96" s="60"/>
      <c r="N96" s="29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idden="1">
      <c r="A97" s="2"/>
      <c r="B97" s="57" t="s">
        <v>68</v>
      </c>
      <c r="C97" s="11"/>
      <c r="D97" s="11">
        <v>90.0</v>
      </c>
      <c r="E97" s="12" t="s">
        <v>65</v>
      </c>
      <c r="F97" s="13">
        <f>'БД_УСЛУГИ_РО'!P73</f>
        <v>2000</v>
      </c>
      <c r="G97" s="29"/>
      <c r="H97" s="15"/>
      <c r="I97" s="2"/>
      <c r="J97" s="58"/>
      <c r="K97" s="59">
        <v>2000.0</v>
      </c>
      <c r="L97" s="61"/>
      <c r="M97" s="60"/>
      <c r="N97" s="29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idden="1">
      <c r="A98" s="2"/>
      <c r="B98" s="69" t="s">
        <v>68</v>
      </c>
      <c r="C98" s="36"/>
      <c r="D98" s="36">
        <v>90.0</v>
      </c>
      <c r="E98" s="70" t="s">
        <v>66</v>
      </c>
      <c r="F98" s="38">
        <f>'БД_УСЛУГИ_РО'!P74</f>
        <v>900</v>
      </c>
      <c r="G98" s="39"/>
      <c r="H98" s="15"/>
      <c r="I98" s="2"/>
      <c r="J98" s="71">
        <f>F98</f>
        <v>900</v>
      </c>
      <c r="K98" s="72">
        <v>900.0</v>
      </c>
      <c r="L98" s="73">
        <f>IFERROR(VLOOKUP("iPhone 5C Ремонт WI-FI", 'РЕМОНТ_ЯБЛОК'!C:D, 2, 0), "Ошибка")</f>
        <v>4900</v>
      </c>
      <c r="M98" s="74"/>
      <c r="N98" s="39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idden="1">
      <c r="A99" s="2"/>
      <c r="B99" s="1"/>
      <c r="C99" s="1"/>
      <c r="D99" s="36"/>
      <c r="E99" s="75"/>
      <c r="F99" s="80"/>
      <c r="G99" s="76"/>
      <c r="H99" s="15"/>
      <c r="I99" s="2"/>
      <c r="J99" s="2"/>
      <c r="K99" s="2" t="s">
        <v>22</v>
      </c>
      <c r="L99" s="2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idden="1">
      <c r="A100" s="2"/>
      <c r="B100" s="41" t="s">
        <v>71</v>
      </c>
      <c r="C100" s="42"/>
      <c r="D100" s="42">
        <v>0.0</v>
      </c>
      <c r="E100" s="51" t="s">
        <v>24</v>
      </c>
      <c r="F100" s="44">
        <f>'БД_УСЛУГИ_РО'!P56</f>
        <v>1</v>
      </c>
      <c r="G100" s="78"/>
      <c r="H100" s="15"/>
      <c r="I100" s="2"/>
      <c r="J100" s="53"/>
      <c r="K100" s="54">
        <v>1.0</v>
      </c>
      <c r="L100" s="55"/>
      <c r="M100" s="56"/>
      <c r="N100" s="5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idden="1">
      <c r="A101" s="2"/>
      <c r="B101" s="57" t="s">
        <v>71</v>
      </c>
      <c r="C101" s="11"/>
      <c r="D101" s="11">
        <v>0.0</v>
      </c>
      <c r="E101" s="32" t="s">
        <v>27</v>
      </c>
      <c r="F101" s="13">
        <f>'БД_УСЛУГИ_РО'!P57</f>
        <v>400</v>
      </c>
      <c r="G101" s="33" t="str">
        <f>MIN(F101:F102) &amp; " - " &amp; MAX(F101:F102)</f>
        <v>400 - 900</v>
      </c>
      <c r="H101" s="15"/>
      <c r="I101" s="2"/>
      <c r="J101" s="58"/>
      <c r="K101" s="59">
        <v>400.0</v>
      </c>
      <c r="L101" s="61"/>
      <c r="M101" s="60"/>
      <c r="N101" s="29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2"/>
      <c r="B102" s="57" t="s">
        <v>71</v>
      </c>
      <c r="C102" s="11"/>
      <c r="D102" s="11">
        <v>0.0</v>
      </c>
      <c r="E102" s="32" t="s">
        <v>28</v>
      </c>
      <c r="F102" s="13">
        <f>'БД_УСЛУГИ_РО'!P58</f>
        <v>900</v>
      </c>
      <c r="G102" s="28"/>
      <c r="H102" s="15"/>
      <c r="I102" s="2"/>
      <c r="J102" s="58"/>
      <c r="K102" s="59">
        <v>900.0</v>
      </c>
      <c r="L102" s="61"/>
      <c r="M102" s="60"/>
      <c r="N102" s="29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idden="1">
      <c r="A103" s="2"/>
      <c r="B103" s="57" t="s">
        <v>71</v>
      </c>
      <c r="C103" s="11"/>
      <c r="D103" s="11">
        <v>180.0</v>
      </c>
      <c r="E103" s="12" t="s">
        <v>31</v>
      </c>
      <c r="F103" s="13">
        <f>'БД_УСЛУГИ_РО'!P59+'БД_ЗАПЧАСТИ'!P6</f>
        <v>1200</v>
      </c>
      <c r="G103" s="29"/>
      <c r="H103" s="62">
        <f>'БД_УСЛУГИ_РО'!P59</f>
        <v>700</v>
      </c>
      <c r="I103" s="2"/>
      <c r="J103" s="63">
        <f t="shared" ref="J103:J104" si="7">F103</f>
        <v>1200</v>
      </c>
      <c r="K103" s="59">
        <v>1200.0</v>
      </c>
      <c r="L103" s="11" t="str">
        <f>IFERROR(VLOOKUP("iPhone 5S Замена аккумулятора (1560mAh) 3.8V Standard", 'РЕМОНТ_ЯБЛОК'!C:D, 2, 0), "Ошибка") &amp; " | " &amp; IFERROR(VLOOKUP("iPhone 5S Замена аккумулятора (1800mAh) 3.8V HC (повышенная емкость)", 'РЕМОНТ_ЯБЛОК'!C:D, 2, 0), "Ошибка")</f>
        <v>1200 | 1600</v>
      </c>
      <c r="M103" s="60"/>
      <c r="N103" s="29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idden="1">
      <c r="A104" s="2"/>
      <c r="B104" s="57" t="s">
        <v>71</v>
      </c>
      <c r="C104" s="11"/>
      <c r="D104" s="11">
        <v>90.0</v>
      </c>
      <c r="E104" s="12" t="s">
        <v>72</v>
      </c>
      <c r="F104" s="13">
        <f>'БД_УСЛУГИ_РО'!P60+'БД_ЗАПЧАСТИ'!P586</f>
        <v>750</v>
      </c>
      <c r="G104" s="29"/>
      <c r="H104" s="62">
        <f>'БД_УСЛУГИ_РО'!P60</f>
        <v>700</v>
      </c>
      <c r="I104" s="2"/>
      <c r="J104" s="63">
        <f t="shared" si="7"/>
        <v>750</v>
      </c>
      <c r="K104" s="59">
        <v>750.0</v>
      </c>
      <c r="L104" s="11">
        <f>IFERROR(VLOOKUP("iPhone 5S Разъем питания", 'РЕМОНТ_ЯБЛОК'!C:D, 2, 0), "Ошибка")</f>
        <v>1200</v>
      </c>
      <c r="M104" s="60"/>
      <c r="N104" s="29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2"/>
      <c r="B105" s="57" t="s">
        <v>71</v>
      </c>
      <c r="C105" s="11"/>
      <c r="D105" s="11">
        <v>90.0</v>
      </c>
      <c r="E105" s="12" t="s">
        <v>38</v>
      </c>
      <c r="F105" s="13">
        <f>'БД_УСЛУГИ_РО'!P61+'БД_ЗАПЧАСТИ'!P150</f>
        <v>2000</v>
      </c>
      <c r="G105" s="33" t="str">
        <f>MIN(F105:F107) &amp; " - " &amp; MAX(F105:F107)</f>
        <v>800 - 2000</v>
      </c>
      <c r="H105" s="62">
        <f>'БД_УСЛУГИ_РО'!P61</f>
        <v>800</v>
      </c>
      <c r="I105" s="2"/>
      <c r="J105" s="79">
        <f>IFERROR(__xludf.DUMMYFUNCTION("MIN(FILTER(F105:F106, F105:F106 &lt;&gt; H105:H106, F105:F106 &lt;&gt; """"))"),1850.0)</f>
        <v>1850</v>
      </c>
      <c r="K105" s="59">
        <v>2000.0</v>
      </c>
      <c r="L105" s="65">
        <f>IFERROR(VLOOKUP("iPhone 5S Замена дисплея (оригинал)", 'РЕМОНТ_ЯБЛОК'!C:D, 2, 0), "Ошибка")</f>
        <v>2500</v>
      </c>
      <c r="M105" s="60"/>
      <c r="N105" s="29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2"/>
      <c r="B106" s="57" t="s">
        <v>71</v>
      </c>
      <c r="C106" s="11"/>
      <c r="D106" s="11">
        <v>90.0</v>
      </c>
      <c r="E106" s="12" t="s">
        <v>41</v>
      </c>
      <c r="F106" s="13">
        <f>'БД_УСЛУГИ_РО'!P61+'БД_ЗАПЧАСТИ'!P152</f>
        <v>1850</v>
      </c>
      <c r="G106" s="19"/>
      <c r="H106" s="62">
        <f>'БД_УСЛУГИ_РО'!P61</f>
        <v>800</v>
      </c>
      <c r="I106" s="2"/>
      <c r="J106" s="66"/>
      <c r="K106" s="59">
        <v>1850.0</v>
      </c>
      <c r="L106" s="67"/>
      <c r="M106" s="60"/>
      <c r="N106" s="29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2"/>
      <c r="B107" s="57" t="s">
        <v>71</v>
      </c>
      <c r="C107" s="11"/>
      <c r="D107" s="11">
        <v>90.0</v>
      </c>
      <c r="E107" s="12" t="s">
        <v>44</v>
      </c>
      <c r="F107" s="13">
        <f>'БД_УСЛУГИ_РО'!P61</f>
        <v>800</v>
      </c>
      <c r="G107" s="28"/>
      <c r="H107" s="62">
        <f>'БД_УСЛУГИ_РО'!P61</f>
        <v>800</v>
      </c>
      <c r="I107" s="2"/>
      <c r="J107" s="68">
        <f t="shared" ref="J107:J109" si="8">F107</f>
        <v>800</v>
      </c>
      <c r="K107" s="59">
        <v>800.0</v>
      </c>
      <c r="L107" s="61">
        <f>IFERROR(VLOOKUP("iPhone 5S Замена дисплея (аналог)", 'РЕМОНТ_ЯБЛОК'!C:D, 2, 0), "Ошибка")</f>
        <v>2000</v>
      </c>
      <c r="M107" s="60"/>
      <c r="N107" s="29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idden="1">
      <c r="A108" s="2"/>
      <c r="B108" s="57" t="s">
        <v>71</v>
      </c>
      <c r="C108" s="11"/>
      <c r="D108" s="11">
        <v>90.0</v>
      </c>
      <c r="E108" s="12" t="s">
        <v>73</v>
      </c>
      <c r="F108" s="13">
        <f>'БД_УСЛУГИ_РО'!P62+'БД_ЗАПЧАСТИ'!P751</f>
        <v>750</v>
      </c>
      <c r="G108" s="29"/>
      <c r="H108" s="62">
        <f>'БД_УСЛУГИ_РО'!P62</f>
        <v>700</v>
      </c>
      <c r="I108" s="2"/>
      <c r="J108" s="68">
        <f t="shared" si="8"/>
        <v>750</v>
      </c>
      <c r="K108" s="59">
        <v>750.0</v>
      </c>
      <c r="L108" s="61">
        <f>IFERROR(VLOOKUP("iPhone 5S Замена основной камеры", 'РЕМОНТ_ЯБЛОК'!C:D, 2, 0), "Ошибка")</f>
        <v>1200</v>
      </c>
      <c r="M108" s="60"/>
      <c r="N108" s="29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idden="1">
      <c r="A109" s="2"/>
      <c r="B109" s="57" t="s">
        <v>71</v>
      </c>
      <c r="C109" s="11"/>
      <c r="D109" s="11">
        <v>90.0</v>
      </c>
      <c r="E109" s="12" t="s">
        <v>74</v>
      </c>
      <c r="F109" s="13">
        <f>'БД_УСЛУГИ_РО'!P63+'БД_ЗАПЧАСТИ'!P792</f>
        <v>750</v>
      </c>
      <c r="G109" s="29"/>
      <c r="H109" s="62">
        <f>'БД_УСЛУГИ_РО'!P63</f>
        <v>700</v>
      </c>
      <c r="I109" s="2"/>
      <c r="J109" s="68">
        <f t="shared" si="8"/>
        <v>750</v>
      </c>
      <c r="K109" s="59">
        <v>750.0</v>
      </c>
      <c r="L109" s="61">
        <f>IFERROR(VLOOKUP("iPhone 5S Замена фронтальной камеры", 'РЕМОНТ_ЯБЛОК'!C:D, 2, 0), "Ошибка")</f>
        <v>1000</v>
      </c>
      <c r="M109" s="60"/>
      <c r="N109" s="29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idden="1">
      <c r="A110" s="2"/>
      <c r="B110" s="57" t="s">
        <v>71</v>
      </c>
      <c r="C110" s="11"/>
      <c r="D110" s="11">
        <v>180.0</v>
      </c>
      <c r="E110" s="12" t="s">
        <v>52</v>
      </c>
      <c r="F110" s="13">
        <f>'БД_УСЛУГИ_РО'!P64</f>
        <v>500</v>
      </c>
      <c r="G110" s="29"/>
      <c r="H110" s="62">
        <f>'БД_УСЛУГИ_РО'!P64</f>
        <v>500</v>
      </c>
      <c r="I110" s="2"/>
      <c r="J110" s="58"/>
      <c r="K110" s="59">
        <v>500.0</v>
      </c>
      <c r="L110" s="61"/>
      <c r="M110" s="60"/>
      <c r="N110" s="29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idden="1">
      <c r="A111" s="2"/>
      <c r="B111" s="57" t="s">
        <v>71</v>
      </c>
      <c r="C111" s="11"/>
      <c r="D111" s="11">
        <v>180.0</v>
      </c>
      <c r="E111" s="12" t="s">
        <v>56</v>
      </c>
      <c r="F111" s="13">
        <f>'БД_УСЛУГИ_РО'!P65</f>
        <v>800</v>
      </c>
      <c r="G111" s="29"/>
      <c r="H111" s="62">
        <f>'БД_УСЛУГИ_РО'!P65</f>
        <v>800</v>
      </c>
      <c r="I111" s="2"/>
      <c r="J111" s="68">
        <f t="shared" ref="J111:J116" si="9">F111</f>
        <v>800</v>
      </c>
      <c r="K111" s="59">
        <v>800.0</v>
      </c>
      <c r="L111" s="61">
        <f>IFERROR(VLOOKUP("iPhone 5 Замена корпуса", 'РЕМОНТ_ЯБЛОК'!C:D, 2, 0), "Ошибка")</f>
        <v>2500</v>
      </c>
      <c r="M111" s="60"/>
      <c r="N111" s="29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idden="1">
      <c r="A112" s="2"/>
      <c r="B112" s="57" t="s">
        <v>71</v>
      </c>
      <c r="C112" s="11"/>
      <c r="D112" s="11">
        <v>90.0</v>
      </c>
      <c r="E112" s="12" t="s">
        <v>58</v>
      </c>
      <c r="F112" s="13">
        <f>'БД_УСЛУГИ_РО'!P66</f>
        <v>700</v>
      </c>
      <c r="G112" s="29"/>
      <c r="H112" s="62">
        <f>'БД_УСЛУГИ_РО'!P66</f>
        <v>700</v>
      </c>
      <c r="I112" s="2"/>
      <c r="J112" s="68">
        <f t="shared" si="9"/>
        <v>700</v>
      </c>
      <c r="K112" s="59">
        <v>700.0</v>
      </c>
      <c r="L112" s="61">
        <f>IFERROR(VLOOKUP("iPhone 5 Замена кнопки Home", 'РЕМОНТ_ЯБЛОК'!C:D, 2, 0), "Ошибка")</f>
        <v>1000</v>
      </c>
      <c r="M112" s="60"/>
      <c r="N112" s="29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idden="1">
      <c r="A113" s="2"/>
      <c r="B113" s="57" t="s">
        <v>71</v>
      </c>
      <c r="C113" s="11"/>
      <c r="D113" s="11">
        <v>90.0</v>
      </c>
      <c r="E113" s="12" t="s">
        <v>59</v>
      </c>
      <c r="F113" s="13">
        <f>'БД_УСЛУГИ_РО'!P67</f>
        <v>700</v>
      </c>
      <c r="G113" s="29"/>
      <c r="H113" s="15"/>
      <c r="I113" s="2"/>
      <c r="J113" s="68">
        <f t="shared" si="9"/>
        <v>700</v>
      </c>
      <c r="K113" s="59">
        <v>700.0</v>
      </c>
      <c r="L113" s="61" t="str">
        <f>IFERROR(VLOOKUP("iPhone 5 Ремонт кнопки включения", 'РЕМОНТ_ЯБЛОК'!C:D, 2, 0), "Ошибка") &amp; " | " &amp; IFERROR(VLOOKUP("iPhone 5 Ремонт кнопок громкости", 'РЕМОНТ_ЯБЛОК'!C:D, 2, 0), "Ошибка")</f>
        <v>1200 | 1200</v>
      </c>
      <c r="M113" s="60"/>
      <c r="N113" s="29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idden="1">
      <c r="A114" s="2"/>
      <c r="B114" s="57" t="s">
        <v>71</v>
      </c>
      <c r="C114" s="11"/>
      <c r="D114" s="11">
        <v>90.0</v>
      </c>
      <c r="E114" s="12" t="s">
        <v>75</v>
      </c>
      <c r="F114" s="13">
        <f>'БД_УСЛУГИ_РО'!P68</f>
        <v>800</v>
      </c>
      <c r="G114" s="29"/>
      <c r="H114" s="62">
        <f>'БД_УСЛУГИ_РО'!P68</f>
        <v>800</v>
      </c>
      <c r="I114" s="2"/>
      <c r="J114" s="68">
        <f t="shared" si="9"/>
        <v>800</v>
      </c>
      <c r="K114" s="59">
        <v>800.0</v>
      </c>
      <c r="L114" s="61">
        <f>IFERROR(VLOOKUP("iPhone 5 Замена динамика", 'РЕМОНТ_ЯБЛОК'!C:D, 2, 0), "Ошибка")</f>
        <v>800</v>
      </c>
      <c r="M114" s="60"/>
      <c r="N114" s="29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idden="1">
      <c r="A115" s="2"/>
      <c r="B115" s="57" t="s">
        <v>71</v>
      </c>
      <c r="C115" s="11"/>
      <c r="D115" s="11">
        <v>90.0</v>
      </c>
      <c r="E115" s="12" t="s">
        <v>76</v>
      </c>
      <c r="F115" s="13">
        <f>'БД_УСЛУГИ_РО'!P69+'БД_ЗАПЧАСТИ'!P836</f>
        <v>850</v>
      </c>
      <c r="G115" s="29"/>
      <c r="H115" s="62">
        <f>'БД_УСЛУГИ_РО'!P69</f>
        <v>800</v>
      </c>
      <c r="I115" s="2"/>
      <c r="J115" s="68">
        <f t="shared" si="9"/>
        <v>850</v>
      </c>
      <c r="K115" s="59">
        <v>850.0</v>
      </c>
      <c r="L115" s="61">
        <f>IFERROR(VLOOKUP("iPhone 5 Замена динамика", 'РЕМОНТ_ЯБЛОК'!C:D, 2, 0), "Ошибка")</f>
        <v>800</v>
      </c>
      <c r="M115" s="60"/>
      <c r="N115" s="29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idden="1">
      <c r="A116" s="2"/>
      <c r="B116" s="57" t="s">
        <v>71</v>
      </c>
      <c r="C116" s="11"/>
      <c r="D116" s="11">
        <v>90.0</v>
      </c>
      <c r="E116" s="32" t="s">
        <v>62</v>
      </c>
      <c r="F116" s="13">
        <f>'БД_УСЛУГИ_РО'!P70+'БД_ЗАПЧАСТИ'!P586</f>
        <v>1050</v>
      </c>
      <c r="G116" s="29"/>
      <c r="H116" s="62">
        <f>'БД_УСЛУГИ_РО'!P70</f>
        <v>1000</v>
      </c>
      <c r="I116" s="2"/>
      <c r="J116" s="68">
        <f t="shared" si="9"/>
        <v>1050</v>
      </c>
      <c r="K116" s="59">
        <v>1050.0</v>
      </c>
      <c r="L116" s="61">
        <f>IFERROR(VLOOKUP("iPhone 5 Замена микрофона", 'РЕМОНТ_ЯБЛОК'!C:D, 2, 0), "Ошибка")</f>
        <v>1200</v>
      </c>
      <c r="M116" s="60"/>
      <c r="N116" s="29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idden="1">
      <c r="A117" s="2"/>
      <c r="B117" s="57" t="s">
        <v>71</v>
      </c>
      <c r="C117" s="11"/>
      <c r="D117" s="11">
        <v>90.0</v>
      </c>
      <c r="E117" s="12" t="s">
        <v>63</v>
      </c>
      <c r="F117" s="13">
        <f>'БД_УСЛУГИ_РО'!P71</f>
        <v>1600</v>
      </c>
      <c r="G117" s="29"/>
      <c r="H117" s="15"/>
      <c r="I117" s="2"/>
      <c r="J117" s="58"/>
      <c r="K117" s="59">
        <v>1600.0</v>
      </c>
      <c r="L117" s="61"/>
      <c r="M117" s="60"/>
      <c r="N117" s="29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idden="1">
      <c r="A118" s="2"/>
      <c r="B118" s="57" t="s">
        <v>71</v>
      </c>
      <c r="C118" s="11"/>
      <c r="D118" s="11">
        <v>90.0</v>
      </c>
      <c r="E118" s="12" t="s">
        <v>64</v>
      </c>
      <c r="F118" s="13">
        <f>'БД_УСЛУГИ_РО'!P72</f>
        <v>2000</v>
      </c>
      <c r="G118" s="29"/>
      <c r="H118" s="15"/>
      <c r="I118" s="2"/>
      <c r="J118" s="58"/>
      <c r="K118" s="59">
        <v>2000.0</v>
      </c>
      <c r="L118" s="61"/>
      <c r="M118" s="60"/>
      <c r="N118" s="29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idden="1">
      <c r="A119" s="2"/>
      <c r="B119" s="57" t="s">
        <v>71</v>
      </c>
      <c r="C119" s="11"/>
      <c r="D119" s="11">
        <v>90.0</v>
      </c>
      <c r="E119" s="12" t="s">
        <v>65</v>
      </c>
      <c r="F119" s="13">
        <f>'БД_УСЛУГИ_РО'!P73</f>
        <v>2000</v>
      </c>
      <c r="G119" s="29"/>
      <c r="H119" s="15"/>
      <c r="I119" s="2"/>
      <c r="J119" s="58"/>
      <c r="K119" s="59">
        <v>2000.0</v>
      </c>
      <c r="L119" s="61"/>
      <c r="M119" s="60"/>
      <c r="N119" s="29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idden="1">
      <c r="A120" s="2"/>
      <c r="B120" s="69" t="s">
        <v>71</v>
      </c>
      <c r="C120" s="36"/>
      <c r="D120" s="36">
        <v>90.0</v>
      </c>
      <c r="E120" s="70" t="s">
        <v>66</v>
      </c>
      <c r="F120" s="38">
        <f>'БД_УСЛУГИ_РО'!P74</f>
        <v>900</v>
      </c>
      <c r="G120" s="39"/>
      <c r="H120" s="15"/>
      <c r="I120" s="2"/>
      <c r="J120" s="71">
        <f>F120</f>
        <v>900</v>
      </c>
      <c r="K120" s="72">
        <v>900.0</v>
      </c>
      <c r="L120" s="73">
        <f>IFERROR(VLOOKUP("iPhone 5 Ремонт WI-FI", 'РЕМОНТ_ЯБЛОК'!C:D, 2, 0), "Ошибка")</f>
        <v>3000</v>
      </c>
      <c r="M120" s="74"/>
      <c r="N120" s="39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idden="1">
      <c r="A121" s="2"/>
      <c r="B121" s="1"/>
      <c r="C121" s="1"/>
      <c r="D121" s="36"/>
      <c r="E121" s="75"/>
      <c r="F121" s="80"/>
      <c r="G121" s="76"/>
      <c r="H121" s="15"/>
      <c r="I121" s="2"/>
      <c r="J121" s="2"/>
      <c r="K121" s="2" t="s">
        <v>22</v>
      </c>
      <c r="L121" s="2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idden="1">
      <c r="A122" s="2"/>
      <c r="B122" s="41" t="s">
        <v>77</v>
      </c>
      <c r="C122" s="42"/>
      <c r="D122" s="42">
        <v>0.0</v>
      </c>
      <c r="E122" s="51" t="s">
        <v>24</v>
      </c>
      <c r="F122" s="44">
        <f>'БД_УСЛУГИ_РО'!P56</f>
        <v>1</v>
      </c>
      <c r="G122" s="78"/>
      <c r="H122" s="15"/>
      <c r="I122" s="2"/>
      <c r="J122" s="53"/>
      <c r="K122" s="54">
        <v>1.0</v>
      </c>
      <c r="L122" s="55"/>
      <c r="M122" s="56"/>
      <c r="N122" s="5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idden="1">
      <c r="A123" s="2"/>
      <c r="B123" s="57" t="s">
        <v>77</v>
      </c>
      <c r="C123" s="11"/>
      <c r="D123" s="11">
        <v>0.0</v>
      </c>
      <c r="E123" s="32" t="s">
        <v>27</v>
      </c>
      <c r="F123" s="13">
        <f>'БД_УСЛУГИ_РО'!P57</f>
        <v>400</v>
      </c>
      <c r="G123" s="33" t="str">
        <f>MIN(F123:F124) &amp; " - " &amp; MAX(F123:F124)</f>
        <v>400 - 900</v>
      </c>
      <c r="H123" s="15"/>
      <c r="I123" s="2"/>
      <c r="J123" s="58"/>
      <c r="K123" s="59">
        <v>400.0</v>
      </c>
      <c r="L123" s="61"/>
      <c r="M123" s="60"/>
      <c r="N123" s="29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idden="1">
      <c r="A124" s="2"/>
      <c r="B124" s="57" t="s">
        <v>77</v>
      </c>
      <c r="C124" s="11"/>
      <c r="D124" s="11">
        <v>0.0</v>
      </c>
      <c r="E124" s="32" t="s">
        <v>28</v>
      </c>
      <c r="F124" s="13">
        <f>'БД_УСЛУГИ_РО'!P58</f>
        <v>900</v>
      </c>
      <c r="G124" s="28"/>
      <c r="H124" s="15"/>
      <c r="I124" s="2"/>
      <c r="J124" s="58"/>
      <c r="K124" s="59">
        <v>900.0</v>
      </c>
      <c r="L124" s="61"/>
      <c r="M124" s="60"/>
      <c r="N124" s="29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idden="1">
      <c r="A125" s="2"/>
      <c r="B125" s="57" t="s">
        <v>77</v>
      </c>
      <c r="C125" s="11"/>
      <c r="D125" s="11">
        <v>180.0</v>
      </c>
      <c r="E125" s="12" t="s">
        <v>31</v>
      </c>
      <c r="F125" s="13">
        <f>'БД_УСЛУГИ_РО'!P59+'БД_ЗАПЧАСТИ'!P7</f>
        <v>1400</v>
      </c>
      <c r="G125" s="29"/>
      <c r="H125" s="62">
        <f>'БД_УСЛУГИ_РО'!P59</f>
        <v>700</v>
      </c>
      <c r="I125" s="2"/>
      <c r="J125" s="63">
        <f t="shared" ref="J125:J126" si="10">F125</f>
        <v>1400</v>
      </c>
      <c r="K125" s="59">
        <v>1400.0</v>
      </c>
      <c r="L125" s="11" t="str">
        <f>IFERROR(VLOOKUP("iPhone SE Замена аккумулятора (1624mAh) 3.82V Standard", 'РЕМОНТ_ЯБЛОК'!C:D, 2, 0), "Ошибка") &amp; " | " &amp; IFERROR(VLOOKUP("iPhone SE Замена аккумулятора (2010mAh) 3.82V HC (повышенная емкость)", 'РЕМОНТ_ЯБЛОК'!C:D, 2, 0), "Ошибка")</f>
        <v>1400 | 1800</v>
      </c>
      <c r="M125" s="60"/>
      <c r="N125" s="29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idden="1">
      <c r="A126" s="2"/>
      <c r="B126" s="57" t="s">
        <v>77</v>
      </c>
      <c r="C126" s="11"/>
      <c r="D126" s="11">
        <v>90.0</v>
      </c>
      <c r="E126" s="12" t="s">
        <v>78</v>
      </c>
      <c r="F126" s="13">
        <f>'БД_УСЛУГИ_РО'!P60+'БД_ЗАПЧАСТИ'!P591</f>
        <v>1500</v>
      </c>
      <c r="G126" s="29"/>
      <c r="H126" s="62">
        <f>'БД_УСЛУГИ_РО'!P60</f>
        <v>700</v>
      </c>
      <c r="I126" s="2"/>
      <c r="J126" s="63">
        <f t="shared" si="10"/>
        <v>1500</v>
      </c>
      <c r="K126" s="59">
        <v>1500.0</v>
      </c>
      <c r="L126" s="11">
        <f>IFERROR(VLOOKUP("iPhone SE Разъем питания", 'РЕМОНТ_ЯБЛОК'!C:D, 2, 0), "Ошибка")</f>
        <v>1400</v>
      </c>
      <c r="M126" s="60"/>
      <c r="N126" s="29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idden="1">
      <c r="A127" s="2"/>
      <c r="B127" s="57" t="s">
        <v>77</v>
      </c>
      <c r="C127" s="11"/>
      <c r="D127" s="11">
        <v>90.0</v>
      </c>
      <c r="E127" s="12" t="s">
        <v>38</v>
      </c>
      <c r="F127" s="13">
        <f>'БД_УСЛУГИ_РО'!P61+'БД_ЗАПЧАСТИ'!P150</f>
        <v>2000</v>
      </c>
      <c r="G127" s="33"/>
      <c r="H127" s="62">
        <f>'БД_УСЛУГИ_РО'!P61</f>
        <v>800</v>
      </c>
      <c r="I127" s="2"/>
      <c r="J127" s="79">
        <f>IFERROR(__xludf.DUMMYFUNCTION("MIN(FILTER(F127:F128, F127:F128 &lt;&gt; H127:H128, F127:F128 &lt;&gt; """"))"),1850.0)</f>
        <v>1850</v>
      </c>
      <c r="K127" s="59">
        <v>2000.0</v>
      </c>
      <c r="L127" s="65">
        <f>IFERROR(VLOOKUP("iPhone SE Замена дисплея (оригинал)", 'РЕМОНТ_ЯБЛОК'!C:D, 2, 0), "Ошибка")</f>
        <v>2500</v>
      </c>
      <c r="M127" s="60"/>
      <c r="N127" s="29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idden="1">
      <c r="A128" s="2"/>
      <c r="B128" s="57" t="s">
        <v>77</v>
      </c>
      <c r="C128" s="11"/>
      <c r="D128" s="11">
        <v>90.0</v>
      </c>
      <c r="E128" s="12" t="s">
        <v>41</v>
      </c>
      <c r="F128" s="13">
        <f>'БД_УСЛУГИ_РО'!P61+'БД_ЗАПЧАСТИ'!P152</f>
        <v>1850</v>
      </c>
      <c r="G128" s="19"/>
      <c r="H128" s="62">
        <f>'БД_УСЛУГИ_РО'!P61</f>
        <v>800</v>
      </c>
      <c r="I128" s="2"/>
      <c r="J128" s="66"/>
      <c r="K128" s="59">
        <v>1850.0</v>
      </c>
      <c r="L128" s="67"/>
      <c r="M128" s="60"/>
      <c r="N128" s="29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idden="1">
      <c r="A129" s="2"/>
      <c r="B129" s="57" t="s">
        <v>77</v>
      </c>
      <c r="C129" s="11"/>
      <c r="D129" s="11">
        <v>90.0</v>
      </c>
      <c r="E129" s="12" t="s">
        <v>44</v>
      </c>
      <c r="F129" s="13">
        <f>'БД_УСЛУГИ_РО'!P61</f>
        <v>800</v>
      </c>
      <c r="G129" s="28"/>
      <c r="H129" s="62">
        <f>'БД_УСЛУГИ_РО'!P61</f>
        <v>800</v>
      </c>
      <c r="I129" s="2"/>
      <c r="J129" s="68">
        <f t="shared" ref="J129:J131" si="11">F129</f>
        <v>800</v>
      </c>
      <c r="K129" s="59">
        <v>800.0</v>
      </c>
      <c r="L129" s="61">
        <f>IFERROR(VLOOKUP("iPhone SE Замена дисплея (аналог)", 'РЕМОНТ_ЯБЛОК'!C:D, 2, 0), "Ошибка")</f>
        <v>2000</v>
      </c>
      <c r="M129" s="60"/>
      <c r="N129" s="29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idden="1">
      <c r="A130" s="2"/>
      <c r="B130" s="57" t="s">
        <v>77</v>
      </c>
      <c r="C130" s="11"/>
      <c r="D130" s="11">
        <v>90.0</v>
      </c>
      <c r="E130" s="12" t="s">
        <v>79</v>
      </c>
      <c r="F130" s="13">
        <f>'БД_УСЛУГИ_РО'!P62+'БД_ЗАПЧАСТИ'!P751</f>
        <v>750</v>
      </c>
      <c r="G130" s="29"/>
      <c r="H130" s="62">
        <f>'БД_УСЛУГИ_РО'!P62</f>
        <v>700</v>
      </c>
      <c r="I130" s="2"/>
      <c r="J130" s="68">
        <f t="shared" si="11"/>
        <v>750</v>
      </c>
      <c r="K130" s="59">
        <v>750.0</v>
      </c>
      <c r="L130" s="61">
        <f>IFERROR(VLOOKUP("iPhone SE Замена основной камеры", 'РЕМОНТ_ЯБЛОК'!C:D, 2, 0), "Ошибка")</f>
        <v>1800</v>
      </c>
      <c r="M130" s="60"/>
      <c r="N130" s="29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idden="1">
      <c r="A131" s="2"/>
      <c r="B131" s="57" t="s">
        <v>77</v>
      </c>
      <c r="C131" s="11"/>
      <c r="D131" s="11">
        <v>90.0</v>
      </c>
      <c r="E131" s="12" t="s">
        <v>80</v>
      </c>
      <c r="F131" s="13">
        <f>'БД_УСЛУГИ_РО'!P63+'БД_ЗАПЧАСТИ'!P792</f>
        <v>750</v>
      </c>
      <c r="G131" s="29"/>
      <c r="H131" s="62">
        <f>'БД_УСЛУГИ_РО'!P63</f>
        <v>700</v>
      </c>
      <c r="I131" s="2"/>
      <c r="J131" s="68">
        <f t="shared" si="11"/>
        <v>750</v>
      </c>
      <c r="K131" s="59">
        <v>750.0</v>
      </c>
      <c r="L131" s="61">
        <f>IFERROR(VLOOKUP("iPhone SE Замена фронтальной камеры", 'РЕМОНТ_ЯБЛОК'!C:D, 2, 0), "Ошибка")</f>
        <v>1200</v>
      </c>
      <c r="M131" s="60"/>
      <c r="N131" s="29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idden="1">
      <c r="A132" s="2"/>
      <c r="B132" s="57" t="s">
        <v>77</v>
      </c>
      <c r="C132" s="11"/>
      <c r="D132" s="11">
        <v>180.0</v>
      </c>
      <c r="E132" s="12" t="s">
        <v>52</v>
      </c>
      <c r="F132" s="13">
        <f>'БД_УСЛУГИ_РО'!P64</f>
        <v>500</v>
      </c>
      <c r="G132" s="29"/>
      <c r="H132" s="62">
        <f>'БД_УСЛУГИ_РО'!P64</f>
        <v>500</v>
      </c>
      <c r="I132" s="2"/>
      <c r="J132" s="58"/>
      <c r="K132" s="59">
        <v>500.0</v>
      </c>
      <c r="L132" s="61"/>
      <c r="M132" s="60"/>
      <c r="N132" s="29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idden="1">
      <c r="A133" s="2"/>
      <c r="B133" s="57" t="s">
        <v>77</v>
      </c>
      <c r="C133" s="11"/>
      <c r="D133" s="11">
        <v>180.0</v>
      </c>
      <c r="E133" s="12" t="s">
        <v>56</v>
      </c>
      <c r="F133" s="13">
        <f>'БД_УСЛУГИ_РО'!P65</f>
        <v>800</v>
      </c>
      <c r="G133" s="29"/>
      <c r="H133" s="62">
        <f>'БД_УСЛУГИ_РО'!P65</f>
        <v>800</v>
      </c>
      <c r="I133" s="2"/>
      <c r="J133" s="68">
        <f t="shared" ref="J133:J138" si="12">F133</f>
        <v>800</v>
      </c>
      <c r="K133" s="59">
        <v>800.0</v>
      </c>
      <c r="L133" s="61">
        <f>IFERROR(VLOOKUP("iPhone SE Замена корпуса", 'РЕМОНТ_ЯБЛОК'!C:D, 2, 0), "Ошибка")</f>
        <v>3000</v>
      </c>
      <c r="M133" s="60"/>
      <c r="N133" s="29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idden="1">
      <c r="A134" s="2"/>
      <c r="B134" s="57" t="s">
        <v>77</v>
      </c>
      <c r="C134" s="11"/>
      <c r="D134" s="11">
        <v>90.0</v>
      </c>
      <c r="E134" s="12" t="s">
        <v>58</v>
      </c>
      <c r="F134" s="13">
        <f>'БД_УСЛУГИ_РО'!P66</f>
        <v>700</v>
      </c>
      <c r="G134" s="29"/>
      <c r="H134" s="62">
        <f>'БД_УСЛУГИ_РО'!P66</f>
        <v>700</v>
      </c>
      <c r="I134" s="2"/>
      <c r="J134" s="68">
        <f t="shared" si="12"/>
        <v>700</v>
      </c>
      <c r="K134" s="59">
        <v>700.0</v>
      </c>
      <c r="L134" s="61">
        <f>IFERROR(VLOOKUP("iPhone SE Замена кнопки Home", 'РЕМОНТ_ЯБЛОК'!C:D, 2, 0), "Ошибка")</f>
        <v>1200</v>
      </c>
      <c r="M134" s="60"/>
      <c r="N134" s="29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idden="1">
      <c r="A135" s="2"/>
      <c r="B135" s="57" t="s">
        <v>77</v>
      </c>
      <c r="C135" s="11"/>
      <c r="D135" s="11">
        <v>90.0</v>
      </c>
      <c r="E135" s="12" t="s">
        <v>59</v>
      </c>
      <c r="F135" s="13">
        <f>'БД_УСЛУГИ_РО'!P67</f>
        <v>700</v>
      </c>
      <c r="G135" s="29"/>
      <c r="H135" s="15"/>
      <c r="I135" s="2"/>
      <c r="J135" s="68">
        <f t="shared" si="12"/>
        <v>700</v>
      </c>
      <c r="K135" s="59">
        <v>700.0</v>
      </c>
      <c r="L135" s="61" t="str">
        <f>IFERROR(VLOOKUP("iPhone SE Замена кнопки включения", 'РЕМОНТ_ЯБЛОК'!C:D, 2, 0), "Ошибка") &amp; " | " &amp; IFERROR(VLOOKUP("iPhone SE Замена кнопок громкости", 'РЕМОНТ_ЯБЛОК'!C:D, 2, 0), "Ошибка")</f>
        <v>1200 | 1000</v>
      </c>
      <c r="M135" s="60"/>
      <c r="N135" s="29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idden="1">
      <c r="A136" s="2"/>
      <c r="B136" s="57" t="s">
        <v>77</v>
      </c>
      <c r="C136" s="11"/>
      <c r="D136" s="11">
        <v>90.0</v>
      </c>
      <c r="E136" s="12" t="s">
        <v>81</v>
      </c>
      <c r="F136" s="13">
        <f>'БД_УСЛУГИ_РО'!P68</f>
        <v>800</v>
      </c>
      <c r="G136" s="29"/>
      <c r="H136" s="62">
        <f>'БД_УСЛУГИ_РО'!P68</f>
        <v>800</v>
      </c>
      <c r="I136" s="2"/>
      <c r="J136" s="68">
        <f t="shared" si="12"/>
        <v>800</v>
      </c>
      <c r="K136" s="59">
        <v>800.0</v>
      </c>
      <c r="L136" s="61">
        <f>IFERROR(VLOOKUP("iPhone SE Замена динамика", 'РЕМОНТ_ЯБЛОК'!C:D, 2, 0), "Ошибка")</f>
        <v>1000</v>
      </c>
      <c r="M136" s="60"/>
      <c r="N136" s="29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idden="1">
      <c r="A137" s="2"/>
      <c r="B137" s="57" t="s">
        <v>77</v>
      </c>
      <c r="C137" s="11"/>
      <c r="D137" s="11">
        <v>90.0</v>
      </c>
      <c r="E137" s="12" t="s">
        <v>82</v>
      </c>
      <c r="F137" s="13">
        <f>'БД_УСЛУГИ_РО'!P69+'БД_ЗАПЧАСТИ'!P836</f>
        <v>850</v>
      </c>
      <c r="G137" s="29"/>
      <c r="H137" s="62">
        <f>'БД_УСЛУГИ_РО'!P69</f>
        <v>800</v>
      </c>
      <c r="I137" s="2"/>
      <c r="J137" s="68">
        <f t="shared" si="12"/>
        <v>850</v>
      </c>
      <c r="K137" s="59">
        <v>850.0</v>
      </c>
      <c r="L137" s="61">
        <f>IFERROR(VLOOKUP("iPhone SE Замена динамика", 'РЕМОНТ_ЯБЛОК'!C:D, 2, 0), "Ошибка")</f>
        <v>1000</v>
      </c>
      <c r="M137" s="60"/>
      <c r="N137" s="29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idden="1">
      <c r="A138" s="2"/>
      <c r="B138" s="57" t="s">
        <v>77</v>
      </c>
      <c r="C138" s="11"/>
      <c r="D138" s="11">
        <v>90.0</v>
      </c>
      <c r="E138" s="32" t="s">
        <v>62</v>
      </c>
      <c r="F138" s="13">
        <f>'БД_УСЛУГИ_РО'!P70+'БД_ЗАПЧАСТИ'!P591</f>
        <v>1800</v>
      </c>
      <c r="G138" s="29"/>
      <c r="H138" s="62">
        <f>'БД_УСЛУГИ_РО'!P70</f>
        <v>1000</v>
      </c>
      <c r="I138" s="2"/>
      <c r="J138" s="68">
        <f t="shared" si="12"/>
        <v>1800</v>
      </c>
      <c r="K138" s="59">
        <v>1800.0</v>
      </c>
      <c r="L138" s="61">
        <f>IFERROR(VLOOKUP("iPhone SE Замена микрофона", 'РЕМОНТ_ЯБЛОК'!C:D, 2, 0), "Ошибка")</f>
        <v>1200</v>
      </c>
      <c r="M138" s="60"/>
      <c r="N138" s="29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idden="1">
      <c r="A139" s="2"/>
      <c r="B139" s="57" t="s">
        <v>77</v>
      </c>
      <c r="C139" s="11"/>
      <c r="D139" s="11">
        <v>90.0</v>
      </c>
      <c r="E139" s="12" t="s">
        <v>63</v>
      </c>
      <c r="F139" s="13">
        <f>'БД_УСЛУГИ_РО'!P71</f>
        <v>1600</v>
      </c>
      <c r="G139" s="29"/>
      <c r="H139" s="15"/>
      <c r="I139" s="2"/>
      <c r="J139" s="58"/>
      <c r="K139" s="59">
        <v>1600.0</v>
      </c>
      <c r="L139" s="61"/>
      <c r="M139" s="60"/>
      <c r="N139" s="29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idden="1">
      <c r="A140" s="2"/>
      <c r="B140" s="57" t="s">
        <v>77</v>
      </c>
      <c r="C140" s="11"/>
      <c r="D140" s="11">
        <v>90.0</v>
      </c>
      <c r="E140" s="12" t="s">
        <v>64</v>
      </c>
      <c r="F140" s="13">
        <f>'БД_УСЛУГИ_РО'!P72</f>
        <v>2000</v>
      </c>
      <c r="G140" s="29"/>
      <c r="H140" s="15"/>
      <c r="I140" s="2"/>
      <c r="J140" s="58"/>
      <c r="K140" s="59">
        <v>2000.0</v>
      </c>
      <c r="L140" s="61"/>
      <c r="M140" s="60"/>
      <c r="N140" s="29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idden="1">
      <c r="A141" s="2"/>
      <c r="B141" s="57" t="s">
        <v>77</v>
      </c>
      <c r="C141" s="11"/>
      <c r="D141" s="11">
        <v>90.0</v>
      </c>
      <c r="E141" s="12" t="s">
        <v>65</v>
      </c>
      <c r="F141" s="13">
        <f>'БД_УСЛУГИ_РО'!P73</f>
        <v>2000</v>
      </c>
      <c r="G141" s="29"/>
      <c r="H141" s="15"/>
      <c r="I141" s="2"/>
      <c r="J141" s="58"/>
      <c r="K141" s="59">
        <v>2000.0</v>
      </c>
      <c r="L141" s="61"/>
      <c r="M141" s="60"/>
      <c r="N141" s="29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idden="1">
      <c r="A142" s="2"/>
      <c r="B142" s="69" t="s">
        <v>77</v>
      </c>
      <c r="C142" s="36"/>
      <c r="D142" s="36">
        <v>90.0</v>
      </c>
      <c r="E142" s="70" t="s">
        <v>66</v>
      </c>
      <c r="F142" s="38">
        <f>'БД_УСЛУГИ_РО'!P74</f>
        <v>900</v>
      </c>
      <c r="G142" s="39"/>
      <c r="H142" s="15"/>
      <c r="I142" s="2"/>
      <c r="J142" s="71">
        <f>F142</f>
        <v>900</v>
      </c>
      <c r="K142" s="72">
        <v>900.0</v>
      </c>
      <c r="L142" s="73">
        <f>IFERROR(VLOOKUP("iPhone SE Ремонт WI-FI", 'РЕМОНТ_ЯБЛОК'!C:D, 2, 0), "Ошибка")</f>
        <v>3000</v>
      </c>
      <c r="M142" s="74"/>
      <c r="N142" s="39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idden="1">
      <c r="A143" s="2"/>
      <c r="B143" s="1"/>
      <c r="C143" s="1"/>
      <c r="D143" s="36"/>
      <c r="E143" s="75"/>
      <c r="F143" s="80"/>
      <c r="G143" s="76"/>
      <c r="H143" s="15"/>
      <c r="I143" s="2"/>
      <c r="J143" s="2"/>
      <c r="K143" s="2" t="s">
        <v>22</v>
      </c>
      <c r="L143" s="2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idden="1">
      <c r="A144" s="2"/>
      <c r="B144" s="41" t="s">
        <v>83</v>
      </c>
      <c r="C144" s="42"/>
      <c r="D144" s="42">
        <v>0.0</v>
      </c>
      <c r="E144" s="51" t="s">
        <v>24</v>
      </c>
      <c r="F144" s="44">
        <f>'БД_УСЛУГИ_РО'!P75</f>
        <v>1</v>
      </c>
      <c r="G144" s="78"/>
      <c r="H144" s="15"/>
      <c r="I144" s="2"/>
      <c r="J144" s="81"/>
      <c r="K144" s="82">
        <v>1.0</v>
      </c>
      <c r="L144" s="55"/>
      <c r="M144" s="56"/>
      <c r="N144" s="5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idden="1">
      <c r="A145" s="2"/>
      <c r="B145" s="57" t="s">
        <v>83</v>
      </c>
      <c r="C145" s="11"/>
      <c r="D145" s="11">
        <v>0.0</v>
      </c>
      <c r="E145" s="32" t="s">
        <v>27</v>
      </c>
      <c r="F145" s="13">
        <f>'БД_УСЛУГИ_РО'!P76</f>
        <v>400</v>
      </c>
      <c r="G145" s="33" t="str">
        <f>MIN(F145:F146) &amp; " - " &amp; MAX(F145:F146)</f>
        <v>400 - 1000</v>
      </c>
      <c r="H145" s="15"/>
      <c r="I145" s="2"/>
      <c r="J145" s="83"/>
      <c r="K145" s="84">
        <v>400.0</v>
      </c>
      <c r="L145" s="61"/>
      <c r="M145" s="60"/>
      <c r="N145" s="29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idden="1">
      <c r="A146" s="2"/>
      <c r="B146" s="57" t="s">
        <v>83</v>
      </c>
      <c r="C146" s="11"/>
      <c r="D146" s="11">
        <v>0.0</v>
      </c>
      <c r="E146" s="32" t="s">
        <v>28</v>
      </c>
      <c r="F146" s="13">
        <f>'БД_УСЛУГИ_РО'!P77</f>
        <v>1000</v>
      </c>
      <c r="G146" s="28"/>
      <c r="H146" s="15"/>
      <c r="I146" s="2"/>
      <c r="J146" s="83"/>
      <c r="K146" s="84">
        <v>1000.0</v>
      </c>
      <c r="L146" s="61"/>
      <c r="M146" s="60"/>
      <c r="N146" s="29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idden="1">
      <c r="A147" s="2"/>
      <c r="B147" s="57" t="s">
        <v>83</v>
      </c>
      <c r="C147" s="11"/>
      <c r="D147" s="11">
        <v>180.0</v>
      </c>
      <c r="E147" s="12" t="s">
        <v>31</v>
      </c>
      <c r="F147" s="13">
        <f>'БД_УСЛУГИ_РО'!P78+'БД_ЗАПЧАСТИ'!P8</f>
        <v>1400</v>
      </c>
      <c r="G147" s="29"/>
      <c r="H147" s="62">
        <f>'БД_УСЛУГИ_РО'!P78</f>
        <v>800</v>
      </c>
      <c r="I147" s="2"/>
      <c r="J147" s="85">
        <f t="shared" ref="J147:J148" si="13">F147</f>
        <v>1400</v>
      </c>
      <c r="K147" s="84">
        <v>1400.0</v>
      </c>
      <c r="L147" s="61" t="str">
        <f>IFERROR(VLOOKUP("iPhone 6 Замена аккумулятора (1810mAh) 3.82V Standard", 'РЕМОНТ_ЯБЛОК'!C:D, 2, 0), "Ошибка") &amp; " | " &amp; IFERROR(VLOOKUP("iPhone 6 Замена аккумулятора (2300mAh) 3.82V HC (повышенная емкость)", 'РЕМОНТ_ЯБЛОК'!C:D, 2, 0), "Ошибка")</f>
        <v>1400 | 1800</v>
      </c>
      <c r="M147" s="60"/>
      <c r="N147" s="29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idden="1">
      <c r="A148" s="2"/>
      <c r="B148" s="57" t="s">
        <v>83</v>
      </c>
      <c r="C148" s="11"/>
      <c r="D148" s="11">
        <v>90.0</v>
      </c>
      <c r="E148" s="12" t="s">
        <v>84</v>
      </c>
      <c r="F148" s="13">
        <f>'БД_УСЛУГИ_РО'!P79+'БД_ЗАПЧАСТИ'!P593</f>
        <v>1400</v>
      </c>
      <c r="G148" s="29"/>
      <c r="H148" s="62">
        <f>'БД_УСЛУГИ_РО'!P79</f>
        <v>900</v>
      </c>
      <c r="I148" s="2"/>
      <c r="J148" s="85">
        <f t="shared" si="13"/>
        <v>1400</v>
      </c>
      <c r="K148" s="84">
        <v>1400.0</v>
      </c>
      <c r="L148" s="11">
        <f>IFERROR(VLOOKUP("iPhone 6 Разъем питания", 'РЕМОНТ_ЯБЛОК'!C:D, 2, 0), "Ошибка")</f>
        <v>1400</v>
      </c>
      <c r="M148" s="60"/>
      <c r="N148" s="29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idden="1">
      <c r="A149" s="2"/>
      <c r="B149" s="57" t="s">
        <v>83</v>
      </c>
      <c r="C149" s="11"/>
      <c r="D149" s="11">
        <v>90.0</v>
      </c>
      <c r="E149" s="12" t="s">
        <v>38</v>
      </c>
      <c r="F149" s="13">
        <f>'БД_УСЛУГИ_РО'!P80+'БД_ЗАПЧАСТИ'!P154</f>
        <v>2800</v>
      </c>
      <c r="G149" s="33" t="str">
        <f>IFERROR(__xludf.DUMMYFUNCTION("MIN(FILTER(F149:F151, F149:F151 &lt;&gt; H149:H151)) &amp; "" - "" &amp; MAX(FILTER(F149:F151, F149:F151 &lt;&gt; H149:H151))"),"2500 - 2800")</f>
        <v>2500 - 2800</v>
      </c>
      <c r="H149" s="62">
        <f>'БД_УСЛУГИ_РО'!P80</f>
        <v>900</v>
      </c>
      <c r="I149" s="2"/>
      <c r="J149" s="86">
        <f>IFERROR(__xludf.DUMMYFUNCTION("MIN(FILTER(F149:F150, F149:F150 &lt;&gt; H149:H150, F149:F150 &lt;&gt; """"))"),2500.0)</f>
        <v>2500</v>
      </c>
      <c r="K149" s="84">
        <v>2800.0</v>
      </c>
      <c r="L149" s="65">
        <f>IFERROR(VLOOKUP("iPhone 6 Замена дисплея (оригинал)", 'РЕМОНТ_ЯБЛОК'!C:D, 2, 0), "Ошибка")</f>
        <v>2500</v>
      </c>
      <c r="M149" s="60"/>
      <c r="N149" s="29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idden="1">
      <c r="A150" s="2"/>
      <c r="B150" s="57" t="s">
        <v>83</v>
      </c>
      <c r="C150" s="11"/>
      <c r="D150" s="11">
        <v>90.0</v>
      </c>
      <c r="E150" s="12" t="s">
        <v>41</v>
      </c>
      <c r="F150" s="13">
        <f>'БД_УСЛУГИ_РО'!P80+'БД_ЗАПЧАСТИ'!P156</f>
        <v>2500</v>
      </c>
      <c r="G150" s="19"/>
      <c r="H150" s="62">
        <f>'БД_УСЛУГИ_РО'!P80</f>
        <v>900</v>
      </c>
      <c r="I150" s="2"/>
      <c r="J150" s="87"/>
      <c r="K150" s="84">
        <v>2500.0</v>
      </c>
      <c r="L150" s="67"/>
      <c r="M150" s="60"/>
      <c r="N150" s="29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idden="1">
      <c r="A151" s="2"/>
      <c r="B151" s="57" t="s">
        <v>83</v>
      </c>
      <c r="C151" s="11"/>
      <c r="D151" s="11">
        <v>90.0</v>
      </c>
      <c r="E151" s="12" t="s">
        <v>44</v>
      </c>
      <c r="F151" s="13">
        <f>'БД_УСЛУГИ_РО'!P80</f>
        <v>900</v>
      </c>
      <c r="G151" s="28"/>
      <c r="H151" s="62">
        <f>'БД_УСЛУГИ_РО'!P80</f>
        <v>900</v>
      </c>
      <c r="I151" s="2"/>
      <c r="J151" s="83" t="str">
        <f>IF(F151=H151, "", F151)</f>
        <v/>
      </c>
      <c r="K151" s="84">
        <v>900.0</v>
      </c>
      <c r="L151" s="61">
        <f>IFERROR(VLOOKUP("iPhone 6 Замена дисплея (аналог)", 'РЕМОНТ_ЯБЛОК'!C:D, 2, 0), "Ошибка")</f>
        <v>1800</v>
      </c>
      <c r="M151" s="60"/>
      <c r="N151" s="29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idden="1">
      <c r="A152" s="2"/>
      <c r="B152" s="57" t="s">
        <v>83</v>
      </c>
      <c r="C152" s="11"/>
      <c r="D152" s="11">
        <v>90.0</v>
      </c>
      <c r="E152" s="12" t="s">
        <v>85</v>
      </c>
      <c r="F152" s="13">
        <f>'БД_УСЛУГИ_РО'!P81</f>
        <v>2000</v>
      </c>
      <c r="G152" s="29"/>
      <c r="H152" s="15"/>
      <c r="I152" s="2"/>
      <c r="J152" s="85">
        <f t="shared" ref="J152:J161" si="14">F152</f>
        <v>2000</v>
      </c>
      <c r="K152" s="84">
        <v>2000.0</v>
      </c>
      <c r="L152" s="61">
        <f>IFERROR(VLOOKUP("iPhone 6 Переклейка (восстановление) вашего дисплея", 'РЕМОНТ_ЯБЛОК'!C:D, 2, 0), "Ошибка")</f>
        <v>2000</v>
      </c>
      <c r="M152" s="60"/>
      <c r="N152" s="29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idden="1">
      <c r="A153" s="2"/>
      <c r="B153" s="57" t="s">
        <v>83</v>
      </c>
      <c r="C153" s="11"/>
      <c r="D153" s="11">
        <v>90.0</v>
      </c>
      <c r="E153" s="12" t="s">
        <v>86</v>
      </c>
      <c r="F153" s="13">
        <f>'БД_УСЛУГИ_РО'!P82+'БД_ЗАПЧАСТИ'!P755</f>
        <v>1400</v>
      </c>
      <c r="G153" s="29"/>
      <c r="H153" s="62">
        <f>'БД_УСЛУГИ_РО'!P82</f>
        <v>800</v>
      </c>
      <c r="I153" s="2"/>
      <c r="J153" s="85">
        <f t="shared" si="14"/>
        <v>1400</v>
      </c>
      <c r="K153" s="84">
        <v>1400.0</v>
      </c>
      <c r="L153" s="61">
        <f>IFERROR(VLOOKUP("iPhone 6 Замена основной камеры", 'РЕМОНТ_ЯБЛОК'!C:D, 2, 0), "Ошибка")</f>
        <v>1400</v>
      </c>
      <c r="M153" s="60"/>
      <c r="N153" s="29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idden="1">
      <c r="A154" s="2"/>
      <c r="B154" s="57" t="s">
        <v>83</v>
      </c>
      <c r="C154" s="11"/>
      <c r="D154" s="11">
        <v>90.0</v>
      </c>
      <c r="E154" s="12" t="s">
        <v>87</v>
      </c>
      <c r="F154" s="13">
        <f>'БД_УСЛУГИ_РО'!P83+'БД_ЗАПЧАСТИ'!P796</f>
        <v>1200</v>
      </c>
      <c r="G154" s="29"/>
      <c r="H154" s="62">
        <f>'БД_УСЛУГИ_РО'!P83</f>
        <v>900</v>
      </c>
      <c r="I154" s="2"/>
      <c r="J154" s="85">
        <f t="shared" si="14"/>
        <v>1200</v>
      </c>
      <c r="K154" s="84">
        <v>1200.0</v>
      </c>
      <c r="L154" s="61">
        <f>IFERROR(VLOOKUP("iPhone 6 Замена фронтальной камеры", 'РЕМОНТ_ЯБЛОК'!C:D, 2, 0), "Ошибка")</f>
        <v>1200</v>
      </c>
      <c r="M154" s="60"/>
      <c r="N154" s="29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idden="1">
      <c r="A155" s="2"/>
      <c r="B155" s="57" t="s">
        <v>83</v>
      </c>
      <c r="C155" s="11"/>
      <c r="D155" s="11">
        <v>180.0</v>
      </c>
      <c r="E155" s="12" t="s">
        <v>52</v>
      </c>
      <c r="F155" s="13">
        <f>'БД_УСЛУГИ_РО'!P84+'БД_ЗАПЧАСТИ'!P542</f>
        <v>1000</v>
      </c>
      <c r="G155" s="29"/>
      <c r="H155" s="62">
        <f>'БД_УСЛУГИ_РО'!P84</f>
        <v>800</v>
      </c>
      <c r="I155" s="2"/>
      <c r="J155" s="85">
        <f t="shared" si="14"/>
        <v>1000</v>
      </c>
      <c r="K155" s="84">
        <v>1000.0</v>
      </c>
      <c r="L155" s="61">
        <f>IFERROR(VLOOKUP("iPhone 6 Замена стекла камеры", 'РЕМОНТ_ЯБЛОК'!C:D, 2, 0), "Ошибка")</f>
        <v>1000</v>
      </c>
      <c r="M155" s="60"/>
      <c r="N155" s="29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idden="1">
      <c r="A156" s="2"/>
      <c r="B156" s="57" t="s">
        <v>83</v>
      </c>
      <c r="C156" s="11"/>
      <c r="D156" s="11">
        <v>180.0</v>
      </c>
      <c r="E156" s="12" t="s">
        <v>56</v>
      </c>
      <c r="F156" s="13">
        <f>'БД_УСЛУГИ_РО'!P85</f>
        <v>800</v>
      </c>
      <c r="G156" s="29"/>
      <c r="H156" s="62">
        <f>'БД_УСЛУГИ_РО'!P85</f>
        <v>800</v>
      </c>
      <c r="I156" s="2"/>
      <c r="J156" s="85">
        <f t="shared" si="14"/>
        <v>800</v>
      </c>
      <c r="K156" s="84">
        <v>800.0</v>
      </c>
      <c r="L156" s="61">
        <f>IFERROR(VLOOKUP("iPhone 6 Замена корпуса", 'РЕМОНТ_ЯБЛОК'!C:D, 2, 0), "Ошибка")</f>
        <v>3000</v>
      </c>
      <c r="M156" s="60"/>
      <c r="N156" s="29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idden="1">
      <c r="A157" s="2"/>
      <c r="B157" s="57" t="s">
        <v>83</v>
      </c>
      <c r="C157" s="11"/>
      <c r="D157" s="11">
        <v>90.0</v>
      </c>
      <c r="E157" s="12" t="s">
        <v>58</v>
      </c>
      <c r="F157" s="13">
        <f>'БД_УСЛУГИ_РО'!P86</f>
        <v>900</v>
      </c>
      <c r="G157" s="29"/>
      <c r="H157" s="62">
        <f>'БД_УСЛУГИ_РО'!P86</f>
        <v>900</v>
      </c>
      <c r="I157" s="2"/>
      <c r="J157" s="85">
        <f t="shared" si="14"/>
        <v>900</v>
      </c>
      <c r="K157" s="84">
        <v>900.0</v>
      </c>
      <c r="L157" s="61">
        <f>IFERROR(VLOOKUP("iPhone 6 Замена кнопки Home", 'РЕМОНТ_ЯБЛОК'!C:D, 2, 0), "Ошибка")</f>
        <v>1200</v>
      </c>
      <c r="M157" s="60"/>
      <c r="N157" s="29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idden="1">
      <c r="A158" s="2"/>
      <c r="B158" s="57" t="s">
        <v>83</v>
      </c>
      <c r="C158" s="11"/>
      <c r="D158" s="11">
        <v>90.0</v>
      </c>
      <c r="E158" s="12" t="s">
        <v>59</v>
      </c>
      <c r="F158" s="13">
        <f>'БД_УСЛУГИ_РО'!P87</f>
        <v>900</v>
      </c>
      <c r="G158" s="29"/>
      <c r="H158" s="15"/>
      <c r="I158" s="2"/>
      <c r="J158" s="85">
        <f t="shared" si="14"/>
        <v>900</v>
      </c>
      <c r="K158" s="84">
        <v>900.0</v>
      </c>
      <c r="L158" s="61" t="str">
        <f>IFERROR(VLOOKUP("iPhone 6 Замена кнопки включения", 'РЕМОНТ_ЯБЛОК'!C:D, 2, 0), "Ошибка") &amp; " | " &amp; IFERROR(VLOOKUP("iPhone 6 Замена кнопок громкости", 'РЕМОНТ_ЯБЛОК'!C:D, 2, 0), "Ошибка")</f>
        <v>1600 | 1600</v>
      </c>
      <c r="M158" s="60"/>
      <c r="N158" s="29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idden="1">
      <c r="A159" s="2"/>
      <c r="B159" s="57" t="s">
        <v>83</v>
      </c>
      <c r="C159" s="11"/>
      <c r="D159" s="11">
        <v>90.0</v>
      </c>
      <c r="E159" s="12" t="s">
        <v>88</v>
      </c>
      <c r="F159" s="13">
        <f>'БД_УСЛУГИ_РО'!P88+'БД_ЗАПЧАСТИ'!P882</f>
        <v>1050</v>
      </c>
      <c r="G159" s="29"/>
      <c r="H159" s="62">
        <f>'БД_УСЛУГИ_РО'!P88</f>
        <v>1000</v>
      </c>
      <c r="I159" s="2"/>
      <c r="J159" s="85">
        <f t="shared" si="14"/>
        <v>1050</v>
      </c>
      <c r="K159" s="84">
        <v>1050.0</v>
      </c>
      <c r="L159" s="61">
        <f>IFERROR(VLOOKUP("iPhone 6 Замена динамика", 'РЕМОНТ_ЯБЛОК'!C:D, 2, 0), "Ошибка")</f>
        <v>1000</v>
      </c>
      <c r="M159" s="60"/>
      <c r="N159" s="29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idden="1">
      <c r="A160" s="2"/>
      <c r="B160" s="57" t="s">
        <v>83</v>
      </c>
      <c r="C160" s="11"/>
      <c r="D160" s="11">
        <v>90.0</v>
      </c>
      <c r="E160" s="12" t="s">
        <v>89</v>
      </c>
      <c r="F160" s="13">
        <f>'БД_УСЛУГИ_РО'!P89+'БД_ЗАПЧАСТИ'!P840</f>
        <v>1050</v>
      </c>
      <c r="G160" s="29"/>
      <c r="H160" s="62">
        <f>'БД_УСЛУГИ_РО'!P89</f>
        <v>1000</v>
      </c>
      <c r="I160" s="2"/>
      <c r="J160" s="85">
        <f t="shared" si="14"/>
        <v>1050</v>
      </c>
      <c r="K160" s="84">
        <v>1050.0</v>
      </c>
      <c r="L160" s="61">
        <f>IFERROR(VLOOKUP("iPhone 6 Замена динамика", 'РЕМОНТ_ЯБЛОК'!C:D, 2, 0), "Ошибка")</f>
        <v>1000</v>
      </c>
      <c r="M160" s="60"/>
      <c r="N160" s="29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idden="1">
      <c r="A161" s="2"/>
      <c r="B161" s="57" t="s">
        <v>83</v>
      </c>
      <c r="C161" s="11"/>
      <c r="D161" s="11">
        <v>90.0</v>
      </c>
      <c r="E161" s="32" t="s">
        <v>62</v>
      </c>
      <c r="F161" s="13">
        <f>'БД_УСЛУГИ_РО'!P90+'БД_ЗАПЧАСТИ'!P593</f>
        <v>1700</v>
      </c>
      <c r="G161" s="29"/>
      <c r="H161" s="62">
        <f>'БД_УСЛУГИ_РО'!P90</f>
        <v>1200</v>
      </c>
      <c r="I161" s="2"/>
      <c r="J161" s="85">
        <f t="shared" si="14"/>
        <v>1700</v>
      </c>
      <c r="K161" s="84">
        <v>1700.0</v>
      </c>
      <c r="L161" s="61">
        <f>IFERROR(VLOOKUP("iPhone 6 Замена микрофона", 'РЕМОНТ_ЯБЛОК'!C:D, 2, 0), "Ошибка")</f>
        <v>1600</v>
      </c>
      <c r="M161" s="60"/>
      <c r="N161" s="29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idden="1">
      <c r="A162" s="2"/>
      <c r="B162" s="57" t="s">
        <v>83</v>
      </c>
      <c r="C162" s="11"/>
      <c r="D162" s="11">
        <v>90.0</v>
      </c>
      <c r="E162" s="12" t="s">
        <v>63</v>
      </c>
      <c r="F162" s="13">
        <f>'БД_УСЛУГИ_РО'!P91</f>
        <v>1800</v>
      </c>
      <c r="G162" s="29"/>
      <c r="H162" s="15"/>
      <c r="I162" s="2"/>
      <c r="J162" s="83"/>
      <c r="K162" s="84">
        <v>1800.0</v>
      </c>
      <c r="L162" s="61"/>
      <c r="M162" s="60"/>
      <c r="N162" s="29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idden="1">
      <c r="A163" s="2"/>
      <c r="B163" s="57" t="s">
        <v>83</v>
      </c>
      <c r="C163" s="11"/>
      <c r="D163" s="11">
        <v>90.0</v>
      </c>
      <c r="E163" s="12" t="s">
        <v>64</v>
      </c>
      <c r="F163" s="13">
        <f>'БД_УСЛУГИ_РО'!P92</f>
        <v>2000</v>
      </c>
      <c r="G163" s="29"/>
      <c r="H163" s="15"/>
      <c r="I163" s="2"/>
      <c r="J163" s="83"/>
      <c r="K163" s="84">
        <v>2000.0</v>
      </c>
      <c r="L163" s="61"/>
      <c r="M163" s="60"/>
      <c r="N163" s="29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idden="1">
      <c r="A164" s="2"/>
      <c r="B164" s="57" t="s">
        <v>83</v>
      </c>
      <c r="C164" s="11"/>
      <c r="D164" s="11">
        <v>90.0</v>
      </c>
      <c r="E164" s="12" t="s">
        <v>65</v>
      </c>
      <c r="F164" s="13">
        <f>'БД_УСЛУГИ_РО'!P93</f>
        <v>2000</v>
      </c>
      <c r="G164" s="29"/>
      <c r="H164" s="15"/>
      <c r="I164" s="2"/>
      <c r="J164" s="83"/>
      <c r="K164" s="84">
        <v>2000.0</v>
      </c>
      <c r="L164" s="61"/>
      <c r="M164" s="60"/>
      <c r="N164" s="29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idden="1">
      <c r="A165" s="2"/>
      <c r="B165" s="69" t="s">
        <v>83</v>
      </c>
      <c r="C165" s="36"/>
      <c r="D165" s="36">
        <v>90.0</v>
      </c>
      <c r="E165" s="70" t="s">
        <v>66</v>
      </c>
      <c r="F165" s="38">
        <f>'БД_УСЛУГИ_РО'!P94</f>
        <v>1000</v>
      </c>
      <c r="G165" s="39"/>
      <c r="H165" s="15"/>
      <c r="I165" s="2"/>
      <c r="J165" s="88">
        <f>F165</f>
        <v>1000</v>
      </c>
      <c r="K165" s="89">
        <v>1000.0</v>
      </c>
      <c r="L165" s="73">
        <f>IFERROR(VLOOKUP("iPhone 6 Ремонт WI-FI", 'РЕМОНТ_ЯБЛОК'!C:D, 2, 0), "Ошибка")</f>
        <v>3500</v>
      </c>
      <c r="M165" s="74"/>
      <c r="N165" s="39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idden="1">
      <c r="A166" s="2"/>
      <c r="B166" s="1"/>
      <c r="C166" s="1"/>
      <c r="D166" s="36"/>
      <c r="E166" s="75"/>
      <c r="F166" s="80"/>
      <c r="G166" s="76"/>
      <c r="H166" s="15"/>
      <c r="I166" s="2"/>
      <c r="J166" s="90"/>
      <c r="K166" s="2" t="s">
        <v>22</v>
      </c>
      <c r="L166" s="2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idden="1">
      <c r="A167" s="2"/>
      <c r="B167" s="41" t="s">
        <v>90</v>
      </c>
      <c r="C167" s="42"/>
      <c r="D167" s="42">
        <v>0.0</v>
      </c>
      <c r="E167" s="51" t="s">
        <v>24</v>
      </c>
      <c r="F167" s="44">
        <f>'БД_УСЛУГИ_РО'!P95</f>
        <v>1</v>
      </c>
      <c r="G167" s="78"/>
      <c r="H167" s="15"/>
      <c r="I167" s="2"/>
      <c r="J167" s="81"/>
      <c r="K167" s="82">
        <v>1.0</v>
      </c>
      <c r="L167" s="55"/>
      <c r="M167" s="56"/>
      <c r="N167" s="5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idden="1">
      <c r="A168" s="2"/>
      <c r="B168" s="57" t="s">
        <v>90</v>
      </c>
      <c r="C168" s="11"/>
      <c r="D168" s="11">
        <v>0.0</v>
      </c>
      <c r="E168" s="32" t="s">
        <v>27</v>
      </c>
      <c r="F168" s="13">
        <f>'БД_УСЛУГИ_РО'!P96</f>
        <v>400</v>
      </c>
      <c r="G168" s="33" t="str">
        <f>MIN(F168:F169) &amp; " - " &amp; MAX(F168:F169)</f>
        <v>400 - 1000</v>
      </c>
      <c r="H168" s="15"/>
      <c r="I168" s="2"/>
      <c r="J168" s="83"/>
      <c r="K168" s="84">
        <v>400.0</v>
      </c>
      <c r="L168" s="61"/>
      <c r="M168" s="60"/>
      <c r="N168" s="29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idden="1">
      <c r="A169" s="2"/>
      <c r="B169" s="57" t="s">
        <v>90</v>
      </c>
      <c r="C169" s="11"/>
      <c r="D169" s="11">
        <v>0.0</v>
      </c>
      <c r="E169" s="32" t="s">
        <v>28</v>
      </c>
      <c r="F169" s="13">
        <f>'БД_УСЛУГИ_РО'!P97</f>
        <v>1000</v>
      </c>
      <c r="G169" s="28"/>
      <c r="H169" s="15"/>
      <c r="I169" s="2"/>
      <c r="J169" s="83"/>
      <c r="K169" s="84">
        <v>1000.0</v>
      </c>
      <c r="L169" s="61"/>
      <c r="M169" s="60"/>
      <c r="N169" s="29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idden="1">
      <c r="A170" s="2"/>
      <c r="B170" s="57" t="s">
        <v>90</v>
      </c>
      <c r="C170" s="11"/>
      <c r="D170" s="11">
        <v>180.0</v>
      </c>
      <c r="E170" s="12" t="s">
        <v>31</v>
      </c>
      <c r="F170" s="13">
        <f>'БД_УСЛУГИ_РО'!P98+'БД_ЗАПЧАСТИ'!P9</f>
        <v>1600</v>
      </c>
      <c r="G170" s="29"/>
      <c r="H170" s="62">
        <f>'БД_УСЛУГИ_РО'!P98</f>
        <v>800</v>
      </c>
      <c r="I170" s="2"/>
      <c r="J170" s="85">
        <f t="shared" ref="J170:J171" si="15">F170</f>
        <v>1600</v>
      </c>
      <c r="K170" s="84">
        <v>1600.0</v>
      </c>
      <c r="L170" s="61" t="str">
        <f>IFERROR(VLOOKUP("iPhone 6 Plus Замена аккумулятора (2915mAh) 3.82V Standard", 'РЕМОНТ_ЯБЛОК'!C:D, 2, 0), "Ошибка") &amp; " | " &amp; IFERROR(VLOOKUP("iPhone 6 Plus Замена аккумулятора (3410mAh) 3.82V HC (повышенная емкость)", 'РЕМОНТ_ЯБЛОК'!C:D, 2, 0), "Ошибка")</f>
        <v>1600 | 2000</v>
      </c>
      <c r="M170" s="60"/>
      <c r="N170" s="29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idden="1">
      <c r="A171" s="2"/>
      <c r="B171" s="57" t="s">
        <v>90</v>
      </c>
      <c r="C171" s="11"/>
      <c r="D171" s="11">
        <v>90.0</v>
      </c>
      <c r="E171" s="12" t="s">
        <v>91</v>
      </c>
      <c r="F171" s="13">
        <f>'БД_УСЛУГИ_РО'!P99+'БД_ЗАПЧАСТИ'!P595</f>
        <v>1600</v>
      </c>
      <c r="G171" s="29"/>
      <c r="H171" s="62">
        <f>'БД_УСЛУГИ_РО'!P99</f>
        <v>900</v>
      </c>
      <c r="I171" s="2"/>
      <c r="J171" s="85">
        <f t="shared" si="15"/>
        <v>1600</v>
      </c>
      <c r="K171" s="84">
        <v>1600.0</v>
      </c>
      <c r="L171" s="11">
        <f>IFERROR(VLOOKUP("iPhone 6 Plus Разъем питания", 'РЕМОНТ_ЯБЛОК'!C:D, 2, 0), "Ошибка")</f>
        <v>1600</v>
      </c>
      <c r="M171" s="60"/>
      <c r="N171" s="29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idden="1">
      <c r="A172" s="2"/>
      <c r="B172" s="57" t="s">
        <v>90</v>
      </c>
      <c r="C172" s="11"/>
      <c r="D172" s="11">
        <v>90.0</v>
      </c>
      <c r="E172" s="12" t="s">
        <v>38</v>
      </c>
      <c r="F172" s="13">
        <f>'БД_УСЛУГИ_РО'!P100+'БД_ЗАПЧАСТИ'!P158</f>
        <v>2850</v>
      </c>
      <c r="G172" s="33" t="str">
        <f>IFERROR(__xludf.DUMMYFUNCTION("MIN(FILTER(F172:F174, F172:F174 &lt;&gt; H172:H174)) &amp; "" - "" &amp; MAX(FILTER(F172:F174, F172:F174 &lt;&gt; H172:H174))"),"2500 - 2850")</f>
        <v>2500 - 2850</v>
      </c>
      <c r="H172" s="62">
        <f>'БД_УСЛУГИ_РО'!P100</f>
        <v>900</v>
      </c>
      <c r="I172" s="2"/>
      <c r="J172" s="86">
        <f>IFERROR(__xludf.DUMMYFUNCTION("MIN(FILTER(F172:F173, F172:F173 &lt;&gt; H172:H173, F172:F173 &lt;&gt; """"))"),2500.0)</f>
        <v>2500</v>
      </c>
      <c r="K172" s="84">
        <v>2850.0</v>
      </c>
      <c r="L172" s="65">
        <f>IFERROR(VLOOKUP("iPhone 6 Plus Замена дисплея (оригинал)", 'РЕМОНТ_ЯБЛОК'!C:D, 2, 0), "Ошибка")</f>
        <v>2500</v>
      </c>
      <c r="M172" s="60"/>
      <c r="N172" s="29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idden="1">
      <c r="A173" s="2"/>
      <c r="B173" s="57" t="s">
        <v>90</v>
      </c>
      <c r="C173" s="11"/>
      <c r="D173" s="11">
        <v>90.0</v>
      </c>
      <c r="E173" s="12" t="s">
        <v>41</v>
      </c>
      <c r="F173" s="13">
        <f>'БД_УСЛУГИ_РО'!P100+'БД_ЗАПЧАСТИ'!P160</f>
        <v>2500</v>
      </c>
      <c r="G173" s="19"/>
      <c r="H173" s="62">
        <f>'БД_УСЛУГИ_РО'!P100</f>
        <v>900</v>
      </c>
      <c r="I173" s="2"/>
      <c r="J173" s="87"/>
      <c r="K173" s="84">
        <v>2500.0</v>
      </c>
      <c r="L173" s="67"/>
      <c r="M173" s="60"/>
      <c r="N173" s="29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idden="1">
      <c r="A174" s="2"/>
      <c r="B174" s="57" t="s">
        <v>90</v>
      </c>
      <c r="C174" s="11"/>
      <c r="D174" s="11">
        <v>90.0</v>
      </c>
      <c r="E174" s="12" t="s">
        <v>44</v>
      </c>
      <c r="F174" s="13">
        <f>'БД_УСЛУГИ_РО'!P100</f>
        <v>900</v>
      </c>
      <c r="G174" s="28"/>
      <c r="H174" s="62">
        <f>'БД_УСЛУГИ_РО'!P100</f>
        <v>900</v>
      </c>
      <c r="I174" s="2"/>
      <c r="J174" s="83" t="str">
        <f>IF(F174=H174, "", F174)</f>
        <v/>
      </c>
      <c r="K174" s="84">
        <v>900.0</v>
      </c>
      <c r="L174" s="61">
        <f>IFERROR(VLOOKUP("iPhone 6 Plus Замена дисплея (аналог)", 'РЕМОНТ_ЯБЛОК'!C:D, 2, 0), "Ошибка")</f>
        <v>2000</v>
      </c>
      <c r="M174" s="60"/>
      <c r="N174" s="29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idden="1">
      <c r="A175" s="2"/>
      <c r="B175" s="57" t="s">
        <v>90</v>
      </c>
      <c r="C175" s="11"/>
      <c r="D175" s="11">
        <v>90.0</v>
      </c>
      <c r="E175" s="12" t="s">
        <v>92</v>
      </c>
      <c r="F175" s="13">
        <f>'БД_УСЛУГИ_РО'!P101</f>
        <v>2000</v>
      </c>
      <c r="G175" s="29"/>
      <c r="H175" s="15"/>
      <c r="I175" s="2"/>
      <c r="J175" s="85">
        <f t="shared" ref="J175:J184" si="16">F175</f>
        <v>2000</v>
      </c>
      <c r="K175" s="84">
        <v>2000.0</v>
      </c>
      <c r="L175" s="61">
        <f>IFERROR(VLOOKUP("iPhone 6 Plus Переклейка (восстановление) вашего дисплея", 'РЕМОНТ_ЯБЛОК'!C:D, 2, 0), "Ошибка")</f>
        <v>2000</v>
      </c>
      <c r="M175" s="60"/>
      <c r="N175" s="29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idden="1">
      <c r="A176" s="2"/>
      <c r="B176" s="57" t="s">
        <v>90</v>
      </c>
      <c r="C176" s="11"/>
      <c r="D176" s="11">
        <v>90.0</v>
      </c>
      <c r="E176" s="12" t="s">
        <v>93</v>
      </c>
      <c r="F176" s="13">
        <f>'БД_УСЛУГИ_РО'!P102+'БД_ЗАПЧАСТИ'!P756</f>
        <v>1800</v>
      </c>
      <c r="G176" s="29"/>
      <c r="H176" s="62">
        <f>'БД_УСЛУГИ_РО'!P102</f>
        <v>800</v>
      </c>
      <c r="I176" s="2"/>
      <c r="J176" s="85">
        <f t="shared" si="16"/>
        <v>1800</v>
      </c>
      <c r="K176" s="84">
        <v>1800.0</v>
      </c>
      <c r="L176" s="61">
        <f>IFERROR(VLOOKUP("iPhone 6 Plus Замена основной камеры", 'РЕМОНТ_ЯБЛОК'!C:D, 2, 0), "Ошибка")</f>
        <v>1800</v>
      </c>
      <c r="M176" s="60"/>
      <c r="N176" s="29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idden="1">
      <c r="A177" s="2"/>
      <c r="B177" s="57" t="s">
        <v>90</v>
      </c>
      <c r="C177" s="11"/>
      <c r="D177" s="11">
        <v>90.0</v>
      </c>
      <c r="E177" s="12" t="s">
        <v>94</v>
      </c>
      <c r="F177" s="13">
        <f>'БД_УСЛУГИ_РО'!P103+'БД_ЗАПЧАСТИ'!P797</f>
        <v>1600</v>
      </c>
      <c r="G177" s="29"/>
      <c r="H177" s="62">
        <f>'БД_УСЛУГИ_РО'!P103</f>
        <v>900</v>
      </c>
      <c r="I177" s="2"/>
      <c r="J177" s="85">
        <f t="shared" si="16"/>
        <v>1600</v>
      </c>
      <c r="K177" s="84">
        <v>1600.0</v>
      </c>
      <c r="L177" s="61">
        <f>IFERROR(VLOOKUP("iPhone 6 Plus Замена фронтальной камеры", 'РЕМОНТ_ЯБЛОК'!C:D, 2, 0), "Ошибка")</f>
        <v>1600</v>
      </c>
      <c r="M177" s="60"/>
      <c r="N177" s="29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idden="1">
      <c r="A178" s="2"/>
      <c r="B178" s="57" t="s">
        <v>90</v>
      </c>
      <c r="C178" s="11"/>
      <c r="D178" s="11">
        <v>180.0</v>
      </c>
      <c r="E178" s="12" t="s">
        <v>52</v>
      </c>
      <c r="F178" s="13">
        <f>'БД_УСЛУГИ_РО'!P104+'БД_ЗАПЧАСТИ'!P542</f>
        <v>1000</v>
      </c>
      <c r="G178" s="29"/>
      <c r="H178" s="62">
        <f>'БД_УСЛУГИ_РО'!P104</f>
        <v>800</v>
      </c>
      <c r="I178" s="2"/>
      <c r="J178" s="85">
        <f t="shared" si="16"/>
        <v>1000</v>
      </c>
      <c r="K178" s="84">
        <v>1000.0</v>
      </c>
      <c r="L178" s="61">
        <f>IFERROR(VLOOKUP("iPhone 6 Plus Замена стекла камеры", 'РЕМОНТ_ЯБЛОК'!C:D, 2, 0), "Ошибка")</f>
        <v>1000</v>
      </c>
      <c r="M178" s="60"/>
      <c r="N178" s="29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idden="1">
      <c r="A179" s="2"/>
      <c r="B179" s="57" t="s">
        <v>90</v>
      </c>
      <c r="C179" s="11"/>
      <c r="D179" s="11">
        <v>180.0</v>
      </c>
      <c r="E179" s="12" t="s">
        <v>56</v>
      </c>
      <c r="F179" s="13">
        <f>'БД_УСЛУГИ_РО'!P105</f>
        <v>800</v>
      </c>
      <c r="G179" s="29"/>
      <c r="H179" s="62">
        <f>'БД_УСЛУГИ_РО'!P105</f>
        <v>800</v>
      </c>
      <c r="I179" s="2"/>
      <c r="J179" s="85">
        <f t="shared" si="16"/>
        <v>800</v>
      </c>
      <c r="K179" s="84">
        <v>800.0</v>
      </c>
      <c r="L179" s="61">
        <f>IFERROR(VLOOKUP("iPhone 6 Plus Замена корпуса", 'РЕМОНТ_ЯБЛОК'!C:D, 2, 0), "Ошибка")</f>
        <v>3500</v>
      </c>
      <c r="M179" s="60"/>
      <c r="N179" s="29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idden="1">
      <c r="A180" s="2"/>
      <c r="B180" s="57" t="s">
        <v>90</v>
      </c>
      <c r="C180" s="11"/>
      <c r="D180" s="11">
        <v>90.0</v>
      </c>
      <c r="E180" s="12" t="s">
        <v>58</v>
      </c>
      <c r="F180" s="13">
        <f>'БД_УСЛУГИ_РО'!P106</f>
        <v>900</v>
      </c>
      <c r="G180" s="29"/>
      <c r="H180" s="62">
        <f>'БД_УСЛУГИ_РО'!P106</f>
        <v>900</v>
      </c>
      <c r="I180" s="2"/>
      <c r="J180" s="85">
        <f t="shared" si="16"/>
        <v>900</v>
      </c>
      <c r="K180" s="84">
        <v>900.0</v>
      </c>
      <c r="L180" s="61">
        <f>IFERROR(VLOOKUP("iPhone 6 Plus Замена кнопки Home", 'РЕМОНТ_ЯБЛОК'!C:D, 2, 0), "Ошибка")</f>
        <v>1400</v>
      </c>
      <c r="M180" s="60"/>
      <c r="N180" s="29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idden="1">
      <c r="A181" s="2"/>
      <c r="B181" s="57" t="s">
        <v>90</v>
      </c>
      <c r="C181" s="11"/>
      <c r="D181" s="11">
        <v>90.0</v>
      </c>
      <c r="E181" s="12" t="s">
        <v>59</v>
      </c>
      <c r="F181" s="13">
        <f>'БД_УСЛУГИ_РО'!P107</f>
        <v>900</v>
      </c>
      <c r="G181" s="29"/>
      <c r="H181" s="15"/>
      <c r="I181" s="2"/>
      <c r="J181" s="85">
        <f t="shared" si="16"/>
        <v>900</v>
      </c>
      <c r="K181" s="84">
        <v>900.0</v>
      </c>
      <c r="L181" s="61" t="str">
        <f>IFERROR(VLOOKUP("iPhone 6 Plus Замена кнопки включения", 'РЕМОНТ_ЯБЛОК'!C:D, 2, 0), "Ошибка") &amp; " | " &amp; IFERROR(VLOOKUP("iPhone 6 Plus Замена кнопок громкости", 'РЕМОНТ_ЯБЛОК'!C:D, 2, 0), "Ошибка")</f>
        <v>1800 | 1800</v>
      </c>
      <c r="M181" s="60"/>
      <c r="N181" s="29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idden="1">
      <c r="A182" s="2"/>
      <c r="B182" s="57" t="s">
        <v>90</v>
      </c>
      <c r="C182" s="11"/>
      <c r="D182" s="11">
        <v>90.0</v>
      </c>
      <c r="E182" s="12" t="s">
        <v>95</v>
      </c>
      <c r="F182" s="13">
        <f>'БД_УСЛУГИ_РО'!P108+'БД_ЗАПЧАСТИ'!P883</f>
        <v>1200</v>
      </c>
      <c r="G182" s="29"/>
      <c r="H182" s="62">
        <f>'БД_УСЛУГИ_РО'!P108</f>
        <v>1000</v>
      </c>
      <c r="I182" s="2"/>
      <c r="J182" s="85">
        <f t="shared" si="16"/>
        <v>1200</v>
      </c>
      <c r="K182" s="84">
        <v>1200.0</v>
      </c>
      <c r="L182" s="61">
        <f>IFERROR(VLOOKUP("iPhone 6 Plus Замена динамика", 'РЕМОНТ_ЯБЛОК'!C:D, 2, 0), "Ошибка")</f>
        <v>1200</v>
      </c>
      <c r="M182" s="60"/>
      <c r="N182" s="29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idden="1">
      <c r="A183" s="2"/>
      <c r="B183" s="57" t="s">
        <v>90</v>
      </c>
      <c r="C183" s="11"/>
      <c r="D183" s="11">
        <v>90.0</v>
      </c>
      <c r="E183" s="12" t="s">
        <v>96</v>
      </c>
      <c r="F183" s="13">
        <f>'БД_УСЛУГИ_РО'!P109+'БД_ЗАПЧАСТИ'!P841</f>
        <v>1200</v>
      </c>
      <c r="G183" s="29"/>
      <c r="H183" s="62">
        <f>'БД_УСЛУГИ_РО'!P109</f>
        <v>1000</v>
      </c>
      <c r="I183" s="2"/>
      <c r="J183" s="85">
        <f t="shared" si="16"/>
        <v>1200</v>
      </c>
      <c r="K183" s="84">
        <v>1200.0</v>
      </c>
      <c r="L183" s="61">
        <f>IFERROR(VLOOKUP("iPhone 6 Plus Замена динамика", 'РЕМОНТ_ЯБЛОК'!C:D, 2, 0), "Ошибка")</f>
        <v>1200</v>
      </c>
      <c r="M183" s="60"/>
      <c r="N183" s="29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idden="1">
      <c r="A184" s="2"/>
      <c r="B184" s="57" t="s">
        <v>90</v>
      </c>
      <c r="C184" s="11"/>
      <c r="D184" s="11">
        <v>90.0</v>
      </c>
      <c r="E184" s="32" t="s">
        <v>62</v>
      </c>
      <c r="F184" s="13">
        <f>'БД_УСЛУГИ_РО'!P110+'БД_ЗАПЧАСТИ'!P595</f>
        <v>1900</v>
      </c>
      <c r="G184" s="29"/>
      <c r="H184" s="62">
        <f>'БД_УСЛУГИ_РО'!P110</f>
        <v>1200</v>
      </c>
      <c r="I184" s="2"/>
      <c r="J184" s="85">
        <f t="shared" si="16"/>
        <v>1900</v>
      </c>
      <c r="K184" s="84">
        <v>1900.0</v>
      </c>
      <c r="L184" s="61">
        <f>IFERROR(VLOOKUP("iPhone 6 Замена микрофона", 'РЕМОНТ_ЯБЛОК'!C:D, 2, 0), "Ошибка")</f>
        <v>1600</v>
      </c>
      <c r="M184" s="60"/>
      <c r="N184" s="29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idden="1">
      <c r="A185" s="2"/>
      <c r="B185" s="57" t="s">
        <v>90</v>
      </c>
      <c r="C185" s="11"/>
      <c r="D185" s="11">
        <v>90.0</v>
      </c>
      <c r="E185" s="12" t="s">
        <v>63</v>
      </c>
      <c r="F185" s="13">
        <f>'БД_УСЛУГИ_РО'!P111</f>
        <v>1800</v>
      </c>
      <c r="G185" s="29"/>
      <c r="H185" s="15"/>
      <c r="I185" s="2"/>
      <c r="J185" s="83"/>
      <c r="K185" s="84">
        <v>1800.0</v>
      </c>
      <c r="L185" s="61"/>
      <c r="M185" s="60"/>
      <c r="N185" s="29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idden="1">
      <c r="A186" s="2"/>
      <c r="B186" s="57" t="s">
        <v>90</v>
      </c>
      <c r="C186" s="11"/>
      <c r="D186" s="11">
        <v>90.0</v>
      </c>
      <c r="E186" s="12" t="s">
        <v>64</v>
      </c>
      <c r="F186" s="13">
        <f>'БД_УСЛУГИ_РО'!P112</f>
        <v>2000</v>
      </c>
      <c r="G186" s="29"/>
      <c r="H186" s="15"/>
      <c r="I186" s="2"/>
      <c r="J186" s="83"/>
      <c r="K186" s="84">
        <v>2000.0</v>
      </c>
      <c r="L186" s="61"/>
      <c r="M186" s="60"/>
      <c r="N186" s="29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idden="1">
      <c r="A187" s="2"/>
      <c r="B187" s="57" t="s">
        <v>90</v>
      </c>
      <c r="C187" s="11"/>
      <c r="D187" s="11">
        <v>90.0</v>
      </c>
      <c r="E187" s="12" t="s">
        <v>65</v>
      </c>
      <c r="F187" s="13">
        <f>'БД_УСЛУГИ_РО'!P113</f>
        <v>2000</v>
      </c>
      <c r="G187" s="29"/>
      <c r="H187" s="15"/>
      <c r="I187" s="2"/>
      <c r="J187" s="83"/>
      <c r="K187" s="84">
        <v>2000.0</v>
      </c>
      <c r="L187" s="61"/>
      <c r="M187" s="60"/>
      <c r="N187" s="29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idden="1">
      <c r="A188" s="2"/>
      <c r="B188" s="69" t="s">
        <v>90</v>
      </c>
      <c r="C188" s="36"/>
      <c r="D188" s="36">
        <v>90.0</v>
      </c>
      <c r="E188" s="70" t="s">
        <v>66</v>
      </c>
      <c r="F188" s="38">
        <f>'БД_УСЛУГИ_РО'!P114</f>
        <v>1000</v>
      </c>
      <c r="G188" s="39"/>
      <c r="H188" s="15"/>
      <c r="I188" s="2"/>
      <c r="J188" s="88">
        <f>F188</f>
        <v>1000</v>
      </c>
      <c r="K188" s="89">
        <v>1000.0</v>
      </c>
      <c r="L188" s="73">
        <f>IFERROR(VLOOKUP("iPhone 6 Plus Ремонт WI-FI", 'РЕМОНТ_ЯБЛОК'!C:D, 2, 0), "Ошибка")</f>
        <v>3500</v>
      </c>
      <c r="M188" s="74"/>
      <c r="N188" s="39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idden="1">
      <c r="A189" s="2"/>
      <c r="B189" s="1"/>
      <c r="C189" s="1"/>
      <c r="D189" s="36"/>
      <c r="E189" s="75"/>
      <c r="F189" s="80"/>
      <c r="G189" s="76"/>
      <c r="H189" s="15"/>
      <c r="I189" s="2"/>
      <c r="J189" s="90"/>
      <c r="K189" s="2" t="s">
        <v>22</v>
      </c>
      <c r="L189" s="2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idden="1">
      <c r="A190" s="2"/>
      <c r="B190" s="41" t="s">
        <v>97</v>
      </c>
      <c r="C190" s="42"/>
      <c r="D190" s="42">
        <v>0.0</v>
      </c>
      <c r="E190" s="51" t="s">
        <v>24</v>
      </c>
      <c r="F190" s="44">
        <f>'БД_УСЛУГИ_РО'!P115</f>
        <v>1</v>
      </c>
      <c r="G190" s="78"/>
      <c r="H190" s="15"/>
      <c r="I190" s="2"/>
      <c r="J190" s="81"/>
      <c r="K190" s="82">
        <v>1.0</v>
      </c>
      <c r="L190" s="55"/>
      <c r="M190" s="56"/>
      <c r="N190" s="5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idden="1">
      <c r="A191" s="2"/>
      <c r="B191" s="57" t="s">
        <v>97</v>
      </c>
      <c r="C191" s="11"/>
      <c r="D191" s="11">
        <v>0.0</v>
      </c>
      <c r="E191" s="12" t="s">
        <v>26</v>
      </c>
      <c r="F191" s="13">
        <f>'БД_УСЛУГИ_РО'!P116+'БД_УСЛУГИ_РО'!P117</f>
        <v>700</v>
      </c>
      <c r="G191" s="29"/>
      <c r="H191" s="15"/>
      <c r="I191" s="2"/>
      <c r="J191" s="83"/>
      <c r="K191" s="84">
        <v>700.0</v>
      </c>
      <c r="L191" s="61"/>
      <c r="M191" s="60"/>
      <c r="N191" s="29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idden="1">
      <c r="A192" s="2"/>
      <c r="B192" s="57" t="s">
        <v>97</v>
      </c>
      <c r="C192" s="11"/>
      <c r="D192" s="11">
        <v>0.0</v>
      </c>
      <c r="E192" s="32" t="s">
        <v>27</v>
      </c>
      <c r="F192" s="13">
        <f>'БД_УСЛУГИ_РО'!P118</f>
        <v>400</v>
      </c>
      <c r="G192" s="33" t="str">
        <f>MIN(F192:F193) &amp; " - " &amp; MAX(F192:F193)</f>
        <v>400 - 1000</v>
      </c>
      <c r="H192" s="15"/>
      <c r="I192" s="2"/>
      <c r="J192" s="83"/>
      <c r="K192" s="84">
        <v>400.0</v>
      </c>
      <c r="L192" s="61"/>
      <c r="M192" s="60"/>
      <c r="N192" s="29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idden="1">
      <c r="A193" s="2"/>
      <c r="B193" s="57" t="s">
        <v>97</v>
      </c>
      <c r="C193" s="11"/>
      <c r="D193" s="11">
        <v>0.0</v>
      </c>
      <c r="E193" s="32" t="s">
        <v>28</v>
      </c>
      <c r="F193" s="13">
        <f>'БД_УСЛУГИ_РО'!P119</f>
        <v>1000</v>
      </c>
      <c r="G193" s="28"/>
      <c r="H193" s="15"/>
      <c r="I193" s="2"/>
      <c r="J193" s="83"/>
      <c r="K193" s="84">
        <v>1000.0</v>
      </c>
      <c r="L193" s="61"/>
      <c r="M193" s="60"/>
      <c r="N193" s="29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idden="1">
      <c r="A194" s="2"/>
      <c r="B194" s="57" t="s">
        <v>97</v>
      </c>
      <c r="C194" s="11"/>
      <c r="D194" s="11">
        <v>180.0</v>
      </c>
      <c r="E194" s="12" t="s">
        <v>31</v>
      </c>
      <c r="F194" s="13">
        <f>'БД_УСЛУГИ_РО'!P120+'БД_ЗАПЧАСТИ'!P10</f>
        <v>1600</v>
      </c>
      <c r="G194" s="29"/>
      <c r="H194" s="62">
        <f>'БД_УСЛУГИ_РО'!P120</f>
        <v>800</v>
      </c>
      <c r="I194" s="2"/>
      <c r="J194" s="85">
        <f t="shared" ref="J194:J195" si="17">F194</f>
        <v>1600</v>
      </c>
      <c r="K194" s="84">
        <v>1600.0</v>
      </c>
      <c r="L194" s="61" t="str">
        <f>IFERROR(VLOOKUP("iPhone 6S Замена аккумулятора (1715mAh) 3.82V Standard", 'РЕМОНТ_ЯБЛОК'!C:D, 2, 0), "Ошибка") &amp; " | " &amp; IFERROR(VLOOKUP("iPhone 6S Замена аккумулятора (2510mAh) 3.82V HC (повышенная емкость)", 'РЕМОНТ_ЯБЛОК'!C:D, 2, 0), "Ошибка")</f>
        <v>1600 | 2000</v>
      </c>
      <c r="M194" s="60"/>
      <c r="N194" s="29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idden="1">
      <c r="A195" s="2"/>
      <c r="B195" s="57" t="s">
        <v>97</v>
      </c>
      <c r="C195" s="11"/>
      <c r="D195" s="11">
        <v>90.0</v>
      </c>
      <c r="E195" s="12" t="s">
        <v>98</v>
      </c>
      <c r="F195" s="13">
        <f>'БД_УСЛУГИ_РО'!P121+'БД_ЗАПЧАСТИ'!P597</f>
        <v>1600</v>
      </c>
      <c r="G195" s="29"/>
      <c r="H195" s="62">
        <f>'БД_УСЛУГИ_РО'!P121</f>
        <v>900</v>
      </c>
      <c r="I195" s="2"/>
      <c r="J195" s="85">
        <f t="shared" si="17"/>
        <v>1600</v>
      </c>
      <c r="K195" s="84">
        <v>1600.0</v>
      </c>
      <c r="L195" s="11">
        <f>IFERROR(VLOOKUP("iPhone 6S Разъем питания", 'РЕМОНТ_ЯБЛОК'!C:D, 2, 0), "Ошибка")</f>
        <v>1600</v>
      </c>
      <c r="M195" s="60"/>
      <c r="N195" s="29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idden="1">
      <c r="A196" s="2"/>
      <c r="B196" s="57" t="s">
        <v>97</v>
      </c>
      <c r="C196" s="11"/>
      <c r="D196" s="11">
        <v>90.0</v>
      </c>
      <c r="E196" s="12" t="s">
        <v>38</v>
      </c>
      <c r="F196" s="13">
        <f>'БД_УСЛУГИ_РО'!P122+'БД_ЗАПЧАСТИ'!P162</f>
        <v>3150</v>
      </c>
      <c r="G196" s="33" t="str">
        <f>IFERROR(__xludf.DUMMYFUNCTION("MIN(FILTER(F196:F198, F196:F198 &lt;&gt; H196:H198)) &amp; "" - "" &amp; MAX(FILTER(F196:F198, F196:F198 &lt;&gt; H196:H198))"),"2500 - 3150")</f>
        <v>2500 - 3150</v>
      </c>
      <c r="H196" s="62">
        <f>'БД_УСЛУГИ_РО'!P122</f>
        <v>900</v>
      </c>
      <c r="I196" s="2"/>
      <c r="J196" s="86">
        <f>IFERROR(__xludf.DUMMYFUNCTION("MIN(FILTER(F196:F197, F196:F197 &lt;&gt; H196:H197, F196:F197 &lt;&gt; """"))"),2500.0)</f>
        <v>2500</v>
      </c>
      <c r="K196" s="84">
        <v>3150.0</v>
      </c>
      <c r="L196" s="65">
        <f>IFERROR(VLOOKUP("iPhone 6S Замена дисплея (оригинал)", 'РЕМОНТ_ЯБЛОК'!C:D, 2, 0), "Ошибка")</f>
        <v>2500</v>
      </c>
      <c r="M196" s="60"/>
      <c r="N196" s="29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idden="1">
      <c r="A197" s="2"/>
      <c r="B197" s="57" t="s">
        <v>97</v>
      </c>
      <c r="C197" s="11"/>
      <c r="D197" s="11">
        <v>90.0</v>
      </c>
      <c r="E197" s="12" t="s">
        <v>41</v>
      </c>
      <c r="F197" s="13">
        <f>'БД_УСЛУГИ_РО'!P122+'БД_ЗАПЧАСТИ'!P164</f>
        <v>2500</v>
      </c>
      <c r="G197" s="19"/>
      <c r="H197" s="62">
        <f>'БД_УСЛУГИ_РО'!P122</f>
        <v>900</v>
      </c>
      <c r="I197" s="2"/>
      <c r="J197" s="87"/>
      <c r="K197" s="84">
        <v>2500.0</v>
      </c>
      <c r="L197" s="67"/>
      <c r="M197" s="60"/>
      <c r="N197" s="29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idden="1">
      <c r="A198" s="2"/>
      <c r="B198" s="57" t="s">
        <v>97</v>
      </c>
      <c r="C198" s="11"/>
      <c r="D198" s="11">
        <v>90.0</v>
      </c>
      <c r="E198" s="12" t="s">
        <v>44</v>
      </c>
      <c r="F198" s="13">
        <f>'БД_УСЛУГИ_РО'!P122</f>
        <v>900</v>
      </c>
      <c r="G198" s="28"/>
      <c r="H198" s="62">
        <f>'БД_УСЛУГИ_РО'!P122</f>
        <v>900</v>
      </c>
      <c r="I198" s="2"/>
      <c r="J198" s="83" t="str">
        <f>IF(F198=H198, "", F198)</f>
        <v/>
      </c>
      <c r="K198" s="84">
        <v>900.0</v>
      </c>
      <c r="L198" s="61">
        <f>IFERROR(VLOOKUP("iPhone 6S Замена дисплея (аналог)", 'РЕМОНТ_ЯБЛОК'!C:D, 2, 0), "Ошибка")</f>
        <v>2000</v>
      </c>
      <c r="M198" s="60"/>
      <c r="N198" s="29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idden="1">
      <c r="A199" s="2"/>
      <c r="B199" s="57" t="s">
        <v>97</v>
      </c>
      <c r="C199" s="11"/>
      <c r="D199" s="11">
        <v>90.0</v>
      </c>
      <c r="E199" s="12" t="s">
        <v>99</v>
      </c>
      <c r="F199" s="13">
        <f>'БД_УСЛУГИ_РО'!P123</f>
        <v>2000</v>
      </c>
      <c r="G199" s="29"/>
      <c r="H199" s="15"/>
      <c r="I199" s="2"/>
      <c r="J199" s="85">
        <f t="shared" ref="J199:J208" si="18">F199</f>
        <v>2000</v>
      </c>
      <c r="K199" s="84">
        <v>2000.0</v>
      </c>
      <c r="L199" s="61">
        <f>IFERROR(VLOOKUP("iPhone 6S Переклейка (восстановление) вашего дисплея", 'РЕМОНТ_ЯБЛОК'!C:D, 2, 0), "Ошибка")</f>
        <v>2000</v>
      </c>
      <c r="M199" s="60"/>
      <c r="N199" s="29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idden="1">
      <c r="A200" s="2"/>
      <c r="B200" s="57" t="s">
        <v>97</v>
      </c>
      <c r="C200" s="11"/>
      <c r="D200" s="11">
        <v>90.0</v>
      </c>
      <c r="E200" s="12" t="s">
        <v>100</v>
      </c>
      <c r="F200" s="13">
        <f>'БД_УСЛУГИ_РО'!P124+'БД_ЗАПЧАСТИ'!P757</f>
        <v>2000</v>
      </c>
      <c r="G200" s="29"/>
      <c r="H200" s="62">
        <f>'БД_УСЛУГИ_РО'!P124</f>
        <v>800</v>
      </c>
      <c r="I200" s="2"/>
      <c r="J200" s="85">
        <f t="shared" si="18"/>
        <v>2000</v>
      </c>
      <c r="K200" s="84">
        <v>2000.0</v>
      </c>
      <c r="L200" s="61">
        <f>IFERROR(VLOOKUP("iPhone 6S Замена основной камеры", 'РЕМОНТ_ЯБЛОК'!C:D, 2, 0), "Ошибка")</f>
        <v>2000</v>
      </c>
      <c r="M200" s="60"/>
      <c r="N200" s="29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idden="1">
      <c r="A201" s="2"/>
      <c r="B201" s="57" t="s">
        <v>97</v>
      </c>
      <c r="C201" s="11"/>
      <c r="D201" s="11">
        <v>90.0</v>
      </c>
      <c r="E201" s="12" t="s">
        <v>101</v>
      </c>
      <c r="F201" s="13">
        <f>'БД_УСЛУГИ_РО'!P125+'БД_ЗАПЧАСТИ'!P798</f>
        <v>1800</v>
      </c>
      <c r="G201" s="29"/>
      <c r="H201" s="62">
        <f>'БД_УСЛУГИ_РО'!P125</f>
        <v>900</v>
      </c>
      <c r="I201" s="2"/>
      <c r="J201" s="85">
        <f t="shared" si="18"/>
        <v>1800</v>
      </c>
      <c r="K201" s="84">
        <v>1800.0</v>
      </c>
      <c r="L201" s="61">
        <f>IFERROR(VLOOKUP("iPhone 6S Замена фронтальной камеры", 'РЕМОНТ_ЯБЛОК'!C:D, 2, 0), "Ошибка")</f>
        <v>1800</v>
      </c>
      <c r="M201" s="60"/>
      <c r="N201" s="29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idden="1">
      <c r="A202" s="2"/>
      <c r="B202" s="57" t="s">
        <v>97</v>
      </c>
      <c r="C202" s="11"/>
      <c r="D202" s="11">
        <v>180.0</v>
      </c>
      <c r="E202" s="12" t="s">
        <v>52</v>
      </c>
      <c r="F202" s="13">
        <f>'БД_УСЛУГИ_РО'!P126+'БД_ЗАПЧАСТИ'!P543</f>
        <v>1100</v>
      </c>
      <c r="G202" s="29"/>
      <c r="H202" s="62">
        <f>'БД_УСЛУГИ_РО'!P126</f>
        <v>1000</v>
      </c>
      <c r="I202" s="2"/>
      <c r="J202" s="85">
        <f t="shared" si="18"/>
        <v>1100</v>
      </c>
      <c r="K202" s="84">
        <v>1100.0</v>
      </c>
      <c r="L202" s="61">
        <f>IFERROR(VLOOKUP("iPhone 6S Замена стекла камеры", 'РЕМОНТ_ЯБЛОК'!C:D, 2, 0), "Ошибка")</f>
        <v>1000</v>
      </c>
      <c r="M202" s="60"/>
      <c r="N202" s="29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idden="1">
      <c r="A203" s="2"/>
      <c r="B203" s="57" t="s">
        <v>97</v>
      </c>
      <c r="C203" s="11"/>
      <c r="D203" s="11">
        <v>180.0</v>
      </c>
      <c r="E203" s="12" t="s">
        <v>56</v>
      </c>
      <c r="F203" s="13">
        <f>'БД_УСЛУГИ_РО'!P127</f>
        <v>1000</v>
      </c>
      <c r="G203" s="29"/>
      <c r="H203" s="62">
        <f>'БД_УСЛУГИ_РО'!P127</f>
        <v>1000</v>
      </c>
      <c r="I203" s="2"/>
      <c r="J203" s="85">
        <f t="shared" si="18"/>
        <v>1000</v>
      </c>
      <c r="K203" s="84">
        <v>1000.0</v>
      </c>
      <c r="L203" s="61">
        <f>IFERROR(VLOOKUP("iPhone 6S Замена корпуса", 'РЕМОНТ_ЯБЛОК'!C:D, 2, 0), "Ошибка")</f>
        <v>3500</v>
      </c>
      <c r="M203" s="60"/>
      <c r="N203" s="29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idden="1">
      <c r="A204" s="2"/>
      <c r="B204" s="57" t="s">
        <v>97</v>
      </c>
      <c r="C204" s="11"/>
      <c r="D204" s="11">
        <v>90.0</v>
      </c>
      <c r="E204" s="12" t="s">
        <v>58</v>
      </c>
      <c r="F204" s="13">
        <f>'БД_УСЛУГИ_РО'!P128</f>
        <v>900</v>
      </c>
      <c r="G204" s="29"/>
      <c r="H204" s="62">
        <f>'БД_УСЛУГИ_РО'!P128</f>
        <v>900</v>
      </c>
      <c r="I204" s="2"/>
      <c r="J204" s="85">
        <f t="shared" si="18"/>
        <v>900</v>
      </c>
      <c r="K204" s="84">
        <v>900.0</v>
      </c>
      <c r="L204" s="61">
        <f>IFERROR(VLOOKUP("iPhone 6S Замена кнопки Home", 'РЕМОНТ_ЯБЛОК'!C:D, 2, 0), "Ошибка")</f>
        <v>1400</v>
      </c>
      <c r="M204" s="60"/>
      <c r="N204" s="29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idden="1">
      <c r="A205" s="2"/>
      <c r="B205" s="57" t="s">
        <v>97</v>
      </c>
      <c r="C205" s="11"/>
      <c r="D205" s="11">
        <v>90.0</v>
      </c>
      <c r="E205" s="12" t="s">
        <v>59</v>
      </c>
      <c r="F205" s="13">
        <f>'БД_УСЛУГИ_РО'!P129</f>
        <v>900</v>
      </c>
      <c r="G205" s="29"/>
      <c r="H205" s="15"/>
      <c r="I205" s="2"/>
      <c r="J205" s="85">
        <f t="shared" si="18"/>
        <v>900</v>
      </c>
      <c r="K205" s="84">
        <v>900.0</v>
      </c>
      <c r="L205" s="61" t="str">
        <f>IFERROR(VLOOKUP("iPhone 6S Замена кнопки включения", 'РЕМОНТ_ЯБЛОК'!C:D, 2, 0), "Ошибка") &amp; " | " &amp; IFERROR(VLOOKUP("iPhone 6S Замена кнопок громкости", 'РЕМОНТ_ЯБЛОК'!C:D, 2, 0), "Ошибка")</f>
        <v>2000 | 2000</v>
      </c>
      <c r="M205" s="60"/>
      <c r="N205" s="29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idden="1">
      <c r="A206" s="2"/>
      <c r="B206" s="57" t="s">
        <v>97</v>
      </c>
      <c r="C206" s="11"/>
      <c r="D206" s="11">
        <v>90.0</v>
      </c>
      <c r="E206" s="12" t="s">
        <v>102</v>
      </c>
      <c r="F206" s="13">
        <f>'БД_УСЛУГИ_РО'!P130+'БД_ЗАПЧАСТИ'!P884</f>
        <v>1200</v>
      </c>
      <c r="G206" s="29"/>
      <c r="H206" s="62">
        <f>'БД_УСЛУГИ_РО'!P130</f>
        <v>1000</v>
      </c>
      <c r="I206" s="2"/>
      <c r="J206" s="85">
        <f t="shared" si="18"/>
        <v>1200</v>
      </c>
      <c r="K206" s="84">
        <v>1200.0</v>
      </c>
      <c r="L206" s="61">
        <f>IFERROR(VLOOKUP("iPhone 6S Замена динамика", 'РЕМОНТ_ЯБЛОК'!C:D, 2, 0), "Ошибка")</f>
        <v>1200</v>
      </c>
      <c r="M206" s="60"/>
      <c r="N206" s="29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idden="1">
      <c r="A207" s="2"/>
      <c r="B207" s="57" t="s">
        <v>97</v>
      </c>
      <c r="C207" s="11"/>
      <c r="D207" s="11">
        <v>90.0</v>
      </c>
      <c r="E207" s="12" t="s">
        <v>103</v>
      </c>
      <c r="F207" s="13">
        <f>'БД_УСЛУГИ_РО'!P131+'БД_ЗАПЧАСТИ'!P842</f>
        <v>1200</v>
      </c>
      <c r="G207" s="29"/>
      <c r="H207" s="62">
        <f>'БД_УСЛУГИ_РО'!P131</f>
        <v>1000</v>
      </c>
      <c r="I207" s="2"/>
      <c r="J207" s="85">
        <f t="shared" si="18"/>
        <v>1200</v>
      </c>
      <c r="K207" s="84">
        <v>1200.0</v>
      </c>
      <c r="L207" s="61">
        <f>IFERROR(VLOOKUP("iPhone 6S Замена динамика", 'РЕМОНТ_ЯБЛОК'!C:D, 2, 0), "Ошибка")</f>
        <v>1200</v>
      </c>
      <c r="M207" s="60"/>
      <c r="N207" s="29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idden="1">
      <c r="A208" s="2"/>
      <c r="B208" s="57" t="s">
        <v>97</v>
      </c>
      <c r="C208" s="11"/>
      <c r="D208" s="11">
        <v>90.0</v>
      </c>
      <c r="E208" s="32" t="s">
        <v>62</v>
      </c>
      <c r="F208" s="13">
        <f>'БД_УСЛУГИ_РО'!P132+'БД_ЗАПЧАСТИ'!P597</f>
        <v>1900</v>
      </c>
      <c r="G208" s="29"/>
      <c r="H208" s="62">
        <f>'БД_УСЛУГИ_РО'!P132</f>
        <v>1200</v>
      </c>
      <c r="I208" s="2"/>
      <c r="J208" s="85">
        <f t="shared" si="18"/>
        <v>1900</v>
      </c>
      <c r="K208" s="84">
        <v>1900.0</v>
      </c>
      <c r="L208" s="61">
        <f>IFERROR(VLOOKUP("iPhone 6S Замена микрофона", 'РЕМОНТ_ЯБЛОК'!C:D, 2, 0), "Ошибка")</f>
        <v>1900</v>
      </c>
      <c r="M208" s="60"/>
      <c r="N208" s="29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idden="1">
      <c r="A209" s="2"/>
      <c r="B209" s="57" t="s">
        <v>97</v>
      </c>
      <c r="C209" s="11"/>
      <c r="D209" s="11">
        <v>90.0</v>
      </c>
      <c r="E209" s="12" t="s">
        <v>63</v>
      </c>
      <c r="F209" s="13">
        <f>'БД_УСЛУГИ_РО'!P133</f>
        <v>1800</v>
      </c>
      <c r="G209" s="29"/>
      <c r="H209" s="15"/>
      <c r="I209" s="2"/>
      <c r="J209" s="83"/>
      <c r="K209" s="84">
        <v>1800.0</v>
      </c>
      <c r="L209" s="61"/>
      <c r="M209" s="60"/>
      <c r="N209" s="29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idden="1">
      <c r="A210" s="2"/>
      <c r="B210" s="57" t="s">
        <v>97</v>
      </c>
      <c r="C210" s="11"/>
      <c r="D210" s="11">
        <v>90.0</v>
      </c>
      <c r="E210" s="12" t="s">
        <v>64</v>
      </c>
      <c r="F210" s="13">
        <f>'БД_УСЛУГИ_РО'!P134</f>
        <v>2500</v>
      </c>
      <c r="G210" s="29"/>
      <c r="H210" s="15"/>
      <c r="I210" s="2"/>
      <c r="J210" s="83"/>
      <c r="K210" s="84">
        <v>2500.0</v>
      </c>
      <c r="L210" s="61"/>
      <c r="M210" s="60"/>
      <c r="N210" s="29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idden="1">
      <c r="A211" s="2"/>
      <c r="B211" s="57" t="s">
        <v>97</v>
      </c>
      <c r="C211" s="11"/>
      <c r="D211" s="11">
        <v>90.0</v>
      </c>
      <c r="E211" s="12" t="s">
        <v>65</v>
      </c>
      <c r="F211" s="13">
        <f>'БД_УСЛУГИ_РО'!P135</f>
        <v>2500</v>
      </c>
      <c r="G211" s="29"/>
      <c r="H211" s="15"/>
      <c r="I211" s="2"/>
      <c r="J211" s="83"/>
      <c r="K211" s="84">
        <v>2500.0</v>
      </c>
      <c r="L211" s="61"/>
      <c r="M211" s="60"/>
      <c r="N211" s="29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idden="1">
      <c r="A212" s="2"/>
      <c r="B212" s="69" t="s">
        <v>97</v>
      </c>
      <c r="C212" s="36"/>
      <c r="D212" s="36">
        <v>90.0</v>
      </c>
      <c r="E212" s="70" t="s">
        <v>66</v>
      </c>
      <c r="F212" s="38">
        <f>'БД_УСЛУГИ_РО'!P136</f>
        <v>1000</v>
      </c>
      <c r="G212" s="39"/>
      <c r="H212" s="15"/>
      <c r="I212" s="2"/>
      <c r="J212" s="88">
        <f>F212</f>
        <v>1000</v>
      </c>
      <c r="K212" s="89">
        <v>1000.0</v>
      </c>
      <c r="L212" s="73">
        <f>IFERROR(VLOOKUP("iPhone 6S Ремонт WI-FI", 'РЕМОНТ_ЯБЛОК'!C:D, 2, 0), "Ошибка")</f>
        <v>4000</v>
      </c>
      <c r="M212" s="74"/>
      <c r="N212" s="39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idden="1">
      <c r="A213" s="2"/>
      <c r="B213" s="1"/>
      <c r="C213" s="1"/>
      <c r="D213" s="36"/>
      <c r="E213" s="75"/>
      <c r="F213" s="80"/>
      <c r="G213" s="76"/>
      <c r="H213" s="15"/>
      <c r="I213" s="2"/>
      <c r="J213" s="90"/>
      <c r="K213" s="2" t="s">
        <v>22</v>
      </c>
      <c r="L213" s="2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idden="1">
      <c r="A214" s="2"/>
      <c r="B214" s="41" t="s">
        <v>104</v>
      </c>
      <c r="C214" s="42"/>
      <c r="D214" s="42">
        <v>0.0</v>
      </c>
      <c r="E214" s="51" t="s">
        <v>24</v>
      </c>
      <c r="F214" s="44">
        <f>'БД_УСЛУГИ_РО'!P137</f>
        <v>1</v>
      </c>
      <c r="G214" s="78"/>
      <c r="H214" s="15"/>
      <c r="I214" s="2"/>
      <c r="J214" s="81"/>
      <c r="K214" s="82">
        <v>1.0</v>
      </c>
      <c r="L214" s="55"/>
      <c r="M214" s="56"/>
      <c r="N214" s="5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idden="1">
      <c r="A215" s="2"/>
      <c r="B215" s="57" t="s">
        <v>104</v>
      </c>
      <c r="C215" s="11"/>
      <c r="D215" s="11">
        <v>0.0</v>
      </c>
      <c r="E215" s="12" t="s">
        <v>26</v>
      </c>
      <c r="F215" s="13">
        <f>'БД_УСЛУГИ_РО'!P138+'БД_УСЛУГИ_РО'!P139</f>
        <v>700</v>
      </c>
      <c r="G215" s="29"/>
      <c r="H215" s="15"/>
      <c r="I215" s="2"/>
      <c r="J215" s="83"/>
      <c r="K215" s="84">
        <v>700.0</v>
      </c>
      <c r="L215" s="61"/>
      <c r="M215" s="60"/>
      <c r="N215" s="29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idden="1">
      <c r="A216" s="2"/>
      <c r="B216" s="57" t="s">
        <v>104</v>
      </c>
      <c r="C216" s="11"/>
      <c r="D216" s="11">
        <v>0.0</v>
      </c>
      <c r="E216" s="32" t="s">
        <v>27</v>
      </c>
      <c r="F216" s="13">
        <f>'БД_УСЛУГИ_РО'!P140</f>
        <v>400</v>
      </c>
      <c r="G216" s="33" t="str">
        <f>MIN(F216:F217) &amp; " - " &amp; MAX(F216:F217)</f>
        <v>400 - 1000</v>
      </c>
      <c r="H216" s="15"/>
      <c r="I216" s="2"/>
      <c r="J216" s="83"/>
      <c r="K216" s="84">
        <v>400.0</v>
      </c>
      <c r="L216" s="61"/>
      <c r="M216" s="60"/>
      <c r="N216" s="29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idden="1">
      <c r="A217" s="2"/>
      <c r="B217" s="57" t="s">
        <v>104</v>
      </c>
      <c r="C217" s="11"/>
      <c r="D217" s="11">
        <v>0.0</v>
      </c>
      <c r="E217" s="32" t="s">
        <v>28</v>
      </c>
      <c r="F217" s="13">
        <f>'БД_УСЛУГИ_РО'!P141</f>
        <v>1000</v>
      </c>
      <c r="G217" s="28"/>
      <c r="H217" s="15"/>
      <c r="I217" s="2"/>
      <c r="J217" s="83"/>
      <c r="K217" s="84">
        <v>1000.0</v>
      </c>
      <c r="L217" s="61"/>
      <c r="M217" s="60"/>
      <c r="N217" s="29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idden="1">
      <c r="A218" s="2"/>
      <c r="B218" s="57" t="s">
        <v>104</v>
      </c>
      <c r="C218" s="11"/>
      <c r="D218" s="11">
        <v>180.0</v>
      </c>
      <c r="E218" s="12" t="s">
        <v>31</v>
      </c>
      <c r="F218" s="13">
        <f>'БД_УСЛУГИ_РО'!P142+'БД_ЗАПЧАСТИ'!P11</f>
        <v>1800</v>
      </c>
      <c r="G218" s="29"/>
      <c r="H218" s="62">
        <f>'БД_УСЛУГИ_РО'!P142</f>
        <v>800</v>
      </c>
      <c r="I218" s="2"/>
      <c r="J218" s="85">
        <f t="shared" ref="J218:J219" si="19">F218</f>
        <v>1800</v>
      </c>
      <c r="K218" s="84">
        <v>1800.0</v>
      </c>
      <c r="L218" s="61" t="str">
        <f>IFERROR(VLOOKUP("iPhone 6S Plus Замена аккумулятора  (2750mAh) 3.82V Standard", 'РЕМОНТ_ЯБЛОК'!C:D, 2, 0), "Ошибка") &amp; " | " &amp; IFERROR(VLOOKUP("iPhone 6S Plus Замена аккумулятора (3510mAh) 3.82V HC (повышенная емкость)", 'РЕМОНТ_ЯБЛОК'!C:D, 2, 0), "Ошибка")</f>
        <v>1800 | 2200</v>
      </c>
      <c r="M218" s="60"/>
      <c r="N218" s="29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idden="1">
      <c r="A219" s="2"/>
      <c r="B219" s="57" t="s">
        <v>104</v>
      </c>
      <c r="C219" s="11"/>
      <c r="D219" s="11">
        <v>90.0</v>
      </c>
      <c r="E219" s="12" t="s">
        <v>105</v>
      </c>
      <c r="F219" s="13">
        <f>'БД_УСЛУГИ_РО'!P143+'БД_ЗАПЧАСТИ'!P599</f>
        <v>1800</v>
      </c>
      <c r="G219" s="29"/>
      <c r="H219" s="62">
        <f>'БД_УСЛУГИ_РО'!P143</f>
        <v>900</v>
      </c>
      <c r="I219" s="2"/>
      <c r="J219" s="85">
        <f t="shared" si="19"/>
        <v>1800</v>
      </c>
      <c r="K219" s="84">
        <v>1800.0</v>
      </c>
      <c r="L219" s="11">
        <f>IFERROR(VLOOKUP("iPhone 6S Plus Разъем питания", 'РЕМОНТ_ЯБЛОК'!C:D, 2, 0), "Ошибка")</f>
        <v>1800</v>
      </c>
      <c r="M219" s="60"/>
      <c r="N219" s="29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idden="1">
      <c r="A220" s="2"/>
      <c r="B220" s="57" t="s">
        <v>104</v>
      </c>
      <c r="C220" s="11"/>
      <c r="D220" s="11">
        <v>90.0</v>
      </c>
      <c r="E220" s="12" t="s">
        <v>38</v>
      </c>
      <c r="F220" s="13">
        <f>'БД_УСЛУГИ_РО'!P144+'БД_ЗАПЧАСТИ'!P166</f>
        <v>4100</v>
      </c>
      <c r="G220" s="33" t="str">
        <f>IFERROR(__xludf.DUMMYFUNCTION("MIN(FILTER(F220:F222, F220:F222 &lt;&gt; H220:H222)) &amp; "" - "" &amp; MAX(FILTER(F220:F222, F220:F222 &lt;&gt; H220:H222))"),"3500 - 4100")</f>
        <v>3500 - 4100</v>
      </c>
      <c r="H220" s="62">
        <f>'БД_УСЛУГИ_РО'!P144</f>
        <v>900</v>
      </c>
      <c r="I220" s="2"/>
      <c r="J220" s="86">
        <f>IFERROR(__xludf.DUMMYFUNCTION("MIN(FILTER(F220:F221, F220:F221 &lt;&gt; H220:H221, F220:F221 &lt;&gt; """"))"),3500.0)</f>
        <v>3500</v>
      </c>
      <c r="K220" s="84">
        <v>4100.0</v>
      </c>
      <c r="L220" s="65">
        <f>IFERROR(VLOOKUP("iPhone 6S Plus Замена дисплея (оригинал)", 'РЕМОНТ_ЯБЛОК'!C:D, 2, 0), "Ошибка")</f>
        <v>3000</v>
      </c>
      <c r="M220" s="60"/>
      <c r="N220" s="29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idden="1">
      <c r="A221" s="2"/>
      <c r="B221" s="57" t="s">
        <v>104</v>
      </c>
      <c r="C221" s="11"/>
      <c r="D221" s="11">
        <v>90.0</v>
      </c>
      <c r="E221" s="12" t="s">
        <v>41</v>
      </c>
      <c r="F221" s="13">
        <f>'БД_УСЛУГИ_РО'!P144+'БД_ЗАПЧАСТИ'!P168</f>
        <v>3500</v>
      </c>
      <c r="G221" s="19"/>
      <c r="H221" s="62">
        <f>'БД_УСЛУГИ_РО'!P144</f>
        <v>900</v>
      </c>
      <c r="I221" s="2"/>
      <c r="J221" s="87"/>
      <c r="K221" s="84">
        <v>3500.0</v>
      </c>
      <c r="L221" s="67"/>
      <c r="M221" s="60"/>
      <c r="N221" s="29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idden="1">
      <c r="A222" s="2"/>
      <c r="B222" s="57" t="s">
        <v>104</v>
      </c>
      <c r="C222" s="11"/>
      <c r="D222" s="11">
        <v>90.0</v>
      </c>
      <c r="E222" s="12" t="s">
        <v>44</v>
      </c>
      <c r="F222" s="13">
        <f>'БД_УСЛУГИ_РО'!P144</f>
        <v>900</v>
      </c>
      <c r="G222" s="28"/>
      <c r="H222" s="62">
        <f>'БД_УСЛУГИ_РО'!P144</f>
        <v>900</v>
      </c>
      <c r="I222" s="2"/>
      <c r="J222" s="83" t="str">
        <f>IF(F222=H222, "", F222)</f>
        <v/>
      </c>
      <c r="K222" s="84">
        <v>900.0</v>
      </c>
      <c r="L222" s="61">
        <f>IFERROR(VLOOKUP("iPhone 6S Plus Замена дисплея (аналог)", 'РЕМОНТ_ЯБЛОК'!C:D, 2, 0), "Ошибка")</f>
        <v>2500</v>
      </c>
      <c r="M222" s="60"/>
      <c r="N222" s="29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idden="1">
      <c r="A223" s="2"/>
      <c r="B223" s="57" t="s">
        <v>104</v>
      </c>
      <c r="C223" s="11"/>
      <c r="D223" s="11">
        <v>90.0</v>
      </c>
      <c r="E223" s="12" t="s">
        <v>106</v>
      </c>
      <c r="F223" s="13">
        <f>'БД_УСЛУГИ_РО'!P145</f>
        <v>2500</v>
      </c>
      <c r="G223" s="29"/>
      <c r="H223" s="15"/>
      <c r="I223" s="2"/>
      <c r="J223" s="85">
        <f t="shared" ref="J223:J232" si="20">F223</f>
        <v>2500</v>
      </c>
      <c r="K223" s="84">
        <v>2500.0</v>
      </c>
      <c r="L223" s="61">
        <f>IFERROR(VLOOKUP("iPhone 6S Plus Переклейка (восстановление) вашего дисплея", 'РЕМОНТ_ЯБЛОК'!C:D, 2, 0), "Ошибка")</f>
        <v>2500</v>
      </c>
      <c r="M223" s="60"/>
      <c r="N223" s="29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idden="1">
      <c r="A224" s="2"/>
      <c r="B224" s="57" t="s">
        <v>104</v>
      </c>
      <c r="C224" s="11"/>
      <c r="D224" s="11">
        <v>90.0</v>
      </c>
      <c r="E224" s="12" t="s">
        <v>107</v>
      </c>
      <c r="F224" s="13">
        <f>'БД_УСЛУГИ_РО'!P146+'БД_ЗАПЧАСТИ'!P758</f>
        <v>3500</v>
      </c>
      <c r="G224" s="29"/>
      <c r="H224" s="62">
        <f>'БД_УСЛУГИ_РО'!P146</f>
        <v>800</v>
      </c>
      <c r="I224" s="2"/>
      <c r="J224" s="85">
        <f t="shared" si="20"/>
        <v>3500</v>
      </c>
      <c r="K224" s="84">
        <v>3500.0</v>
      </c>
      <c r="L224" s="61">
        <f>IFERROR(VLOOKUP("iPhone 6S Plus Замена основной камеры", 'РЕМОНТ_ЯБЛОК'!C:D, 2, 0), "Ошибка")</f>
        <v>3500</v>
      </c>
      <c r="M224" s="60"/>
      <c r="N224" s="29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idden="1">
      <c r="A225" s="2"/>
      <c r="B225" s="57" t="s">
        <v>104</v>
      </c>
      <c r="C225" s="11"/>
      <c r="D225" s="11">
        <v>90.0</v>
      </c>
      <c r="E225" s="12" t="s">
        <v>108</v>
      </c>
      <c r="F225" s="13">
        <f>'БД_УСЛУГИ_РО'!P147+'БД_ЗАПЧАСТИ'!P799</f>
        <v>2200</v>
      </c>
      <c r="G225" s="29"/>
      <c r="H225" s="62">
        <f>'БД_УСЛУГИ_РО'!P147</f>
        <v>900</v>
      </c>
      <c r="I225" s="2"/>
      <c r="J225" s="85">
        <f t="shared" si="20"/>
        <v>2200</v>
      </c>
      <c r="K225" s="84">
        <v>2200.0</v>
      </c>
      <c r="L225" s="61">
        <f>IFERROR(VLOOKUP("iPhone 6S Plus Замена фронтальной камеры", 'РЕМОНТ_ЯБЛОК'!C:D, 2, 0), "Ошибка")</f>
        <v>2200</v>
      </c>
      <c r="M225" s="60"/>
      <c r="N225" s="29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idden="1">
      <c r="A226" s="2"/>
      <c r="B226" s="57" t="s">
        <v>104</v>
      </c>
      <c r="C226" s="11"/>
      <c r="D226" s="11">
        <v>180.0</v>
      </c>
      <c r="E226" s="12" t="s">
        <v>52</v>
      </c>
      <c r="F226" s="13">
        <f>'БД_УСЛУГИ_РО'!P148+'БД_ЗАПЧАСТИ'!P543</f>
        <v>1100</v>
      </c>
      <c r="G226" s="29"/>
      <c r="H226" s="62">
        <f>'БД_УСЛУГИ_РО'!P148</f>
        <v>1000</v>
      </c>
      <c r="I226" s="2"/>
      <c r="J226" s="85">
        <f t="shared" si="20"/>
        <v>1100</v>
      </c>
      <c r="K226" s="84">
        <v>1100.0</v>
      </c>
      <c r="L226" s="61">
        <f>IFERROR(VLOOKUP("iPhone 6S Plus Замена стекла камеры", 'РЕМОНТ_ЯБЛОК'!C:D, 2, 0), "Ошибка")</f>
        <v>1500</v>
      </c>
      <c r="M226" s="60"/>
      <c r="N226" s="29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idden="1">
      <c r="A227" s="2"/>
      <c r="B227" s="57" t="s">
        <v>104</v>
      </c>
      <c r="C227" s="11"/>
      <c r="D227" s="11">
        <v>180.0</v>
      </c>
      <c r="E227" s="12" t="s">
        <v>56</v>
      </c>
      <c r="F227" s="13">
        <f>'БД_УСЛУГИ_РО'!P149</f>
        <v>1000</v>
      </c>
      <c r="G227" s="29"/>
      <c r="H227" s="62">
        <f>'БД_УСЛУГИ_РО'!P149</f>
        <v>1000</v>
      </c>
      <c r="I227" s="2"/>
      <c r="J227" s="85">
        <f t="shared" si="20"/>
        <v>1000</v>
      </c>
      <c r="K227" s="84">
        <v>1000.0</v>
      </c>
      <c r="L227" s="61">
        <f>IFERROR(VLOOKUP("iPhone 6S Plus Замена корпуса", 'РЕМОНТ_ЯБЛОК'!C:D, 2, 0), "Ошибка")</f>
        <v>4000</v>
      </c>
      <c r="M227" s="60"/>
      <c r="N227" s="29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idden="1">
      <c r="A228" s="2"/>
      <c r="B228" s="57" t="s">
        <v>104</v>
      </c>
      <c r="C228" s="11"/>
      <c r="D228" s="11">
        <v>90.0</v>
      </c>
      <c r="E228" s="12" t="s">
        <v>58</v>
      </c>
      <c r="F228" s="13">
        <f>'БД_УСЛУГИ_РО'!P150</f>
        <v>900</v>
      </c>
      <c r="G228" s="29"/>
      <c r="H228" s="62">
        <f>'БД_УСЛУГИ_РО'!P150</f>
        <v>900</v>
      </c>
      <c r="I228" s="2"/>
      <c r="J228" s="85">
        <f t="shared" si="20"/>
        <v>900</v>
      </c>
      <c r="K228" s="84">
        <v>900.0</v>
      </c>
      <c r="L228" s="61">
        <f>IFERROR(VLOOKUP("iPhone 6S Plus Замена кнопки Home", 'РЕМОНТ_ЯБЛОК'!C:D, 2, 0), "Ошибка")</f>
        <v>1600</v>
      </c>
      <c r="M228" s="60"/>
      <c r="N228" s="29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idden="1">
      <c r="A229" s="2"/>
      <c r="B229" s="57" t="s">
        <v>104</v>
      </c>
      <c r="C229" s="11"/>
      <c r="D229" s="11">
        <v>90.0</v>
      </c>
      <c r="E229" s="12" t="s">
        <v>59</v>
      </c>
      <c r="F229" s="13">
        <f>'БД_УСЛУГИ_РО'!P151</f>
        <v>900</v>
      </c>
      <c r="G229" s="29"/>
      <c r="H229" s="15"/>
      <c r="I229" s="2"/>
      <c r="J229" s="85">
        <f t="shared" si="20"/>
        <v>900</v>
      </c>
      <c r="K229" s="84">
        <v>900.0</v>
      </c>
      <c r="L229" s="61" t="str">
        <f>IFERROR(VLOOKUP("iPhone 6S Plus Замена кнопки включения", 'РЕМОНТ_ЯБЛОК'!C:D, 2, 0), "Ошибка") &amp; " | " &amp; IFERROR(VLOOKUP("iPhone 6S Plus Замена кнопок громкости", 'РЕМОНТ_ЯБЛОК'!C:D, 2, 0), "Ошибка")</f>
        <v>2200 | 2200</v>
      </c>
      <c r="M229" s="60"/>
      <c r="N229" s="29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idden="1">
      <c r="A230" s="2"/>
      <c r="B230" s="57" t="s">
        <v>104</v>
      </c>
      <c r="C230" s="11"/>
      <c r="D230" s="11">
        <v>90.0</v>
      </c>
      <c r="E230" s="12" t="s">
        <v>109</v>
      </c>
      <c r="F230" s="13">
        <f>'БД_УСЛУГИ_РО'!P152+'БД_ЗАПЧАСТИ'!P885</f>
        <v>1400</v>
      </c>
      <c r="G230" s="29"/>
      <c r="H230" s="62">
        <f>'БД_УСЛУГИ_РО'!P152</f>
        <v>1000</v>
      </c>
      <c r="I230" s="2"/>
      <c r="J230" s="85">
        <f t="shared" si="20"/>
        <v>1400</v>
      </c>
      <c r="K230" s="84">
        <v>1400.0</v>
      </c>
      <c r="L230" s="61">
        <f>IFERROR(VLOOKUP("iPhone 6S Plus Замена динамика", 'РЕМОНТ_ЯБЛОК'!C:D, 2, 0), "Ошибка")</f>
        <v>1400</v>
      </c>
      <c r="M230" s="60"/>
      <c r="N230" s="29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idden="1">
      <c r="A231" s="2"/>
      <c r="B231" s="57" t="s">
        <v>104</v>
      </c>
      <c r="C231" s="11"/>
      <c r="D231" s="11">
        <v>90.0</v>
      </c>
      <c r="E231" s="12" t="s">
        <v>110</v>
      </c>
      <c r="F231" s="13">
        <f>'БД_УСЛУГИ_РО'!P153+'БД_ЗАПЧАСТИ'!P843</f>
        <v>1400</v>
      </c>
      <c r="G231" s="29"/>
      <c r="H231" s="62">
        <f>'БД_УСЛУГИ_РО'!P153</f>
        <v>1000</v>
      </c>
      <c r="I231" s="2"/>
      <c r="J231" s="85">
        <f t="shared" si="20"/>
        <v>1400</v>
      </c>
      <c r="K231" s="84">
        <v>1400.0</v>
      </c>
      <c r="L231" s="61">
        <f>IFERROR(VLOOKUP("iPhone 6S Plus Замена динамика", 'РЕМОНТ_ЯБЛОК'!C:D, 2, 0), "Ошибка")</f>
        <v>1400</v>
      </c>
      <c r="M231" s="60"/>
      <c r="N231" s="29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idden="1">
      <c r="A232" s="2"/>
      <c r="B232" s="57" t="s">
        <v>104</v>
      </c>
      <c r="C232" s="11"/>
      <c r="D232" s="11">
        <v>90.0</v>
      </c>
      <c r="E232" s="32" t="s">
        <v>62</v>
      </c>
      <c r="F232" s="13">
        <f>'БД_УСЛУГИ_РО'!P154+'БД_ЗАПЧАСТИ'!P599</f>
        <v>2100</v>
      </c>
      <c r="G232" s="29"/>
      <c r="H232" s="62">
        <f>'БД_УСЛУГИ_РО'!P154</f>
        <v>1200</v>
      </c>
      <c r="I232" s="2"/>
      <c r="J232" s="85">
        <f t="shared" si="20"/>
        <v>2100</v>
      </c>
      <c r="K232" s="84">
        <v>2100.0</v>
      </c>
      <c r="L232" s="61">
        <f>IFERROR(VLOOKUP("iPhone 6S Plus Замена микрофона", 'РЕМОНТ_ЯБЛОК'!C:D, 2, 0), "Ошибка")</f>
        <v>1900</v>
      </c>
      <c r="M232" s="60"/>
      <c r="N232" s="29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idden="1">
      <c r="A233" s="2"/>
      <c r="B233" s="57" t="s">
        <v>104</v>
      </c>
      <c r="C233" s="11"/>
      <c r="D233" s="11">
        <v>90.0</v>
      </c>
      <c r="E233" s="12" t="s">
        <v>63</v>
      </c>
      <c r="F233" s="13">
        <f>'БД_УСЛУГИ_РО'!P155</f>
        <v>1800</v>
      </c>
      <c r="G233" s="29"/>
      <c r="H233" s="15"/>
      <c r="I233" s="2"/>
      <c r="J233" s="83"/>
      <c r="K233" s="84">
        <v>1800.0</v>
      </c>
      <c r="L233" s="61"/>
      <c r="M233" s="60"/>
      <c r="N233" s="29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idden="1">
      <c r="A234" s="2"/>
      <c r="B234" s="57" t="s">
        <v>104</v>
      </c>
      <c r="C234" s="11"/>
      <c r="D234" s="11">
        <v>90.0</v>
      </c>
      <c r="E234" s="12" t="s">
        <v>64</v>
      </c>
      <c r="F234" s="13">
        <f>'БД_УСЛУГИ_РО'!P156</f>
        <v>2500</v>
      </c>
      <c r="G234" s="29"/>
      <c r="H234" s="15"/>
      <c r="I234" s="2"/>
      <c r="J234" s="83"/>
      <c r="K234" s="84">
        <v>2500.0</v>
      </c>
      <c r="L234" s="61"/>
      <c r="M234" s="60"/>
      <c r="N234" s="29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idden="1">
      <c r="A235" s="2"/>
      <c r="B235" s="57" t="s">
        <v>104</v>
      </c>
      <c r="C235" s="11"/>
      <c r="D235" s="11">
        <v>90.0</v>
      </c>
      <c r="E235" s="12" t="s">
        <v>65</v>
      </c>
      <c r="F235" s="13">
        <f>'БД_УСЛУГИ_РО'!P157</f>
        <v>2500</v>
      </c>
      <c r="G235" s="29"/>
      <c r="H235" s="15"/>
      <c r="I235" s="2"/>
      <c r="J235" s="83"/>
      <c r="K235" s="84">
        <v>2500.0</v>
      </c>
      <c r="L235" s="61"/>
      <c r="M235" s="60"/>
      <c r="N235" s="29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idden="1">
      <c r="A236" s="2"/>
      <c r="B236" s="69" t="s">
        <v>104</v>
      </c>
      <c r="C236" s="36"/>
      <c r="D236" s="36">
        <v>90.0</v>
      </c>
      <c r="E236" s="70" t="s">
        <v>66</v>
      </c>
      <c r="F236" s="38">
        <f>'БД_УСЛУГИ_РО'!P158</f>
        <v>1000</v>
      </c>
      <c r="G236" s="39"/>
      <c r="H236" s="15"/>
      <c r="I236" s="2"/>
      <c r="J236" s="88">
        <f>F236</f>
        <v>1000</v>
      </c>
      <c r="K236" s="89">
        <v>1000.0</v>
      </c>
      <c r="L236" s="73">
        <f>IFERROR(VLOOKUP("iPhone 6S Plus Ремонт WI-FI", 'РЕМОНТ_ЯБЛОК'!C:D, 2, 0), "Ошибка")</f>
        <v>4000</v>
      </c>
      <c r="M236" s="74"/>
      <c r="N236" s="39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idden="1">
      <c r="A237" s="2"/>
      <c r="B237" s="1"/>
      <c r="C237" s="1"/>
      <c r="D237" s="36"/>
      <c r="E237" s="75"/>
      <c r="F237" s="80"/>
      <c r="G237" s="76"/>
      <c r="H237" s="15"/>
      <c r="I237" s="2"/>
      <c r="J237" s="90"/>
      <c r="K237" s="2" t="s">
        <v>22</v>
      </c>
      <c r="L237" s="2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idden="1">
      <c r="A238" s="2"/>
      <c r="B238" s="41" t="s">
        <v>111</v>
      </c>
      <c r="C238" s="42"/>
      <c r="D238" s="42">
        <v>0.0</v>
      </c>
      <c r="E238" s="51" t="s">
        <v>24</v>
      </c>
      <c r="F238" s="44">
        <f>'БД_УСЛУГИ_РО'!P159</f>
        <v>1</v>
      </c>
      <c r="G238" s="78"/>
      <c r="H238" s="15"/>
      <c r="I238" s="2"/>
      <c r="J238" s="81"/>
      <c r="K238" s="82">
        <v>1.0</v>
      </c>
      <c r="L238" s="55"/>
      <c r="M238" s="56"/>
      <c r="N238" s="5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idden="1">
      <c r="A239" s="2"/>
      <c r="B239" s="57" t="s">
        <v>111</v>
      </c>
      <c r="C239" s="11"/>
      <c r="D239" s="11">
        <v>0.0</v>
      </c>
      <c r="E239" s="12" t="s">
        <v>26</v>
      </c>
      <c r="F239" s="13">
        <f>'БД_УСЛУГИ_РО'!P160+'БД_УСЛУГИ_РО'!P161</f>
        <v>800</v>
      </c>
      <c r="G239" s="29"/>
      <c r="H239" s="15"/>
      <c r="I239" s="2"/>
      <c r="J239" s="83"/>
      <c r="K239" s="84">
        <v>800.0</v>
      </c>
      <c r="L239" s="61"/>
      <c r="M239" s="60"/>
      <c r="N239" s="29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idden="1">
      <c r="A240" s="2"/>
      <c r="B240" s="57" t="s">
        <v>111</v>
      </c>
      <c r="C240" s="11"/>
      <c r="D240" s="11">
        <v>0.0</v>
      </c>
      <c r="E240" s="32" t="s">
        <v>27</v>
      </c>
      <c r="F240" s="13">
        <f>'БД_УСЛУГИ_РО'!P162</f>
        <v>400</v>
      </c>
      <c r="G240" s="33" t="str">
        <f>MIN(F240:F241) &amp; " - " &amp; MAX(F240:F241)</f>
        <v>400 - 1100</v>
      </c>
      <c r="H240" s="15"/>
      <c r="I240" s="2"/>
      <c r="J240" s="83"/>
      <c r="K240" s="84">
        <v>400.0</v>
      </c>
      <c r="L240" s="61"/>
      <c r="M240" s="60"/>
      <c r="N240" s="29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idden="1">
      <c r="A241" s="2"/>
      <c r="B241" s="57" t="s">
        <v>111</v>
      </c>
      <c r="C241" s="11"/>
      <c r="D241" s="11">
        <v>0.0</v>
      </c>
      <c r="E241" s="32" t="s">
        <v>28</v>
      </c>
      <c r="F241" s="13">
        <f>'БД_УСЛУГИ_РО'!P163</f>
        <v>1100</v>
      </c>
      <c r="G241" s="28"/>
      <c r="H241" s="15"/>
      <c r="I241" s="2"/>
      <c r="J241" s="83"/>
      <c r="K241" s="84">
        <v>1100.0</v>
      </c>
      <c r="L241" s="61"/>
      <c r="M241" s="60"/>
      <c r="N241" s="29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idden="1">
      <c r="A242" s="2"/>
      <c r="B242" s="57" t="s">
        <v>111</v>
      </c>
      <c r="C242" s="11"/>
      <c r="D242" s="11">
        <v>180.0</v>
      </c>
      <c r="E242" s="12" t="s">
        <v>31</v>
      </c>
      <c r="F242" s="13">
        <f>'БД_УСЛУГИ_РО'!P164+'БД_ЗАПЧАСТИ'!P12</f>
        <v>1800</v>
      </c>
      <c r="G242" s="29"/>
      <c r="H242" s="62">
        <f>'БД_УСЛУГИ_РО'!P164</f>
        <v>1100</v>
      </c>
      <c r="I242" s="2"/>
      <c r="J242" s="85">
        <f t="shared" ref="J242:J243" si="21">F242</f>
        <v>1800</v>
      </c>
      <c r="K242" s="84">
        <v>1800.0</v>
      </c>
      <c r="L242" s="61" t="str">
        <f>IFERROR(VLOOKUP("iPhone 7 Замена аккумулятора (1960mAh) 3.8V Standard", 'РЕМОНТ_ЯБЛОК'!C:D, 2, 0), "Ошибка") &amp; " | " &amp; IFERROR(VLOOKUP("iPhone 7 Замена аккумулятора (2200mAh) 3.8V HC (повышенная емкость)", 'РЕМОНТ_ЯБЛОК'!C:D, 2, 0), "Ошибка")</f>
        <v>1800 | 2200</v>
      </c>
      <c r="M242" s="60"/>
      <c r="N242" s="29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idden="1">
      <c r="A243" s="2"/>
      <c r="B243" s="57" t="s">
        <v>111</v>
      </c>
      <c r="C243" s="11"/>
      <c r="D243" s="11">
        <v>90.0</v>
      </c>
      <c r="E243" s="12" t="s">
        <v>112</v>
      </c>
      <c r="F243" s="13">
        <f>'БД_УСЛУГИ_РО'!P165+'БД_ЗАПЧАСТИ'!P601</f>
        <v>2200</v>
      </c>
      <c r="G243" s="29"/>
      <c r="H243" s="62">
        <f>'БД_УСЛУГИ_РО'!P165</f>
        <v>1200</v>
      </c>
      <c r="I243" s="2"/>
      <c r="J243" s="85">
        <f t="shared" si="21"/>
        <v>2200</v>
      </c>
      <c r="K243" s="84">
        <v>2200.0</v>
      </c>
      <c r="L243" s="11">
        <f>IFERROR(VLOOKUP("iPhone 7 Разъем питания", 'РЕМОНТ_ЯБЛОК'!C:D, 2, 0), "Ошибка")</f>
        <v>2200</v>
      </c>
      <c r="M243" s="60"/>
      <c r="N243" s="29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idden="1">
      <c r="A244" s="2"/>
      <c r="B244" s="57" t="s">
        <v>111</v>
      </c>
      <c r="C244" s="11"/>
      <c r="D244" s="11">
        <v>90.0</v>
      </c>
      <c r="E244" s="12" t="s">
        <v>38</v>
      </c>
      <c r="F244" s="13">
        <f>'БД_УСЛУГИ_РО'!P166+'БД_ЗАПЧАСТИ'!P170</f>
        <v>3000</v>
      </c>
      <c r="G244" s="33" t="str">
        <f>IFERROR(__xludf.DUMMYFUNCTION("MIN(FILTER(F244:F246, F244:F246 &lt;&gt; H244:H246)) &amp; "" - "" &amp; MAX(FILTER(F244:F246, F244:F246 &lt;&gt; H244:H246))"),"2550 - 3000")</f>
        <v>2550 - 3000</v>
      </c>
      <c r="H244" s="62">
        <f>'БД_УСЛУГИ_РО'!P166</f>
        <v>1300</v>
      </c>
      <c r="I244" s="2"/>
      <c r="J244" s="86">
        <f>IFERROR(__xludf.DUMMYFUNCTION("MIN(FILTER(F244:F245, F244:F245 &lt;&gt; H244:H245, F244:F245 &lt;&gt; """"))"),2550.0)</f>
        <v>2550</v>
      </c>
      <c r="K244" s="84">
        <v>3000.0</v>
      </c>
      <c r="L244" s="65">
        <f>IFERROR(VLOOKUP("iPhone 7 Замена дисплея (оригинал)", 'РЕМОНТ_ЯБЛОК'!C:D, 2, 0), "Ошибка")</f>
        <v>2500</v>
      </c>
      <c r="M244" s="60"/>
      <c r="N244" s="29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idden="1">
      <c r="A245" s="2"/>
      <c r="B245" s="57" t="s">
        <v>111</v>
      </c>
      <c r="C245" s="11"/>
      <c r="D245" s="11">
        <v>90.0</v>
      </c>
      <c r="E245" s="12" t="s">
        <v>41</v>
      </c>
      <c r="F245" s="13">
        <f>'БД_УСЛУГИ_РО'!P166+'БД_ЗАПЧАСТИ'!P172</f>
        <v>2550</v>
      </c>
      <c r="G245" s="19"/>
      <c r="H245" s="62">
        <f>'БД_УСЛУГИ_РО'!P166</f>
        <v>1300</v>
      </c>
      <c r="I245" s="2"/>
      <c r="J245" s="87"/>
      <c r="K245" s="84">
        <v>2550.0</v>
      </c>
      <c r="L245" s="67"/>
      <c r="M245" s="60"/>
      <c r="N245" s="29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idden="1">
      <c r="A246" s="2"/>
      <c r="B246" s="57" t="s">
        <v>111</v>
      </c>
      <c r="C246" s="11"/>
      <c r="D246" s="11">
        <v>90.0</v>
      </c>
      <c r="E246" s="12" t="s">
        <v>44</v>
      </c>
      <c r="F246" s="13">
        <f>'БД_УСЛУГИ_РО'!P166</f>
        <v>1300</v>
      </c>
      <c r="G246" s="28"/>
      <c r="H246" s="62">
        <f>'БД_УСЛУГИ_РО'!P166</f>
        <v>1300</v>
      </c>
      <c r="I246" s="2"/>
      <c r="J246" s="83" t="str">
        <f>IF(F246=H246, "", F246)</f>
        <v/>
      </c>
      <c r="K246" s="84">
        <v>1300.0</v>
      </c>
      <c r="L246" s="61">
        <f>IFERROR(VLOOKUP("iPhone 7 Замена дисплея (аналог)", 'РЕМОНТ_ЯБЛОК'!C:D, 2, 0), "Ошибка")</f>
        <v>2000</v>
      </c>
      <c r="M246" s="60"/>
      <c r="N246" s="29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idden="1">
      <c r="A247" s="2"/>
      <c r="B247" s="57" t="s">
        <v>111</v>
      </c>
      <c r="C247" s="11"/>
      <c r="D247" s="11">
        <v>90.0</v>
      </c>
      <c r="E247" s="12" t="s">
        <v>113</v>
      </c>
      <c r="F247" s="13">
        <f>'БД_УСЛУГИ_РО'!P167</f>
        <v>2000</v>
      </c>
      <c r="G247" s="29"/>
      <c r="H247" s="15"/>
      <c r="I247" s="2"/>
      <c r="J247" s="85">
        <f t="shared" ref="J247:J256" si="22">F247</f>
        <v>2000</v>
      </c>
      <c r="K247" s="84">
        <v>2000.0</v>
      </c>
      <c r="L247" s="61">
        <f>IFERROR(VLOOKUP("iPhone 7 Переклейка (восстановление) вашего дисплея", 'РЕМОНТ_ЯБЛОК'!C:D, 2, 0), "Ошибка")</f>
        <v>2000</v>
      </c>
      <c r="M247" s="60"/>
      <c r="N247" s="29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idden="1">
      <c r="A248" s="2"/>
      <c r="B248" s="57" t="s">
        <v>111</v>
      </c>
      <c r="C248" s="11"/>
      <c r="D248" s="11">
        <v>90.0</v>
      </c>
      <c r="E248" s="12" t="s">
        <v>114</v>
      </c>
      <c r="F248" s="13">
        <f>'БД_УСЛУГИ_РО'!P168+'БД_ЗАПЧАСТИ'!P759</f>
        <v>3500</v>
      </c>
      <c r="G248" s="29"/>
      <c r="H248" s="62">
        <f>'БД_УСЛУГИ_РО'!P168</f>
        <v>1400</v>
      </c>
      <c r="I248" s="2"/>
      <c r="J248" s="85">
        <f t="shared" si="22"/>
        <v>3500</v>
      </c>
      <c r="K248" s="84">
        <v>3500.0</v>
      </c>
      <c r="L248" s="61">
        <f>IFERROR(VLOOKUP("iPhone 7 Замена основной камеры", 'РЕМОНТ_ЯБЛОК'!C:D, 2, 0), "Ошибка")</f>
        <v>3500</v>
      </c>
      <c r="M248" s="60"/>
      <c r="N248" s="29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idden="1">
      <c r="A249" s="2"/>
      <c r="B249" s="57" t="s">
        <v>111</v>
      </c>
      <c r="C249" s="11"/>
      <c r="D249" s="11">
        <v>90.0</v>
      </c>
      <c r="E249" s="12" t="s">
        <v>115</v>
      </c>
      <c r="F249" s="13">
        <f>'БД_УСЛУГИ_РО'!P169+'БД_ЗАПЧАСТИ'!P800</f>
        <v>2500</v>
      </c>
      <c r="G249" s="29"/>
      <c r="H249" s="62">
        <f>'БД_УСЛУГИ_РО'!P169</f>
        <v>1500</v>
      </c>
      <c r="I249" s="2"/>
      <c r="J249" s="85">
        <f t="shared" si="22"/>
        <v>2500</v>
      </c>
      <c r="K249" s="84">
        <v>2500.0</v>
      </c>
      <c r="L249" s="61">
        <f>IFERROR(VLOOKUP("iPhone 7 Замена фронтальной камеры", 'РЕМОНТ_ЯБЛОК'!C:D, 2, 0), "Ошибка")</f>
        <v>2500</v>
      </c>
      <c r="M249" s="60"/>
      <c r="N249" s="29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idden="1">
      <c r="A250" s="2"/>
      <c r="B250" s="57" t="s">
        <v>111</v>
      </c>
      <c r="C250" s="11"/>
      <c r="D250" s="11">
        <v>180.0</v>
      </c>
      <c r="E250" s="12" t="s">
        <v>52</v>
      </c>
      <c r="F250" s="13">
        <f>'БД_УСЛУГИ_РО'!P170+'БД_ЗАПЧАСТИ'!P544</f>
        <v>1500</v>
      </c>
      <c r="G250" s="29"/>
      <c r="H250" s="62">
        <f>'БД_УСЛУГИ_РО'!P170</f>
        <v>1200</v>
      </c>
      <c r="I250" s="2"/>
      <c r="J250" s="85">
        <f t="shared" si="22"/>
        <v>1500</v>
      </c>
      <c r="K250" s="84">
        <v>1500.0</v>
      </c>
      <c r="L250" s="61">
        <f>IFERROR(VLOOKUP("iPhone 7 Замена стекла камеры", 'РЕМОНТ_ЯБЛОК'!C:D, 2, 0), "Ошибка")</f>
        <v>1500</v>
      </c>
      <c r="M250" s="60"/>
      <c r="N250" s="29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idden="1">
      <c r="A251" s="2"/>
      <c r="B251" s="57" t="s">
        <v>111</v>
      </c>
      <c r="C251" s="11"/>
      <c r="D251" s="11">
        <v>180.0</v>
      </c>
      <c r="E251" s="12" t="s">
        <v>56</v>
      </c>
      <c r="F251" s="13">
        <f>'БД_УСЛУГИ_РО'!P171</f>
        <v>1500</v>
      </c>
      <c r="G251" s="29"/>
      <c r="H251" s="62">
        <f>'БД_УСЛУГИ_РО'!P171</f>
        <v>1500</v>
      </c>
      <c r="I251" s="2"/>
      <c r="J251" s="85">
        <f t="shared" si="22"/>
        <v>1500</v>
      </c>
      <c r="K251" s="84">
        <v>1500.0</v>
      </c>
      <c r="L251" s="61">
        <f>IFERROR(VLOOKUP("iPhone 7 Замена корпуса", 'РЕМОНТ_ЯБЛОК'!C:D, 2, 0), "Ошибка")</f>
        <v>4000</v>
      </c>
      <c r="M251" s="60"/>
      <c r="N251" s="29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idden="1">
      <c r="A252" s="2"/>
      <c r="B252" s="57" t="s">
        <v>111</v>
      </c>
      <c r="C252" s="11"/>
      <c r="D252" s="11">
        <v>90.0</v>
      </c>
      <c r="E252" s="12" t="s">
        <v>58</v>
      </c>
      <c r="F252" s="13">
        <f>'БД_УСЛУГИ_РО'!P172</f>
        <v>2000</v>
      </c>
      <c r="G252" s="29"/>
      <c r="H252" s="62">
        <f>'БД_УСЛУГИ_РО'!P172</f>
        <v>2000</v>
      </c>
      <c r="I252" s="2"/>
      <c r="J252" s="85">
        <f t="shared" si="22"/>
        <v>2000</v>
      </c>
      <c r="K252" s="84">
        <v>2000.0</v>
      </c>
      <c r="L252" s="61">
        <f>IFERROR(VLOOKUP("iPhone 7 Замена кнопки Home", 'РЕМОНТ_ЯБЛОК'!C:D, 2, 0), "Ошибка")</f>
        <v>2500</v>
      </c>
      <c r="M252" s="60"/>
      <c r="N252" s="29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idden="1">
      <c r="A253" s="2"/>
      <c r="B253" s="57" t="s">
        <v>111</v>
      </c>
      <c r="C253" s="11"/>
      <c r="D253" s="11">
        <v>90.0</v>
      </c>
      <c r="E253" s="12" t="s">
        <v>59</v>
      </c>
      <c r="F253" s="13">
        <f>'БД_УСЛУГИ_РО'!P173</f>
        <v>1200</v>
      </c>
      <c r="G253" s="29"/>
      <c r="H253" s="15"/>
      <c r="I253" s="2"/>
      <c r="J253" s="85">
        <f t="shared" si="22"/>
        <v>1200</v>
      </c>
      <c r="K253" s="84">
        <v>1200.0</v>
      </c>
      <c r="L253" s="61" t="str">
        <f>IFERROR(VLOOKUP("iPhone 7 Замена кнопки включения", 'РЕМОНТ_ЯБЛОК'!C:D, 2, 0), "Ошибка") &amp; " | " &amp; IFERROR(VLOOKUP("iPhone 7 Замена кнопок громкости", 'РЕМОНТ_ЯБЛОК'!C:D, 2, 0), "Ошибка")</f>
        <v>2200 | 2200</v>
      </c>
      <c r="M253" s="60"/>
      <c r="N253" s="29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idden="1">
      <c r="A254" s="2"/>
      <c r="B254" s="57" t="s">
        <v>111</v>
      </c>
      <c r="C254" s="11"/>
      <c r="D254" s="11">
        <v>90.0</v>
      </c>
      <c r="E254" s="12" t="s">
        <v>116</v>
      </c>
      <c r="F254" s="13">
        <f>'БД_УСЛУГИ_РО'!P174+'БД_ЗАПЧАСТИ'!P886</f>
        <v>1600</v>
      </c>
      <c r="G254" s="29"/>
      <c r="H254" s="62">
        <f>'БД_УСЛУГИ_РО'!P174</f>
        <v>1500</v>
      </c>
      <c r="I254" s="2"/>
      <c r="J254" s="85">
        <f t="shared" si="22"/>
        <v>1600</v>
      </c>
      <c r="K254" s="84">
        <v>1600.0</v>
      </c>
      <c r="L254" s="61">
        <f>IFERROR(VLOOKUP("iPhone 7 Замена динамика", 'РЕМОНТ_ЯБЛОК'!C:D, 2, 0), "Ошибка")</f>
        <v>1400</v>
      </c>
      <c r="M254" s="60"/>
      <c r="N254" s="29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idden="1">
      <c r="A255" s="2"/>
      <c r="B255" s="57" t="s">
        <v>111</v>
      </c>
      <c r="C255" s="11"/>
      <c r="D255" s="11">
        <v>90.0</v>
      </c>
      <c r="E255" s="12" t="s">
        <v>117</v>
      </c>
      <c r="F255" s="13">
        <f>'БД_УСЛУГИ_РО'!P175+'БД_ЗАПЧАСТИ'!P844</f>
        <v>1550</v>
      </c>
      <c r="G255" s="29"/>
      <c r="H255" s="62">
        <f>'БД_УСЛУГИ_РО'!P175</f>
        <v>1500</v>
      </c>
      <c r="I255" s="2"/>
      <c r="J255" s="85">
        <f t="shared" si="22"/>
        <v>1550</v>
      </c>
      <c r="K255" s="84">
        <v>1550.0</v>
      </c>
      <c r="L255" s="61">
        <f>IFERROR(VLOOKUP("iPhone 7 Замена динамика", 'РЕМОНТ_ЯБЛОК'!C:D, 2, 0), "Ошибка")</f>
        <v>1400</v>
      </c>
      <c r="M255" s="60"/>
      <c r="N255" s="29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idden="1">
      <c r="A256" s="2"/>
      <c r="B256" s="57" t="s">
        <v>111</v>
      </c>
      <c r="C256" s="11"/>
      <c r="D256" s="11">
        <v>90.0</v>
      </c>
      <c r="E256" s="32" t="s">
        <v>62</v>
      </c>
      <c r="F256" s="13">
        <f>'БД_УСЛУГИ_РО'!P176+'БД_ЗАПЧАСТИ'!P601</f>
        <v>2700</v>
      </c>
      <c r="G256" s="29"/>
      <c r="H256" s="62">
        <f>'БД_УСЛУГИ_РО'!P176</f>
        <v>1700</v>
      </c>
      <c r="I256" s="2"/>
      <c r="J256" s="85">
        <f t="shared" si="22"/>
        <v>2700</v>
      </c>
      <c r="K256" s="84">
        <v>2700.0</v>
      </c>
      <c r="L256" s="61">
        <f>IFERROR(VLOOKUP("iPhone 7 Замена микрофона", 'РЕМОНТ_ЯБЛОК'!C:D, 2, 0), "Ошибка")</f>
        <v>2200</v>
      </c>
      <c r="M256" s="60"/>
      <c r="N256" s="29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idden="1">
      <c r="A257" s="2"/>
      <c r="B257" s="57" t="s">
        <v>111</v>
      </c>
      <c r="C257" s="11"/>
      <c r="D257" s="11">
        <v>90.0</v>
      </c>
      <c r="E257" s="12" t="s">
        <v>63</v>
      </c>
      <c r="F257" s="13">
        <f>'БД_УСЛУГИ_РО'!P177</f>
        <v>2000</v>
      </c>
      <c r="G257" s="29"/>
      <c r="H257" s="15"/>
      <c r="I257" s="2"/>
      <c r="J257" s="83"/>
      <c r="K257" s="84">
        <v>2000.0</v>
      </c>
      <c r="L257" s="61"/>
      <c r="M257" s="60"/>
      <c r="N257" s="29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idden="1">
      <c r="A258" s="2"/>
      <c r="B258" s="57" t="s">
        <v>111</v>
      </c>
      <c r="C258" s="11"/>
      <c r="D258" s="11">
        <v>90.0</v>
      </c>
      <c r="E258" s="12" t="s">
        <v>64</v>
      </c>
      <c r="F258" s="13">
        <f>'БД_УСЛУГИ_РО'!P178</f>
        <v>2500</v>
      </c>
      <c r="G258" s="29"/>
      <c r="H258" s="15"/>
      <c r="I258" s="2"/>
      <c r="J258" s="83"/>
      <c r="K258" s="84">
        <v>2500.0</v>
      </c>
      <c r="L258" s="61"/>
      <c r="M258" s="60"/>
      <c r="N258" s="29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idden="1">
      <c r="A259" s="2"/>
      <c r="B259" s="57" t="s">
        <v>111</v>
      </c>
      <c r="C259" s="11"/>
      <c r="D259" s="11">
        <v>90.0</v>
      </c>
      <c r="E259" s="12" t="s">
        <v>65</v>
      </c>
      <c r="F259" s="13">
        <f>'БД_УСЛУГИ_РО'!P179</f>
        <v>2500</v>
      </c>
      <c r="G259" s="29"/>
      <c r="H259" s="15"/>
      <c r="I259" s="2"/>
      <c r="J259" s="83"/>
      <c r="K259" s="84">
        <v>2500.0</v>
      </c>
      <c r="L259" s="61"/>
      <c r="M259" s="60"/>
      <c r="N259" s="29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idden="1">
      <c r="A260" s="2"/>
      <c r="B260" s="69" t="s">
        <v>111</v>
      </c>
      <c r="C260" s="36"/>
      <c r="D260" s="36">
        <v>90.0</v>
      </c>
      <c r="E260" s="70" t="s">
        <v>66</v>
      </c>
      <c r="F260" s="38">
        <f>'БД_УСЛУГИ_РО'!P180</f>
        <v>1000</v>
      </c>
      <c r="G260" s="39"/>
      <c r="H260" s="15"/>
      <c r="I260" s="2"/>
      <c r="J260" s="88">
        <f>F260</f>
        <v>1000</v>
      </c>
      <c r="K260" s="89">
        <v>1000.0</v>
      </c>
      <c r="L260" s="73">
        <f>IFERROR(VLOOKUP("iPhone 7 Ремонт WI-FI", 'РЕМОНТ_ЯБЛОК'!C:D, 2, 0), "Ошибка")</f>
        <v>4500</v>
      </c>
      <c r="M260" s="74"/>
      <c r="N260" s="39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idden="1">
      <c r="A261" s="2"/>
      <c r="B261" s="1"/>
      <c r="C261" s="1"/>
      <c r="D261" s="36"/>
      <c r="E261" s="75"/>
      <c r="F261" s="80"/>
      <c r="G261" s="76"/>
      <c r="H261" s="15"/>
      <c r="I261" s="2"/>
      <c r="J261" s="90"/>
      <c r="K261" s="2" t="s">
        <v>22</v>
      </c>
      <c r="L261" s="2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idden="1">
      <c r="A262" s="2"/>
      <c r="B262" s="41" t="s">
        <v>118</v>
      </c>
      <c r="C262" s="42"/>
      <c r="D262" s="42">
        <v>0.0</v>
      </c>
      <c r="E262" s="51" t="s">
        <v>24</v>
      </c>
      <c r="F262" s="44">
        <f>'БД_УСЛУГИ_РО'!P181</f>
        <v>1</v>
      </c>
      <c r="G262" s="78"/>
      <c r="H262" s="15"/>
      <c r="I262" s="2"/>
      <c r="J262" s="81"/>
      <c r="K262" s="82">
        <v>1.0</v>
      </c>
      <c r="L262" s="55"/>
      <c r="M262" s="56"/>
      <c r="N262" s="5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idden="1">
      <c r="A263" s="2"/>
      <c r="B263" s="57" t="s">
        <v>118</v>
      </c>
      <c r="C263" s="11"/>
      <c r="D263" s="11">
        <v>0.0</v>
      </c>
      <c r="E263" s="12" t="s">
        <v>26</v>
      </c>
      <c r="F263" s="13">
        <f>'БД_УСЛУГИ_РО'!P182+'БД_УСЛУГИ_РО'!P183</f>
        <v>800</v>
      </c>
      <c r="G263" s="29"/>
      <c r="H263" s="15"/>
      <c r="I263" s="2"/>
      <c r="J263" s="83"/>
      <c r="K263" s="84">
        <v>800.0</v>
      </c>
      <c r="L263" s="61"/>
      <c r="M263" s="60"/>
      <c r="N263" s="29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idden="1">
      <c r="A264" s="2"/>
      <c r="B264" s="57" t="s">
        <v>118</v>
      </c>
      <c r="C264" s="11"/>
      <c r="D264" s="11">
        <v>0.0</v>
      </c>
      <c r="E264" s="32" t="s">
        <v>27</v>
      </c>
      <c r="F264" s="13">
        <f>'БД_УСЛУГИ_РО'!P184</f>
        <v>400</v>
      </c>
      <c r="G264" s="33" t="str">
        <f>MIN(F264:F265) &amp; " - " &amp; MAX(F264:F265)</f>
        <v>400 - 1100</v>
      </c>
      <c r="H264" s="15"/>
      <c r="I264" s="2"/>
      <c r="J264" s="83"/>
      <c r="K264" s="84">
        <v>400.0</v>
      </c>
      <c r="L264" s="61"/>
      <c r="M264" s="60"/>
      <c r="N264" s="29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idden="1">
      <c r="A265" s="2"/>
      <c r="B265" s="57" t="s">
        <v>118</v>
      </c>
      <c r="C265" s="11"/>
      <c r="D265" s="11">
        <v>0.0</v>
      </c>
      <c r="E265" s="32" t="s">
        <v>28</v>
      </c>
      <c r="F265" s="13">
        <f>'БД_УСЛУГИ_РО'!P185</f>
        <v>1100</v>
      </c>
      <c r="G265" s="28"/>
      <c r="H265" s="15"/>
      <c r="I265" s="2"/>
      <c r="J265" s="83"/>
      <c r="K265" s="84">
        <v>1100.0</v>
      </c>
      <c r="L265" s="61"/>
      <c r="M265" s="60"/>
      <c r="N265" s="29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idden="1">
      <c r="A266" s="2"/>
      <c r="B266" s="57" t="s">
        <v>118</v>
      </c>
      <c r="C266" s="11"/>
      <c r="D266" s="11">
        <v>180.0</v>
      </c>
      <c r="E266" s="12" t="s">
        <v>31</v>
      </c>
      <c r="F266" s="13">
        <f>'БД_УСЛУГИ_РО'!P186+'БД_ЗАПЧАСТИ'!P13</f>
        <v>2000</v>
      </c>
      <c r="G266" s="29"/>
      <c r="H266" s="62">
        <f>'БД_УСЛУГИ_РО'!P186</f>
        <v>1100</v>
      </c>
      <c r="I266" s="2"/>
      <c r="J266" s="85">
        <f t="shared" ref="J266:J267" si="23">F266</f>
        <v>2000</v>
      </c>
      <c r="K266" s="84">
        <v>2000.0</v>
      </c>
      <c r="L266" s="61" t="str">
        <f>IFERROR(VLOOKUP("iPhone 7 Plus Замена аккумулятора (2910mAh) 3.82V Standard", 'РЕМОНТ_ЯБЛОК'!C:D, 2, 0), "Ошибка") &amp; " | " &amp; IFERROR(VLOOKUP("iPhone 7 Plus Замена аккумулятора (3410mAh) 3.82V HC (повышенная емкость)", 'РЕМОНТ_ЯБЛОК'!C:D, 2, 0), "Ошибка")</f>
        <v>2000 | 2400</v>
      </c>
      <c r="M266" s="60"/>
      <c r="N266" s="29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idden="1">
      <c r="A267" s="2"/>
      <c r="B267" s="57" t="s">
        <v>118</v>
      </c>
      <c r="C267" s="11"/>
      <c r="D267" s="11">
        <v>90.0</v>
      </c>
      <c r="E267" s="12" t="s">
        <v>119</v>
      </c>
      <c r="F267" s="13">
        <f>'БД_УСЛУГИ_РО'!P187+'БД_ЗАПЧАСТИ'!P603</f>
        <v>2400</v>
      </c>
      <c r="G267" s="29"/>
      <c r="H267" s="62">
        <f>'БД_УСЛУГИ_РО'!P187</f>
        <v>1200</v>
      </c>
      <c r="I267" s="2"/>
      <c r="J267" s="85">
        <f t="shared" si="23"/>
        <v>2400</v>
      </c>
      <c r="K267" s="84">
        <v>2400.0</v>
      </c>
      <c r="L267" s="11">
        <f>IFERROR(VLOOKUP("iPhone 7 Plus Разъем питания", 'РЕМОНТ_ЯБЛОК'!C:D, 2, 0), "Ошибка")</f>
        <v>2400</v>
      </c>
      <c r="M267" s="60"/>
      <c r="N267" s="29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idden="1">
      <c r="A268" s="2"/>
      <c r="B268" s="57" t="s">
        <v>118</v>
      </c>
      <c r="C268" s="11"/>
      <c r="D268" s="11">
        <v>90.0</v>
      </c>
      <c r="E268" s="12" t="s">
        <v>38</v>
      </c>
      <c r="F268" s="13">
        <f>'БД_УСЛУГИ_РО'!P188+'БД_ЗАПЧАСТИ'!P174</f>
        <v>4500</v>
      </c>
      <c r="G268" s="33" t="str">
        <f>IFERROR(__xludf.DUMMYFUNCTION("MIN(FILTER(F268:F270, F268:F270 &lt;&gt; H268:H270)) &amp; "" - "" &amp; MAX(FILTER(F268:F270, F268:F270 &lt;&gt; H268:H270))"),"4100 - 4500")</f>
        <v>4100 - 4500</v>
      </c>
      <c r="H268" s="62">
        <f>'БД_УСЛУГИ_РО'!P188</f>
        <v>1300</v>
      </c>
      <c r="I268" s="2"/>
      <c r="J268" s="86">
        <f>IFERROR(__xludf.DUMMYFUNCTION("MIN(FILTER(F268:F269, F268:F269 &lt;&gt; H268:H269, F268:F269 &lt;&gt; """"))"),4100.0)</f>
        <v>4100</v>
      </c>
      <c r="K268" s="84">
        <v>4500.0</v>
      </c>
      <c r="L268" s="65">
        <f>IFERROR(VLOOKUP("iPhone 7 Plus Замена дисплея (оригинал)", 'РЕМОНТ_ЯБЛОК'!C:D, 2, 0), "Ошибка")</f>
        <v>3000</v>
      </c>
      <c r="M268" s="60"/>
      <c r="N268" s="29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idden="1">
      <c r="A269" s="2"/>
      <c r="B269" s="57" t="s">
        <v>118</v>
      </c>
      <c r="C269" s="11"/>
      <c r="D269" s="11">
        <v>90.0</v>
      </c>
      <c r="E269" s="12" t="s">
        <v>41</v>
      </c>
      <c r="F269" s="13">
        <f>'БД_УСЛУГИ_РО'!P188+'БД_ЗАПЧАСТИ'!P176</f>
        <v>4100</v>
      </c>
      <c r="G269" s="19"/>
      <c r="H269" s="62">
        <f>'БД_УСЛУГИ_РО'!P188</f>
        <v>1300</v>
      </c>
      <c r="I269" s="2"/>
      <c r="J269" s="87"/>
      <c r="K269" s="84">
        <v>4100.0</v>
      </c>
      <c r="L269" s="67"/>
      <c r="M269" s="60"/>
      <c r="N269" s="29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idden="1">
      <c r="A270" s="2"/>
      <c r="B270" s="57" t="s">
        <v>118</v>
      </c>
      <c r="C270" s="11"/>
      <c r="D270" s="11">
        <v>90.0</v>
      </c>
      <c r="E270" s="12" t="s">
        <v>44</v>
      </c>
      <c r="F270" s="13">
        <f>'БД_УСЛУГИ_РО'!P188</f>
        <v>1300</v>
      </c>
      <c r="G270" s="28"/>
      <c r="H270" s="62">
        <f>'БД_УСЛУГИ_РО'!P188</f>
        <v>1300</v>
      </c>
      <c r="I270" s="2"/>
      <c r="J270" s="83" t="str">
        <f>IF(F270=H270, "", F270)</f>
        <v/>
      </c>
      <c r="K270" s="84">
        <v>1300.0</v>
      </c>
      <c r="L270" s="61">
        <f>IFERROR(VLOOKUP("iPhone 7 Plus Замена дисплея (аналог)", 'РЕМОНТ_ЯБЛОК'!C:D, 2, 0), "Ошибка")</f>
        <v>2500</v>
      </c>
      <c r="M270" s="60"/>
      <c r="N270" s="29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idden="1">
      <c r="A271" s="2"/>
      <c r="B271" s="57" t="s">
        <v>118</v>
      </c>
      <c r="C271" s="11"/>
      <c r="D271" s="11">
        <v>90.0</v>
      </c>
      <c r="E271" s="12" t="s">
        <v>120</v>
      </c>
      <c r="F271" s="13">
        <f>'БД_УСЛУГИ_РО'!P189</f>
        <v>2500</v>
      </c>
      <c r="G271" s="29"/>
      <c r="H271" s="15"/>
      <c r="I271" s="2"/>
      <c r="J271" s="85">
        <f t="shared" ref="J271:J277" si="24">F271</f>
        <v>2500</v>
      </c>
      <c r="K271" s="84">
        <v>2500.0</v>
      </c>
      <c r="L271" s="61">
        <f>IFERROR(VLOOKUP("iPhone 7 Plus Переклейка (восстановление) вашего дисплея", 'РЕМОНТ_ЯБЛОК'!C:D, 2, 0), "Ошибка")</f>
        <v>2500</v>
      </c>
      <c r="M271" s="60"/>
      <c r="N271" s="29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idden="1">
      <c r="A272" s="2"/>
      <c r="B272" s="57" t="s">
        <v>118</v>
      </c>
      <c r="C272" s="11"/>
      <c r="D272" s="11">
        <v>90.0</v>
      </c>
      <c r="E272" s="12" t="s">
        <v>121</v>
      </c>
      <c r="F272" s="13">
        <f>'БД_УСЛУГИ_РО'!P190+'БД_ЗАПЧАСТИ'!P760</f>
        <v>4500</v>
      </c>
      <c r="G272" s="29"/>
      <c r="H272" s="62">
        <f>'БД_УСЛУГИ_РО'!P190</f>
        <v>1400</v>
      </c>
      <c r="I272" s="2"/>
      <c r="J272" s="85">
        <f t="shared" si="24"/>
        <v>4500</v>
      </c>
      <c r="K272" s="84">
        <v>4500.0</v>
      </c>
      <c r="L272" s="61">
        <f>IFERROR(VLOOKUP("iPhone 7 Plus Замена основной камеры", 'РЕМОНТ_ЯБЛОК'!C:D, 2, 0), "Ошибка")</f>
        <v>4500</v>
      </c>
      <c r="M272" s="60"/>
      <c r="N272" s="29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idden="1">
      <c r="A273" s="2"/>
      <c r="B273" s="57" t="s">
        <v>118</v>
      </c>
      <c r="C273" s="11"/>
      <c r="D273" s="11">
        <v>90.0</v>
      </c>
      <c r="E273" s="12" t="s">
        <v>122</v>
      </c>
      <c r="F273" s="13">
        <f>'БД_УСЛУГИ_РО'!P192+'БД_ЗАПЧАСТИ'!P801</f>
        <v>3450</v>
      </c>
      <c r="G273" s="29"/>
      <c r="H273" s="62">
        <f>'БД_УСЛУГИ_РО'!P192</f>
        <v>1200</v>
      </c>
      <c r="I273" s="2"/>
      <c r="J273" s="85">
        <f t="shared" si="24"/>
        <v>3450</v>
      </c>
      <c r="K273" s="84">
        <v>3450.0</v>
      </c>
      <c r="L273" s="61">
        <f>IFERROR(VLOOKUP("iPhone 7 Plus Замена фронтальной камеры", 'РЕМОНТ_ЯБЛОК'!C:D, 2, 0), "Ошибка")</f>
        <v>3500</v>
      </c>
      <c r="M273" s="60"/>
      <c r="N273" s="29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idden="1">
      <c r="A274" s="2"/>
      <c r="B274" s="57" t="s">
        <v>118</v>
      </c>
      <c r="C274" s="11"/>
      <c r="D274" s="11">
        <v>180.0</v>
      </c>
      <c r="E274" s="12" t="s">
        <v>52</v>
      </c>
      <c r="F274" s="13">
        <f>'БД_УСЛУГИ_РО'!P192+'БД_ЗАПЧАСТИ'!P545</f>
        <v>1500</v>
      </c>
      <c r="G274" s="29"/>
      <c r="H274" s="62">
        <f>'БД_УСЛУГИ_РО'!P192</f>
        <v>1200</v>
      </c>
      <c r="I274" s="2"/>
      <c r="J274" s="85">
        <f t="shared" si="24"/>
        <v>1500</v>
      </c>
      <c r="K274" s="84">
        <v>1500.0</v>
      </c>
      <c r="L274" s="61">
        <f>IFERROR(VLOOKUP("iPhone 7 Plus Замена стекла камеры", 'РЕМОНТ_ЯБЛОК'!C:D, 2, 0), "Ошибка")</f>
        <v>1500</v>
      </c>
      <c r="M274" s="60"/>
      <c r="N274" s="29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idden="1">
      <c r="A275" s="2"/>
      <c r="B275" s="57" t="s">
        <v>118</v>
      </c>
      <c r="C275" s="11"/>
      <c r="D275" s="11">
        <v>180.0</v>
      </c>
      <c r="E275" s="12" t="s">
        <v>56</v>
      </c>
      <c r="F275" s="13">
        <f>'БД_УСЛУГИ_РО'!P191</f>
        <v>1500</v>
      </c>
      <c r="G275" s="29"/>
      <c r="H275" s="62">
        <f>'БД_УСЛУГИ_РО'!P191</f>
        <v>1500</v>
      </c>
      <c r="I275" s="2"/>
      <c r="J275" s="85">
        <f t="shared" si="24"/>
        <v>1500</v>
      </c>
      <c r="K275" s="84">
        <v>1500.0</v>
      </c>
      <c r="L275" s="61">
        <f>IFERROR(VLOOKUP("iPhone 7 Plus Замена фронтальной камеры", 'РЕМОНТ_ЯБЛОК'!C:D, 2, 0), "Ошибка")</f>
        <v>3500</v>
      </c>
      <c r="M275" s="60"/>
      <c r="N275" s="29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idden="1">
      <c r="A276" s="2"/>
      <c r="B276" s="57" t="s">
        <v>118</v>
      </c>
      <c r="C276" s="11"/>
      <c r="D276" s="11">
        <v>90.0</v>
      </c>
      <c r="E276" s="12" t="s">
        <v>58</v>
      </c>
      <c r="F276" s="13">
        <f>'БД_УСЛУГИ_РО'!P194</f>
        <v>2000</v>
      </c>
      <c r="G276" s="29"/>
      <c r="H276" s="62">
        <f>'БД_УСЛУГИ_РО'!P194</f>
        <v>2000</v>
      </c>
      <c r="I276" s="2"/>
      <c r="J276" s="85">
        <f t="shared" si="24"/>
        <v>2000</v>
      </c>
      <c r="K276" s="84">
        <v>2000.0</v>
      </c>
      <c r="L276" s="61">
        <f>IFERROR(VLOOKUP("iPhone 7 Plus Замена кнопки Home", 'РЕМОНТ_ЯБЛОК'!C:D, 2, 0), "Ошибка")</f>
        <v>2500</v>
      </c>
      <c r="M276" s="60"/>
      <c r="N276" s="29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idden="1">
      <c r="A277" s="2"/>
      <c r="B277" s="57" t="s">
        <v>118</v>
      </c>
      <c r="C277" s="11"/>
      <c r="D277" s="11">
        <v>90.0</v>
      </c>
      <c r="E277" s="12" t="s">
        <v>59</v>
      </c>
      <c r="F277" s="13">
        <f>'БД_УСЛУГИ_РО'!P195</f>
        <v>1200</v>
      </c>
      <c r="G277" s="29"/>
      <c r="H277" s="15"/>
      <c r="I277" s="2"/>
      <c r="J277" s="85">
        <f t="shared" si="24"/>
        <v>1200</v>
      </c>
      <c r="K277" s="84">
        <v>1200.0</v>
      </c>
      <c r="L277" s="61" t="str">
        <f>IFERROR(VLOOKUP("iPhone 7 Plus Замена кнопки включения", 'РЕМОНТ_ЯБЛОК'!C:D, 2, 0), "Ошибка") &amp; " | " &amp; IFERROR(VLOOKUP("iPhone 7 Замена кнопок громкости", 'РЕМОНТ_ЯБЛОК'!C:D, 2, 0), "Ошибка")</f>
        <v>2400 | 2200</v>
      </c>
      <c r="M277" s="60"/>
      <c r="N277" s="29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idden="1">
      <c r="A278" s="2"/>
      <c r="B278" s="57" t="s">
        <v>118</v>
      </c>
      <c r="C278" s="11"/>
      <c r="D278" s="11">
        <v>90.0</v>
      </c>
      <c r="E278" s="12" t="s">
        <v>123</v>
      </c>
      <c r="F278" s="13">
        <f>'БД_УСЛУГИ_РО'!P196+'БД_ЗАПЧАСТИ'!P887</f>
        <v>1700</v>
      </c>
      <c r="G278" s="29"/>
      <c r="H278" s="62">
        <f>'БД_УСЛУГИ_РО'!P196</f>
        <v>1500</v>
      </c>
      <c r="I278" s="2"/>
      <c r="J278" s="83"/>
      <c r="K278" s="84">
        <v>1700.0</v>
      </c>
      <c r="L278" s="61"/>
      <c r="M278" s="60"/>
      <c r="N278" s="29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idden="1">
      <c r="A279" s="2"/>
      <c r="B279" s="57" t="s">
        <v>118</v>
      </c>
      <c r="C279" s="11"/>
      <c r="D279" s="11">
        <v>90.0</v>
      </c>
      <c r="E279" s="12" t="s">
        <v>124</v>
      </c>
      <c r="F279" s="13">
        <f>'БД_УСЛУГИ_РО'!P197+'БД_ЗАПЧАСТИ'!P845</f>
        <v>1550</v>
      </c>
      <c r="G279" s="29"/>
      <c r="H279" s="62">
        <f>'БД_УСЛУГИ_РО'!P197</f>
        <v>1500</v>
      </c>
      <c r="I279" s="2"/>
      <c r="J279" s="83"/>
      <c r="K279" s="84">
        <v>1550.0</v>
      </c>
      <c r="L279" s="61"/>
      <c r="M279" s="60"/>
      <c r="N279" s="29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idden="1">
      <c r="A280" s="2"/>
      <c r="B280" s="57" t="s">
        <v>118</v>
      </c>
      <c r="C280" s="11"/>
      <c r="D280" s="11">
        <v>90.0</v>
      </c>
      <c r="E280" s="32" t="s">
        <v>62</v>
      </c>
      <c r="F280" s="13">
        <f>'БД_УСЛУГИ_РО'!P198+'БД_ЗАПЧАСТИ'!P603</f>
        <v>2900</v>
      </c>
      <c r="G280" s="29"/>
      <c r="H280" s="62">
        <f>'БД_УСЛУГИ_РО'!P198</f>
        <v>1700</v>
      </c>
      <c r="I280" s="2"/>
      <c r="J280" s="85">
        <f>F280</f>
        <v>2900</v>
      </c>
      <c r="K280" s="84">
        <v>2900.0</v>
      </c>
      <c r="L280" s="61">
        <f>IFERROR(VLOOKUP("iPhone 7 Plus Замена микрофона", 'РЕМОНТ_ЯБЛОК'!C:D, 2, 0), "Ошибка")</f>
        <v>2400</v>
      </c>
      <c r="M280" s="60"/>
      <c r="N280" s="29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idden="1">
      <c r="A281" s="2"/>
      <c r="B281" s="57" t="s">
        <v>118</v>
      </c>
      <c r="C281" s="11"/>
      <c r="D281" s="11">
        <v>90.0</v>
      </c>
      <c r="E281" s="12" t="s">
        <v>63</v>
      </c>
      <c r="F281" s="13">
        <f>'БД_УСЛУГИ_РО'!P199</f>
        <v>2000</v>
      </c>
      <c r="G281" s="29"/>
      <c r="H281" s="15"/>
      <c r="I281" s="2"/>
      <c r="J281" s="83"/>
      <c r="K281" s="84">
        <v>2000.0</v>
      </c>
      <c r="L281" s="61"/>
      <c r="M281" s="60"/>
      <c r="N281" s="29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idden="1">
      <c r="A282" s="2"/>
      <c r="B282" s="57" t="s">
        <v>118</v>
      </c>
      <c r="C282" s="11"/>
      <c r="D282" s="11">
        <v>90.0</v>
      </c>
      <c r="E282" s="12" t="s">
        <v>64</v>
      </c>
      <c r="F282" s="13">
        <f>'БД_УСЛУГИ_РО'!P200</f>
        <v>2500</v>
      </c>
      <c r="G282" s="29"/>
      <c r="H282" s="15"/>
      <c r="I282" s="2"/>
      <c r="J282" s="83"/>
      <c r="K282" s="84">
        <v>2500.0</v>
      </c>
      <c r="L282" s="61"/>
      <c r="M282" s="60"/>
      <c r="N282" s="29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idden="1">
      <c r="A283" s="2"/>
      <c r="B283" s="57" t="s">
        <v>118</v>
      </c>
      <c r="C283" s="11"/>
      <c r="D283" s="11">
        <v>90.0</v>
      </c>
      <c r="E283" s="12" t="s">
        <v>65</v>
      </c>
      <c r="F283" s="13">
        <f>'БД_УСЛУГИ_РО'!P201</f>
        <v>2500</v>
      </c>
      <c r="G283" s="29"/>
      <c r="H283" s="15"/>
      <c r="I283" s="2"/>
      <c r="J283" s="83"/>
      <c r="K283" s="84">
        <v>2500.0</v>
      </c>
      <c r="L283" s="61"/>
      <c r="M283" s="60"/>
      <c r="N283" s="29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idden="1">
      <c r="A284" s="2"/>
      <c r="B284" s="69" t="s">
        <v>118</v>
      </c>
      <c r="C284" s="36"/>
      <c r="D284" s="36">
        <v>90.0</v>
      </c>
      <c r="E284" s="70" t="s">
        <v>66</v>
      </c>
      <c r="F284" s="38">
        <f>'БД_УСЛУГИ_РО'!P202</f>
        <v>1000</v>
      </c>
      <c r="G284" s="39"/>
      <c r="H284" s="15"/>
      <c r="I284" s="2"/>
      <c r="J284" s="88">
        <f>F284</f>
        <v>1000</v>
      </c>
      <c r="K284" s="89">
        <v>1000.0</v>
      </c>
      <c r="L284" s="73">
        <f>IFERROR(VLOOKUP("iPhone 7 Plus Ремонт WI-FI", 'РЕМОНТ_ЯБЛОК'!C:D, 2, 0), "Ошибка")</f>
        <v>4500</v>
      </c>
      <c r="M284" s="74"/>
      <c r="N284" s="39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idden="1">
      <c r="A285" s="2"/>
      <c r="B285" s="1"/>
      <c r="C285" s="1"/>
      <c r="D285" s="36"/>
      <c r="E285" s="75"/>
      <c r="F285" s="80"/>
      <c r="G285" s="76"/>
      <c r="H285" s="15"/>
      <c r="I285" s="2"/>
      <c r="J285" s="90"/>
      <c r="K285" s="2" t="s">
        <v>22</v>
      </c>
      <c r="L285" s="2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idden="1">
      <c r="A286" s="2"/>
      <c r="B286" s="41" t="s">
        <v>125</v>
      </c>
      <c r="C286" s="42"/>
      <c r="D286" s="42">
        <v>0.0</v>
      </c>
      <c r="E286" s="51" t="s">
        <v>24</v>
      </c>
      <c r="F286" s="44">
        <f>'БД_УСЛУГИ_РО'!P203</f>
        <v>1</v>
      </c>
      <c r="G286" s="78"/>
      <c r="H286" s="15"/>
      <c r="I286" s="2"/>
      <c r="J286" s="81"/>
      <c r="K286" s="82">
        <v>1.0</v>
      </c>
      <c r="L286" s="55"/>
      <c r="M286" s="56"/>
      <c r="N286" s="5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idden="1">
      <c r="A287" s="2"/>
      <c r="B287" s="57" t="s">
        <v>125</v>
      </c>
      <c r="C287" s="11"/>
      <c r="D287" s="11">
        <v>0.0</v>
      </c>
      <c r="E287" s="12" t="s">
        <v>26</v>
      </c>
      <c r="F287" s="13">
        <f>'БД_УСЛУГИ_РО'!P204+'БД_УСЛУГИ_РО'!P205</f>
        <v>900</v>
      </c>
      <c r="G287" s="29"/>
      <c r="H287" s="15"/>
      <c r="I287" s="2"/>
      <c r="J287" s="83"/>
      <c r="K287" s="84">
        <v>900.0</v>
      </c>
      <c r="L287" s="61"/>
      <c r="M287" s="60"/>
      <c r="N287" s="29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idden="1">
      <c r="A288" s="2"/>
      <c r="B288" s="57" t="s">
        <v>125</v>
      </c>
      <c r="C288" s="11"/>
      <c r="D288" s="11">
        <v>0.0</v>
      </c>
      <c r="E288" s="32" t="s">
        <v>27</v>
      </c>
      <c r="F288" s="13">
        <f>'БД_УСЛУГИ_РО'!P206</f>
        <v>400</v>
      </c>
      <c r="G288" s="33" t="str">
        <f>MIN(F288:F289) &amp; " - " &amp; MAX(F288:F289)</f>
        <v>400 - 1200</v>
      </c>
      <c r="H288" s="15"/>
      <c r="I288" s="2"/>
      <c r="J288" s="83"/>
      <c r="K288" s="84">
        <v>400.0</v>
      </c>
      <c r="L288" s="61"/>
      <c r="M288" s="60"/>
      <c r="N288" s="29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idden="1">
      <c r="A289" s="2"/>
      <c r="B289" s="57" t="s">
        <v>125</v>
      </c>
      <c r="C289" s="11"/>
      <c r="D289" s="11">
        <v>0.0</v>
      </c>
      <c r="E289" s="32" t="s">
        <v>28</v>
      </c>
      <c r="F289" s="13">
        <f>'БД_УСЛУГИ_РО'!P207</f>
        <v>1200</v>
      </c>
      <c r="G289" s="28"/>
      <c r="H289" s="15"/>
      <c r="I289" s="2"/>
      <c r="J289" s="83"/>
      <c r="K289" s="84">
        <v>1200.0</v>
      </c>
      <c r="L289" s="61"/>
      <c r="M289" s="60"/>
      <c r="N289" s="29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idden="1">
      <c r="A290" s="2"/>
      <c r="B290" s="57" t="s">
        <v>125</v>
      </c>
      <c r="C290" s="11"/>
      <c r="D290" s="11">
        <v>180.0</v>
      </c>
      <c r="E290" s="12" t="s">
        <v>31</v>
      </c>
      <c r="F290" s="13">
        <f>'БД_УСЛУГИ_РО'!P208+'БД_ЗАПЧАСТИ'!P14</f>
        <v>2000</v>
      </c>
      <c r="G290" s="29"/>
      <c r="H290" s="62">
        <f>'БД_УСЛУГИ_РО'!P208</f>
        <v>1100</v>
      </c>
      <c r="I290" s="2"/>
      <c r="J290" s="85">
        <f t="shared" ref="J290:J291" si="25">F290</f>
        <v>2000</v>
      </c>
      <c r="K290" s="84">
        <v>2000.0</v>
      </c>
      <c r="L290" s="61" t="str">
        <f>IFERROR(VLOOKUP("iPhone 8 Замена аккумулятора (1821mAh) 3.8V Standard", 'РЕМОНТ_ЯБЛОК'!C:D, 2, 0), "Ошибка") &amp; " | " &amp; IFERROR(VLOOKUP("iPhone 8 Замена аккумулятора (2100mAh) 3.8V HC (повышенная емкость)", 'РЕМОНТ_ЯБЛОК'!C:D, 2, 0), "Ошибка")</f>
        <v>2000 | 2400</v>
      </c>
      <c r="M290" s="60"/>
      <c r="N290" s="29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idden="1">
      <c r="A291" s="2"/>
      <c r="B291" s="57" t="s">
        <v>125</v>
      </c>
      <c r="C291" s="11"/>
      <c r="D291" s="11">
        <v>90.0</v>
      </c>
      <c r="E291" s="12" t="s">
        <v>126</v>
      </c>
      <c r="F291" s="13">
        <f>'БД_УСЛУГИ_РО'!P209+'БД_ЗАПЧАСТИ'!P605</f>
        <v>2400</v>
      </c>
      <c r="G291" s="29"/>
      <c r="H291" s="62">
        <f>'БД_УСЛУГИ_РО'!P209</f>
        <v>1200</v>
      </c>
      <c r="I291" s="2"/>
      <c r="J291" s="85">
        <f t="shared" si="25"/>
        <v>2400</v>
      </c>
      <c r="K291" s="84">
        <v>2400.0</v>
      </c>
      <c r="L291" s="11">
        <f>IFERROR(VLOOKUP("iPhone 8 Замена разъема питания", 'РЕМОНТ_ЯБЛОК'!C:D, 2, 0), "Ошибка")</f>
        <v>2400</v>
      </c>
      <c r="M291" s="60"/>
      <c r="N291" s="29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idden="1">
      <c r="A292" s="2"/>
      <c r="B292" s="57" t="s">
        <v>125</v>
      </c>
      <c r="C292" s="11"/>
      <c r="D292" s="11">
        <v>90.0</v>
      </c>
      <c r="E292" s="12" t="s">
        <v>38</v>
      </c>
      <c r="F292" s="13">
        <f>'БД_УСЛУГИ_РО'!P210+'БД_ЗАПЧАСТИ'!P178</f>
        <v>3400</v>
      </c>
      <c r="G292" s="33" t="str">
        <f>IFERROR(__xludf.DUMMYFUNCTION("MIN(FILTER(F292:F294, F292:F294 &lt;&gt; H292:H294)) &amp; "" - "" &amp; MAX(FILTER(F292:F294, F292:F294 &lt;&gt; H292:H294))"),"3000 - 3400")</f>
        <v>3000 - 3400</v>
      </c>
      <c r="H292" s="62">
        <f>'БД_УСЛУГИ_РО'!P210</f>
        <v>1500</v>
      </c>
      <c r="I292" s="2"/>
      <c r="J292" s="86">
        <f>IFERROR(__xludf.DUMMYFUNCTION("MIN(FILTER(F292:F293, F292:F293 &lt;&gt; H292:H293, F292:F293 &lt;&gt; """"))"),3000.0)</f>
        <v>3000</v>
      </c>
      <c r="K292" s="84">
        <v>3400.0</v>
      </c>
      <c r="L292" s="65">
        <f>IFERROR(VLOOKUP("iPhone 8 Замена дисплея (оригинал)", 'РЕМОНТ_ЯБЛОК'!C:D, 2, 0), "Ошибка")</f>
        <v>3000</v>
      </c>
      <c r="M292" s="60"/>
      <c r="N292" s="29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idden="1">
      <c r="A293" s="2"/>
      <c r="B293" s="57" t="s">
        <v>125</v>
      </c>
      <c r="C293" s="11"/>
      <c r="D293" s="11">
        <v>90.0</v>
      </c>
      <c r="E293" s="12" t="s">
        <v>41</v>
      </c>
      <c r="F293" s="13">
        <f>'БД_УСЛУГИ_РО'!P210+'БД_ЗАПЧАСТИ'!P180</f>
        <v>3000</v>
      </c>
      <c r="G293" s="19"/>
      <c r="H293" s="62">
        <f>'БД_УСЛУГИ_РО'!P210</f>
        <v>1500</v>
      </c>
      <c r="I293" s="2"/>
      <c r="J293" s="87"/>
      <c r="K293" s="84">
        <v>3000.0</v>
      </c>
      <c r="L293" s="67"/>
      <c r="M293" s="60"/>
      <c r="N293" s="29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idden="1">
      <c r="A294" s="2"/>
      <c r="B294" s="57" t="s">
        <v>125</v>
      </c>
      <c r="C294" s="11"/>
      <c r="D294" s="11">
        <v>90.0</v>
      </c>
      <c r="E294" s="12" t="s">
        <v>44</v>
      </c>
      <c r="F294" s="13">
        <f>'БД_УСЛУГИ_РО'!P210</f>
        <v>1500</v>
      </c>
      <c r="G294" s="28"/>
      <c r="H294" s="62">
        <f>'БД_УСЛУГИ_РО'!P210</f>
        <v>1500</v>
      </c>
      <c r="I294" s="2"/>
      <c r="J294" s="83" t="str">
        <f>IF(F294=H294, "", F294)</f>
        <v/>
      </c>
      <c r="K294" s="84">
        <v>1500.0</v>
      </c>
      <c r="L294" s="61">
        <f>IFERROR(VLOOKUP("iPhone 8 Замена дисплея (аналог)", 'РЕМОНТ_ЯБЛОК'!C:D, 2, 0), "Ошибка")</f>
        <v>2500</v>
      </c>
      <c r="M294" s="60"/>
      <c r="N294" s="29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idden="1">
      <c r="A295" s="2"/>
      <c r="B295" s="57" t="s">
        <v>125</v>
      </c>
      <c r="C295" s="11"/>
      <c r="D295" s="11">
        <v>90.0</v>
      </c>
      <c r="E295" s="12" t="s">
        <v>127</v>
      </c>
      <c r="F295" s="13">
        <f>'БД_УСЛУГИ_РО'!P211</f>
        <v>2500</v>
      </c>
      <c r="G295" s="29"/>
      <c r="H295" s="15"/>
      <c r="I295" s="2"/>
      <c r="J295" s="85">
        <f t="shared" ref="J295:J296" si="26">F295</f>
        <v>2500</v>
      </c>
      <c r="K295" s="84">
        <v>2500.0</v>
      </c>
      <c r="L295" s="11">
        <f>IFERROR(VLOOKUP("iPhone 8 Переклейка (восстановление) вашего дисплея", 'РЕМОНТ_ЯБЛОК'!C:D, 2, 0), "Ошибка")</f>
        <v>2500</v>
      </c>
      <c r="M295" s="60"/>
      <c r="N295" s="29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idden="1">
      <c r="A296" s="2"/>
      <c r="B296" s="57" t="s">
        <v>125</v>
      </c>
      <c r="C296" s="11"/>
      <c r="D296" s="11">
        <v>90.0</v>
      </c>
      <c r="E296" s="12" t="s">
        <v>128</v>
      </c>
      <c r="F296" s="13">
        <f>'БД_УСЛУГИ_РО'!P212+'БД_ЗАПЧАСТИ'!P761</f>
        <v>3500</v>
      </c>
      <c r="G296" s="29"/>
      <c r="H296" s="62">
        <f>'БД_УСЛУГИ_РО'!P212</f>
        <v>1600</v>
      </c>
      <c r="I296" s="2"/>
      <c r="J296" s="85">
        <f t="shared" si="26"/>
        <v>3500</v>
      </c>
      <c r="K296" s="84">
        <v>3500.0</v>
      </c>
      <c r="L296" s="61">
        <f>IFERROR(VLOOKUP("iPhone 8 Замена основной камеры", 'РЕМОНТ_ЯБЛОК'!C:D, 2, 0), "Ошибка")</f>
        <v>3500</v>
      </c>
      <c r="M296" s="60"/>
      <c r="N296" s="29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idden="1">
      <c r="A297" s="2"/>
      <c r="B297" s="57" t="s">
        <v>125</v>
      </c>
      <c r="C297" s="11"/>
      <c r="D297" s="11">
        <v>90.0</v>
      </c>
      <c r="E297" s="12" t="s">
        <v>129</v>
      </c>
      <c r="F297" s="13">
        <f>'БД_УСЛУГИ_РО'!P213+'БД_ЗАПЧАСТИ'!P802</f>
        <v>3500</v>
      </c>
      <c r="G297" s="29"/>
      <c r="H297" s="62">
        <f>'БД_УСЛУГИ_РО'!P213</f>
        <v>1500</v>
      </c>
      <c r="I297" s="2"/>
      <c r="J297" s="83"/>
      <c r="K297" s="84">
        <v>3500.0</v>
      </c>
      <c r="L297" s="61"/>
      <c r="M297" s="60"/>
      <c r="N297" s="29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idden="1">
      <c r="A298" s="2"/>
      <c r="B298" s="57" t="s">
        <v>125</v>
      </c>
      <c r="C298" s="11"/>
      <c r="D298" s="11">
        <v>180.0</v>
      </c>
      <c r="E298" s="12" t="s">
        <v>52</v>
      </c>
      <c r="F298" s="13">
        <f>'БД_УСЛУГИ_РО'!P214+'БД_ЗАПЧАСТИ'!P544</f>
        <v>1500</v>
      </c>
      <c r="G298" s="29"/>
      <c r="H298" s="62">
        <f>'БД_УСЛУГИ_РО'!P214</f>
        <v>1200</v>
      </c>
      <c r="I298" s="2"/>
      <c r="J298" s="85">
        <f t="shared" ref="J298:J299" si="27">F298</f>
        <v>1500</v>
      </c>
      <c r="K298" s="84">
        <v>1500.0</v>
      </c>
      <c r="L298" s="61">
        <f>IFERROR(VLOOKUP("iPhone 8 Замена стекла камеры", 'РЕМОНТ_ЯБЛОК'!C:D, 2, 0), "Ошибка")</f>
        <v>1500</v>
      </c>
      <c r="M298" s="60"/>
      <c r="N298" s="29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idden="1">
      <c r="A299" s="2"/>
      <c r="B299" s="57" t="s">
        <v>125</v>
      </c>
      <c r="C299" s="11"/>
      <c r="D299" s="11">
        <v>180.0</v>
      </c>
      <c r="E299" s="12" t="s">
        <v>55</v>
      </c>
      <c r="F299" s="13">
        <f>'БД_УСЛУГИ_РО'!P215+'БД_ЗАПЧАСТИ'!P320</f>
        <v>4000</v>
      </c>
      <c r="G299" s="29"/>
      <c r="H299" s="62">
        <f>'БД_УСЛУГИ_РО'!P215</f>
        <v>3600</v>
      </c>
      <c r="I299" s="2"/>
      <c r="J299" s="85">
        <f t="shared" si="27"/>
        <v>4000</v>
      </c>
      <c r="K299" s="84">
        <v>4000.0</v>
      </c>
      <c r="L299" s="11">
        <f>IFERROR(VLOOKUP("iPhone 8 Замена задней крышки", 'РЕМОНТ_ЯБЛОК'!C:D, 2, 0), "Ошибка")</f>
        <v>4000</v>
      </c>
      <c r="M299" s="60"/>
      <c r="N299" s="29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idden="1">
      <c r="A300" s="2"/>
      <c r="B300" s="57" t="s">
        <v>125</v>
      </c>
      <c r="C300" s="11"/>
      <c r="D300" s="11">
        <v>180.0</v>
      </c>
      <c r="E300" s="12" t="s">
        <v>56</v>
      </c>
      <c r="F300" s="13">
        <f>'БД_УСЛУГИ_РО'!P216</f>
        <v>1500</v>
      </c>
      <c r="G300" s="29"/>
      <c r="H300" s="62">
        <f>'БД_УСЛУГИ_РО'!P216</f>
        <v>1500</v>
      </c>
      <c r="I300" s="2"/>
      <c r="J300" s="83"/>
      <c r="K300" s="84">
        <v>1500.0</v>
      </c>
      <c r="L300" s="61"/>
      <c r="M300" s="60"/>
      <c r="N300" s="29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idden="1">
      <c r="A301" s="2"/>
      <c r="B301" s="57" t="s">
        <v>125</v>
      </c>
      <c r="C301" s="11"/>
      <c r="D301" s="11">
        <v>90.0</v>
      </c>
      <c r="E301" s="12" t="s">
        <v>58</v>
      </c>
      <c r="F301" s="13">
        <f>'БД_УСЛУГИ_РО'!P217</f>
        <v>2000</v>
      </c>
      <c r="G301" s="29"/>
      <c r="H301" s="62">
        <f>'БД_УСЛУГИ_РО'!P217</f>
        <v>2000</v>
      </c>
      <c r="I301" s="2"/>
      <c r="J301" s="85">
        <f>F301</f>
        <v>2000</v>
      </c>
      <c r="K301" s="84">
        <v>2000.0</v>
      </c>
      <c r="L301" s="11">
        <f>IFERROR(VLOOKUP("iPhone 8 Замена кнопки Home", 'РЕМОНТ_ЯБЛОК'!C:D, 2, 0), "Ошибка")</f>
        <v>2500</v>
      </c>
      <c r="M301" s="60"/>
      <c r="N301" s="29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idden="1">
      <c r="A302" s="2"/>
      <c r="B302" s="57" t="s">
        <v>125</v>
      </c>
      <c r="C302" s="11"/>
      <c r="D302" s="11">
        <v>90.0</v>
      </c>
      <c r="E302" s="12" t="s">
        <v>59</v>
      </c>
      <c r="F302" s="13">
        <f>'БД_УСЛУГИ_РО'!P218</f>
        <v>1200</v>
      </c>
      <c r="G302" s="29"/>
      <c r="H302" s="15"/>
      <c r="I302" s="2"/>
      <c r="J302" s="83"/>
      <c r="K302" s="84">
        <v>1200.0</v>
      </c>
      <c r="L302" s="61"/>
      <c r="M302" s="60"/>
      <c r="N302" s="29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idden="1">
      <c r="A303" s="2"/>
      <c r="B303" s="57" t="s">
        <v>125</v>
      </c>
      <c r="C303" s="11"/>
      <c r="D303" s="11">
        <v>90.0</v>
      </c>
      <c r="E303" s="12" t="s">
        <v>130</v>
      </c>
      <c r="F303" s="13">
        <f>'БД_УСЛУГИ_РО'!P219+'БД_ЗАПЧАСТИ'!P888</f>
        <v>1850</v>
      </c>
      <c r="G303" s="29"/>
      <c r="H303" s="62">
        <f>'БД_УСЛУГИ_РО'!P219</f>
        <v>1700</v>
      </c>
      <c r="I303" s="2"/>
      <c r="J303" s="85">
        <f t="shared" ref="J303:J304" si="28">F303</f>
        <v>1850</v>
      </c>
      <c r="K303" s="84">
        <v>1850.0</v>
      </c>
      <c r="L303" s="61">
        <f>IFERROR(VLOOKUP("iPhone 8 Замена динамика", 'РЕМОНТ_ЯБЛОК'!C:D, 2, 0), "Ошибка")</f>
        <v>1800</v>
      </c>
      <c r="M303" s="60"/>
      <c r="N303" s="29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idden="1">
      <c r="A304" s="2"/>
      <c r="B304" s="57" t="s">
        <v>125</v>
      </c>
      <c r="C304" s="11"/>
      <c r="D304" s="11">
        <v>90.0</v>
      </c>
      <c r="E304" s="12" t="s">
        <v>131</v>
      </c>
      <c r="F304" s="13">
        <f>'БД_УСЛУГИ_РО'!P220+'БД_ЗАПЧАСТИ'!P847</f>
        <v>1800</v>
      </c>
      <c r="G304" s="29"/>
      <c r="H304" s="62">
        <f>'БД_УСЛУГИ_РО'!P220</f>
        <v>1700</v>
      </c>
      <c r="I304" s="2"/>
      <c r="J304" s="85">
        <f t="shared" si="28"/>
        <v>1800</v>
      </c>
      <c r="K304" s="84">
        <v>1800.0</v>
      </c>
      <c r="L304" s="61">
        <f>IFERROR(VLOOKUP("iPhone 8 Замена динамика", 'РЕМОНТ_ЯБЛОК'!C:D, 2, 0), "Ошибка")</f>
        <v>1800</v>
      </c>
      <c r="M304" s="60"/>
      <c r="N304" s="29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idden="1">
      <c r="A305" s="2"/>
      <c r="B305" s="57" t="s">
        <v>125</v>
      </c>
      <c r="C305" s="11"/>
      <c r="D305" s="11">
        <v>90.0</v>
      </c>
      <c r="E305" s="32" t="s">
        <v>62</v>
      </c>
      <c r="F305" s="13">
        <f>'БД_УСЛУГИ_РО'!P221+'БД_ЗАПЧАСТИ'!P605</f>
        <v>3100</v>
      </c>
      <c r="G305" s="29"/>
      <c r="H305" s="62">
        <f>'БД_УСЛУГИ_РО'!P221</f>
        <v>1900</v>
      </c>
      <c r="I305" s="2"/>
      <c r="J305" s="83"/>
      <c r="K305" s="84">
        <v>3100.0</v>
      </c>
      <c r="L305" s="61"/>
      <c r="M305" s="60"/>
      <c r="N305" s="29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idden="1">
      <c r="A306" s="2"/>
      <c r="B306" s="57" t="s">
        <v>125</v>
      </c>
      <c r="C306" s="11"/>
      <c r="D306" s="11">
        <v>90.0</v>
      </c>
      <c r="E306" s="12" t="s">
        <v>63</v>
      </c>
      <c r="F306" s="13">
        <f>'БД_УСЛУГИ_РО'!P222</f>
        <v>2000</v>
      </c>
      <c r="G306" s="29"/>
      <c r="H306" s="15"/>
      <c r="I306" s="2"/>
      <c r="J306" s="83"/>
      <c r="K306" s="84">
        <v>2000.0</v>
      </c>
      <c r="L306" s="61"/>
      <c r="M306" s="60"/>
      <c r="N306" s="29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idden="1">
      <c r="A307" s="2"/>
      <c r="B307" s="57" t="s">
        <v>125</v>
      </c>
      <c r="C307" s="11"/>
      <c r="D307" s="11">
        <v>90.0</v>
      </c>
      <c r="E307" s="12" t="s">
        <v>64</v>
      </c>
      <c r="F307" s="13">
        <f>'БД_УСЛУГИ_РО'!P223</f>
        <v>2500</v>
      </c>
      <c r="G307" s="29"/>
      <c r="H307" s="15"/>
      <c r="I307" s="2"/>
      <c r="J307" s="83"/>
      <c r="K307" s="84">
        <v>2500.0</v>
      </c>
      <c r="L307" s="61"/>
      <c r="M307" s="60"/>
      <c r="N307" s="29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idden="1">
      <c r="A308" s="2"/>
      <c r="B308" s="57" t="s">
        <v>125</v>
      </c>
      <c r="C308" s="11"/>
      <c r="D308" s="11">
        <v>90.0</v>
      </c>
      <c r="E308" s="12" t="s">
        <v>65</v>
      </c>
      <c r="F308" s="13">
        <f>'БД_УСЛУГИ_РО'!P224</f>
        <v>2500</v>
      </c>
      <c r="G308" s="29"/>
      <c r="H308" s="15"/>
      <c r="I308" s="2"/>
      <c r="J308" s="83"/>
      <c r="K308" s="84">
        <v>2500.0</v>
      </c>
      <c r="L308" s="61"/>
      <c r="M308" s="60"/>
      <c r="N308" s="29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idden="1">
      <c r="A309" s="2"/>
      <c r="B309" s="69" t="s">
        <v>125</v>
      </c>
      <c r="C309" s="36"/>
      <c r="D309" s="36">
        <v>90.0</v>
      </c>
      <c r="E309" s="70" t="s">
        <v>66</v>
      </c>
      <c r="F309" s="38">
        <f>'БД_УСЛУГИ_РО'!P225</f>
        <v>1000</v>
      </c>
      <c r="G309" s="39"/>
      <c r="H309" s="15"/>
      <c r="I309" s="2"/>
      <c r="J309" s="91"/>
      <c r="K309" s="89">
        <v>1000.0</v>
      </c>
      <c r="L309" s="73"/>
      <c r="M309" s="74"/>
      <c r="N309" s="39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idden="1">
      <c r="A310" s="2"/>
      <c r="B310" s="1"/>
      <c r="C310" s="1"/>
      <c r="D310" s="36"/>
      <c r="E310" s="75"/>
      <c r="F310" s="80"/>
      <c r="G310" s="76"/>
      <c r="H310" s="15"/>
      <c r="I310" s="2"/>
      <c r="J310" s="90"/>
      <c r="K310" s="2" t="s">
        <v>22</v>
      </c>
      <c r="L310" s="2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idden="1">
      <c r="A311" s="2"/>
      <c r="B311" s="41" t="s">
        <v>132</v>
      </c>
      <c r="C311" s="42"/>
      <c r="D311" s="42">
        <v>0.0</v>
      </c>
      <c r="E311" s="51" t="s">
        <v>24</v>
      </c>
      <c r="F311" s="44">
        <f>'БД_УСЛУГИ_РО'!P226</f>
        <v>1</v>
      </c>
      <c r="G311" s="78"/>
      <c r="H311" s="15"/>
      <c r="I311" s="2"/>
      <c r="J311" s="81"/>
      <c r="K311" s="82">
        <v>1.0</v>
      </c>
      <c r="L311" s="55"/>
      <c r="M311" s="56"/>
      <c r="N311" s="5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idden="1">
      <c r="A312" s="2"/>
      <c r="B312" s="57" t="s">
        <v>132</v>
      </c>
      <c r="C312" s="11"/>
      <c r="D312" s="11">
        <v>0.0</v>
      </c>
      <c r="E312" s="12" t="s">
        <v>26</v>
      </c>
      <c r="F312" s="13">
        <f>'БД_УСЛУГИ_РО'!P227+'БД_УСЛУГИ_РО'!P228</f>
        <v>900</v>
      </c>
      <c r="G312" s="29"/>
      <c r="H312" s="15"/>
      <c r="I312" s="2"/>
      <c r="J312" s="83"/>
      <c r="K312" s="84">
        <v>900.0</v>
      </c>
      <c r="L312" s="61"/>
      <c r="M312" s="60"/>
      <c r="N312" s="29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idden="1">
      <c r="A313" s="2"/>
      <c r="B313" s="57" t="s">
        <v>132</v>
      </c>
      <c r="C313" s="11"/>
      <c r="D313" s="11">
        <v>0.0</v>
      </c>
      <c r="E313" s="32" t="s">
        <v>27</v>
      </c>
      <c r="F313" s="13">
        <f>'БД_УСЛУГИ_РО'!P229</f>
        <v>400</v>
      </c>
      <c r="G313" s="33" t="str">
        <f>MIN(F313:F314) &amp; " - " &amp; MAX(F313:F314)</f>
        <v>400 - 1200</v>
      </c>
      <c r="H313" s="15"/>
      <c r="I313" s="2"/>
      <c r="J313" s="83"/>
      <c r="K313" s="84">
        <v>400.0</v>
      </c>
      <c r="L313" s="61"/>
      <c r="M313" s="60"/>
      <c r="N313" s="29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idden="1">
      <c r="A314" s="2"/>
      <c r="B314" s="57" t="s">
        <v>132</v>
      </c>
      <c r="C314" s="11"/>
      <c r="D314" s="11">
        <v>0.0</v>
      </c>
      <c r="E314" s="32" t="s">
        <v>28</v>
      </c>
      <c r="F314" s="13">
        <f>'БД_УСЛУГИ_РО'!P230</f>
        <v>1200</v>
      </c>
      <c r="G314" s="28"/>
      <c r="H314" s="15"/>
      <c r="I314" s="2"/>
      <c r="J314" s="83"/>
      <c r="K314" s="84">
        <v>1200.0</v>
      </c>
      <c r="L314" s="61"/>
      <c r="M314" s="60"/>
      <c r="N314" s="29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idden="1">
      <c r="A315" s="2"/>
      <c r="B315" s="57" t="s">
        <v>132</v>
      </c>
      <c r="C315" s="11"/>
      <c r="D315" s="11">
        <v>180.0</v>
      </c>
      <c r="E315" s="12" t="s">
        <v>31</v>
      </c>
      <c r="F315" s="13">
        <f>'БД_УСЛУГИ_РО'!P231+'БД_ЗАПЧАСТИ'!P15</f>
        <v>2200</v>
      </c>
      <c r="G315" s="29"/>
      <c r="H315" s="62">
        <f>'БД_УСЛУГИ_РО'!P231</f>
        <v>1100</v>
      </c>
      <c r="I315" s="2"/>
      <c r="J315" s="85">
        <f t="shared" ref="J315:J316" si="29">F315</f>
        <v>2200</v>
      </c>
      <c r="K315" s="84">
        <v>2200.0</v>
      </c>
      <c r="L315" s="61" t="str">
        <f>IFERROR(VLOOKUP("iPhone 8 Plus Замена аккумулятора  (2691mAh) 3.82V Standard", 'РЕМОНТ_ЯБЛОК'!C:D, 2, 0), "Ошибка") &amp; " | " &amp; IFERROR(VLOOKUP("iPhone 8 Plus Замена аккумулятора (3150mAh) 3.82V HC (повышенная емкость)", 'РЕМОНТ_ЯБЛОК'!C:D, 2, 0), "Ошибка")</f>
        <v>2200 | 2600</v>
      </c>
      <c r="M315" s="60"/>
      <c r="N315" s="29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idden="1">
      <c r="A316" s="2"/>
      <c r="B316" s="57" t="s">
        <v>132</v>
      </c>
      <c r="C316" s="11"/>
      <c r="D316" s="11">
        <v>90.0</v>
      </c>
      <c r="E316" s="12" t="s">
        <v>133</v>
      </c>
      <c r="F316" s="13">
        <f>'БД_УСЛУГИ_РО'!P232+'БД_ЗАПЧАСТИ'!P608</f>
        <v>2550</v>
      </c>
      <c r="G316" s="29"/>
      <c r="H316" s="62">
        <f>'БД_УСЛУГИ_РО'!P232</f>
        <v>1200</v>
      </c>
      <c r="I316" s="2"/>
      <c r="J316" s="85">
        <f t="shared" si="29"/>
        <v>2550</v>
      </c>
      <c r="K316" s="84">
        <v>2550.0</v>
      </c>
      <c r="L316" s="61">
        <f>IFERROR(VLOOKUP("iPhone 8 Plus Замена разъема питания", 'РЕМОНТ_ЯБЛОК'!C:D, 2, 0), "Ошибка")</f>
        <v>2600</v>
      </c>
      <c r="M316" s="60"/>
      <c r="N316" s="29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idden="1">
      <c r="A317" s="2"/>
      <c r="B317" s="57" t="s">
        <v>132</v>
      </c>
      <c r="C317" s="11"/>
      <c r="D317" s="11">
        <v>90.0</v>
      </c>
      <c r="E317" s="12" t="s">
        <v>38</v>
      </c>
      <c r="F317" s="13">
        <f>'БД_УСЛУГИ_РО'!P233+'БД_ЗАПЧАСТИ'!P182</f>
        <v>4850</v>
      </c>
      <c r="G317" s="33" t="str">
        <f>IFERROR(__xludf.DUMMYFUNCTION("MIN(FILTER(F317:F319, F317:F319 &lt;&gt; H317:H319)) &amp; "" - "" &amp; MAX(FILTER(F317:F319, F317:F319 &lt;&gt; H317:H319))"),"4300 - 4850")</f>
        <v>4300 - 4850</v>
      </c>
      <c r="H317" s="62">
        <f>'БД_УСЛУГИ_РО'!P233</f>
        <v>1500</v>
      </c>
      <c r="I317" s="2"/>
      <c r="J317" s="86">
        <f>IFERROR(__xludf.DUMMYFUNCTION("MIN(FILTER(F317:F318, F317:F318 &lt;&gt; H317:H318, F317:F318 &lt;&gt; """"))"),4300.0)</f>
        <v>4300</v>
      </c>
      <c r="K317" s="84">
        <v>4850.0</v>
      </c>
      <c r="L317" s="65">
        <f>IFERROR(VLOOKUP("iPhone 8 Plus Замена дисплея (оригинал)", 'РЕМОНТ_ЯБЛОК'!C:D, 2, 0), "Ошибка")</f>
        <v>3000</v>
      </c>
      <c r="M317" s="60"/>
      <c r="N317" s="29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idden="1">
      <c r="A318" s="2"/>
      <c r="B318" s="57" t="s">
        <v>132</v>
      </c>
      <c r="C318" s="11"/>
      <c r="D318" s="11">
        <v>90.0</v>
      </c>
      <c r="E318" s="12" t="s">
        <v>41</v>
      </c>
      <c r="F318" s="13">
        <f>'БД_УСЛУГИ_РО'!P233+'БД_ЗАПЧАСТИ'!P184</f>
        <v>4300</v>
      </c>
      <c r="G318" s="19"/>
      <c r="H318" s="62">
        <f>'БД_УСЛУГИ_РО'!P233</f>
        <v>1500</v>
      </c>
      <c r="I318" s="2"/>
      <c r="J318" s="87"/>
      <c r="K318" s="84">
        <v>4300.0</v>
      </c>
      <c r="L318" s="67"/>
      <c r="M318" s="60"/>
      <c r="N318" s="29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idden="1">
      <c r="A319" s="2"/>
      <c r="B319" s="57" t="s">
        <v>132</v>
      </c>
      <c r="C319" s="11"/>
      <c r="D319" s="11">
        <v>90.0</v>
      </c>
      <c r="E319" s="12" t="s">
        <v>44</v>
      </c>
      <c r="F319" s="13">
        <f>'БД_УСЛУГИ_РО'!P233</f>
        <v>1500</v>
      </c>
      <c r="G319" s="28"/>
      <c r="H319" s="62">
        <f>'БД_УСЛУГИ_РО'!P233</f>
        <v>1500</v>
      </c>
      <c r="I319" s="2"/>
      <c r="J319" s="83" t="str">
        <f>IF(F319=H319, "", F319)</f>
        <v/>
      </c>
      <c r="K319" s="84">
        <v>1500.0</v>
      </c>
      <c r="L319" s="61">
        <f>IFERROR(VLOOKUP("iPhone 8 Plus Замена дисплея (аналог)", 'РЕМОНТ_ЯБЛОК'!C:D, 2, 0), "Ошибка")</f>
        <v>2500</v>
      </c>
      <c r="M319" s="60"/>
      <c r="N319" s="29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idden="1">
      <c r="A320" s="2"/>
      <c r="B320" s="57" t="s">
        <v>132</v>
      </c>
      <c r="C320" s="11"/>
      <c r="D320" s="11">
        <v>90.0</v>
      </c>
      <c r="E320" s="12" t="s">
        <v>134</v>
      </c>
      <c r="F320" s="13">
        <f>'БД_УСЛУГИ_РО'!P234</f>
        <v>2500</v>
      </c>
      <c r="G320" s="29"/>
      <c r="H320" s="15"/>
      <c r="I320" s="2"/>
      <c r="J320" s="85">
        <f t="shared" ref="J320:J329" si="30">F320</f>
        <v>2500</v>
      </c>
      <c r="K320" s="84">
        <v>2500.0</v>
      </c>
      <c r="L320" s="61">
        <f>IFERROR(VLOOKUP("iPhone 8 Plus Переклейка (восстановление) вашего дисплея", 'РЕМОНТ_ЯБЛОК'!C:D, 2, 0), "Ошибка")</f>
        <v>2500</v>
      </c>
      <c r="M320" s="60"/>
      <c r="N320" s="29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idden="1">
      <c r="A321" s="2"/>
      <c r="B321" s="57" t="s">
        <v>132</v>
      </c>
      <c r="C321" s="11"/>
      <c r="D321" s="11">
        <v>90.0</v>
      </c>
      <c r="E321" s="12" t="s">
        <v>135</v>
      </c>
      <c r="F321" s="13">
        <f>'БД_УСЛУГИ_РО'!P235+'БД_ЗАПЧАСТИ'!P762</f>
        <v>4500</v>
      </c>
      <c r="G321" s="29"/>
      <c r="H321" s="62">
        <f>'БД_УСЛУГИ_РО'!P235</f>
        <v>1600</v>
      </c>
      <c r="I321" s="2"/>
      <c r="J321" s="85">
        <f t="shared" si="30"/>
        <v>4500</v>
      </c>
      <c r="K321" s="84">
        <v>4500.0</v>
      </c>
      <c r="L321" s="61">
        <f>IFERROR(VLOOKUP("iPhone 8 Plus Замена основной камеры", 'РЕМОНТ_ЯБЛОК'!C:D, 2, 0), "Ошибка")</f>
        <v>4500</v>
      </c>
      <c r="M321" s="60"/>
      <c r="N321" s="29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idden="1">
      <c r="A322" s="2"/>
      <c r="B322" s="57" t="s">
        <v>132</v>
      </c>
      <c r="C322" s="11"/>
      <c r="D322" s="11">
        <v>90.0</v>
      </c>
      <c r="E322" s="12" t="s">
        <v>136</v>
      </c>
      <c r="F322" s="13">
        <f>'БД_УСЛУГИ_РО'!P236+'БД_ЗАПЧАСТИ'!P803</f>
        <v>4500</v>
      </c>
      <c r="G322" s="29"/>
      <c r="H322" s="62">
        <f>'БД_УСЛУГИ_РО'!P236</f>
        <v>1500</v>
      </c>
      <c r="I322" s="2"/>
      <c r="J322" s="85">
        <f t="shared" si="30"/>
        <v>4500</v>
      </c>
      <c r="K322" s="84">
        <v>4500.0</v>
      </c>
      <c r="L322" s="61">
        <f>IFERROR(VLOOKUP("iPhone 8 Plus Замена фронтальной камеры", 'РЕМОНТ_ЯБЛОК'!C:D, 2, 0), "Ошибка")</f>
        <v>4500</v>
      </c>
      <c r="M322" s="60"/>
      <c r="N322" s="29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idden="1">
      <c r="A323" s="2"/>
      <c r="B323" s="57" t="s">
        <v>132</v>
      </c>
      <c r="C323" s="11"/>
      <c r="D323" s="11">
        <v>180.0</v>
      </c>
      <c r="E323" s="12" t="s">
        <v>52</v>
      </c>
      <c r="F323" s="13">
        <f>'БД_УСЛУГИ_РО'!P237+'БД_ЗАПЧАСТИ'!P545</f>
        <v>1500</v>
      </c>
      <c r="G323" s="29"/>
      <c r="H323" s="62">
        <f>'БД_УСЛУГИ_РО'!P237</f>
        <v>1200</v>
      </c>
      <c r="I323" s="2"/>
      <c r="J323" s="85">
        <f t="shared" si="30"/>
        <v>1500</v>
      </c>
      <c r="K323" s="84">
        <v>1500.0</v>
      </c>
      <c r="L323" s="61">
        <f>IFERROR(VLOOKUP("iPhone 8 Plus Замена стекла камеры", 'РЕМОНТ_ЯБЛОК'!C:D, 2, 0), "Ошибка")</f>
        <v>1500</v>
      </c>
      <c r="M323" s="60"/>
      <c r="N323" s="29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idden="1">
      <c r="A324" s="2"/>
      <c r="B324" s="57" t="s">
        <v>132</v>
      </c>
      <c r="C324" s="11"/>
      <c r="D324" s="11">
        <v>180.0</v>
      </c>
      <c r="E324" s="12" t="s">
        <v>55</v>
      </c>
      <c r="F324" s="13">
        <f>'БД_УСЛУГИ_РО'!P238+'БД_ЗАПЧАСТИ'!P324</f>
        <v>4500</v>
      </c>
      <c r="G324" s="29"/>
      <c r="H324" s="62">
        <f>'БД_УСЛУГИ_РО'!P238</f>
        <v>3600</v>
      </c>
      <c r="I324" s="2"/>
      <c r="J324" s="85">
        <f t="shared" si="30"/>
        <v>4500</v>
      </c>
      <c r="K324" s="84">
        <v>4500.0</v>
      </c>
      <c r="L324" s="61">
        <f>IFERROR(VLOOKUP("iPhone 8 Plus Замена задней крышки", 'РЕМОНТ_ЯБЛОК'!C:D, 2, 0), "Ошибка")</f>
        <v>4500</v>
      </c>
      <c r="M324" s="60"/>
      <c r="N324" s="29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idden="1">
      <c r="A325" s="2"/>
      <c r="B325" s="57" t="s">
        <v>132</v>
      </c>
      <c r="C325" s="11"/>
      <c r="D325" s="11">
        <v>180.0</v>
      </c>
      <c r="E325" s="12" t="s">
        <v>56</v>
      </c>
      <c r="F325" s="13">
        <f>'БД_УСЛУГИ_РО'!P239</f>
        <v>1500</v>
      </c>
      <c r="G325" s="29"/>
      <c r="H325" s="62">
        <f>'БД_УСЛУГИ_РО'!P239</f>
        <v>1500</v>
      </c>
      <c r="I325" s="2"/>
      <c r="J325" s="85">
        <f t="shared" si="30"/>
        <v>1500</v>
      </c>
      <c r="K325" s="84">
        <v>1500.0</v>
      </c>
      <c r="L325" s="61">
        <f>IFERROR(VLOOKUP("iPhone 8 Plus Замена корпуса", 'РЕМОНТ_ЯБЛОК'!C:D, 2, 0), "Ошибка")</f>
        <v>5000</v>
      </c>
      <c r="M325" s="60"/>
      <c r="N325" s="29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idden="1">
      <c r="A326" s="2"/>
      <c r="B326" s="57" t="s">
        <v>132</v>
      </c>
      <c r="C326" s="11"/>
      <c r="D326" s="11">
        <v>90.0</v>
      </c>
      <c r="E326" s="12" t="s">
        <v>58</v>
      </c>
      <c r="F326" s="13">
        <f>'БД_УСЛУГИ_РО'!P240</f>
        <v>2000</v>
      </c>
      <c r="G326" s="29"/>
      <c r="H326" s="62">
        <f>'БД_УСЛУГИ_РО'!P240</f>
        <v>2000</v>
      </c>
      <c r="I326" s="2"/>
      <c r="J326" s="85">
        <f t="shared" si="30"/>
        <v>2000</v>
      </c>
      <c r="K326" s="84">
        <v>2000.0</v>
      </c>
      <c r="L326" s="61">
        <f>IFERROR(VLOOKUP("iPhone 8 Plus Замена кнопки Home", 'РЕМОНТ_ЯБЛОК'!C:D, 2, 0), "Ошибка")</f>
        <v>2500</v>
      </c>
      <c r="M326" s="60"/>
      <c r="N326" s="29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idden="1">
      <c r="A327" s="2"/>
      <c r="B327" s="57" t="s">
        <v>132</v>
      </c>
      <c r="C327" s="11"/>
      <c r="D327" s="11">
        <v>90.0</v>
      </c>
      <c r="E327" s="12" t="s">
        <v>59</v>
      </c>
      <c r="F327" s="13">
        <f>'БД_УСЛУГИ_РО'!P241</f>
        <v>1200</v>
      </c>
      <c r="G327" s="29"/>
      <c r="H327" s="15"/>
      <c r="I327" s="2"/>
      <c r="J327" s="85">
        <f t="shared" si="30"/>
        <v>1200</v>
      </c>
      <c r="K327" s="84">
        <v>1200.0</v>
      </c>
      <c r="L327" s="61">
        <f>IFERROR(VLOOKUP("iPhone 8 Plus Ремонт кнопки включения", 'РЕМОНТ_ЯБЛОК'!C:D, 2, 0), "Ошибка")</f>
        <v>3500</v>
      </c>
      <c r="M327" s="60"/>
      <c r="N327" s="29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idden="1">
      <c r="A328" s="2"/>
      <c r="B328" s="57" t="s">
        <v>132</v>
      </c>
      <c r="C328" s="11"/>
      <c r="D328" s="11">
        <v>90.0</v>
      </c>
      <c r="E328" s="12" t="s">
        <v>137</v>
      </c>
      <c r="F328" s="13">
        <f>'БД_УСЛУГИ_РО'!P242+'БД_ЗАПЧАСТИ'!P889</f>
        <v>2000</v>
      </c>
      <c r="G328" s="29"/>
      <c r="H328" s="62">
        <f>'БД_УСЛУГИ_РО'!P242</f>
        <v>1700</v>
      </c>
      <c r="I328" s="2"/>
      <c r="J328" s="85">
        <f t="shared" si="30"/>
        <v>2000</v>
      </c>
      <c r="K328" s="84">
        <v>2000.0</v>
      </c>
      <c r="L328" s="61">
        <f>IFERROR(VLOOKUP("iPhone 8 Plus Замена динамика", 'РЕМОНТ_ЯБЛОК'!C:D, 2, 0), "Ошибка")</f>
        <v>2000</v>
      </c>
      <c r="M328" s="60"/>
      <c r="N328" s="29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idden="1">
      <c r="A329" s="2"/>
      <c r="B329" s="57" t="s">
        <v>132</v>
      </c>
      <c r="C329" s="11"/>
      <c r="D329" s="11">
        <v>90.0</v>
      </c>
      <c r="E329" s="12" t="s">
        <v>138</v>
      </c>
      <c r="F329" s="13">
        <f>'БД_УСЛУГИ_РО'!P243+'БД_ЗАПЧАСТИ'!P846</f>
        <v>2000</v>
      </c>
      <c r="G329" s="29"/>
      <c r="H329" s="62">
        <f>'БД_УСЛУГИ_РО'!P243</f>
        <v>1700</v>
      </c>
      <c r="I329" s="2"/>
      <c r="J329" s="85">
        <f t="shared" si="30"/>
        <v>2000</v>
      </c>
      <c r="K329" s="84">
        <v>2000.0</v>
      </c>
      <c r="L329" s="61">
        <f>IFERROR(VLOOKUP("iPhone 8 Plus Замена динамика", 'РЕМОНТ_ЯБЛОК'!C:D, 2, 0), "Ошибка")</f>
        <v>2000</v>
      </c>
      <c r="M329" s="60"/>
      <c r="N329" s="29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idden="1">
      <c r="A330" s="2"/>
      <c r="B330" s="57" t="s">
        <v>132</v>
      </c>
      <c r="C330" s="11"/>
      <c r="D330" s="11">
        <v>90.0</v>
      </c>
      <c r="E330" s="32" t="s">
        <v>62</v>
      </c>
      <c r="F330" s="13">
        <f>'БД_УСЛУГИ_РО'!P244+'БД_ЗАПЧАСТИ'!P608</f>
        <v>3250</v>
      </c>
      <c r="G330" s="29"/>
      <c r="H330" s="62">
        <f>'БД_УСЛУГИ_РО'!P244</f>
        <v>1900</v>
      </c>
      <c r="I330" s="2"/>
      <c r="J330" s="83"/>
      <c r="K330" s="84">
        <v>3250.0</v>
      </c>
      <c r="L330" s="61"/>
      <c r="M330" s="60"/>
      <c r="N330" s="29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idden="1">
      <c r="A331" s="2"/>
      <c r="B331" s="57" t="s">
        <v>132</v>
      </c>
      <c r="C331" s="11"/>
      <c r="D331" s="11">
        <v>90.0</v>
      </c>
      <c r="E331" s="12" t="s">
        <v>63</v>
      </c>
      <c r="F331" s="13">
        <f>'БД_УСЛУГИ_РО'!P245</f>
        <v>2000</v>
      </c>
      <c r="G331" s="29"/>
      <c r="H331" s="15"/>
      <c r="I331" s="2"/>
      <c r="J331" s="83"/>
      <c r="K331" s="84">
        <v>2000.0</v>
      </c>
      <c r="L331" s="61"/>
      <c r="M331" s="60"/>
      <c r="N331" s="29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idden="1">
      <c r="A332" s="2"/>
      <c r="B332" s="57" t="s">
        <v>132</v>
      </c>
      <c r="C332" s="11"/>
      <c r="D332" s="11">
        <v>90.0</v>
      </c>
      <c r="E332" s="12" t="s">
        <v>64</v>
      </c>
      <c r="F332" s="13">
        <f>'БД_УСЛУГИ_РО'!P246</f>
        <v>2500</v>
      </c>
      <c r="G332" s="29"/>
      <c r="H332" s="15"/>
      <c r="I332" s="2"/>
      <c r="J332" s="83"/>
      <c r="K332" s="84">
        <v>2500.0</v>
      </c>
      <c r="L332" s="61"/>
      <c r="M332" s="60"/>
      <c r="N332" s="29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idden="1">
      <c r="A333" s="2"/>
      <c r="B333" s="57" t="s">
        <v>132</v>
      </c>
      <c r="C333" s="11"/>
      <c r="D333" s="11">
        <v>90.0</v>
      </c>
      <c r="E333" s="12" t="s">
        <v>65</v>
      </c>
      <c r="F333" s="13">
        <f>'БД_УСЛУГИ_РО'!P247</f>
        <v>2500</v>
      </c>
      <c r="G333" s="29"/>
      <c r="H333" s="15"/>
      <c r="I333" s="2"/>
      <c r="J333" s="83"/>
      <c r="K333" s="84">
        <v>2500.0</v>
      </c>
      <c r="L333" s="61"/>
      <c r="M333" s="60"/>
      <c r="N333" s="29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idden="1">
      <c r="A334" s="2"/>
      <c r="B334" s="69" t="s">
        <v>132</v>
      </c>
      <c r="C334" s="36"/>
      <c r="D334" s="36">
        <v>90.0</v>
      </c>
      <c r="E334" s="70" t="s">
        <v>66</v>
      </c>
      <c r="F334" s="38">
        <f>'БД_УСЛУГИ_РО'!P248</f>
        <v>1000</v>
      </c>
      <c r="G334" s="39"/>
      <c r="H334" s="15"/>
      <c r="I334" s="2"/>
      <c r="J334" s="91"/>
      <c r="K334" s="89">
        <v>1000.0</v>
      </c>
      <c r="L334" s="36"/>
      <c r="M334" s="74"/>
      <c r="N334" s="39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idden="1">
      <c r="A335" s="2"/>
      <c r="B335" s="1"/>
      <c r="C335" s="1"/>
      <c r="D335" s="36"/>
      <c r="E335" s="75"/>
      <c r="F335" s="80"/>
      <c r="G335" s="76"/>
      <c r="H335" s="15"/>
      <c r="I335" s="2"/>
      <c r="J335" s="90"/>
      <c r="K335" s="2" t="s">
        <v>22</v>
      </c>
      <c r="L335" s="2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idden="1">
      <c r="A336" s="2"/>
      <c r="B336" s="41" t="s">
        <v>139</v>
      </c>
      <c r="C336" s="42"/>
      <c r="D336" s="42">
        <v>0.0</v>
      </c>
      <c r="E336" s="51" t="s">
        <v>24</v>
      </c>
      <c r="F336" s="44">
        <f>'БД_УСЛУГИ_РО'!P249</f>
        <v>1</v>
      </c>
      <c r="G336" s="78"/>
      <c r="H336" s="15"/>
      <c r="I336" s="2"/>
      <c r="J336" s="81"/>
      <c r="K336" s="82">
        <v>1.0</v>
      </c>
      <c r="L336" s="55"/>
      <c r="M336" s="56"/>
      <c r="N336" s="5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idden="1">
      <c r="A337" s="2"/>
      <c r="B337" s="57" t="s">
        <v>139</v>
      </c>
      <c r="C337" s="11"/>
      <c r="D337" s="11">
        <v>0.0</v>
      </c>
      <c r="E337" s="12" t="s">
        <v>26</v>
      </c>
      <c r="F337" s="13">
        <f>'БД_УСЛУГИ_РО'!P250+'БД_УСЛУГИ_РО'!P251</f>
        <v>900</v>
      </c>
      <c r="G337" s="29"/>
      <c r="H337" s="15"/>
      <c r="I337" s="2"/>
      <c r="J337" s="83"/>
      <c r="K337" s="84">
        <v>900.0</v>
      </c>
      <c r="L337" s="61"/>
      <c r="M337" s="60"/>
      <c r="N337" s="29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idden="1">
      <c r="A338" s="2"/>
      <c r="B338" s="57" t="s">
        <v>139</v>
      </c>
      <c r="C338" s="11"/>
      <c r="D338" s="11">
        <v>0.0</v>
      </c>
      <c r="E338" s="32" t="s">
        <v>27</v>
      </c>
      <c r="F338" s="13">
        <f>'БД_УСЛУГИ_РО'!P252</f>
        <v>400</v>
      </c>
      <c r="G338" s="33" t="str">
        <f>MIN(F338:F339) &amp; " - " &amp; MAX(F338:F339)</f>
        <v>400 - 1200</v>
      </c>
      <c r="H338" s="15"/>
      <c r="I338" s="2"/>
      <c r="J338" s="83"/>
      <c r="K338" s="84">
        <v>400.0</v>
      </c>
      <c r="L338" s="61"/>
      <c r="M338" s="60"/>
      <c r="N338" s="29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idden="1">
      <c r="A339" s="2"/>
      <c r="B339" s="57" t="s">
        <v>139</v>
      </c>
      <c r="C339" s="11"/>
      <c r="D339" s="11">
        <v>0.0</v>
      </c>
      <c r="E339" s="32" t="s">
        <v>28</v>
      </c>
      <c r="F339" s="13">
        <f>'БД_УСЛУГИ_РО'!P253</f>
        <v>1200</v>
      </c>
      <c r="G339" s="28"/>
      <c r="H339" s="15"/>
      <c r="I339" s="2"/>
      <c r="J339" s="83"/>
      <c r="K339" s="84">
        <v>1200.0</v>
      </c>
      <c r="L339" s="61"/>
      <c r="M339" s="60"/>
      <c r="N339" s="29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idden="1">
      <c r="A340" s="2"/>
      <c r="B340" s="57" t="s">
        <v>139</v>
      </c>
      <c r="C340" s="11"/>
      <c r="D340" s="11">
        <v>180.0</v>
      </c>
      <c r="E340" s="12" t="s">
        <v>34</v>
      </c>
      <c r="F340" s="13">
        <f>'БД_УСЛУГИ_РО'!P254+'БД_ЗАПЧАСТИ'!P16</f>
        <v>2400</v>
      </c>
      <c r="G340" s="33" t="str">
        <f>MIN(F340:F341) &amp; " - " &amp; MAX(F340:F341)</f>
        <v>2400 - 3900</v>
      </c>
      <c r="H340" s="62">
        <f>'БД_УСЛУГИ_РО'!P254</f>
        <v>1100</v>
      </c>
      <c r="I340" s="2"/>
      <c r="J340" s="85">
        <f>F340</f>
        <v>2400</v>
      </c>
      <c r="K340" s="84">
        <v>2400.0</v>
      </c>
      <c r="L340" s="61" t="str">
        <f>IFERROR(VLOOKUP("iPhone SE 2020 Замена аккумулятора (1821mAh) 3.8V Standard", 'РЕМОНТ_ЯБЛОК'!C:D, 2, 0), "Ошибка") &amp; " | " &amp; IFERROR(VLOOKUP("iPhone SE 2020 Замена аккумулятора (2100mAh) 3.8V HC (повышенная емкость)", 'РЕМОНТ_ЯБЛОК'!C:D, 2, 0), "Ошибка")</f>
        <v>2400 | 2600</v>
      </c>
      <c r="M340" s="60"/>
      <c r="N340" s="29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idden="1">
      <c r="A341" s="2"/>
      <c r="B341" s="57" t="s">
        <v>139</v>
      </c>
      <c r="C341" s="11"/>
      <c r="D341" s="11">
        <v>180.0</v>
      </c>
      <c r="E341" s="12" t="s">
        <v>35</v>
      </c>
      <c r="F341" s="13">
        <f>'БД_УСЛУГИ_РО'!P254+'БД_УСЛУГИ_РО'!P255+'БД_ЗАПЧАСТИ'!P16</f>
        <v>3900</v>
      </c>
      <c r="G341" s="28"/>
      <c r="H341" s="62">
        <f>'БД_УСЛУГИ_РО'!P254+'БД_УСЛУГИ_РО'!P255</f>
        <v>2600</v>
      </c>
      <c r="I341" s="2"/>
      <c r="J341" s="83"/>
      <c r="K341" s="84">
        <v>3900.0</v>
      </c>
      <c r="L341" s="61"/>
      <c r="M341" s="60"/>
      <c r="N341" s="29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idden="1">
      <c r="A342" s="2"/>
      <c r="B342" s="57" t="s">
        <v>139</v>
      </c>
      <c r="C342" s="11"/>
      <c r="D342" s="11">
        <v>90.0</v>
      </c>
      <c r="E342" s="12" t="s">
        <v>140</v>
      </c>
      <c r="F342" s="13">
        <f>'БД_УСЛУГИ_РО'!P256+'БД_ЗАПЧАСТИ'!P611</f>
        <v>2800</v>
      </c>
      <c r="G342" s="29"/>
      <c r="H342" s="62">
        <f>'БД_УСЛУГИ_РО'!P256</f>
        <v>1200</v>
      </c>
      <c r="I342" s="2"/>
      <c r="J342" s="85">
        <f>F342</f>
        <v>2800</v>
      </c>
      <c r="K342" s="84">
        <v>2800.0</v>
      </c>
      <c r="L342" s="61">
        <f>IFERROR(VLOOKUP("iPhone SE 2020 Замена разъема питания", 'РЕМОНТ_ЯБЛОК'!C:D, 2, 0), "Ошибка")</f>
        <v>2800</v>
      </c>
      <c r="M342" s="60"/>
      <c r="N342" s="29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idden="1">
      <c r="A343" s="2"/>
      <c r="B343" s="57" t="s">
        <v>139</v>
      </c>
      <c r="C343" s="11"/>
      <c r="D343" s="11">
        <v>90.0</v>
      </c>
      <c r="E343" s="12" t="s">
        <v>38</v>
      </c>
      <c r="F343" s="13">
        <f>'БД_УСЛУГИ_РО'!P257+'БД_ЗАПЧАСТИ'!P178</f>
        <v>3400</v>
      </c>
      <c r="G343" s="33" t="str">
        <f>IFERROR(__xludf.DUMMYFUNCTION("MIN(FILTER(F343:F345, F343:F345 &lt;&gt; H343:H345)) &amp; "" - "" &amp; MAX(FILTER(F343:F345, F343:F345 &lt;&gt; H343:H345))"),"3000 - 3400")</f>
        <v>3000 - 3400</v>
      </c>
      <c r="H343" s="62">
        <f>'БД_УСЛУГИ_РО'!P257</f>
        <v>1500</v>
      </c>
      <c r="I343" s="2"/>
      <c r="J343" s="86">
        <f>IFERROR(__xludf.DUMMYFUNCTION("MIN(FILTER(F343:F344, F343:F344 &lt;&gt; H343:H344, F343:F344 &lt;&gt; """"))"),3000.0)</f>
        <v>3000</v>
      </c>
      <c r="K343" s="84">
        <v>3400.0</v>
      </c>
      <c r="L343" s="65">
        <f>IFERROR(VLOOKUP("iPhone SE 2020 Замена дисплея (оригинал)", 'РЕМОНТ_ЯБЛОК'!C:D, 2, 0), "Ошибка")</f>
        <v>4000</v>
      </c>
      <c r="M343" s="60"/>
      <c r="N343" s="29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idden="1">
      <c r="A344" s="2"/>
      <c r="B344" s="57" t="s">
        <v>139</v>
      </c>
      <c r="C344" s="11"/>
      <c r="D344" s="11">
        <v>90.0</v>
      </c>
      <c r="E344" s="12" t="s">
        <v>41</v>
      </c>
      <c r="F344" s="13">
        <f>'БД_УСЛУГИ_РО'!P257+'БД_ЗАПЧАСТИ'!P180</f>
        <v>3000</v>
      </c>
      <c r="G344" s="19"/>
      <c r="H344" s="62">
        <f>'БД_УСЛУГИ_РО'!P257</f>
        <v>1500</v>
      </c>
      <c r="I344" s="2"/>
      <c r="J344" s="87"/>
      <c r="K344" s="84">
        <v>3000.0</v>
      </c>
      <c r="L344" s="67"/>
      <c r="M344" s="60"/>
      <c r="N344" s="29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idden="1">
      <c r="A345" s="2"/>
      <c r="B345" s="57" t="s">
        <v>139</v>
      </c>
      <c r="C345" s="11"/>
      <c r="D345" s="11">
        <v>90.0</v>
      </c>
      <c r="E345" s="12" t="s">
        <v>44</v>
      </c>
      <c r="F345" s="13">
        <f>'БД_УСЛУГИ_РО'!P257</f>
        <v>1500</v>
      </c>
      <c r="G345" s="28"/>
      <c r="H345" s="62">
        <f>'БД_УСЛУГИ_РО'!P257</f>
        <v>1500</v>
      </c>
      <c r="I345" s="2"/>
      <c r="J345" s="83" t="str">
        <f>IF(F345=H345, "", F345)</f>
        <v/>
      </c>
      <c r="K345" s="84">
        <v>1500.0</v>
      </c>
      <c r="L345" s="61">
        <f>IFERROR(VLOOKUP("iPhone SE 2020 Замена дисплея (аналог)", 'РЕМОНТ_ЯБЛОК'!C:D, 2, 0), "Ошибка")</f>
        <v>3000</v>
      </c>
      <c r="M345" s="60"/>
      <c r="N345" s="29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idden="1">
      <c r="A346" s="2"/>
      <c r="B346" s="57" t="s">
        <v>139</v>
      </c>
      <c r="C346" s="11"/>
      <c r="D346" s="11">
        <v>90.0</v>
      </c>
      <c r="E346" s="12" t="s">
        <v>141</v>
      </c>
      <c r="F346" s="13">
        <f>'БД_УСЛУГИ_РО'!P258</f>
        <v>3500</v>
      </c>
      <c r="G346" s="29"/>
      <c r="H346" s="15"/>
      <c r="I346" s="2"/>
      <c r="J346" s="85">
        <f t="shared" ref="J346:J352" si="31">F346</f>
        <v>3500</v>
      </c>
      <c r="K346" s="84">
        <v>3500.0</v>
      </c>
      <c r="L346" s="61">
        <f>IFERROR(VLOOKUP("iPhone SE 2020 Переклейка (восстановление) вашего дисплея", 'РЕМОНТ_ЯБЛОК'!C:D, 2, 0), "Ошибка")</f>
        <v>3500</v>
      </c>
      <c r="M346" s="60"/>
      <c r="N346" s="29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idden="1">
      <c r="A347" s="2"/>
      <c r="B347" s="57" t="s">
        <v>139</v>
      </c>
      <c r="C347" s="11"/>
      <c r="D347" s="11">
        <v>90.0</v>
      </c>
      <c r="E347" s="12" t="s">
        <v>142</v>
      </c>
      <c r="F347" s="13">
        <f>'БД_УСЛУГИ_РО'!P259+'БД_ЗАПЧАСТИ'!P763</f>
        <v>6000</v>
      </c>
      <c r="G347" s="29"/>
      <c r="H347" s="62">
        <f>'БД_УСЛУГИ_РО'!P259</f>
        <v>1600</v>
      </c>
      <c r="I347" s="2"/>
      <c r="J347" s="85">
        <f t="shared" si="31"/>
        <v>6000</v>
      </c>
      <c r="K347" s="84">
        <v>6000.0</v>
      </c>
      <c r="L347" s="61">
        <f>IFERROR(VLOOKUP("iPhone SE 2020 Замена основной камеры", 'РЕМОНТ_ЯБЛОК'!C:D, 2, 0), "Ошибка")</f>
        <v>6000</v>
      </c>
      <c r="M347" s="60"/>
      <c r="N347" s="29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idden="1">
      <c r="A348" s="2"/>
      <c r="B348" s="57" t="s">
        <v>139</v>
      </c>
      <c r="C348" s="11"/>
      <c r="D348" s="11">
        <v>90.0</v>
      </c>
      <c r="E348" s="12" t="s">
        <v>143</v>
      </c>
      <c r="F348" s="13">
        <f>'БД_УСЛУГИ_РО'!P260+'БД_ЗАПЧАСТИ'!P804</f>
        <v>3550</v>
      </c>
      <c r="G348" s="29"/>
      <c r="H348" s="62">
        <f>'БД_УСЛУГИ_РО'!P260</f>
        <v>1500</v>
      </c>
      <c r="I348" s="2"/>
      <c r="J348" s="85">
        <f t="shared" si="31"/>
        <v>3550</v>
      </c>
      <c r="K348" s="84">
        <v>3550.0</v>
      </c>
      <c r="L348" s="61">
        <f>IFERROR(VLOOKUP("iPhone SE 2020 Замена фронтальной камеры", 'РЕМОНТ_ЯБЛОК'!C:D, 2, 0), "Ошибка")</f>
        <v>3500</v>
      </c>
      <c r="M348" s="60"/>
      <c r="N348" s="29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idden="1">
      <c r="A349" s="2"/>
      <c r="B349" s="57" t="s">
        <v>139</v>
      </c>
      <c r="C349" s="11"/>
      <c r="D349" s="11">
        <v>180.0</v>
      </c>
      <c r="E349" s="12" t="s">
        <v>52</v>
      </c>
      <c r="F349" s="13">
        <f>'БД_УСЛУГИ_РО'!P261+'БД_ЗАПЧАСТИ'!P544</f>
        <v>1500</v>
      </c>
      <c r="G349" s="29"/>
      <c r="H349" s="62">
        <f>'БД_УСЛУГИ_РО'!P261</f>
        <v>1200</v>
      </c>
      <c r="I349" s="2"/>
      <c r="J349" s="85">
        <f t="shared" si="31"/>
        <v>1500</v>
      </c>
      <c r="K349" s="84">
        <v>1500.0</v>
      </c>
      <c r="L349" s="61">
        <f>IFERROR(VLOOKUP("iPhone SE 2020 Замена стекла камеры", 'РЕМОНТ_ЯБЛОК'!C:D, 2, 0), "Ошибка")</f>
        <v>2000</v>
      </c>
      <c r="M349" s="60"/>
      <c r="N349" s="29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idden="1">
      <c r="A350" s="2"/>
      <c r="B350" s="57" t="s">
        <v>139</v>
      </c>
      <c r="C350" s="11"/>
      <c r="D350" s="11">
        <v>180.0</v>
      </c>
      <c r="E350" s="12" t="s">
        <v>55</v>
      </c>
      <c r="F350" s="13">
        <f>'БД_УСЛУГИ_РО'!P262+'БД_ЗАПЧАСТИ'!P328</f>
        <v>5000</v>
      </c>
      <c r="G350" s="29"/>
      <c r="H350" s="62">
        <f>'БД_УСЛУГИ_РО'!P262</f>
        <v>3600</v>
      </c>
      <c r="I350" s="2"/>
      <c r="J350" s="85">
        <f t="shared" si="31"/>
        <v>5000</v>
      </c>
      <c r="K350" s="84">
        <v>5000.0</v>
      </c>
      <c r="L350" s="61">
        <f>IFERROR(VLOOKUP("iPhone SE 2020 Замена задней крышки", 'РЕМОНТ_ЯБЛОК'!C:D, 2, 0), "Ошибка")</f>
        <v>5000</v>
      </c>
      <c r="M350" s="60"/>
      <c r="N350" s="29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idden="1">
      <c r="A351" s="2"/>
      <c r="B351" s="57" t="s">
        <v>139</v>
      </c>
      <c r="C351" s="11"/>
      <c r="D351" s="11">
        <v>180.0</v>
      </c>
      <c r="E351" s="12" t="s">
        <v>56</v>
      </c>
      <c r="F351" s="13">
        <f>'БД_УСЛУГИ_РО'!P263</f>
        <v>1500</v>
      </c>
      <c r="G351" s="29"/>
      <c r="H351" s="62">
        <f>'БД_УСЛУГИ_РО'!P263</f>
        <v>1500</v>
      </c>
      <c r="I351" s="2"/>
      <c r="J351" s="85">
        <f t="shared" si="31"/>
        <v>1500</v>
      </c>
      <c r="K351" s="84">
        <v>1500.0</v>
      </c>
      <c r="L351" s="61">
        <f>IFERROR(VLOOKUP("iPhone SE 2020 Замена корпуса", 'РЕМОНТ_ЯБЛОК'!C:D, 2, 0), "Ошибка")</f>
        <v>6000</v>
      </c>
      <c r="M351" s="60"/>
      <c r="N351" s="29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idden="1">
      <c r="A352" s="2"/>
      <c r="B352" s="57" t="s">
        <v>139</v>
      </c>
      <c r="C352" s="11"/>
      <c r="D352" s="11">
        <v>90.0</v>
      </c>
      <c r="E352" s="12" t="s">
        <v>58</v>
      </c>
      <c r="F352" s="13">
        <f>'БД_УСЛУГИ_РО'!P264</f>
        <v>2000</v>
      </c>
      <c r="G352" s="29"/>
      <c r="H352" s="62">
        <f>'БД_УСЛУГИ_РО'!P264</f>
        <v>2000</v>
      </c>
      <c r="I352" s="2"/>
      <c r="J352" s="85">
        <f t="shared" si="31"/>
        <v>2000</v>
      </c>
      <c r="K352" s="84">
        <v>2000.0</v>
      </c>
      <c r="L352" s="61">
        <f>IFERROR(VLOOKUP("iPhone SE 2020 Замена кнопки Home", 'РЕМОНТ_ЯБЛОК'!C:D, 2, 0), "Ошибка")</f>
        <v>3000</v>
      </c>
      <c r="M352" s="60"/>
      <c r="N352" s="29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idden="1">
      <c r="A353" s="2"/>
      <c r="B353" s="57" t="s">
        <v>139</v>
      </c>
      <c r="C353" s="11"/>
      <c r="D353" s="11">
        <v>90.0</v>
      </c>
      <c r="E353" s="12" t="s">
        <v>59</v>
      </c>
      <c r="F353" s="13">
        <f>'БД_УСЛУГИ_РО'!P265</f>
        <v>1200</v>
      </c>
      <c r="G353" s="29"/>
      <c r="H353" s="15"/>
      <c r="I353" s="2"/>
      <c r="J353" s="83"/>
      <c r="K353" s="84">
        <v>1200.0</v>
      </c>
      <c r="L353" s="61"/>
      <c r="M353" s="60"/>
      <c r="N353" s="29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idden="1">
      <c r="A354" s="2"/>
      <c r="B354" s="57" t="s">
        <v>139</v>
      </c>
      <c r="C354" s="11"/>
      <c r="D354" s="11">
        <v>90.0</v>
      </c>
      <c r="E354" s="12" t="s">
        <v>144</v>
      </c>
      <c r="F354" s="13">
        <f>'БД_УСЛУГИ_РО'!P266+'БД_ЗАПЧАСТИ'!P888</f>
        <v>1850</v>
      </c>
      <c r="G354" s="29"/>
      <c r="H354" s="62">
        <f>'БД_УСЛУГИ_РО'!P266</f>
        <v>1700</v>
      </c>
      <c r="I354" s="2"/>
      <c r="J354" s="83"/>
      <c r="K354" s="84">
        <v>1850.0</v>
      </c>
      <c r="L354" s="61"/>
      <c r="M354" s="60"/>
      <c r="N354" s="29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idden="1">
      <c r="A355" s="2"/>
      <c r="B355" s="57" t="s">
        <v>139</v>
      </c>
      <c r="C355" s="11"/>
      <c r="D355" s="11">
        <v>90.0</v>
      </c>
      <c r="E355" s="12" t="s">
        <v>145</v>
      </c>
      <c r="F355" s="13">
        <f>'БД_УСЛУГИ_РО'!P267+'БД_ЗАПЧАСТИ'!P847</f>
        <v>1800</v>
      </c>
      <c r="G355" s="29"/>
      <c r="H355" s="62">
        <f>'БД_УСЛУГИ_РО'!P267</f>
        <v>1700</v>
      </c>
      <c r="I355" s="2"/>
      <c r="J355" s="85">
        <f>F355</f>
        <v>1800</v>
      </c>
      <c r="K355" s="84">
        <v>1800.0</v>
      </c>
      <c r="L355" s="61">
        <f>IFERROR(VLOOKUP("iPhone SE 2020 Замена слухового динамика", 'РЕМОНТ_ЯБЛОК'!C:D, 2, 0), "Ошибка")</f>
        <v>2500</v>
      </c>
      <c r="M355" s="60"/>
      <c r="N355" s="29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idden="1">
      <c r="A356" s="2"/>
      <c r="B356" s="57" t="s">
        <v>139</v>
      </c>
      <c r="C356" s="11"/>
      <c r="D356" s="11">
        <v>90.0</v>
      </c>
      <c r="E356" s="32" t="s">
        <v>62</v>
      </c>
      <c r="F356" s="13">
        <f>'БД_УСЛУГИ_РО'!P268+'БД_ЗАПЧАСТИ'!P611</f>
        <v>3500</v>
      </c>
      <c r="G356" s="29"/>
      <c r="H356" s="62">
        <f>'БД_УСЛУГИ_РО'!P268</f>
        <v>1900</v>
      </c>
      <c r="I356" s="2"/>
      <c r="J356" s="83"/>
      <c r="K356" s="84">
        <v>3500.0</v>
      </c>
      <c r="L356" s="61"/>
      <c r="M356" s="60"/>
      <c r="N356" s="29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idden="1">
      <c r="A357" s="2"/>
      <c r="B357" s="57" t="s">
        <v>139</v>
      </c>
      <c r="C357" s="11"/>
      <c r="D357" s="11">
        <v>90.0</v>
      </c>
      <c r="E357" s="12" t="s">
        <v>63</v>
      </c>
      <c r="F357" s="13">
        <f>'БД_УСЛУГИ_РО'!P269</f>
        <v>2000</v>
      </c>
      <c r="G357" s="29"/>
      <c r="H357" s="15"/>
      <c r="I357" s="2"/>
      <c r="J357" s="83"/>
      <c r="K357" s="84">
        <v>2000.0</v>
      </c>
      <c r="L357" s="61"/>
      <c r="M357" s="60"/>
      <c r="N357" s="29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idden="1">
      <c r="A358" s="2"/>
      <c r="B358" s="57" t="s">
        <v>139</v>
      </c>
      <c r="C358" s="11"/>
      <c r="D358" s="11">
        <v>90.0</v>
      </c>
      <c r="E358" s="12" t="s">
        <v>64</v>
      </c>
      <c r="F358" s="13">
        <f>'БД_УСЛУГИ_РО'!P270</f>
        <v>2500</v>
      </c>
      <c r="G358" s="29"/>
      <c r="H358" s="15"/>
      <c r="I358" s="2"/>
      <c r="J358" s="83"/>
      <c r="K358" s="84">
        <v>2500.0</v>
      </c>
      <c r="L358" s="61"/>
      <c r="M358" s="60"/>
      <c r="N358" s="29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idden="1">
      <c r="A359" s="2"/>
      <c r="B359" s="57" t="s">
        <v>139</v>
      </c>
      <c r="C359" s="11"/>
      <c r="D359" s="11">
        <v>90.0</v>
      </c>
      <c r="E359" s="12" t="s">
        <v>65</v>
      </c>
      <c r="F359" s="13">
        <f>'БД_УСЛУГИ_РО'!P271</f>
        <v>2500</v>
      </c>
      <c r="G359" s="29"/>
      <c r="H359" s="15"/>
      <c r="I359" s="2"/>
      <c r="J359" s="92"/>
      <c r="K359" s="93">
        <v>2500.0</v>
      </c>
      <c r="L359" s="61"/>
      <c r="M359" s="94"/>
      <c r="N359" s="33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idden="1">
      <c r="A360" s="2"/>
      <c r="B360" s="69" t="s">
        <v>139</v>
      </c>
      <c r="C360" s="36"/>
      <c r="D360" s="36">
        <v>90.0</v>
      </c>
      <c r="E360" s="70" t="s">
        <v>66</v>
      </c>
      <c r="F360" s="38">
        <f>'БД_УСЛУГИ_РО'!P272</f>
        <v>1000</v>
      </c>
      <c r="G360" s="39"/>
      <c r="H360" s="15"/>
      <c r="I360" s="2"/>
      <c r="J360" s="91"/>
      <c r="K360" s="89">
        <v>1000.0</v>
      </c>
      <c r="L360" s="73"/>
      <c r="M360" s="74"/>
      <c r="N360" s="39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idden="1">
      <c r="A361" s="2"/>
      <c r="B361" s="1"/>
      <c r="C361" s="1"/>
      <c r="D361" s="36"/>
      <c r="E361" s="75"/>
      <c r="F361" s="80"/>
      <c r="G361" s="76"/>
      <c r="H361" s="15"/>
      <c r="I361" s="2"/>
      <c r="J361" s="90"/>
      <c r="K361" s="2" t="s">
        <v>22</v>
      </c>
      <c r="L361" s="2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idden="1">
      <c r="A362" s="2"/>
      <c r="B362" s="41" t="s">
        <v>146</v>
      </c>
      <c r="C362" s="42"/>
      <c r="D362" s="42">
        <v>0.0</v>
      </c>
      <c r="E362" s="51" t="s">
        <v>24</v>
      </c>
      <c r="F362" s="44">
        <f>'БД_УСЛУГИ_РО'!P273</f>
        <v>1</v>
      </c>
      <c r="G362" s="78"/>
      <c r="H362" s="15"/>
      <c r="I362" s="2"/>
      <c r="J362" s="81"/>
      <c r="K362" s="82">
        <v>1.0</v>
      </c>
      <c r="L362" s="55"/>
      <c r="M362" s="56"/>
      <c r="N362" s="5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idden="1">
      <c r="A363" s="2"/>
      <c r="B363" s="57" t="s">
        <v>146</v>
      </c>
      <c r="C363" s="11"/>
      <c r="D363" s="11">
        <v>0.0</v>
      </c>
      <c r="E363" s="12" t="s">
        <v>26</v>
      </c>
      <c r="F363" s="13">
        <f>'БД_УСЛУГИ_РО'!P274+'БД_УСЛУГИ_РО'!P275</f>
        <v>900</v>
      </c>
      <c r="G363" s="29"/>
      <c r="H363" s="15"/>
      <c r="I363" s="2"/>
      <c r="J363" s="83"/>
      <c r="K363" s="84">
        <v>900.0</v>
      </c>
      <c r="L363" s="61"/>
      <c r="M363" s="60"/>
      <c r="N363" s="29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idden="1">
      <c r="A364" s="2"/>
      <c r="B364" s="57" t="s">
        <v>146</v>
      </c>
      <c r="C364" s="11"/>
      <c r="D364" s="11">
        <v>0.0</v>
      </c>
      <c r="E364" s="32" t="s">
        <v>27</v>
      </c>
      <c r="F364" s="13">
        <f>'БД_УСЛУГИ_РО'!P276</f>
        <v>400</v>
      </c>
      <c r="G364" s="33" t="str">
        <f>MIN(F364:F365) &amp; " - " &amp; MAX(F364:F365)</f>
        <v>400 - 1200</v>
      </c>
      <c r="H364" s="15"/>
      <c r="I364" s="2"/>
      <c r="J364" s="83"/>
      <c r="K364" s="84">
        <v>400.0</v>
      </c>
      <c r="L364" s="61"/>
      <c r="M364" s="60"/>
      <c r="N364" s="29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idden="1">
      <c r="A365" s="2"/>
      <c r="B365" s="57" t="s">
        <v>146</v>
      </c>
      <c r="C365" s="11"/>
      <c r="D365" s="11">
        <v>0.0</v>
      </c>
      <c r="E365" s="32" t="s">
        <v>28</v>
      </c>
      <c r="F365" s="13">
        <f>'БД_УСЛУГИ_РО'!P277</f>
        <v>1200</v>
      </c>
      <c r="G365" s="28"/>
      <c r="H365" s="15"/>
      <c r="I365" s="2"/>
      <c r="J365" s="83"/>
      <c r="K365" s="84">
        <v>1200.0</v>
      </c>
      <c r="L365" s="61"/>
      <c r="M365" s="60"/>
      <c r="N365" s="29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idden="1">
      <c r="A366" s="2"/>
      <c r="B366" s="57" t="s">
        <v>146</v>
      </c>
      <c r="C366" s="11"/>
      <c r="D366" s="11">
        <v>180.0</v>
      </c>
      <c r="E366" s="12" t="s">
        <v>34</v>
      </c>
      <c r="F366" s="13">
        <f>'БД_УСЛУГИ_РО'!P278+'БД_ЗАПЧАСТИ'!P17</f>
        <v>3100</v>
      </c>
      <c r="G366" s="33" t="str">
        <f>MIN(F366:F367) &amp; " - " &amp; MAX(F366:F367)</f>
        <v>3100 - 4600</v>
      </c>
      <c r="H366" s="62">
        <f>'БД_УСЛУГИ_РО'!P278</f>
        <v>1100</v>
      </c>
      <c r="I366" s="2"/>
      <c r="J366" s="83"/>
      <c r="K366" s="84">
        <v>3100.0</v>
      </c>
      <c r="L366" s="61"/>
      <c r="M366" s="60"/>
      <c r="N366" s="29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idden="1">
      <c r="A367" s="2"/>
      <c r="B367" s="57" t="s">
        <v>146</v>
      </c>
      <c r="C367" s="11"/>
      <c r="D367" s="11">
        <v>180.0</v>
      </c>
      <c r="E367" s="12" t="s">
        <v>35</v>
      </c>
      <c r="F367" s="13">
        <f>'БД_УСЛУГИ_РО'!P278+'БД_УСЛУГИ_РО'!P279+'БД_ЗАПЧАСТИ'!P17</f>
        <v>4600</v>
      </c>
      <c r="G367" s="28"/>
      <c r="H367" s="62">
        <f>'БД_УСЛУГИ_РО'!P278+'БД_УСЛУГИ_РО'!P279</f>
        <v>2600</v>
      </c>
      <c r="I367" s="2"/>
      <c r="J367" s="83"/>
      <c r="K367" s="84">
        <v>4600.0</v>
      </c>
      <c r="L367" s="61"/>
      <c r="M367" s="60"/>
      <c r="N367" s="29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idden="1">
      <c r="A368" s="2"/>
      <c r="B368" s="57" t="s">
        <v>146</v>
      </c>
      <c r="C368" s="11"/>
      <c r="D368" s="11">
        <v>90.0</v>
      </c>
      <c r="E368" s="12" t="s">
        <v>147</v>
      </c>
      <c r="F368" s="13">
        <f>'БД_УСЛУГИ_РО'!P280+'БД_ЗАПЧАСТИ'!P613</f>
        <v>1200</v>
      </c>
      <c r="G368" s="29"/>
      <c r="H368" s="62">
        <f>'БД_УСЛУГИ_РО'!P280</f>
        <v>1200</v>
      </c>
      <c r="I368" s="2"/>
      <c r="J368" s="83"/>
      <c r="K368" s="84">
        <v>1200.0</v>
      </c>
      <c r="L368" s="61"/>
      <c r="M368" s="60"/>
      <c r="N368" s="29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idden="1">
      <c r="A369" s="2"/>
      <c r="B369" s="57" t="s">
        <v>146</v>
      </c>
      <c r="C369" s="11"/>
      <c r="D369" s="11">
        <v>90.0</v>
      </c>
      <c r="E369" s="12" t="s">
        <v>38</v>
      </c>
      <c r="F369" s="13">
        <f>'БД_УСЛУГИ_РО'!P281+'БД_ЗАПЧАСТИ'!P178</f>
        <v>3400</v>
      </c>
      <c r="G369" s="33" t="str">
        <f>IFERROR(__xludf.DUMMYFUNCTION("MIN(FILTER(F369:F371, F369:F371 &lt;&gt; H369:H371)) &amp; "" - "" &amp; MAX(FILTER(F369:F371, F369:F371 &lt;&gt; H369:H371))"),"3000 - 3400")</f>
        <v>3000 - 3400</v>
      </c>
      <c r="H369" s="62">
        <f>'БД_УСЛУГИ_РО'!P281</f>
        <v>1500</v>
      </c>
      <c r="I369" s="2"/>
      <c r="J369" s="86">
        <f>IFERROR(__xludf.DUMMYFUNCTION("MIN(FILTER(F369:F370, F369:F370 &lt;&gt; H369:H370, F369:F370 &lt;&gt; """"))"),3000.0)</f>
        <v>3000</v>
      </c>
      <c r="K369" s="84">
        <v>3400.0</v>
      </c>
      <c r="L369" s="61"/>
      <c r="M369" s="60"/>
      <c r="N369" s="29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idden="1">
      <c r="A370" s="2"/>
      <c r="B370" s="57" t="s">
        <v>146</v>
      </c>
      <c r="C370" s="11"/>
      <c r="D370" s="11">
        <v>90.0</v>
      </c>
      <c r="E370" s="12" t="s">
        <v>41</v>
      </c>
      <c r="F370" s="13">
        <f>'БД_УСЛУГИ_РО'!P281+'БД_ЗАПЧАСТИ'!P180</f>
        <v>3000</v>
      </c>
      <c r="G370" s="19"/>
      <c r="H370" s="62">
        <f>'БД_УСЛУГИ_РО'!P281</f>
        <v>1500</v>
      </c>
      <c r="I370" s="2"/>
      <c r="J370" s="87"/>
      <c r="K370" s="84">
        <v>3000.0</v>
      </c>
      <c r="L370" s="61"/>
      <c r="M370" s="60"/>
      <c r="N370" s="29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idden="1">
      <c r="A371" s="2"/>
      <c r="B371" s="57" t="s">
        <v>146</v>
      </c>
      <c r="C371" s="11"/>
      <c r="D371" s="11">
        <v>90.0</v>
      </c>
      <c r="E371" s="12" t="s">
        <v>44</v>
      </c>
      <c r="F371" s="13">
        <f>'БД_УСЛУГИ_РО'!P281</f>
        <v>1500</v>
      </c>
      <c r="G371" s="28"/>
      <c r="H371" s="62">
        <f>'БД_УСЛУГИ_РО'!P281</f>
        <v>1500</v>
      </c>
      <c r="I371" s="2"/>
      <c r="J371" s="83" t="str">
        <f>IF(F371=H371, "", F371)</f>
        <v/>
      </c>
      <c r="K371" s="84">
        <v>1500.0</v>
      </c>
      <c r="L371" s="61"/>
      <c r="M371" s="60"/>
      <c r="N371" s="29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idden="1">
      <c r="A372" s="2"/>
      <c r="B372" s="57" t="s">
        <v>146</v>
      </c>
      <c r="C372" s="11"/>
      <c r="D372" s="11">
        <v>90.0</v>
      </c>
      <c r="E372" s="12" t="s">
        <v>148</v>
      </c>
      <c r="F372" s="13">
        <f>'БД_УСЛУГИ_РО'!P282</f>
        <v>3500</v>
      </c>
      <c r="G372" s="29"/>
      <c r="H372" s="15"/>
      <c r="I372" s="2"/>
      <c r="J372" s="83"/>
      <c r="K372" s="84">
        <v>3500.0</v>
      </c>
      <c r="L372" s="61"/>
      <c r="M372" s="60"/>
      <c r="N372" s="29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idden="1">
      <c r="A373" s="2"/>
      <c r="B373" s="57" t="s">
        <v>146</v>
      </c>
      <c r="C373" s="11"/>
      <c r="D373" s="11">
        <v>90.0</v>
      </c>
      <c r="E373" s="12" t="s">
        <v>149</v>
      </c>
      <c r="F373" s="13">
        <f>'БД_УСЛУГИ_РО'!P283+'БД_ЗАПЧАСТИ'!P763</f>
        <v>6000</v>
      </c>
      <c r="G373" s="29"/>
      <c r="H373" s="62">
        <f>'БД_УСЛУГИ_РО'!P283</f>
        <v>1600</v>
      </c>
      <c r="I373" s="2"/>
      <c r="J373" s="83"/>
      <c r="K373" s="84">
        <v>6000.0</v>
      </c>
      <c r="L373" s="61"/>
      <c r="M373" s="60"/>
      <c r="N373" s="29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idden="1">
      <c r="A374" s="2"/>
      <c r="B374" s="57" t="s">
        <v>146</v>
      </c>
      <c r="C374" s="11"/>
      <c r="D374" s="11">
        <v>90.0</v>
      </c>
      <c r="E374" s="12" t="s">
        <v>150</v>
      </c>
      <c r="F374" s="13">
        <f>'БД_УСЛУГИ_РО'!P284+'БД_ЗАПЧАСТИ'!P804</f>
        <v>3550</v>
      </c>
      <c r="G374" s="29"/>
      <c r="H374" s="62">
        <f>'БД_УСЛУГИ_РО'!P284</f>
        <v>1500</v>
      </c>
      <c r="I374" s="2"/>
      <c r="J374" s="83"/>
      <c r="K374" s="84">
        <v>3550.0</v>
      </c>
      <c r="L374" s="61"/>
      <c r="M374" s="60"/>
      <c r="N374" s="29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idden="1">
      <c r="A375" s="2"/>
      <c r="B375" s="57" t="s">
        <v>146</v>
      </c>
      <c r="C375" s="11"/>
      <c r="D375" s="11">
        <v>180.0</v>
      </c>
      <c r="E375" s="12" t="s">
        <v>52</v>
      </c>
      <c r="F375" s="13">
        <f>'БД_УСЛУГИ_РО'!P285+'БД_ЗАПЧАСТИ'!P544</f>
        <v>1500</v>
      </c>
      <c r="G375" s="29"/>
      <c r="H375" s="62">
        <f>'БД_УСЛУГИ_РО'!P285</f>
        <v>1200</v>
      </c>
      <c r="I375" s="2"/>
      <c r="J375" s="83"/>
      <c r="K375" s="84">
        <v>1500.0</v>
      </c>
      <c r="L375" s="61"/>
      <c r="M375" s="60"/>
      <c r="N375" s="29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idden="1">
      <c r="A376" s="2"/>
      <c r="B376" s="57" t="s">
        <v>146</v>
      </c>
      <c r="C376" s="11"/>
      <c r="D376" s="11">
        <v>180.0</v>
      </c>
      <c r="E376" s="12" t="s">
        <v>55</v>
      </c>
      <c r="F376" s="13">
        <f>'БД_УСЛУГИ_РО'!P286+'БД_ЗАПЧАСТИ'!P331</f>
        <v>5000</v>
      </c>
      <c r="G376" s="29"/>
      <c r="H376" s="62">
        <f>'БД_УСЛУГИ_РО'!P286</f>
        <v>3600</v>
      </c>
      <c r="I376" s="2"/>
      <c r="J376" s="83"/>
      <c r="K376" s="84">
        <v>5000.0</v>
      </c>
      <c r="L376" s="61"/>
      <c r="M376" s="60"/>
      <c r="N376" s="29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idden="1">
      <c r="A377" s="2"/>
      <c r="B377" s="57" t="s">
        <v>146</v>
      </c>
      <c r="C377" s="11"/>
      <c r="D377" s="11">
        <v>180.0</v>
      </c>
      <c r="E377" s="12" t="s">
        <v>56</v>
      </c>
      <c r="F377" s="13">
        <f>'БД_УСЛУГИ_РО'!P287</f>
        <v>1500</v>
      </c>
      <c r="G377" s="29"/>
      <c r="H377" s="62">
        <f>'БД_УСЛУГИ_РО'!P287</f>
        <v>1500</v>
      </c>
      <c r="I377" s="2"/>
      <c r="J377" s="83"/>
      <c r="K377" s="84">
        <v>1500.0</v>
      </c>
      <c r="L377" s="61"/>
      <c r="M377" s="60"/>
      <c r="N377" s="29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idden="1">
      <c r="A378" s="2"/>
      <c r="B378" s="57" t="s">
        <v>146</v>
      </c>
      <c r="C378" s="11"/>
      <c r="D378" s="11">
        <v>90.0</v>
      </c>
      <c r="E378" s="12" t="s">
        <v>58</v>
      </c>
      <c r="F378" s="13">
        <f>'БД_УСЛУГИ_РО'!P288</f>
        <v>2000</v>
      </c>
      <c r="G378" s="29"/>
      <c r="H378" s="62">
        <f>'БД_УСЛУГИ_РО'!P288</f>
        <v>2000</v>
      </c>
      <c r="I378" s="2"/>
      <c r="J378" s="83"/>
      <c r="K378" s="84">
        <v>2000.0</v>
      </c>
      <c r="L378" s="61"/>
      <c r="M378" s="60"/>
      <c r="N378" s="29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idden="1">
      <c r="A379" s="2"/>
      <c r="B379" s="57" t="s">
        <v>146</v>
      </c>
      <c r="C379" s="11"/>
      <c r="D379" s="11">
        <v>90.0</v>
      </c>
      <c r="E379" s="12" t="s">
        <v>59</v>
      </c>
      <c r="F379" s="13">
        <f>'БД_УСЛУГИ_РО'!P289</f>
        <v>1200</v>
      </c>
      <c r="G379" s="29"/>
      <c r="H379" s="15"/>
      <c r="I379" s="2"/>
      <c r="J379" s="83"/>
      <c r="K379" s="84">
        <v>1200.0</v>
      </c>
      <c r="L379" s="61"/>
      <c r="M379" s="60"/>
      <c r="N379" s="29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idden="1">
      <c r="A380" s="2"/>
      <c r="B380" s="57" t="s">
        <v>146</v>
      </c>
      <c r="C380" s="11"/>
      <c r="D380" s="11">
        <v>90.0</v>
      </c>
      <c r="E380" s="12" t="s">
        <v>151</v>
      </c>
      <c r="F380" s="13">
        <f>'БД_УСЛУГИ_РО'!P290+'БД_ЗАПЧАСТИ'!P888</f>
        <v>1850</v>
      </c>
      <c r="G380" s="29"/>
      <c r="H380" s="62">
        <f>'БД_УСЛУГИ_РО'!P290</f>
        <v>1700</v>
      </c>
      <c r="I380" s="2"/>
      <c r="J380" s="83"/>
      <c r="K380" s="84">
        <v>1850.0</v>
      </c>
      <c r="L380" s="61"/>
      <c r="M380" s="60"/>
      <c r="N380" s="29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idden="1">
      <c r="A381" s="2"/>
      <c r="B381" s="57" t="s">
        <v>146</v>
      </c>
      <c r="C381" s="11"/>
      <c r="D381" s="11">
        <v>90.0</v>
      </c>
      <c r="E381" s="12" t="s">
        <v>152</v>
      </c>
      <c r="F381" s="13">
        <f>'БД_УСЛУГИ_РО'!P291+'БД_ЗАПЧАСТИ'!P847</f>
        <v>1800</v>
      </c>
      <c r="G381" s="29"/>
      <c r="H381" s="62">
        <f>'БД_УСЛУГИ_РО'!P291</f>
        <v>1700</v>
      </c>
      <c r="I381" s="2"/>
      <c r="J381" s="83"/>
      <c r="K381" s="84">
        <v>1800.0</v>
      </c>
      <c r="L381" s="61"/>
      <c r="M381" s="60"/>
      <c r="N381" s="29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idden="1">
      <c r="A382" s="2"/>
      <c r="B382" s="57" t="s">
        <v>146</v>
      </c>
      <c r="C382" s="11"/>
      <c r="D382" s="11">
        <v>90.0</v>
      </c>
      <c r="E382" s="32" t="s">
        <v>62</v>
      </c>
      <c r="F382" s="13">
        <f>'БД_УСЛУГИ_РО'!P292+'БД_ЗАПЧАСТИ'!P613</f>
        <v>1900</v>
      </c>
      <c r="G382" s="29"/>
      <c r="H382" s="62">
        <f>'БД_УСЛУГИ_РО'!P292</f>
        <v>1900</v>
      </c>
      <c r="I382" s="2"/>
      <c r="J382" s="83"/>
      <c r="K382" s="84">
        <v>1900.0</v>
      </c>
      <c r="L382" s="61"/>
      <c r="M382" s="60"/>
      <c r="N382" s="29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idden="1">
      <c r="A383" s="2"/>
      <c r="B383" s="57" t="s">
        <v>146</v>
      </c>
      <c r="C383" s="11"/>
      <c r="D383" s="11">
        <v>90.0</v>
      </c>
      <c r="E383" s="12" t="s">
        <v>63</v>
      </c>
      <c r="F383" s="13">
        <f>'БД_УСЛУГИ_РО'!P293</f>
        <v>2000</v>
      </c>
      <c r="G383" s="29"/>
      <c r="H383" s="15"/>
      <c r="I383" s="2"/>
      <c r="J383" s="83"/>
      <c r="K383" s="84">
        <v>2000.0</v>
      </c>
      <c r="L383" s="61"/>
      <c r="M383" s="60"/>
      <c r="N383" s="29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idden="1">
      <c r="A384" s="2"/>
      <c r="B384" s="57" t="s">
        <v>146</v>
      </c>
      <c r="C384" s="11"/>
      <c r="D384" s="11">
        <v>90.0</v>
      </c>
      <c r="E384" s="12" t="s">
        <v>64</v>
      </c>
      <c r="F384" s="13">
        <f>'БД_УСЛУГИ_РО'!P294</f>
        <v>2500</v>
      </c>
      <c r="G384" s="29"/>
      <c r="H384" s="15"/>
      <c r="I384" s="2"/>
      <c r="J384" s="83"/>
      <c r="K384" s="84">
        <v>2500.0</v>
      </c>
      <c r="L384" s="61"/>
      <c r="M384" s="60"/>
      <c r="N384" s="29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idden="1">
      <c r="A385" s="2"/>
      <c r="B385" s="57" t="s">
        <v>146</v>
      </c>
      <c r="C385" s="11"/>
      <c r="D385" s="11">
        <v>90.0</v>
      </c>
      <c r="E385" s="12" t="s">
        <v>65</v>
      </c>
      <c r="F385" s="13">
        <f>'БД_УСЛУГИ_РО'!P295</f>
        <v>2500</v>
      </c>
      <c r="G385" s="29"/>
      <c r="H385" s="15"/>
      <c r="I385" s="2"/>
      <c r="J385" s="92"/>
      <c r="K385" s="93">
        <v>2500.0</v>
      </c>
      <c r="L385" s="65"/>
      <c r="M385" s="94"/>
      <c r="N385" s="33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idden="1">
      <c r="A386" s="2"/>
      <c r="B386" s="69" t="s">
        <v>146</v>
      </c>
      <c r="C386" s="36"/>
      <c r="D386" s="36">
        <v>90.0</v>
      </c>
      <c r="E386" s="70" t="s">
        <v>66</v>
      </c>
      <c r="F386" s="38">
        <f>'БД_УСЛУГИ_РО'!P296</f>
        <v>1000</v>
      </c>
      <c r="G386" s="39"/>
      <c r="H386" s="15"/>
      <c r="I386" s="2"/>
      <c r="J386" s="91"/>
      <c r="K386" s="89">
        <v>1000.0</v>
      </c>
      <c r="L386" s="73"/>
      <c r="M386" s="74"/>
      <c r="N386" s="39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idden="1">
      <c r="A387" s="2"/>
      <c r="B387" s="1"/>
      <c r="C387" s="1"/>
      <c r="D387" s="95"/>
      <c r="E387" s="75"/>
      <c r="F387" s="80"/>
      <c r="G387" s="76"/>
      <c r="H387" s="15"/>
      <c r="I387" s="2"/>
      <c r="J387" s="90"/>
      <c r="K387" s="2" t="s">
        <v>22</v>
      </c>
      <c r="L387" s="2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idden="1">
      <c r="A388" s="2"/>
      <c r="B388" s="41" t="s">
        <v>153</v>
      </c>
      <c r="C388" s="42"/>
      <c r="D388" s="42">
        <v>0.0</v>
      </c>
      <c r="E388" s="51" t="s">
        <v>24</v>
      </c>
      <c r="F388" s="44">
        <f>'БД_УСЛУГИ_РО'!P322</f>
        <v>1</v>
      </c>
      <c r="G388" s="78"/>
      <c r="H388" s="15"/>
      <c r="I388" s="2"/>
      <c r="J388" s="81"/>
      <c r="K388" s="82">
        <v>1.0</v>
      </c>
      <c r="L388" s="55"/>
      <c r="M388" s="56"/>
      <c r="N388" s="5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idden="1">
      <c r="A389" s="2"/>
      <c r="B389" s="57" t="s">
        <v>153</v>
      </c>
      <c r="C389" s="11"/>
      <c r="D389" s="11">
        <v>0.0</v>
      </c>
      <c r="E389" s="12" t="s">
        <v>26</v>
      </c>
      <c r="F389" s="13">
        <f>'БД_УСЛУГИ_РО'!P323+'БД_УСЛУГИ_РО'!P324</f>
        <v>1100</v>
      </c>
      <c r="G389" s="29"/>
      <c r="H389" s="15"/>
      <c r="I389" s="2"/>
      <c r="J389" s="83"/>
      <c r="K389" s="84">
        <v>1100.0</v>
      </c>
      <c r="L389" s="61"/>
      <c r="M389" s="60"/>
      <c r="N389" s="29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idden="1">
      <c r="A390" s="2"/>
      <c r="B390" s="57" t="s">
        <v>153</v>
      </c>
      <c r="C390" s="11"/>
      <c r="D390" s="11">
        <v>0.0</v>
      </c>
      <c r="E390" s="32" t="s">
        <v>27</v>
      </c>
      <c r="F390" s="13">
        <f>'БД_УСЛУГИ_РО'!P325</f>
        <v>400</v>
      </c>
      <c r="G390" s="33" t="str">
        <f>MIN(F390:F391) &amp; " - " &amp; MAX(F390:F391)</f>
        <v>400 - 1700</v>
      </c>
      <c r="H390" s="15"/>
      <c r="I390" s="2"/>
      <c r="J390" s="83"/>
      <c r="K390" s="84">
        <v>400.0</v>
      </c>
      <c r="L390" s="61"/>
      <c r="M390" s="60"/>
      <c r="N390" s="29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idden="1">
      <c r="A391" s="2"/>
      <c r="B391" s="57" t="s">
        <v>153</v>
      </c>
      <c r="C391" s="11"/>
      <c r="D391" s="11">
        <v>0.0</v>
      </c>
      <c r="E391" s="32" t="s">
        <v>28</v>
      </c>
      <c r="F391" s="13">
        <f>'БД_УСЛУГИ_РО'!P326</f>
        <v>1700</v>
      </c>
      <c r="G391" s="28"/>
      <c r="H391" s="15"/>
      <c r="I391" s="2"/>
      <c r="J391" s="83"/>
      <c r="K391" s="84">
        <v>1700.0</v>
      </c>
      <c r="L391" s="61"/>
      <c r="M391" s="60"/>
      <c r="N391" s="29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idden="1">
      <c r="A392" s="2"/>
      <c r="B392" s="57" t="s">
        <v>153</v>
      </c>
      <c r="C392" s="11"/>
      <c r="D392" s="11">
        <v>180.0</v>
      </c>
      <c r="E392" s="12" t="s">
        <v>34</v>
      </c>
      <c r="F392" s="13">
        <f>'БД_УСЛУГИ_РО'!P327+'БД_ЗАПЧАСТИ'!P18</f>
        <v>3000</v>
      </c>
      <c r="G392" s="33" t="str">
        <f>MIN(F392:F393) &amp; " - " &amp; MAX(F392:F393)</f>
        <v>3000 - 4700</v>
      </c>
      <c r="H392" s="62">
        <f>'БД_УСЛУГИ_РО'!P327</f>
        <v>1800</v>
      </c>
      <c r="I392" s="2"/>
      <c r="J392" s="85">
        <f>F392</f>
        <v>3000</v>
      </c>
      <c r="K392" s="84">
        <v>3000.0</v>
      </c>
      <c r="L392" s="61" t="str">
        <f>IFERROR(VLOOKUP("iPhone XR Замена аккумулятора (2942mAh) 3.81V Standard", 'РЕМОНТ_ЯБЛОК'!C:D, 2, 0), "Ошибка") &amp; " | " &amp; IFERROR(VLOOKUP("iPhone XR Замена аккумулятора (3510mAh) 3.81V HC (повышенная емкость)", 'РЕМОНТ_ЯБЛОК'!C:D, 2, 0), "Ошибка")</f>
        <v>3000 | 3500</v>
      </c>
      <c r="M392" s="60"/>
      <c r="N392" s="29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idden="1">
      <c r="A393" s="2"/>
      <c r="B393" s="57" t="s">
        <v>153</v>
      </c>
      <c r="C393" s="11"/>
      <c r="D393" s="11">
        <v>180.0</v>
      </c>
      <c r="E393" s="12" t="s">
        <v>35</v>
      </c>
      <c r="F393" s="13">
        <f>'БД_УСЛУГИ_РО'!P327+'БД_УСЛУГИ_РО'!P328+'БД_ЗАПЧАСТИ'!P18</f>
        <v>4700</v>
      </c>
      <c r="G393" s="28"/>
      <c r="H393" s="62">
        <f>'БД_УСЛУГИ_РО'!P327+'БД_УСЛУГИ_РО'!P328</f>
        <v>3500</v>
      </c>
      <c r="I393" s="2"/>
      <c r="J393" s="83"/>
      <c r="K393" s="84">
        <v>4700.0</v>
      </c>
      <c r="L393" s="61"/>
      <c r="M393" s="60"/>
      <c r="N393" s="29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idden="1">
      <c r="A394" s="2"/>
      <c r="B394" s="57" t="s">
        <v>153</v>
      </c>
      <c r="C394" s="11"/>
      <c r="D394" s="11">
        <v>90.0</v>
      </c>
      <c r="E394" s="12" t="s">
        <v>154</v>
      </c>
      <c r="F394" s="13">
        <f>'БД_УСЛУГИ_РО'!P329+'БД_ЗАПЧАСТИ'!P615</f>
        <v>3500</v>
      </c>
      <c r="G394" s="29"/>
      <c r="H394" s="62">
        <f>'БД_УСЛУГИ_РО'!P329</f>
        <v>2000</v>
      </c>
      <c r="I394" s="2"/>
      <c r="J394" s="85">
        <f>F394</f>
        <v>3500</v>
      </c>
      <c r="K394" s="84">
        <v>3500.0</v>
      </c>
      <c r="L394" s="61">
        <f>IFERROR(VLOOKUP("iPhone XR Замена разъема питания", 'РЕМОНТ_ЯБЛОК'!C:D, 2, 0), "Ошибка")</f>
        <v>3500</v>
      </c>
      <c r="M394" s="96"/>
      <c r="N394" s="29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idden="1">
      <c r="A395" s="2"/>
      <c r="B395" s="57" t="s">
        <v>153</v>
      </c>
      <c r="C395" s="11"/>
      <c r="D395" s="11">
        <v>90.0</v>
      </c>
      <c r="E395" s="12" t="s">
        <v>38</v>
      </c>
      <c r="F395" s="13">
        <f>'БД_УСЛУГИ_РО'!P330+'БД_ЗАПЧАСТИ'!P186</f>
        <v>4500</v>
      </c>
      <c r="G395" s="33" t="str">
        <f>IFERROR(__xludf.DUMMYFUNCTION("MIN(FILTER(F395:F397, F395:F397 &lt;&gt; H395:H397)) &amp; "" - "" &amp; MAX(FILTER(F395:F397, F395:F397 &lt;&gt; H395:H397))"),"4000 - 4500")</f>
        <v>4000 - 4500</v>
      </c>
      <c r="H395" s="62">
        <f>'БД_УСЛУГИ_РО'!P330</f>
        <v>1800</v>
      </c>
      <c r="I395" s="2"/>
      <c r="J395" s="86">
        <f>IFERROR(__xludf.DUMMYFUNCTION("MIN(FILTER(F395:F396, F395:F396 &lt;&gt; H395:H396, F395:F396 &lt;&gt; """"))"),4000.0)</f>
        <v>4000</v>
      </c>
      <c r="K395" s="84">
        <v>4500.0</v>
      </c>
      <c r="L395" s="65">
        <f>IFERROR(VLOOKUP("iPhone XR Замена дисплея (оригинал)", 'РЕМОНТ_ЯБЛОК'!C:D, 2, 0), "Ошибка")</f>
        <v>4000</v>
      </c>
      <c r="M395" s="60"/>
      <c r="N395" s="29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idden="1">
      <c r="A396" s="2"/>
      <c r="B396" s="57" t="s">
        <v>153</v>
      </c>
      <c r="C396" s="11"/>
      <c r="D396" s="11">
        <v>90.0</v>
      </c>
      <c r="E396" s="12" t="s">
        <v>41</v>
      </c>
      <c r="F396" s="13">
        <f>'БД_УСЛУГИ_РО'!P330+'БД_ЗАПЧАСТИ'!P187</f>
        <v>4000</v>
      </c>
      <c r="G396" s="19"/>
      <c r="H396" s="62">
        <f>'БД_УСЛУГИ_РО'!P330</f>
        <v>1800</v>
      </c>
      <c r="I396" s="2"/>
      <c r="J396" s="87"/>
      <c r="K396" s="84">
        <v>4000.0</v>
      </c>
      <c r="L396" s="67"/>
      <c r="M396" s="60"/>
      <c r="N396" s="29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idden="1">
      <c r="A397" s="2"/>
      <c r="B397" s="57" t="s">
        <v>153</v>
      </c>
      <c r="C397" s="11"/>
      <c r="D397" s="11">
        <v>90.0</v>
      </c>
      <c r="E397" s="12" t="s">
        <v>44</v>
      </c>
      <c r="F397" s="13">
        <f>'БД_УСЛУГИ_РО'!P330</f>
        <v>1800</v>
      </c>
      <c r="G397" s="28"/>
      <c r="H397" s="62">
        <f>'БД_УСЛУГИ_РО'!P330</f>
        <v>1800</v>
      </c>
      <c r="I397" s="2"/>
      <c r="J397" s="83" t="str">
        <f>IF(F397=H397, "", F397)</f>
        <v/>
      </c>
      <c r="K397" s="84">
        <v>1800.0</v>
      </c>
      <c r="L397" s="61">
        <f>IFERROR(VLOOKUP("iPhone XR Замена дисплея (аналог)", 'РЕМОНТ_ЯБЛОК'!C:D, 2, 0), "Ошибка")</f>
        <v>3500</v>
      </c>
      <c r="M397" s="60"/>
      <c r="N397" s="29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idden="1">
      <c r="A398" s="2"/>
      <c r="B398" s="57" t="s">
        <v>153</v>
      </c>
      <c r="C398" s="11"/>
      <c r="D398" s="11">
        <v>90.0</v>
      </c>
      <c r="E398" s="12" t="s">
        <v>155</v>
      </c>
      <c r="F398" s="13">
        <f>'БД_УСЛУГИ_РО'!P331+'БД_ЗАПЧАСТИ'!P764</f>
        <v>4050</v>
      </c>
      <c r="G398" s="29"/>
      <c r="H398" s="62">
        <f>'БД_УСЛУГИ_РО'!P331</f>
        <v>2400</v>
      </c>
      <c r="I398" s="2"/>
      <c r="J398" s="85">
        <f>F398</f>
        <v>4050</v>
      </c>
      <c r="K398" s="84">
        <v>4050.0</v>
      </c>
      <c r="L398" s="61">
        <f>IFERROR(VLOOKUP("iPhone XR Замена основной камеры", 'РЕМОНТ_ЯБЛОК'!C:D, 2, 0), "Ошибка")</f>
        <v>3500</v>
      </c>
      <c r="M398" s="96"/>
      <c r="N398" s="29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idden="1">
      <c r="A399" s="2"/>
      <c r="B399" s="57" t="s">
        <v>153</v>
      </c>
      <c r="C399" s="11"/>
      <c r="D399" s="11">
        <v>90.0</v>
      </c>
      <c r="E399" s="12" t="s">
        <v>156</v>
      </c>
      <c r="F399" s="13">
        <f>'БД_УСЛУГИ_РО'!P332+'БД_ЗАПЧАСТИ'!P805</f>
        <v>4900</v>
      </c>
      <c r="G399" s="29"/>
      <c r="H399" s="62">
        <f>'БД_УСЛУГИ_РО'!P332</f>
        <v>3000</v>
      </c>
      <c r="I399" s="2"/>
      <c r="J399" s="83"/>
      <c r="K399" s="84">
        <v>4900.0</v>
      </c>
      <c r="L399" s="61"/>
      <c r="M399" s="60"/>
      <c r="N399" s="29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idden="1">
      <c r="A400" s="2"/>
      <c r="B400" s="57" t="s">
        <v>153</v>
      </c>
      <c r="C400" s="11"/>
      <c r="D400" s="11">
        <v>180.0</v>
      </c>
      <c r="E400" s="12" t="s">
        <v>52</v>
      </c>
      <c r="F400" s="13">
        <f>'БД_УСЛУГИ_РО'!P333+'БД_ЗАПЧАСТИ'!P546</f>
        <v>2000</v>
      </c>
      <c r="G400" s="29"/>
      <c r="H400" s="15"/>
      <c r="I400" s="2"/>
      <c r="J400" s="85">
        <f t="shared" ref="J400:J403" si="32">F400</f>
        <v>2000</v>
      </c>
      <c r="K400" s="84">
        <v>2000.0</v>
      </c>
      <c r="L400" s="61">
        <f>IFERROR(VLOOKUP("iPhone XR Замена стекла камеры", 'РЕМОНТ_ЯБЛОК'!C:D, 2, 0), "Ошибка")</f>
        <v>2000</v>
      </c>
      <c r="M400" s="96"/>
      <c r="N400" s="29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idden="1">
      <c r="A401" s="2"/>
      <c r="B401" s="57" t="s">
        <v>153</v>
      </c>
      <c r="C401" s="11"/>
      <c r="D401" s="11">
        <v>90.0</v>
      </c>
      <c r="E401" s="12" t="s">
        <v>53</v>
      </c>
      <c r="F401" s="13">
        <f>'БД_УСЛУГИ_РО'!P334</f>
        <v>4200</v>
      </c>
      <c r="G401" s="29"/>
      <c r="H401" s="15"/>
      <c r="I401" s="2"/>
      <c r="J401" s="85">
        <f t="shared" si="32"/>
        <v>4200</v>
      </c>
      <c r="K401" s="84">
        <v>4200.0</v>
      </c>
      <c r="L401" s="61">
        <f>IFERROR(VLOOKUP("iPhone XR Ремонт (восстановление) Face id", 'РЕМОНТ_ЯБЛОК'!C:D, 2, 0), "Ошибка")</f>
        <v>6500</v>
      </c>
      <c r="M401" s="96"/>
      <c r="N401" s="29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idden="1">
      <c r="A402" s="2"/>
      <c r="B402" s="57" t="s">
        <v>153</v>
      </c>
      <c r="C402" s="11"/>
      <c r="D402" s="11">
        <v>180.0</v>
      </c>
      <c r="E402" s="12" t="s">
        <v>55</v>
      </c>
      <c r="F402" s="13">
        <f>'БД_УСЛУГИ_РО'!P335+'БД_ЗАПЧАСТИ'!P334</f>
        <v>5000</v>
      </c>
      <c r="G402" s="29"/>
      <c r="H402" s="62">
        <f>'БД_УСЛУГИ_РО'!P335</f>
        <v>3300</v>
      </c>
      <c r="I402" s="2"/>
      <c r="J402" s="85">
        <f t="shared" si="32"/>
        <v>5000</v>
      </c>
      <c r="K402" s="84">
        <v>5000.0</v>
      </c>
      <c r="L402" s="61">
        <f>IFERROR(VLOOKUP("iPhone XR Замена задней крышки", 'РЕМОНТ_ЯБЛОК'!C:D, 2, 0), "Ошибка")</f>
        <v>5000</v>
      </c>
      <c r="M402" s="96"/>
      <c r="N402" s="29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idden="1">
      <c r="A403" s="2"/>
      <c r="B403" s="57" t="s">
        <v>153</v>
      </c>
      <c r="C403" s="11"/>
      <c r="D403" s="11">
        <v>180.0</v>
      </c>
      <c r="E403" s="12" t="s">
        <v>56</v>
      </c>
      <c r="F403" s="13">
        <f>'БД_УСЛУГИ_РО'!P336</f>
        <v>2600</v>
      </c>
      <c r="G403" s="29"/>
      <c r="H403" s="62">
        <f>'БД_УСЛУГИ_РО'!P336</f>
        <v>2600</v>
      </c>
      <c r="I403" s="2"/>
      <c r="J403" s="85">
        <f t="shared" si="32"/>
        <v>2600</v>
      </c>
      <c r="K403" s="84">
        <v>2600.0</v>
      </c>
      <c r="L403" s="61">
        <f>IFERROR(VLOOKUP("iPhone XR Замена корпуса", 'РЕМОНТ_ЯБЛОК'!C:D, 2, 0), "Ошибка")</f>
        <v>6000</v>
      </c>
      <c r="M403" s="97"/>
      <c r="N403" s="29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idden="1">
      <c r="A404" s="2"/>
      <c r="B404" s="57" t="s">
        <v>153</v>
      </c>
      <c r="C404" s="11"/>
      <c r="D404" s="11">
        <v>90.0</v>
      </c>
      <c r="E404" s="12" t="s">
        <v>59</v>
      </c>
      <c r="F404" s="13">
        <f>'БД_УСЛУГИ_РО'!P337</f>
        <v>2000</v>
      </c>
      <c r="G404" s="29"/>
      <c r="H404" s="15"/>
      <c r="I404" s="2"/>
      <c r="J404" s="83"/>
      <c r="K404" s="84">
        <v>2000.0</v>
      </c>
      <c r="L404" s="61"/>
      <c r="M404" s="60"/>
      <c r="N404" s="29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idden="1">
      <c r="A405" s="2"/>
      <c r="B405" s="57" t="s">
        <v>153</v>
      </c>
      <c r="C405" s="11"/>
      <c r="D405" s="11">
        <v>90.0</v>
      </c>
      <c r="E405" s="12" t="s">
        <v>157</v>
      </c>
      <c r="F405" s="13">
        <f>'БД_УСЛУГИ_РО'!P338+'БД_ЗАПЧАСТИ'!P890</f>
        <v>2600</v>
      </c>
      <c r="G405" s="29"/>
      <c r="H405" s="62">
        <f>'БД_УСЛУГИ_РО'!P338</f>
        <v>1600</v>
      </c>
      <c r="I405" s="2"/>
      <c r="J405" s="83"/>
      <c r="K405" s="84">
        <v>2600.0</v>
      </c>
      <c r="L405" s="61"/>
      <c r="M405" s="60"/>
      <c r="N405" s="29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idden="1">
      <c r="A406" s="2"/>
      <c r="B406" s="57" t="s">
        <v>153</v>
      </c>
      <c r="C406" s="11"/>
      <c r="D406" s="11">
        <v>90.0</v>
      </c>
      <c r="E406" s="12" t="s">
        <v>158</v>
      </c>
      <c r="F406" s="13">
        <f>'БД_УСЛУГИ_РО'!P339+'БД_ЗАПЧАСТИ'!P848</f>
        <v>2900</v>
      </c>
      <c r="G406" s="29"/>
      <c r="H406" s="62">
        <f>'БД_УСЛУГИ_РО'!P339</f>
        <v>1600</v>
      </c>
      <c r="I406" s="2"/>
      <c r="J406" s="83"/>
      <c r="K406" s="84">
        <v>2900.0</v>
      </c>
      <c r="L406" s="61"/>
      <c r="M406" s="60"/>
      <c r="N406" s="29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idden="1">
      <c r="A407" s="2"/>
      <c r="B407" s="57" t="s">
        <v>153</v>
      </c>
      <c r="C407" s="11"/>
      <c r="D407" s="11">
        <v>90.0</v>
      </c>
      <c r="E407" s="32" t="s">
        <v>62</v>
      </c>
      <c r="F407" s="13">
        <f>'БД_УСЛУГИ_РО'!P340+'БД_ЗАПЧАСТИ'!P615</f>
        <v>3700</v>
      </c>
      <c r="G407" s="29"/>
      <c r="H407" s="62">
        <f>'БД_УСЛУГИ_РО'!P340</f>
        <v>2200</v>
      </c>
      <c r="I407" s="2"/>
      <c r="J407" s="83"/>
      <c r="K407" s="84">
        <v>3700.0</v>
      </c>
      <c r="L407" s="61"/>
      <c r="M407" s="60"/>
      <c r="N407" s="29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idden="1">
      <c r="A408" s="2"/>
      <c r="B408" s="57" t="s">
        <v>153</v>
      </c>
      <c r="C408" s="11"/>
      <c r="D408" s="11">
        <v>90.0</v>
      </c>
      <c r="E408" s="12" t="s">
        <v>63</v>
      </c>
      <c r="F408" s="13">
        <f>'БД_УСЛУГИ_РО'!P341</f>
        <v>2200</v>
      </c>
      <c r="G408" s="29"/>
      <c r="H408" s="15"/>
      <c r="I408" s="2"/>
      <c r="J408" s="83"/>
      <c r="K408" s="84">
        <v>2200.0</v>
      </c>
      <c r="L408" s="61"/>
      <c r="M408" s="60"/>
      <c r="N408" s="29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idden="1">
      <c r="A409" s="2"/>
      <c r="B409" s="57" t="s">
        <v>153</v>
      </c>
      <c r="C409" s="11"/>
      <c r="D409" s="11">
        <v>90.0</v>
      </c>
      <c r="E409" s="12" t="s">
        <v>64</v>
      </c>
      <c r="F409" s="13">
        <f>'БД_УСЛУГИ_РО'!P342</f>
        <v>2500</v>
      </c>
      <c r="G409" s="29"/>
      <c r="H409" s="15"/>
      <c r="I409" s="2"/>
      <c r="J409" s="83"/>
      <c r="K409" s="84">
        <v>2500.0</v>
      </c>
      <c r="L409" s="61"/>
      <c r="M409" s="60"/>
      <c r="N409" s="29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idden="1">
      <c r="A410" s="2"/>
      <c r="B410" s="57" t="s">
        <v>153</v>
      </c>
      <c r="C410" s="11"/>
      <c r="D410" s="11">
        <v>90.0</v>
      </c>
      <c r="E410" s="12" t="s">
        <v>65</v>
      </c>
      <c r="F410" s="13">
        <f>'БД_УСЛУГИ_РО'!P343</f>
        <v>2200</v>
      </c>
      <c r="G410" s="29"/>
      <c r="H410" s="15"/>
      <c r="I410" s="2"/>
      <c r="J410" s="83"/>
      <c r="K410" s="84">
        <v>2200.0</v>
      </c>
      <c r="L410" s="61"/>
      <c r="M410" s="60"/>
      <c r="N410" s="29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idden="1">
      <c r="A411" s="2"/>
      <c r="B411" s="69" t="s">
        <v>153</v>
      </c>
      <c r="C411" s="36"/>
      <c r="D411" s="36">
        <v>90.0</v>
      </c>
      <c r="E411" s="70" t="s">
        <v>66</v>
      </c>
      <c r="F411" s="38">
        <f>'БД_УСЛУГИ_РО'!P344</f>
        <v>2700</v>
      </c>
      <c r="G411" s="39"/>
      <c r="H411" s="15"/>
      <c r="I411" s="2"/>
      <c r="J411" s="91"/>
      <c r="K411" s="89">
        <v>2700.0</v>
      </c>
      <c r="L411" s="73"/>
      <c r="M411" s="74"/>
      <c r="N411" s="39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idden="1">
      <c r="A412" s="2"/>
      <c r="B412" s="1"/>
      <c r="C412" s="1"/>
      <c r="D412" s="95"/>
      <c r="E412" s="75"/>
      <c r="F412" s="80"/>
      <c r="G412" s="76"/>
      <c r="H412" s="15"/>
      <c r="I412" s="2"/>
      <c r="J412" s="90"/>
      <c r="K412" s="2" t="s">
        <v>22</v>
      </c>
      <c r="L412" s="2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idden="1">
      <c r="A413" s="2"/>
      <c r="B413" s="41" t="s">
        <v>159</v>
      </c>
      <c r="C413" s="42"/>
      <c r="D413" s="42">
        <v>0.0</v>
      </c>
      <c r="E413" s="51" t="s">
        <v>24</v>
      </c>
      <c r="F413" s="44">
        <f>'БД_УСЛУГИ_РО'!P297</f>
        <v>1</v>
      </c>
      <c r="G413" s="78"/>
      <c r="H413" s="15"/>
      <c r="I413" s="2"/>
      <c r="J413" s="81"/>
      <c r="K413" s="82">
        <v>1.0</v>
      </c>
      <c r="L413" s="55"/>
      <c r="M413" s="56"/>
      <c r="N413" s="5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idden="1">
      <c r="A414" s="2"/>
      <c r="B414" s="57" t="s">
        <v>159</v>
      </c>
      <c r="C414" s="11"/>
      <c r="D414" s="11">
        <v>0.0</v>
      </c>
      <c r="E414" s="12" t="s">
        <v>26</v>
      </c>
      <c r="F414" s="13">
        <f>'БД_УСЛУГИ_РО'!P298+'БД_УСЛУГИ_РО'!P299</f>
        <v>1100</v>
      </c>
      <c r="G414" s="29"/>
      <c r="H414" s="15"/>
      <c r="I414" s="2"/>
      <c r="J414" s="83"/>
      <c r="K414" s="84">
        <v>1100.0</v>
      </c>
      <c r="L414" s="61"/>
      <c r="M414" s="60"/>
      <c r="N414" s="29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idden="1">
      <c r="A415" s="2"/>
      <c r="B415" s="57" t="s">
        <v>159</v>
      </c>
      <c r="C415" s="11"/>
      <c r="D415" s="11">
        <v>0.0</v>
      </c>
      <c r="E415" s="32" t="s">
        <v>27</v>
      </c>
      <c r="F415" s="13">
        <f>'БД_УСЛУГИ_РО'!P300</f>
        <v>400</v>
      </c>
      <c r="G415" s="33" t="str">
        <f>MIN(F415:F416) &amp; " - " &amp; MAX(F415:F416)</f>
        <v>400 - 1700</v>
      </c>
      <c r="H415" s="15"/>
      <c r="I415" s="2"/>
      <c r="J415" s="83"/>
      <c r="K415" s="84">
        <v>400.0</v>
      </c>
      <c r="L415" s="61"/>
      <c r="M415" s="60"/>
      <c r="N415" s="29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idden="1">
      <c r="A416" s="2"/>
      <c r="B416" s="57" t="s">
        <v>159</v>
      </c>
      <c r="C416" s="11"/>
      <c r="D416" s="11">
        <v>0.0</v>
      </c>
      <c r="E416" s="32" t="s">
        <v>28</v>
      </c>
      <c r="F416" s="13">
        <f>'БД_УСЛУГИ_РО'!P301</f>
        <v>1700</v>
      </c>
      <c r="G416" s="28"/>
      <c r="H416" s="15"/>
      <c r="I416" s="2"/>
      <c r="J416" s="83"/>
      <c r="K416" s="84">
        <v>1700.0</v>
      </c>
      <c r="L416" s="61"/>
      <c r="M416" s="60"/>
      <c r="N416" s="29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idden="1">
      <c r="A417" s="2"/>
      <c r="B417" s="57" t="s">
        <v>159</v>
      </c>
      <c r="C417" s="11"/>
      <c r="D417" s="11">
        <v>180.0</v>
      </c>
      <c r="E417" s="12" t="s">
        <v>31</v>
      </c>
      <c r="F417" s="13">
        <f>'БД_УСЛУГИ_РО'!P302+'БД_ЗАПЧАСТИ'!P20</f>
        <v>3000</v>
      </c>
      <c r="G417" s="29"/>
      <c r="H417" s="62">
        <f>'БД_УСЛУГИ_РО'!P302</f>
        <v>1800</v>
      </c>
      <c r="I417" s="2"/>
      <c r="J417" s="85">
        <f t="shared" ref="J417:J418" si="33">F417</f>
        <v>3000</v>
      </c>
      <c r="K417" s="84">
        <v>3000.0</v>
      </c>
      <c r="L417" s="61" t="str">
        <f>IFERROR(VLOOKUP("iPhone X Замена аккумулятора (2716mAh) 3.81V Standard", 'РЕМОНТ_ЯБЛОК'!C:D, 2, 0), "Ошибка") &amp; " | " &amp; IFERROR(VLOOKUP("iPhone X Замена аккумулятора (3500mAh) 3.81V HC (повышенная емкость)", 'РЕМОНТ_ЯБЛОК'!C:D, 2, 0), "Ошибка")</f>
        <v>3000 | 3500</v>
      </c>
      <c r="M417" s="60"/>
      <c r="N417" s="29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idden="1">
      <c r="A418" s="2"/>
      <c r="B418" s="57" t="s">
        <v>159</v>
      </c>
      <c r="C418" s="11"/>
      <c r="D418" s="11">
        <v>90.0</v>
      </c>
      <c r="E418" s="12" t="s">
        <v>160</v>
      </c>
      <c r="F418" s="13">
        <f>'БД_УСЛУГИ_РО'!P303+'БД_ЗАПЧАСТИ'!P617</f>
        <v>3500</v>
      </c>
      <c r="G418" s="29"/>
      <c r="H418" s="62">
        <f>'БД_УСЛУГИ_РО'!P303</f>
        <v>2500</v>
      </c>
      <c r="I418" s="2"/>
      <c r="J418" s="85">
        <f t="shared" si="33"/>
        <v>3500</v>
      </c>
      <c r="K418" s="84">
        <v>3500.0</v>
      </c>
      <c r="L418" s="61">
        <f>IFERROR(VLOOKUP("iPhone X Замена разъема питания", 'РЕМОНТ_ЯБЛОК'!C:D, 2, 0), "Ошибка")</f>
        <v>3500</v>
      </c>
      <c r="M418" s="96"/>
      <c r="N418" s="29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idden="1">
      <c r="A419" s="2"/>
      <c r="B419" s="57" t="s">
        <v>159</v>
      </c>
      <c r="C419" s="11"/>
      <c r="D419" s="11">
        <v>90.0</v>
      </c>
      <c r="E419" s="12" t="s">
        <v>38</v>
      </c>
      <c r="F419" s="13">
        <f>'БД_УСЛУГИ_РО'!P304+'БД_ЗАПЧАСТИ'!P188</f>
        <v>6450</v>
      </c>
      <c r="G419" s="33" t="str">
        <f>IFERROR(__xludf.DUMMYFUNCTION("MIN(FILTER(F419:F421, F419:F421 &lt;&gt; H419:H421)) &amp; "" - "" &amp; MAX(FILTER(F419:F421, F419:F421 &lt;&gt; H419:H421))"),"5950 - 6450")</f>
        <v>5950 - 6450</v>
      </c>
      <c r="H419" s="62">
        <f>'БД_УСЛУГИ_РО'!P304</f>
        <v>1800</v>
      </c>
      <c r="I419" s="2"/>
      <c r="J419" s="86">
        <f>IFERROR(__xludf.DUMMYFUNCTION("MIN(FILTER(F419:F420, F419:F420 &lt;&gt; H419:H420, F419:F420 &lt;&gt; """"))"),5950.0)</f>
        <v>5950</v>
      </c>
      <c r="K419" s="84">
        <v>6450.0</v>
      </c>
      <c r="L419" s="65">
        <f>IFERROR(VLOOKUP("iPhone X Замена дисплея (оригинал)", 'РЕМОНТ_ЯБЛОК'!C:D, 2, 0), "Ошибка")</f>
        <v>5500</v>
      </c>
      <c r="M419" s="60"/>
      <c r="N419" s="29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idden="1">
      <c r="A420" s="2"/>
      <c r="B420" s="57" t="s">
        <v>159</v>
      </c>
      <c r="C420" s="11"/>
      <c r="D420" s="11">
        <v>90.0</v>
      </c>
      <c r="E420" s="12" t="s">
        <v>41</v>
      </c>
      <c r="F420" s="13">
        <f>'БД_УСЛУГИ_РО'!P304+'БД_ЗАПЧАСТИ'!P189</f>
        <v>5950</v>
      </c>
      <c r="G420" s="19"/>
      <c r="H420" s="62">
        <f>'БД_УСЛУГИ_РО'!P304</f>
        <v>1800</v>
      </c>
      <c r="I420" s="2"/>
      <c r="J420" s="87"/>
      <c r="K420" s="84">
        <v>5950.0</v>
      </c>
      <c r="L420" s="67"/>
      <c r="M420" s="60"/>
      <c r="N420" s="29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idden="1">
      <c r="A421" s="2"/>
      <c r="B421" s="57" t="s">
        <v>159</v>
      </c>
      <c r="C421" s="11"/>
      <c r="D421" s="11">
        <v>90.0</v>
      </c>
      <c r="E421" s="12" t="s">
        <v>44</v>
      </c>
      <c r="F421" s="13">
        <f>'БД_УСЛУГИ_РО'!P304</f>
        <v>1800</v>
      </c>
      <c r="G421" s="28"/>
      <c r="H421" s="62">
        <f>'БД_УСЛУГИ_РО'!P304</f>
        <v>1800</v>
      </c>
      <c r="I421" s="2"/>
      <c r="J421" s="83" t="str">
        <f>IF(F421=H421, "", F421)</f>
        <v/>
      </c>
      <c r="K421" s="84">
        <v>1800.0</v>
      </c>
      <c r="L421" s="61">
        <f>IFERROR(VLOOKUP("iPhone X Замена дисплея (аналог)", 'РЕМОНТ_ЯБЛОК'!C:D, 2, 0), "Ошибка")</f>
        <v>4500</v>
      </c>
      <c r="M421" s="60"/>
      <c r="N421" s="29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idden="1">
      <c r="A422" s="2"/>
      <c r="B422" s="57" t="s">
        <v>159</v>
      </c>
      <c r="C422" s="11"/>
      <c r="D422" s="11">
        <v>90.0</v>
      </c>
      <c r="E422" s="12" t="s">
        <v>161</v>
      </c>
      <c r="F422" s="13">
        <f>'БД_УСЛУГИ_РО'!P305</f>
        <v>4500</v>
      </c>
      <c r="G422" s="33" t="str">
        <f>MIN(F422:F423) &amp; " - " &amp; MAX(F422:F423)</f>
        <v>4500 - 6000</v>
      </c>
      <c r="H422" s="15"/>
      <c r="I422" s="2"/>
      <c r="J422" s="85">
        <f>F422</f>
        <v>4500</v>
      </c>
      <c r="K422" s="84">
        <v>4500.0</v>
      </c>
      <c r="L422" s="61">
        <f>IFERROR(VLOOKUP("iPhone X Переклейка (восстановление) вашего дисплея", 'РЕМОНТ_ЯБЛОК'!C:D, 2, 0), "Ошибка")</f>
        <v>4500</v>
      </c>
      <c r="M422" s="96"/>
      <c r="N422" s="29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idden="1">
      <c r="A423" s="2"/>
      <c r="B423" s="57" t="s">
        <v>159</v>
      </c>
      <c r="C423" s="11"/>
      <c r="D423" s="11">
        <v>90.0</v>
      </c>
      <c r="E423" s="12" t="s">
        <v>162</v>
      </c>
      <c r="F423" s="13">
        <f>'БД_УСЛУГИ_РО'!P306</f>
        <v>6000</v>
      </c>
      <c r="G423" s="28"/>
      <c r="H423" s="15"/>
      <c r="I423" s="2"/>
      <c r="J423" s="83"/>
      <c r="K423" s="84">
        <v>6000.0</v>
      </c>
      <c r="L423" s="61"/>
      <c r="M423" s="60"/>
      <c r="N423" s="29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idden="1">
      <c r="A424" s="2"/>
      <c r="B424" s="57" t="s">
        <v>159</v>
      </c>
      <c r="C424" s="11"/>
      <c r="D424" s="11">
        <v>90.0</v>
      </c>
      <c r="E424" s="12" t="s">
        <v>163</v>
      </c>
      <c r="F424" s="13">
        <f>'БД_УСЛУГИ_РО'!P307+'БД_ЗАПЧАСТИ'!P765</f>
        <v>4000</v>
      </c>
      <c r="G424" s="29"/>
      <c r="H424" s="62">
        <f>'БД_УСЛУГИ_РО'!P307</f>
        <v>2400</v>
      </c>
      <c r="I424" s="2"/>
      <c r="J424" s="85">
        <f t="shared" ref="J424:J432" si="34">F424</f>
        <v>4000</v>
      </c>
      <c r="K424" s="84">
        <v>4000.0</v>
      </c>
      <c r="L424" s="61">
        <f>IFERROR(VLOOKUP("iPhone X Замена основной камеры", 'РЕМОНТ_ЯБЛОК'!C:D, 2, 0), "Ошибка")</f>
        <v>4000</v>
      </c>
      <c r="M424" s="96"/>
      <c r="N424" s="29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idden="1">
      <c r="A425" s="2"/>
      <c r="B425" s="57" t="s">
        <v>159</v>
      </c>
      <c r="C425" s="11"/>
      <c r="D425" s="11">
        <v>90.0</v>
      </c>
      <c r="E425" s="12" t="s">
        <v>164</v>
      </c>
      <c r="F425" s="13">
        <f>'БД_УСЛУГИ_РО'!P308+'БД_ЗАПЧАСТИ'!P806</f>
        <v>4900</v>
      </c>
      <c r="G425" s="29"/>
      <c r="H425" s="62">
        <f>'БД_УСЛУГИ_РО'!P308</f>
        <v>3000</v>
      </c>
      <c r="I425" s="2"/>
      <c r="J425" s="85">
        <f t="shared" si="34"/>
        <v>4900</v>
      </c>
      <c r="K425" s="84">
        <v>4900.0</v>
      </c>
      <c r="L425" s="61">
        <f>IFERROR(VLOOKUP("iPhone X Замена фронтальной камеры", 'РЕМОНТ_ЯБЛОК'!C:D, 2, 0), "Ошибка")</f>
        <v>6500</v>
      </c>
      <c r="M425" s="96"/>
      <c r="N425" s="29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idden="1">
      <c r="A426" s="2"/>
      <c r="B426" s="57" t="s">
        <v>159</v>
      </c>
      <c r="C426" s="11"/>
      <c r="D426" s="11">
        <v>180.0</v>
      </c>
      <c r="E426" s="12" t="s">
        <v>52</v>
      </c>
      <c r="F426" s="13">
        <f>'БД_УСЛУГИ_РО'!P309+'БД_ЗАПЧАСТИ'!P547</f>
        <v>2000</v>
      </c>
      <c r="G426" s="29"/>
      <c r="H426" s="62">
        <f>'БД_УСЛУГИ_РО'!P309</f>
        <v>1600</v>
      </c>
      <c r="I426" s="2"/>
      <c r="J426" s="85">
        <f t="shared" si="34"/>
        <v>2000</v>
      </c>
      <c r="K426" s="84">
        <v>2000.0</v>
      </c>
      <c r="L426" s="61">
        <f>IFERROR(VLOOKUP("iPhone X Замена стекла камеры", 'РЕМОНТ_ЯБЛОК'!C:D, 2, 0), "Ошибка")</f>
        <v>2000</v>
      </c>
      <c r="M426" s="96"/>
      <c r="N426" s="29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idden="1">
      <c r="A427" s="2"/>
      <c r="B427" s="57" t="s">
        <v>159</v>
      </c>
      <c r="C427" s="11"/>
      <c r="D427" s="11">
        <v>90.0</v>
      </c>
      <c r="E427" s="12" t="s">
        <v>53</v>
      </c>
      <c r="F427" s="13">
        <f>'БД_УСЛУГИ_РО'!P310</f>
        <v>4200</v>
      </c>
      <c r="G427" s="29"/>
      <c r="H427" s="15"/>
      <c r="I427" s="2"/>
      <c r="J427" s="85">
        <f t="shared" si="34"/>
        <v>4200</v>
      </c>
      <c r="K427" s="84">
        <v>4200.0</v>
      </c>
      <c r="L427" s="61">
        <f>IFERROR(VLOOKUP("iPhone X Ремонт (восстановление) Face id", 'РЕМОНТ_ЯБЛОК'!C:D, 2, 0), "Ошибка")</f>
        <v>6500</v>
      </c>
      <c r="M427" s="96"/>
      <c r="N427" s="29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idden="1">
      <c r="A428" s="2"/>
      <c r="B428" s="57" t="s">
        <v>159</v>
      </c>
      <c r="C428" s="11"/>
      <c r="D428" s="11">
        <v>180.0</v>
      </c>
      <c r="E428" s="12" t="s">
        <v>55</v>
      </c>
      <c r="F428" s="13">
        <f>'БД_УСЛУГИ_РО'!P311+'БД_ЗАПЧАСТИ'!P340</f>
        <v>5000</v>
      </c>
      <c r="G428" s="29"/>
      <c r="H428" s="62">
        <f>'БД_УСЛУГИ_РО'!P311</f>
        <v>3800</v>
      </c>
      <c r="I428" s="2"/>
      <c r="J428" s="85">
        <f t="shared" si="34"/>
        <v>5000</v>
      </c>
      <c r="K428" s="84">
        <v>5000.0</v>
      </c>
      <c r="L428" s="61">
        <f>IFERROR(VLOOKUP("iPhone X Замена задней крышки", 'РЕМОНТ_ЯБЛОК'!C:D, 2, 0), "Ошибка")</f>
        <v>5000</v>
      </c>
      <c r="M428" s="98"/>
      <c r="N428" s="29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idden="1">
      <c r="A429" s="2"/>
      <c r="B429" s="57" t="s">
        <v>159</v>
      </c>
      <c r="C429" s="11"/>
      <c r="D429" s="11">
        <v>180.0</v>
      </c>
      <c r="E429" s="12" t="s">
        <v>56</v>
      </c>
      <c r="F429" s="13">
        <f>'БД_УСЛУГИ_РО'!P312</f>
        <v>2600</v>
      </c>
      <c r="G429" s="29"/>
      <c r="H429" s="62">
        <f>'БД_УСЛУГИ_РО'!P312</f>
        <v>2600</v>
      </c>
      <c r="I429" s="2"/>
      <c r="J429" s="85">
        <f t="shared" si="34"/>
        <v>2600</v>
      </c>
      <c r="K429" s="84">
        <v>2600.0</v>
      </c>
      <c r="L429" s="61">
        <f>IFERROR(VLOOKUP("iPhone X Замена корпуса", 'РЕМОНТ_ЯБЛОК'!C:D, 2, 0), "Ошибка")</f>
        <v>6000</v>
      </c>
      <c r="M429" s="98"/>
      <c r="N429" s="29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idden="1">
      <c r="A430" s="2"/>
      <c r="B430" s="57" t="s">
        <v>159</v>
      </c>
      <c r="C430" s="11"/>
      <c r="D430" s="11">
        <v>90.0</v>
      </c>
      <c r="E430" s="12" t="s">
        <v>59</v>
      </c>
      <c r="F430" s="13">
        <f>'БД_УСЛУГИ_РО'!P313</f>
        <v>2000</v>
      </c>
      <c r="G430" s="29"/>
      <c r="H430" s="15"/>
      <c r="I430" s="2"/>
      <c r="J430" s="85">
        <f t="shared" si="34"/>
        <v>2000</v>
      </c>
      <c r="K430" s="84">
        <v>2000.0</v>
      </c>
      <c r="L430" s="61">
        <f>IFERROR(VLOOKUP("iPhone X Замена кнопки включения", 'РЕМОНТ_ЯБЛОК'!C:D, 2, 0), "Ошибка")</f>
        <v>3500</v>
      </c>
      <c r="M430" s="98"/>
      <c r="N430" s="29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idden="1">
      <c r="A431" s="2"/>
      <c r="B431" s="57" t="s">
        <v>159</v>
      </c>
      <c r="C431" s="11"/>
      <c r="D431" s="11">
        <v>90.0</v>
      </c>
      <c r="E431" s="12" t="s">
        <v>165</v>
      </c>
      <c r="F431" s="13">
        <f>'БД_УСЛУГИ_РО'!P314+'БД_ЗАПЧАСТИ'!P891</f>
        <v>3000</v>
      </c>
      <c r="G431" s="29"/>
      <c r="H431" s="62">
        <f>'БД_УСЛУГИ_РО'!P314</f>
        <v>2300</v>
      </c>
      <c r="I431" s="2"/>
      <c r="J431" s="85">
        <f t="shared" si="34"/>
        <v>3000</v>
      </c>
      <c r="K431" s="84">
        <v>3000.0</v>
      </c>
      <c r="L431" s="61">
        <f>IFERROR(VLOOKUP("iPhone X Замена динамика", 'РЕМОНТ_ЯБЛОК'!C:D, 2, 0), "Ошибка")</f>
        <v>3000</v>
      </c>
      <c r="M431" s="96"/>
      <c r="N431" s="29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idden="1">
      <c r="A432" s="2"/>
      <c r="B432" s="57" t="s">
        <v>159</v>
      </c>
      <c r="C432" s="11"/>
      <c r="D432" s="11">
        <v>90.0</v>
      </c>
      <c r="E432" s="12" t="s">
        <v>166</v>
      </c>
      <c r="F432" s="13">
        <f>'БД_УСЛУГИ_РО'!P315+'БД_ЗАПЧАСТИ'!P849</f>
        <v>3200</v>
      </c>
      <c r="G432" s="29"/>
      <c r="H432" s="62">
        <f>'БД_УСЛУГИ_РО'!P315</f>
        <v>2300</v>
      </c>
      <c r="I432" s="2"/>
      <c r="J432" s="85">
        <f t="shared" si="34"/>
        <v>3200</v>
      </c>
      <c r="K432" s="84">
        <v>3200.0</v>
      </c>
      <c r="L432" s="61">
        <f>IFERROR(VLOOKUP("iPhone X Замена динамика", 'РЕМОНТ_ЯБЛОК'!C:D, 2, 0), "Ошибка")</f>
        <v>3000</v>
      </c>
      <c r="M432" s="96"/>
      <c r="N432" s="29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idden="1">
      <c r="A433" s="2"/>
      <c r="B433" s="57" t="s">
        <v>159</v>
      </c>
      <c r="C433" s="11"/>
      <c r="D433" s="11">
        <v>90.0</v>
      </c>
      <c r="E433" s="32" t="s">
        <v>62</v>
      </c>
      <c r="F433" s="13">
        <f>'БД_УСЛУГИ_РО'!P316+'БД_ЗАПЧАСТИ'!P617</f>
        <v>3900</v>
      </c>
      <c r="G433" s="29"/>
      <c r="H433" s="62">
        <f>'БД_УСЛУГИ_РО'!P316</f>
        <v>2900</v>
      </c>
      <c r="I433" s="2"/>
      <c r="J433" s="83"/>
      <c r="K433" s="84">
        <v>3900.0</v>
      </c>
      <c r="L433" s="61"/>
      <c r="M433" s="60"/>
      <c r="N433" s="29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idden="1">
      <c r="A434" s="2"/>
      <c r="B434" s="57" t="s">
        <v>159</v>
      </c>
      <c r="C434" s="11"/>
      <c r="D434" s="11">
        <v>90.0</v>
      </c>
      <c r="E434" s="12" t="s">
        <v>63</v>
      </c>
      <c r="F434" s="13">
        <f>'БД_УСЛУГИ_РО'!P317</f>
        <v>2200</v>
      </c>
      <c r="G434" s="29"/>
      <c r="H434" s="15"/>
      <c r="I434" s="2"/>
      <c r="J434" s="83"/>
      <c r="K434" s="84">
        <v>2200.0</v>
      </c>
      <c r="L434" s="61"/>
      <c r="M434" s="60"/>
      <c r="N434" s="29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idden="1">
      <c r="A435" s="2"/>
      <c r="B435" s="57" t="s">
        <v>159</v>
      </c>
      <c r="C435" s="11"/>
      <c r="D435" s="11">
        <v>90.0</v>
      </c>
      <c r="E435" s="12" t="s">
        <v>64</v>
      </c>
      <c r="F435" s="13">
        <f>'БД_УСЛУГИ_РО'!P317</f>
        <v>2200</v>
      </c>
      <c r="G435" s="29"/>
      <c r="H435" s="15"/>
      <c r="I435" s="2"/>
      <c r="J435" s="83"/>
      <c r="K435" s="84">
        <v>2200.0</v>
      </c>
      <c r="L435" s="61"/>
      <c r="M435" s="60"/>
      <c r="N435" s="29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idden="1">
      <c r="A436" s="2"/>
      <c r="B436" s="57" t="s">
        <v>159</v>
      </c>
      <c r="C436" s="11"/>
      <c r="D436" s="11">
        <v>90.0</v>
      </c>
      <c r="E436" s="12" t="s">
        <v>65</v>
      </c>
      <c r="F436" s="13">
        <f>'БД_УСЛУГИ_РО'!P318+'БД_УСЛУГИ_РО'!P320</f>
        <v>7700</v>
      </c>
      <c r="G436" s="29"/>
      <c r="H436" s="15"/>
      <c r="I436" s="2"/>
      <c r="J436" s="92"/>
      <c r="K436" s="93">
        <v>7700.0</v>
      </c>
      <c r="L436" s="61"/>
      <c r="M436" s="94"/>
      <c r="N436" s="33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idden="1">
      <c r="A437" s="2"/>
      <c r="B437" s="69" t="s">
        <v>159</v>
      </c>
      <c r="C437" s="36"/>
      <c r="D437" s="36">
        <v>90.0</v>
      </c>
      <c r="E437" s="70" t="s">
        <v>66</v>
      </c>
      <c r="F437" s="38">
        <f>'БД_УСЛУГИ_РО'!P318+'БД_УСЛУГИ_РО'!P321</f>
        <v>8200</v>
      </c>
      <c r="G437" s="39"/>
      <c r="H437" s="15"/>
      <c r="I437" s="2"/>
      <c r="J437" s="91"/>
      <c r="K437" s="89">
        <v>8200.0</v>
      </c>
      <c r="L437" s="73"/>
      <c r="M437" s="74"/>
      <c r="N437" s="39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idden="1">
      <c r="A438" s="2"/>
      <c r="B438" s="1"/>
      <c r="C438" s="1"/>
      <c r="D438" s="95"/>
      <c r="E438" s="75"/>
      <c r="F438" s="80"/>
      <c r="G438" s="76"/>
      <c r="H438" s="15"/>
      <c r="I438" s="2"/>
      <c r="J438" s="90"/>
      <c r="K438" s="2" t="s">
        <v>22</v>
      </c>
      <c r="L438" s="2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idden="1">
      <c r="A439" s="2"/>
      <c r="B439" s="41" t="s">
        <v>167</v>
      </c>
      <c r="C439" s="42"/>
      <c r="D439" s="42">
        <v>0.0</v>
      </c>
      <c r="E439" s="51" t="s">
        <v>24</v>
      </c>
      <c r="F439" s="44">
        <f>'БД_УСЛУГИ_РО'!P345</f>
        <v>1</v>
      </c>
      <c r="G439" s="78"/>
      <c r="H439" s="15"/>
      <c r="I439" s="2"/>
      <c r="J439" s="81"/>
      <c r="K439" s="82">
        <v>1.0</v>
      </c>
      <c r="L439" s="55"/>
      <c r="M439" s="56"/>
      <c r="N439" s="5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idden="1">
      <c r="A440" s="2"/>
      <c r="B440" s="57" t="s">
        <v>167</v>
      </c>
      <c r="C440" s="11"/>
      <c r="D440" s="11">
        <v>0.0</v>
      </c>
      <c r="E440" s="12" t="s">
        <v>26</v>
      </c>
      <c r="F440" s="13">
        <f>'БД_УСЛУГИ_РО'!P346+'БД_УСЛУГИ_РО'!P347</f>
        <v>1100</v>
      </c>
      <c r="G440" s="29"/>
      <c r="H440" s="15"/>
      <c r="I440" s="2"/>
      <c r="J440" s="83"/>
      <c r="K440" s="84">
        <v>1100.0</v>
      </c>
      <c r="L440" s="61"/>
      <c r="M440" s="60"/>
      <c r="N440" s="29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idden="1">
      <c r="A441" s="2"/>
      <c r="B441" s="57" t="s">
        <v>167</v>
      </c>
      <c r="C441" s="11"/>
      <c r="D441" s="11">
        <v>0.0</v>
      </c>
      <c r="E441" s="32" t="s">
        <v>27</v>
      </c>
      <c r="F441" s="13">
        <f>'БД_УСЛУГИ_РО'!P348</f>
        <v>400</v>
      </c>
      <c r="G441" s="33" t="str">
        <f>MIN(F441:F442) &amp; " - " &amp; MAX(F441:F442)</f>
        <v>400 - 1700</v>
      </c>
      <c r="H441" s="15"/>
      <c r="I441" s="2"/>
      <c r="J441" s="83"/>
      <c r="K441" s="84">
        <v>400.0</v>
      </c>
      <c r="L441" s="61"/>
      <c r="M441" s="60"/>
      <c r="N441" s="29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idden="1">
      <c r="A442" s="2"/>
      <c r="B442" s="57" t="s">
        <v>167</v>
      </c>
      <c r="C442" s="11"/>
      <c r="D442" s="11">
        <v>0.0</v>
      </c>
      <c r="E442" s="32" t="s">
        <v>28</v>
      </c>
      <c r="F442" s="13">
        <f>'БД_УСЛУГИ_РО'!P349</f>
        <v>1700</v>
      </c>
      <c r="G442" s="28"/>
      <c r="H442" s="15"/>
      <c r="I442" s="2"/>
      <c r="J442" s="83"/>
      <c r="K442" s="84">
        <v>1700.0</v>
      </c>
      <c r="L442" s="61"/>
      <c r="M442" s="60"/>
      <c r="N442" s="29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idden="1">
      <c r="A443" s="2"/>
      <c r="B443" s="57" t="s">
        <v>167</v>
      </c>
      <c r="C443" s="11"/>
      <c r="D443" s="11">
        <v>180.0</v>
      </c>
      <c r="E443" s="12" t="s">
        <v>34</v>
      </c>
      <c r="F443" s="13">
        <f>'БД_УСЛУГИ_РО'!P350+'БД_ЗАПЧАСТИ'!P21</f>
        <v>3000</v>
      </c>
      <c r="G443" s="33" t="str">
        <f>MIN(F443:F444) &amp; " - " &amp; MAX(F443:F444)</f>
        <v>3000 - 4700</v>
      </c>
      <c r="H443" s="62">
        <f>'БД_УСЛУГИ_РО'!P350</f>
        <v>1800</v>
      </c>
      <c r="I443" s="2"/>
      <c r="J443" s="85">
        <f>F443</f>
        <v>3000</v>
      </c>
      <c r="K443" s="84">
        <v>3000.0</v>
      </c>
      <c r="L443" s="61" t="str">
        <f>IFERROR(VLOOKUP("iPhone XS Замена аккумулятора (2658mAh) 3.81V Standard", 'РЕМОНТ_ЯБЛОК'!C:D, 2, 0), "Ошибка") &amp; " | " &amp; IFERROR(VLOOKUP("iPhone XS Замена аккумулятора (3010mAh) 3.81V HC (повышенная емкость)", 'РЕМОНТ_ЯБЛОК'!C:D, 2, 0), "Ошибка")</f>
        <v>3000 | 3500</v>
      </c>
      <c r="M443" s="60"/>
      <c r="N443" s="29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idden="1">
      <c r="A444" s="2"/>
      <c r="B444" s="57" t="s">
        <v>167</v>
      </c>
      <c r="C444" s="11"/>
      <c r="D444" s="11">
        <v>180.0</v>
      </c>
      <c r="E444" s="12" t="s">
        <v>35</v>
      </c>
      <c r="F444" s="13">
        <f>'БД_УСЛУГИ_РО'!P350+'БД_УСЛУГИ_РО'!P351+'БД_ЗАПЧАСТИ'!P21</f>
        <v>4700</v>
      </c>
      <c r="G444" s="28"/>
      <c r="H444" s="62">
        <f>'БД_УСЛУГИ_РО'!P350+'БД_УСЛУГИ_РО'!P351</f>
        <v>3500</v>
      </c>
      <c r="I444" s="2"/>
      <c r="J444" s="83"/>
      <c r="K444" s="84">
        <v>4700.0</v>
      </c>
      <c r="L444" s="61"/>
      <c r="M444" s="60"/>
      <c r="N444" s="29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idden="1">
      <c r="A445" s="2"/>
      <c r="B445" s="57" t="s">
        <v>167</v>
      </c>
      <c r="C445" s="11"/>
      <c r="D445" s="11">
        <v>90.0</v>
      </c>
      <c r="E445" s="12" t="s">
        <v>168</v>
      </c>
      <c r="F445" s="13">
        <f>'БД_УСЛУГИ_РО'!P352+'БД_ЗАПЧАСТИ'!P619</f>
        <v>3500</v>
      </c>
      <c r="G445" s="29"/>
      <c r="H445" s="62">
        <f>'БД_УСЛУГИ_РО'!P352</f>
        <v>2500</v>
      </c>
      <c r="I445" s="2"/>
      <c r="J445" s="85">
        <f>F445</f>
        <v>3500</v>
      </c>
      <c r="K445" s="84">
        <v>3500.0</v>
      </c>
      <c r="L445" s="61">
        <f>IFERROR(VLOOKUP("iPhone XS Замена разъема питания", 'РЕМОНТ_ЯБЛОК'!C:D, 2, 0), "Ошибка")</f>
        <v>3500</v>
      </c>
      <c r="M445" s="96"/>
      <c r="N445" s="29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idden="1">
      <c r="A446" s="2"/>
      <c r="B446" s="57" t="s">
        <v>167</v>
      </c>
      <c r="C446" s="11"/>
      <c r="D446" s="11">
        <v>90.0</v>
      </c>
      <c r="E446" s="12" t="s">
        <v>38</v>
      </c>
      <c r="F446" s="13">
        <f>'БД_УСЛУГИ_РО'!P353+'БД_ЗАПЧАСТИ'!P190</f>
        <v>7300</v>
      </c>
      <c r="G446" s="33" t="str">
        <f>IFERROR(__xludf.DUMMYFUNCTION("MIN(FILTER(F446:F448, F446:F448 &lt;&gt; H446:H448)) &amp; "" - "" &amp; MAX(FILTER(F446:F448, F446:F448 &lt;&gt; H446:H448))"),"6500 - 7300")</f>
        <v>6500 - 7300</v>
      </c>
      <c r="H446" s="62">
        <f>'БД_УСЛУГИ_РО'!P353</f>
        <v>1800</v>
      </c>
      <c r="I446" s="2"/>
      <c r="J446" s="86">
        <f>IFERROR(__xludf.DUMMYFUNCTION("MIN(FILTER(F446:F447, F446:F447 &lt;&gt; H446:H447, F446:F447 &lt;&gt; """"))"),6500.0)</f>
        <v>6500</v>
      </c>
      <c r="K446" s="84">
        <v>7300.0</v>
      </c>
      <c r="L446" s="65">
        <f>IFERROR(VLOOKUP("iPhone XS Замена дисплея (оригинал)", 'РЕМОНТ_ЯБЛОК'!C:D, 2, 0), "Ошибка")</f>
        <v>6500</v>
      </c>
      <c r="M446" s="60"/>
      <c r="N446" s="29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idden="1">
      <c r="A447" s="2"/>
      <c r="B447" s="57" t="s">
        <v>167</v>
      </c>
      <c r="C447" s="11"/>
      <c r="D447" s="11">
        <v>90.0</v>
      </c>
      <c r="E447" s="12" t="s">
        <v>41</v>
      </c>
      <c r="F447" s="13">
        <f>'БД_УСЛУГИ_РО'!P353+'БД_ЗАПЧАСТИ'!P191</f>
        <v>6500</v>
      </c>
      <c r="G447" s="19"/>
      <c r="H447" s="62">
        <f>'БД_УСЛУГИ_РО'!P353</f>
        <v>1800</v>
      </c>
      <c r="I447" s="2"/>
      <c r="J447" s="87"/>
      <c r="K447" s="84">
        <v>6500.0</v>
      </c>
      <c r="L447" s="67"/>
      <c r="M447" s="60"/>
      <c r="N447" s="29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idden="1">
      <c r="A448" s="2"/>
      <c r="B448" s="57" t="s">
        <v>167</v>
      </c>
      <c r="C448" s="11"/>
      <c r="D448" s="11">
        <v>90.0</v>
      </c>
      <c r="E448" s="12" t="s">
        <v>44</v>
      </c>
      <c r="F448" s="13">
        <f>'БД_УСЛУГИ_РО'!P353</f>
        <v>1800</v>
      </c>
      <c r="G448" s="28"/>
      <c r="H448" s="62">
        <f>'БД_УСЛУГИ_РО'!P353</f>
        <v>1800</v>
      </c>
      <c r="I448" s="2"/>
      <c r="J448" s="83" t="str">
        <f>IF(F448=H448, "", F448)</f>
        <v/>
      </c>
      <c r="K448" s="84">
        <v>1800.0</v>
      </c>
      <c r="L448" s="61">
        <f>IFERROR(VLOOKUP("iPhone XS Замена дисплея (аналог)", 'РЕМОНТ_ЯБЛОК'!C:D, 2, 0), "Ошибка")</f>
        <v>4500</v>
      </c>
      <c r="M448" s="60"/>
      <c r="N448" s="29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idden="1">
      <c r="A449" s="2"/>
      <c r="B449" s="57" t="s">
        <v>167</v>
      </c>
      <c r="C449" s="11"/>
      <c r="D449" s="11">
        <v>90.0</v>
      </c>
      <c r="E449" s="12" t="s">
        <v>169</v>
      </c>
      <c r="F449" s="13">
        <f>'БД_УСЛУГИ_РО'!P354</f>
        <v>4500</v>
      </c>
      <c r="G449" s="33" t="str">
        <f>MIN(F449:F450) &amp; " - " &amp; MAX(F449:F450)</f>
        <v>4500 - 6000</v>
      </c>
      <c r="H449" s="15"/>
      <c r="I449" s="2"/>
      <c r="J449" s="85">
        <f>F449</f>
        <v>4500</v>
      </c>
      <c r="K449" s="84">
        <v>4500.0</v>
      </c>
      <c r="L449" s="61">
        <f>IFERROR(VLOOKUP("iPhone XS Переклейка (восстановление) вашего дисплея", 'РЕМОНТ_ЯБЛОК'!C:D, 2, 0), "Ошибка")</f>
        <v>4500</v>
      </c>
      <c r="M449" s="98"/>
      <c r="N449" s="29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idden="1">
      <c r="A450" s="2"/>
      <c r="B450" s="57" t="s">
        <v>167</v>
      </c>
      <c r="C450" s="11"/>
      <c r="D450" s="11">
        <v>90.0</v>
      </c>
      <c r="E450" s="12" t="s">
        <v>170</v>
      </c>
      <c r="F450" s="13">
        <f>'БД_УСЛУГИ_РО'!P355</f>
        <v>6000</v>
      </c>
      <c r="G450" s="28"/>
      <c r="H450" s="15"/>
      <c r="I450" s="2"/>
      <c r="J450" s="83"/>
      <c r="K450" s="84">
        <v>6000.0</v>
      </c>
      <c r="L450" s="61"/>
      <c r="M450" s="96"/>
      <c r="N450" s="29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idden="1">
      <c r="A451" s="2"/>
      <c r="B451" s="57" t="s">
        <v>167</v>
      </c>
      <c r="C451" s="11"/>
      <c r="D451" s="11">
        <v>90.0</v>
      </c>
      <c r="E451" s="12" t="s">
        <v>171</v>
      </c>
      <c r="F451" s="13">
        <f>'БД_УСЛУГИ_РО'!P356+'БД_ЗАПЧАСТИ'!P766</f>
        <v>4500</v>
      </c>
      <c r="G451" s="29"/>
      <c r="H451" s="62">
        <f>'БД_УСЛУГИ_РО'!P356</f>
        <v>2400</v>
      </c>
      <c r="I451" s="2"/>
      <c r="J451" s="85">
        <f>F451</f>
        <v>4500</v>
      </c>
      <c r="K451" s="84">
        <v>4500.0</v>
      </c>
      <c r="L451" s="61">
        <f>IFERROR(VLOOKUP("iPhone XS Замена основной камеры", 'РЕМОНТ_ЯБЛОК'!C:D, 2, 0), "Ошибка")</f>
        <v>4500</v>
      </c>
      <c r="M451" s="96"/>
      <c r="N451" s="29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idden="1">
      <c r="A452" s="2"/>
      <c r="B452" s="57" t="s">
        <v>167</v>
      </c>
      <c r="C452" s="11"/>
      <c r="D452" s="11">
        <v>90.0</v>
      </c>
      <c r="E452" s="12" t="s">
        <v>172</v>
      </c>
      <c r="F452" s="13">
        <f>'БД_УСЛУГИ_РО'!P357+'БД_ЗАПЧАСТИ'!P807</f>
        <v>4900</v>
      </c>
      <c r="G452" s="29"/>
      <c r="H452" s="62">
        <f>'БД_УСЛУГИ_РО'!P357</f>
        <v>3000</v>
      </c>
      <c r="I452" s="2"/>
      <c r="J452" s="83"/>
      <c r="K452" s="84">
        <v>4900.0</v>
      </c>
      <c r="L452" s="61"/>
      <c r="M452" s="60"/>
      <c r="N452" s="29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idden="1">
      <c r="A453" s="2"/>
      <c r="B453" s="57" t="s">
        <v>167</v>
      </c>
      <c r="C453" s="11"/>
      <c r="D453" s="11">
        <v>180.0</v>
      </c>
      <c r="E453" s="12" t="s">
        <v>52</v>
      </c>
      <c r="F453" s="13">
        <f>'БД_УСЛУГИ_РО'!P358+'БД_ЗАПЧАСТИ'!P548</f>
        <v>2000</v>
      </c>
      <c r="G453" s="29"/>
      <c r="H453" s="62">
        <f>'БД_УСЛУГИ_РО'!P358</f>
        <v>1600</v>
      </c>
      <c r="I453" s="2"/>
      <c r="J453" s="85">
        <f t="shared" ref="J453:J456" si="35">F453</f>
        <v>2000</v>
      </c>
      <c r="K453" s="84">
        <v>2000.0</v>
      </c>
      <c r="L453" s="61">
        <f>IFERROR(VLOOKUP("iPhone XS Замена стекла камеры", 'РЕМОНТ_ЯБЛОК'!C:D, 2, 0), "Ошибка")</f>
        <v>2000</v>
      </c>
      <c r="M453" s="96"/>
      <c r="N453" s="29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idden="1">
      <c r="A454" s="2"/>
      <c r="B454" s="57" t="s">
        <v>167</v>
      </c>
      <c r="C454" s="11"/>
      <c r="D454" s="11">
        <v>90.0</v>
      </c>
      <c r="E454" s="12" t="s">
        <v>53</v>
      </c>
      <c r="F454" s="13">
        <f>'БД_УСЛУГИ_РО'!P359</f>
        <v>4200</v>
      </c>
      <c r="G454" s="29"/>
      <c r="H454" s="15"/>
      <c r="I454" s="2"/>
      <c r="J454" s="85">
        <f t="shared" si="35"/>
        <v>4200</v>
      </c>
      <c r="K454" s="84">
        <v>4200.0</v>
      </c>
      <c r="L454" s="61">
        <f>IFERROR(VLOOKUP("iPhone XS Ремонт (восстановление) Face id", 'РЕМОНТ_ЯБЛОК'!C:D, 2, 0), "Ошибка")</f>
        <v>7000</v>
      </c>
      <c r="M454" s="96"/>
      <c r="N454" s="29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idden="1">
      <c r="A455" s="2"/>
      <c r="B455" s="57" t="s">
        <v>167</v>
      </c>
      <c r="C455" s="11"/>
      <c r="D455" s="11">
        <v>180.0</v>
      </c>
      <c r="E455" s="12" t="s">
        <v>55</v>
      </c>
      <c r="F455" s="13">
        <f>'БД_УСЛУГИ_РО'!P360+'БД_ЗАПЧАСТИ'!P342</f>
        <v>5000</v>
      </c>
      <c r="G455" s="29"/>
      <c r="H455" s="62">
        <f>'БД_УСЛУГИ_РО'!P360</f>
        <v>3800</v>
      </c>
      <c r="I455" s="2"/>
      <c r="J455" s="85">
        <f t="shared" si="35"/>
        <v>5000</v>
      </c>
      <c r="K455" s="84">
        <v>5000.0</v>
      </c>
      <c r="L455" s="61">
        <f>IFERROR(VLOOKUP("iPhone XS Замена задней крышки", 'РЕМОНТ_ЯБЛОК'!C:D, 2, 0), "Ошибка")</f>
        <v>5000</v>
      </c>
      <c r="M455" s="96"/>
      <c r="N455" s="29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idden="1">
      <c r="A456" s="2"/>
      <c r="B456" s="57" t="s">
        <v>167</v>
      </c>
      <c r="C456" s="11"/>
      <c r="D456" s="11">
        <v>180.0</v>
      </c>
      <c r="E456" s="12" t="s">
        <v>56</v>
      </c>
      <c r="F456" s="13">
        <f>'БД_УСЛУГИ_РО'!P361</f>
        <v>2600</v>
      </c>
      <c r="G456" s="29"/>
      <c r="H456" s="62">
        <f>'БД_УСЛУГИ_РО'!P361</f>
        <v>2600</v>
      </c>
      <c r="I456" s="2"/>
      <c r="J456" s="85">
        <f t="shared" si="35"/>
        <v>2600</v>
      </c>
      <c r="K456" s="84">
        <v>2600.0</v>
      </c>
      <c r="L456" s="61">
        <f>IFERROR(VLOOKUP("iPhone XS Замена корпуса", 'РЕМОНТ_ЯБЛОК'!C:D, 2, 0), "Ошибка")</f>
        <v>6000</v>
      </c>
      <c r="M456" s="96"/>
      <c r="N456" s="29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idden="1">
      <c r="A457" s="2"/>
      <c r="B457" s="57" t="s">
        <v>167</v>
      </c>
      <c r="C457" s="11"/>
      <c r="D457" s="11">
        <v>90.0</v>
      </c>
      <c r="E457" s="12" t="s">
        <v>59</v>
      </c>
      <c r="F457" s="13">
        <f>'БД_УСЛУГИ_РО'!P362</f>
        <v>2000</v>
      </c>
      <c r="G457" s="29"/>
      <c r="H457" s="15"/>
      <c r="I457" s="2"/>
      <c r="J457" s="83"/>
      <c r="K457" s="84">
        <v>2000.0</v>
      </c>
      <c r="L457" s="61"/>
      <c r="M457" s="60"/>
      <c r="N457" s="29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idden="1">
      <c r="A458" s="2"/>
      <c r="B458" s="57" t="s">
        <v>167</v>
      </c>
      <c r="C458" s="11"/>
      <c r="D458" s="11">
        <v>90.0</v>
      </c>
      <c r="E458" s="12" t="s">
        <v>173</v>
      </c>
      <c r="F458" s="13">
        <f>'БД_УСЛУГИ_РО'!P363+'БД_ЗАПЧАСТИ'!P892</f>
        <v>3500</v>
      </c>
      <c r="G458" s="29"/>
      <c r="H458" s="62">
        <f>'БД_УСЛУГИ_РО'!P363</f>
        <v>2300</v>
      </c>
      <c r="I458" s="2"/>
      <c r="J458" s="85">
        <f t="shared" ref="J458:J459" si="36">F458</f>
        <v>3500</v>
      </c>
      <c r="K458" s="84">
        <v>3500.0</v>
      </c>
      <c r="L458" s="61">
        <f>IFERROR(VLOOKUP("iPhone XS Замена динамика", 'РЕМОНТ_ЯБЛОК'!C:D, 2, 0), "Ошибка")</f>
        <v>3500</v>
      </c>
      <c r="M458" s="96"/>
      <c r="N458" s="29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idden="1">
      <c r="A459" s="2"/>
      <c r="B459" s="57" t="s">
        <v>167</v>
      </c>
      <c r="C459" s="11"/>
      <c r="D459" s="11">
        <v>90.0</v>
      </c>
      <c r="E459" s="12" t="s">
        <v>174</v>
      </c>
      <c r="F459" s="13">
        <f>'БД_УСЛУГИ_РО'!P364+'БД_ЗАПЧАСТИ'!P850</f>
        <v>3500</v>
      </c>
      <c r="G459" s="29"/>
      <c r="H459" s="62">
        <f>'БД_УСЛУГИ_РО'!P364</f>
        <v>2300</v>
      </c>
      <c r="I459" s="2"/>
      <c r="J459" s="85">
        <f t="shared" si="36"/>
        <v>3500</v>
      </c>
      <c r="K459" s="84">
        <v>3500.0</v>
      </c>
      <c r="L459" s="61">
        <f>IFERROR(VLOOKUP("iPhone XS Замена динамика", 'РЕМОНТ_ЯБЛОК'!C:D, 2, 0), "Ошибка")</f>
        <v>3500</v>
      </c>
      <c r="M459" s="96"/>
      <c r="N459" s="29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idden="1">
      <c r="A460" s="2"/>
      <c r="B460" s="57" t="s">
        <v>167</v>
      </c>
      <c r="C460" s="11"/>
      <c r="D460" s="11">
        <v>90.0</v>
      </c>
      <c r="E460" s="32" t="s">
        <v>62</v>
      </c>
      <c r="F460" s="13">
        <f>'БД_УСЛУГИ_РО'!P365+'БД_ЗАПЧАСТИ'!P619</f>
        <v>3900</v>
      </c>
      <c r="G460" s="29"/>
      <c r="H460" s="62">
        <f>'БД_УСЛУГИ_РО'!P365</f>
        <v>2900</v>
      </c>
      <c r="I460" s="2"/>
      <c r="J460" s="83"/>
      <c r="K460" s="84">
        <v>3900.0</v>
      </c>
      <c r="L460" s="61"/>
      <c r="M460" s="60"/>
      <c r="N460" s="29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idden="1">
      <c r="A461" s="2"/>
      <c r="B461" s="57" t="s">
        <v>167</v>
      </c>
      <c r="C461" s="11"/>
      <c r="D461" s="11">
        <v>90.0</v>
      </c>
      <c r="E461" s="12" t="s">
        <v>63</v>
      </c>
      <c r="F461" s="13">
        <f>'БД_УСЛУГИ_РО'!P366</f>
        <v>2200</v>
      </c>
      <c r="G461" s="29"/>
      <c r="H461" s="15"/>
      <c r="I461" s="2"/>
      <c r="J461" s="83"/>
      <c r="K461" s="84">
        <v>2200.0</v>
      </c>
      <c r="L461" s="61"/>
      <c r="M461" s="60"/>
      <c r="N461" s="29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idden="1">
      <c r="A462" s="2"/>
      <c r="B462" s="57" t="s">
        <v>167</v>
      </c>
      <c r="C462" s="11"/>
      <c r="D462" s="11">
        <v>90.0</v>
      </c>
      <c r="E462" s="12" t="s">
        <v>64</v>
      </c>
      <c r="F462" s="13">
        <f>'БД_УСЛУГИ_РО'!P368</f>
        <v>2500</v>
      </c>
      <c r="G462" s="29"/>
      <c r="H462" s="15"/>
      <c r="I462" s="2"/>
      <c r="J462" s="92"/>
      <c r="K462" s="93">
        <v>2500.0</v>
      </c>
      <c r="L462" s="61"/>
      <c r="M462" s="94"/>
      <c r="N462" s="33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idden="1">
      <c r="A463" s="2"/>
      <c r="B463" s="57" t="s">
        <v>167</v>
      </c>
      <c r="C463" s="11"/>
      <c r="D463" s="11">
        <v>90.0</v>
      </c>
      <c r="E463" s="12" t="s">
        <v>65</v>
      </c>
      <c r="F463" s="13">
        <f>'БД_УСЛУГИ_РО'!P367+'БД_УСЛУГИ_РО'!P369</f>
        <v>7700</v>
      </c>
      <c r="G463" s="29"/>
      <c r="H463" s="15"/>
      <c r="I463" s="2"/>
      <c r="J463" s="92"/>
      <c r="K463" s="93">
        <v>7700.0</v>
      </c>
      <c r="L463" s="61"/>
      <c r="M463" s="94"/>
      <c r="N463" s="33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idden="1">
      <c r="A464" s="2"/>
      <c r="B464" s="69" t="s">
        <v>167</v>
      </c>
      <c r="C464" s="36"/>
      <c r="D464" s="36">
        <v>90.0</v>
      </c>
      <c r="E464" s="70" t="s">
        <v>66</v>
      </c>
      <c r="F464" s="38">
        <f>'БД_УСЛУГИ_РО'!P367+'БД_УСЛУГИ_РО'!P370</f>
        <v>8200</v>
      </c>
      <c r="G464" s="39"/>
      <c r="H464" s="15"/>
      <c r="I464" s="2"/>
      <c r="J464" s="91"/>
      <c r="K464" s="89">
        <v>8200.0</v>
      </c>
      <c r="L464" s="73"/>
      <c r="M464" s="74"/>
      <c r="N464" s="39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idden="1">
      <c r="A465" s="2"/>
      <c r="B465" s="1"/>
      <c r="C465" s="1"/>
      <c r="D465" s="95"/>
      <c r="E465" s="75"/>
      <c r="F465" s="80"/>
      <c r="G465" s="76"/>
      <c r="H465" s="15"/>
      <c r="I465" s="2"/>
      <c r="J465" s="90"/>
      <c r="K465" s="2" t="s">
        <v>22</v>
      </c>
      <c r="L465" s="2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idden="1">
      <c r="A466" s="2"/>
      <c r="B466" s="41" t="s">
        <v>175</v>
      </c>
      <c r="C466" s="42"/>
      <c r="D466" s="42">
        <v>0.0</v>
      </c>
      <c r="E466" s="51" t="s">
        <v>24</v>
      </c>
      <c r="F466" s="44">
        <f>'БД_УСЛУГИ_РО'!P371</f>
        <v>1</v>
      </c>
      <c r="G466" s="78"/>
      <c r="H466" s="15"/>
      <c r="I466" s="2"/>
      <c r="J466" s="81"/>
      <c r="K466" s="82">
        <v>1.0</v>
      </c>
      <c r="L466" s="55"/>
      <c r="M466" s="56"/>
      <c r="N466" s="5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idden="1">
      <c r="A467" s="2"/>
      <c r="B467" s="57" t="s">
        <v>175</v>
      </c>
      <c r="C467" s="11"/>
      <c r="D467" s="11">
        <v>0.0</v>
      </c>
      <c r="E467" s="12" t="s">
        <v>26</v>
      </c>
      <c r="F467" s="13">
        <f>'БД_УСЛУГИ_РО'!P372+'БД_УСЛУГИ_РО'!P373</f>
        <v>1100</v>
      </c>
      <c r="G467" s="29"/>
      <c r="H467" s="15"/>
      <c r="I467" s="2"/>
      <c r="J467" s="83"/>
      <c r="K467" s="84">
        <v>1100.0</v>
      </c>
      <c r="L467" s="61"/>
      <c r="M467" s="60"/>
      <c r="N467" s="29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idden="1">
      <c r="A468" s="2"/>
      <c r="B468" s="57" t="s">
        <v>175</v>
      </c>
      <c r="C468" s="11"/>
      <c r="D468" s="11">
        <v>0.0</v>
      </c>
      <c r="E468" s="32" t="s">
        <v>27</v>
      </c>
      <c r="F468" s="13">
        <f>'БД_УСЛУГИ_РО'!P374</f>
        <v>400</v>
      </c>
      <c r="G468" s="33" t="str">
        <f>MIN(F468:F469) &amp; " - " &amp; MAX(F468:F469)</f>
        <v>400 - 1800</v>
      </c>
      <c r="H468" s="15"/>
      <c r="I468" s="2"/>
      <c r="J468" s="83"/>
      <c r="K468" s="84">
        <v>400.0</v>
      </c>
      <c r="L468" s="61"/>
      <c r="M468" s="60"/>
      <c r="N468" s="29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idden="1">
      <c r="A469" s="2"/>
      <c r="B469" s="57" t="s">
        <v>175</v>
      </c>
      <c r="C469" s="11"/>
      <c r="D469" s="11">
        <v>0.0</v>
      </c>
      <c r="E469" s="32" t="s">
        <v>28</v>
      </c>
      <c r="F469" s="13">
        <f>'БД_УСЛУГИ_РО'!P375</f>
        <v>1800</v>
      </c>
      <c r="G469" s="28"/>
      <c r="H469" s="15"/>
      <c r="I469" s="2"/>
      <c r="J469" s="83"/>
      <c r="K469" s="84">
        <v>1800.0</v>
      </c>
      <c r="L469" s="61"/>
      <c r="M469" s="60"/>
      <c r="N469" s="29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idden="1">
      <c r="A470" s="2"/>
      <c r="B470" s="57" t="s">
        <v>175</v>
      </c>
      <c r="C470" s="11"/>
      <c r="D470" s="11">
        <v>180.0</v>
      </c>
      <c r="E470" s="12" t="s">
        <v>34</v>
      </c>
      <c r="F470" s="13">
        <f>'БД_УСЛУГИ_РО'!P376+'БД_ЗАПЧАСТИ'!P23</f>
        <v>3500</v>
      </c>
      <c r="G470" s="33" t="str">
        <f>MIN(F470:F471) &amp; " - " &amp; MAX(F470:F471)</f>
        <v>3500 - 5200</v>
      </c>
      <c r="H470" s="62">
        <f>'БД_УСЛУГИ_РО'!P376</f>
        <v>1800</v>
      </c>
      <c r="I470" s="2"/>
      <c r="J470" s="85">
        <f>F470</f>
        <v>3500</v>
      </c>
      <c r="K470" s="84">
        <v>3500.0</v>
      </c>
      <c r="L470" s="61" t="str">
        <f>IFERROR(VLOOKUP("iPhone XS Max Замена аккумулятора (3174mAh) 3.81V Standard", 'РЕМОНТ_ЯБЛОК'!C:D, 2, 0), "Ошибка") &amp; " | " &amp; IFERROR(VLOOKUP("iPhone XS Max Замена аккумулятора (3710mAh) 3.81V HC (повышенная емкость)", 'РЕМОНТ_ЯБЛОК'!C:D, 2, 0), "Ошибка")</f>
        <v>3500 | 4000</v>
      </c>
      <c r="M470" s="60"/>
      <c r="N470" s="29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idden="1">
      <c r="A471" s="2"/>
      <c r="B471" s="57" t="s">
        <v>175</v>
      </c>
      <c r="C471" s="11"/>
      <c r="D471" s="11">
        <v>180.0</v>
      </c>
      <c r="E471" s="12" t="s">
        <v>35</v>
      </c>
      <c r="F471" s="13">
        <f>'БД_УСЛУГИ_РО'!P376+'БД_УСЛУГИ_РО'!P377+'БД_ЗАПЧАСТИ'!P23</f>
        <v>5200</v>
      </c>
      <c r="G471" s="28"/>
      <c r="H471" s="62">
        <f>'БД_УСЛУГИ_РО'!P376+'БД_УСЛУГИ_РО'!P377</f>
        <v>3500</v>
      </c>
      <c r="I471" s="2"/>
      <c r="J471" s="83"/>
      <c r="K471" s="84">
        <v>5200.0</v>
      </c>
      <c r="L471" s="61"/>
      <c r="M471" s="60"/>
      <c r="N471" s="29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idden="1">
      <c r="A472" s="2"/>
      <c r="B472" s="57" t="s">
        <v>175</v>
      </c>
      <c r="C472" s="11"/>
      <c r="D472" s="11">
        <v>90.0</v>
      </c>
      <c r="E472" s="12" t="s">
        <v>176</v>
      </c>
      <c r="F472" s="13">
        <f>'БД_УСЛУГИ_РО'!P378+'БД_ЗАПЧАСТИ'!P622</f>
        <v>4000</v>
      </c>
      <c r="G472" s="29"/>
      <c r="H472" s="62">
        <f>'БД_УСЛУГИ_РО'!P378</f>
        <v>2500</v>
      </c>
      <c r="I472" s="2"/>
      <c r="J472" s="85">
        <f>F472</f>
        <v>4000</v>
      </c>
      <c r="K472" s="84">
        <v>4000.0</v>
      </c>
      <c r="L472" s="61">
        <f>IFERROR(VLOOKUP("iPhone XS Max Замена разъема питания", 'РЕМОНТ_ЯБЛОК'!C:D, 2, 0), "Ошибка")</f>
        <v>4000</v>
      </c>
      <c r="M472" s="96"/>
      <c r="N472" s="29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idden="1">
      <c r="A473" s="2"/>
      <c r="B473" s="57" t="s">
        <v>175</v>
      </c>
      <c r="C473" s="11"/>
      <c r="D473" s="11">
        <v>90.0</v>
      </c>
      <c r="E473" s="12" t="s">
        <v>38</v>
      </c>
      <c r="F473" s="13">
        <f>'БД_УСЛУГИ_РО'!P379+'БД_ЗАПЧАСТИ'!P192</f>
        <v>10000</v>
      </c>
      <c r="G473" s="33" t="str">
        <f>IFERROR(__xludf.DUMMYFUNCTION("MIN(FILTER(F473:F475, F473:F475 &lt;&gt; H473:H475)) &amp; "" - "" &amp; MAX(FILTER(F473:F475, F473:F475 &lt;&gt; H473:H475))"),"9000 - 10000")</f>
        <v>9000 - 10000</v>
      </c>
      <c r="H473" s="62">
        <f>'БД_УСЛУГИ_РО'!P379</f>
        <v>1800</v>
      </c>
      <c r="I473" s="2"/>
      <c r="J473" s="86">
        <f>IFERROR(__xludf.DUMMYFUNCTION("MIN(FILTER(F473:F474, F473:F474 &lt;&gt; H473:H474, F473:F474 &lt;&gt; """"))"),9000.0)</f>
        <v>9000</v>
      </c>
      <c r="K473" s="84">
        <v>10000.0</v>
      </c>
      <c r="L473" s="65">
        <f>IFERROR(VLOOKUP("iPhone XS Max Замена дисплея (оригинал)", 'РЕМОНТ_ЯБЛОК'!C:D, 2, 0), "Ошибка")</f>
        <v>9000</v>
      </c>
      <c r="M473" s="60"/>
      <c r="N473" s="29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idden="1">
      <c r="A474" s="2"/>
      <c r="B474" s="57" t="s">
        <v>175</v>
      </c>
      <c r="C474" s="11"/>
      <c r="D474" s="11">
        <v>90.0</v>
      </c>
      <c r="E474" s="12" t="s">
        <v>41</v>
      </c>
      <c r="F474" s="13">
        <f>'БД_УСЛУГИ_РО'!P379+'БД_ЗАПЧАСТИ'!P193</f>
        <v>9000</v>
      </c>
      <c r="G474" s="19"/>
      <c r="H474" s="62">
        <f>'БД_УСЛУГИ_РО'!P379</f>
        <v>1800</v>
      </c>
      <c r="I474" s="2"/>
      <c r="J474" s="87"/>
      <c r="K474" s="84">
        <v>9000.0</v>
      </c>
      <c r="L474" s="67"/>
      <c r="M474" s="60"/>
      <c r="N474" s="29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idden="1">
      <c r="A475" s="2"/>
      <c r="B475" s="57" t="s">
        <v>175</v>
      </c>
      <c r="C475" s="11"/>
      <c r="D475" s="11">
        <v>90.0</v>
      </c>
      <c r="E475" s="12" t="s">
        <v>44</v>
      </c>
      <c r="F475" s="13">
        <f>'БД_УСЛУГИ_РО'!P379</f>
        <v>1800</v>
      </c>
      <c r="G475" s="28"/>
      <c r="H475" s="62">
        <f>'БД_УСЛУГИ_РО'!P379</f>
        <v>1800</v>
      </c>
      <c r="I475" s="2"/>
      <c r="J475" s="83" t="str">
        <f>IF(F475=H475, "", F475)</f>
        <v/>
      </c>
      <c r="K475" s="84">
        <v>1800.0</v>
      </c>
      <c r="L475" s="61">
        <f>IFERROR(VLOOKUP("iPhone XS Max Замена дисплея (аналог)", 'РЕМОНТ_ЯБЛОК'!C:D, 2, 0), "Ошибка")</f>
        <v>6000</v>
      </c>
      <c r="M475" s="60"/>
      <c r="N475" s="29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idden="1">
      <c r="A476" s="2"/>
      <c r="B476" s="57" t="s">
        <v>175</v>
      </c>
      <c r="C476" s="11"/>
      <c r="D476" s="11">
        <v>90.0</v>
      </c>
      <c r="E476" s="12" t="s">
        <v>177</v>
      </c>
      <c r="F476" s="13">
        <f>'БД_УСЛУГИ_РО'!P380</f>
        <v>6000</v>
      </c>
      <c r="G476" s="33" t="str">
        <f>MIN(F476:F477) &amp; " - " &amp; MAX(F476:F477)</f>
        <v>6000 - 7500</v>
      </c>
      <c r="H476" s="15"/>
      <c r="I476" s="2"/>
      <c r="J476" s="85">
        <f>F476</f>
        <v>6000</v>
      </c>
      <c r="K476" s="84">
        <v>6000.0</v>
      </c>
      <c r="L476" s="61">
        <f>IFERROR(VLOOKUP("iPhone XS Max Переклейка (восстановление) вашего дисплея", 'РЕМОНТ_ЯБЛОК'!C:D, 2, 0), "Ошибка")</f>
        <v>6000</v>
      </c>
      <c r="M476" s="96"/>
      <c r="N476" s="29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idden="1">
      <c r="A477" s="2"/>
      <c r="B477" s="57" t="s">
        <v>175</v>
      </c>
      <c r="C477" s="11"/>
      <c r="D477" s="11">
        <v>90.0</v>
      </c>
      <c r="E477" s="12" t="s">
        <v>178</v>
      </c>
      <c r="F477" s="13">
        <f>'БД_УСЛУГИ_РО'!P381</f>
        <v>7500</v>
      </c>
      <c r="G477" s="28"/>
      <c r="H477" s="15"/>
      <c r="I477" s="2"/>
      <c r="J477" s="83"/>
      <c r="K477" s="84">
        <v>7500.0</v>
      </c>
      <c r="L477" s="61"/>
      <c r="M477" s="60"/>
      <c r="N477" s="29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idden="1">
      <c r="A478" s="2"/>
      <c r="B478" s="57" t="s">
        <v>175</v>
      </c>
      <c r="C478" s="11"/>
      <c r="D478" s="11">
        <v>90.0</v>
      </c>
      <c r="E478" s="12" t="s">
        <v>179</v>
      </c>
      <c r="F478" s="13">
        <f>'БД_УСЛУГИ_РО'!P382+'БД_ЗАПЧАСТИ'!P766</f>
        <v>4500</v>
      </c>
      <c r="G478" s="29"/>
      <c r="H478" s="62">
        <f>'БД_УСЛУГИ_РО'!P382</f>
        <v>2400</v>
      </c>
      <c r="I478" s="2"/>
      <c r="J478" s="85">
        <f>F478</f>
        <v>4500</v>
      </c>
      <c r="K478" s="84">
        <v>4500.0</v>
      </c>
      <c r="L478" s="61">
        <f>IFERROR(VLOOKUP("iPhone XS Max Замена основной камеры", 'РЕМОНТ_ЯБЛОК'!C:D, 2, 0), "Ошибка")</f>
        <v>5000</v>
      </c>
      <c r="M478" s="96"/>
      <c r="N478" s="29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idden="1">
      <c r="A479" s="2"/>
      <c r="B479" s="57" t="s">
        <v>175</v>
      </c>
      <c r="C479" s="11"/>
      <c r="D479" s="11">
        <v>90.0</v>
      </c>
      <c r="E479" s="12" t="s">
        <v>180</v>
      </c>
      <c r="F479" s="13">
        <f>'БД_УСЛУГИ_РО'!P383+'БД_ЗАПЧАСТИ'!P808</f>
        <v>4900</v>
      </c>
      <c r="G479" s="29"/>
      <c r="H479" s="62">
        <f>'БД_УСЛУГИ_РО'!P383</f>
        <v>3000</v>
      </c>
      <c r="I479" s="2"/>
      <c r="J479" s="83"/>
      <c r="K479" s="84">
        <v>4900.0</v>
      </c>
      <c r="L479" s="61"/>
      <c r="M479" s="60"/>
      <c r="N479" s="29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idden="1">
      <c r="A480" s="2"/>
      <c r="B480" s="57" t="s">
        <v>175</v>
      </c>
      <c r="C480" s="11"/>
      <c r="D480" s="11">
        <v>180.0</v>
      </c>
      <c r="E480" s="12" t="s">
        <v>52</v>
      </c>
      <c r="F480" s="13">
        <f>'БД_УСЛУГИ_РО'!P384+'БД_ЗАПЧАСТИ'!P548</f>
        <v>2000</v>
      </c>
      <c r="G480" s="29"/>
      <c r="H480" s="62">
        <f>'БД_УСЛУГИ_РО'!P384</f>
        <v>1600</v>
      </c>
      <c r="I480" s="2"/>
      <c r="J480" s="85">
        <f t="shared" ref="J480:J483" si="37">F480</f>
        <v>2000</v>
      </c>
      <c r="K480" s="84">
        <v>2000.0</v>
      </c>
      <c r="L480" s="61">
        <f>IFERROR(VLOOKUP("iPhone XS Max Замена стекла камеры", 'РЕМОНТ_ЯБЛОК'!C:D, 2, 0), "Ошибка")</f>
        <v>2000</v>
      </c>
      <c r="M480" s="96"/>
      <c r="N480" s="29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idden="1">
      <c r="A481" s="2"/>
      <c r="B481" s="57" t="s">
        <v>175</v>
      </c>
      <c r="C481" s="11"/>
      <c r="D481" s="11">
        <v>90.0</v>
      </c>
      <c r="E481" s="12" t="s">
        <v>53</v>
      </c>
      <c r="F481" s="13">
        <f>'БД_УСЛУГИ_РО'!P385</f>
        <v>4200</v>
      </c>
      <c r="G481" s="29"/>
      <c r="H481" s="15"/>
      <c r="I481" s="2"/>
      <c r="J481" s="85">
        <f t="shared" si="37"/>
        <v>4200</v>
      </c>
      <c r="K481" s="84">
        <v>4200.0</v>
      </c>
      <c r="L481" s="61">
        <f>IFERROR(VLOOKUP("iPhone XS Max Ремонт (восстановление) Face id", 'РЕМОНТ_ЯБЛОК'!C:D, 2, 0), "Ошибка")</f>
        <v>7500</v>
      </c>
      <c r="M481" s="96"/>
      <c r="N481" s="29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idden="1">
      <c r="A482" s="2"/>
      <c r="B482" s="57" t="s">
        <v>175</v>
      </c>
      <c r="C482" s="11"/>
      <c r="D482" s="11">
        <v>180.0</v>
      </c>
      <c r="E482" s="12" t="s">
        <v>55</v>
      </c>
      <c r="F482" s="13">
        <f>'БД_УСЛУГИ_РО'!P386+'БД_ЗАПЧАСТИ'!P345</f>
        <v>5000</v>
      </c>
      <c r="G482" s="29"/>
      <c r="H482" s="62">
        <f>'БД_УСЛУГИ_РО'!P386</f>
        <v>3800</v>
      </c>
      <c r="I482" s="2"/>
      <c r="J482" s="85">
        <f t="shared" si="37"/>
        <v>5000</v>
      </c>
      <c r="K482" s="84">
        <v>5000.0</v>
      </c>
      <c r="L482" s="61">
        <f>IFERROR(VLOOKUP("iPhone XS Max Замена задней крышки", 'РЕМОНТ_ЯБЛОК'!C:D, 2, 0), "Ошибка")</f>
        <v>5000</v>
      </c>
      <c r="M482" s="96"/>
      <c r="N482" s="29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idden="1">
      <c r="A483" s="2"/>
      <c r="B483" s="57" t="s">
        <v>175</v>
      </c>
      <c r="C483" s="11"/>
      <c r="D483" s="11">
        <v>180.0</v>
      </c>
      <c r="E483" s="12" t="s">
        <v>56</v>
      </c>
      <c r="F483" s="13">
        <f>'БД_УСЛУГИ_РО'!P387</f>
        <v>2600</v>
      </c>
      <c r="G483" s="29"/>
      <c r="H483" s="62">
        <f>'БД_УСЛУГИ_РО'!P387</f>
        <v>2600</v>
      </c>
      <c r="I483" s="2"/>
      <c r="J483" s="85">
        <f t="shared" si="37"/>
        <v>2600</v>
      </c>
      <c r="K483" s="84">
        <v>2600.0</v>
      </c>
      <c r="L483" s="61">
        <f>IFERROR(VLOOKUP("iPhone XS Max Замена корпуса", 'РЕМОНТ_ЯБЛОК'!C:D, 2, 0), "Ошибка")</f>
        <v>7000</v>
      </c>
      <c r="M483" s="96"/>
      <c r="N483" s="29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idden="1">
      <c r="A484" s="2"/>
      <c r="B484" s="57" t="s">
        <v>175</v>
      </c>
      <c r="C484" s="11"/>
      <c r="D484" s="11">
        <v>90.0</v>
      </c>
      <c r="E484" s="12" t="s">
        <v>59</v>
      </c>
      <c r="F484" s="13">
        <f>'БД_УСЛУГИ_РО'!P388</f>
        <v>2000</v>
      </c>
      <c r="G484" s="29"/>
      <c r="H484" s="15"/>
      <c r="I484" s="2"/>
      <c r="J484" s="83"/>
      <c r="K484" s="84">
        <v>2000.0</v>
      </c>
      <c r="L484" s="61"/>
      <c r="M484" s="60"/>
      <c r="N484" s="29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idden="1">
      <c r="A485" s="2"/>
      <c r="B485" s="57" t="s">
        <v>175</v>
      </c>
      <c r="C485" s="11"/>
      <c r="D485" s="11">
        <v>90.0</v>
      </c>
      <c r="E485" s="12" t="s">
        <v>181</v>
      </c>
      <c r="F485" s="13">
        <f>'БД_УСЛУГИ_РО'!P389+'БД_ЗАПЧАСТИ'!P893</f>
        <v>4000</v>
      </c>
      <c r="G485" s="29"/>
      <c r="H485" s="62">
        <f>'БД_УСЛУГИ_РО'!P389</f>
        <v>2300</v>
      </c>
      <c r="I485" s="2"/>
      <c r="J485" s="85">
        <f t="shared" ref="J485:J486" si="38">F485</f>
        <v>4000</v>
      </c>
      <c r="K485" s="84">
        <v>4000.0</v>
      </c>
      <c r="L485" s="61">
        <f>IFERROR(VLOOKUP("iPhone XS Max Замена динамика", 'РЕМОНТ_ЯБЛОК'!C:D, 2, 0), "Ошибка")</f>
        <v>4000</v>
      </c>
      <c r="M485" s="96"/>
      <c r="N485" s="29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idden="1">
      <c r="A486" s="2"/>
      <c r="B486" s="57" t="s">
        <v>175</v>
      </c>
      <c r="C486" s="11"/>
      <c r="D486" s="11">
        <v>90.0</v>
      </c>
      <c r="E486" s="12" t="s">
        <v>182</v>
      </c>
      <c r="F486" s="13">
        <f>'БД_УСЛУГИ_РО'!P390+'БД_ЗАПЧАСТИ'!P851</f>
        <v>4000</v>
      </c>
      <c r="G486" s="29"/>
      <c r="H486" s="62">
        <f>'БД_УСЛУГИ_РО'!P390</f>
        <v>2300</v>
      </c>
      <c r="I486" s="2"/>
      <c r="J486" s="85">
        <f t="shared" si="38"/>
        <v>4000</v>
      </c>
      <c r="K486" s="84">
        <v>4000.0</v>
      </c>
      <c r="L486" s="61">
        <f>IFERROR(VLOOKUP("iPhone XS Max Замена динамика", 'РЕМОНТ_ЯБЛОК'!C:D, 2, 0), "Ошибка")</f>
        <v>4000</v>
      </c>
      <c r="M486" s="96"/>
      <c r="N486" s="29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idden="1">
      <c r="A487" s="2"/>
      <c r="B487" s="57" t="s">
        <v>175</v>
      </c>
      <c r="C487" s="11"/>
      <c r="D487" s="11">
        <v>90.0</v>
      </c>
      <c r="E487" s="32" t="s">
        <v>62</v>
      </c>
      <c r="F487" s="13">
        <f>'БД_УСЛУГИ_РО'!P391+'БД_ЗАПЧАСТИ'!P622</f>
        <v>4400</v>
      </c>
      <c r="G487" s="29"/>
      <c r="H487" s="62">
        <f>'БД_УСЛУГИ_РО'!P391</f>
        <v>2900</v>
      </c>
      <c r="I487" s="2"/>
      <c r="J487" s="83"/>
      <c r="K487" s="84">
        <v>4400.0</v>
      </c>
      <c r="L487" s="61"/>
      <c r="M487" s="60"/>
      <c r="N487" s="29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idden="1">
      <c r="A488" s="2"/>
      <c r="B488" s="57" t="s">
        <v>175</v>
      </c>
      <c r="C488" s="11"/>
      <c r="D488" s="11">
        <v>90.0</v>
      </c>
      <c r="E488" s="12" t="s">
        <v>63</v>
      </c>
      <c r="F488" s="13">
        <f>'БД_УСЛУГИ_РО'!P392</f>
        <v>2200</v>
      </c>
      <c r="G488" s="29"/>
      <c r="H488" s="15"/>
      <c r="I488" s="2"/>
      <c r="J488" s="83"/>
      <c r="K488" s="84">
        <v>2200.0</v>
      </c>
      <c r="L488" s="61"/>
      <c r="M488" s="60"/>
      <c r="N488" s="29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idden="1">
      <c r="A489" s="2"/>
      <c r="B489" s="57" t="s">
        <v>175</v>
      </c>
      <c r="C489" s="11"/>
      <c r="D489" s="11">
        <v>90.0</v>
      </c>
      <c r="E489" s="12" t="s">
        <v>64</v>
      </c>
      <c r="F489" s="13">
        <f>'БД_УСЛУГИ_РО'!P394</f>
        <v>2500</v>
      </c>
      <c r="G489" s="29"/>
      <c r="H489" s="15"/>
      <c r="I489" s="2"/>
      <c r="J489" s="92"/>
      <c r="K489" s="93">
        <v>2500.0</v>
      </c>
      <c r="L489" s="61"/>
      <c r="M489" s="94"/>
      <c r="N489" s="33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idden="1">
      <c r="A490" s="2"/>
      <c r="B490" s="57" t="s">
        <v>175</v>
      </c>
      <c r="C490" s="11"/>
      <c r="D490" s="11">
        <v>90.0</v>
      </c>
      <c r="E490" s="12" t="s">
        <v>65</v>
      </c>
      <c r="F490" s="13">
        <f>'БД_УСЛУГИ_РО'!P393+'БД_УСЛУГИ_РО'!P395</f>
        <v>7700</v>
      </c>
      <c r="G490" s="29"/>
      <c r="H490" s="15"/>
      <c r="I490" s="2"/>
      <c r="J490" s="92"/>
      <c r="K490" s="93">
        <v>7700.0</v>
      </c>
      <c r="L490" s="61"/>
      <c r="M490" s="94"/>
      <c r="N490" s="33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idden="1">
      <c r="A491" s="2"/>
      <c r="B491" s="69" t="s">
        <v>175</v>
      </c>
      <c r="C491" s="36"/>
      <c r="D491" s="36">
        <v>90.0</v>
      </c>
      <c r="E491" s="70" t="s">
        <v>66</v>
      </c>
      <c r="F491" s="38">
        <f>'БД_УСЛУГИ_РО'!P393+'БД_УСЛУГИ_РО'!P396</f>
        <v>8200</v>
      </c>
      <c r="G491" s="39"/>
      <c r="H491" s="15"/>
      <c r="I491" s="2"/>
      <c r="J491" s="91"/>
      <c r="K491" s="89">
        <v>8200.0</v>
      </c>
      <c r="L491" s="73"/>
      <c r="M491" s="74"/>
      <c r="N491" s="39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idden="1">
      <c r="A492" s="2"/>
      <c r="B492" s="1"/>
      <c r="C492" s="1"/>
      <c r="D492" s="95"/>
      <c r="E492" s="99"/>
      <c r="F492" s="80"/>
      <c r="G492" s="100"/>
      <c r="H492" s="15"/>
      <c r="I492" s="2"/>
      <c r="J492" s="90"/>
      <c r="K492" s="2" t="s">
        <v>22</v>
      </c>
      <c r="L492" s="2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idden="1">
      <c r="A493" s="2"/>
      <c r="B493" s="41" t="s">
        <v>183</v>
      </c>
      <c r="C493" s="42"/>
      <c r="D493" s="42">
        <v>0.0</v>
      </c>
      <c r="E493" s="43" t="s">
        <v>24</v>
      </c>
      <c r="F493" s="44">
        <f>'БД_УСЛУГИ_РО'!P397</f>
        <v>1</v>
      </c>
      <c r="G493" s="45"/>
      <c r="H493" s="15"/>
      <c r="I493" s="2"/>
      <c r="J493" s="81"/>
      <c r="K493" s="82">
        <v>1.0</v>
      </c>
      <c r="L493" s="55"/>
      <c r="M493" s="56"/>
      <c r="N493" s="5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idden="1">
      <c r="A494" s="2"/>
      <c r="B494" s="46" t="s">
        <v>183</v>
      </c>
      <c r="C494" s="11"/>
      <c r="D494" s="11">
        <v>0.0</v>
      </c>
      <c r="E494" s="32" t="s">
        <v>26</v>
      </c>
      <c r="F494" s="13">
        <f>'БД_УСЛУГИ_РО'!P398+'БД_УСЛУГИ_РО'!P399</f>
        <v>1100</v>
      </c>
      <c r="G494" s="47"/>
      <c r="H494" s="15"/>
      <c r="I494" s="2"/>
      <c r="J494" s="83"/>
      <c r="K494" s="84">
        <v>1100.0</v>
      </c>
      <c r="L494" s="61"/>
      <c r="M494" s="60"/>
      <c r="N494" s="29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idden="1">
      <c r="A495" s="2"/>
      <c r="B495" s="46" t="s">
        <v>183</v>
      </c>
      <c r="C495" s="11"/>
      <c r="D495" s="11">
        <v>0.0</v>
      </c>
      <c r="E495" s="32" t="s">
        <v>27</v>
      </c>
      <c r="F495" s="13">
        <f>'БД_УСЛУГИ_РО'!P400</f>
        <v>400</v>
      </c>
      <c r="G495" s="33" t="str">
        <f>MIN(F495:F496) &amp; " - " &amp; MAX(F495:F496)</f>
        <v>400 - 2000</v>
      </c>
      <c r="H495" s="15"/>
      <c r="I495" s="2"/>
      <c r="J495" s="83"/>
      <c r="K495" s="84">
        <v>400.0</v>
      </c>
      <c r="L495" s="61"/>
      <c r="M495" s="60"/>
      <c r="N495" s="29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idden="1">
      <c r="A496" s="2"/>
      <c r="B496" s="46" t="s">
        <v>183</v>
      </c>
      <c r="C496" s="11"/>
      <c r="D496" s="11">
        <v>0.0</v>
      </c>
      <c r="E496" s="32" t="s">
        <v>28</v>
      </c>
      <c r="F496" s="13">
        <f>'БД_УСЛУГИ_РО'!P401</f>
        <v>2000</v>
      </c>
      <c r="G496" s="28"/>
      <c r="H496" s="15"/>
      <c r="I496" s="2"/>
      <c r="J496" s="83"/>
      <c r="K496" s="84">
        <v>2000.0</v>
      </c>
      <c r="L496" s="61"/>
      <c r="M496" s="60"/>
      <c r="N496" s="29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idden="1">
      <c r="A497" s="2"/>
      <c r="B497" s="46" t="s">
        <v>183</v>
      </c>
      <c r="C497" s="11"/>
      <c r="D497" s="11">
        <v>180.0</v>
      </c>
      <c r="E497" s="32" t="s">
        <v>34</v>
      </c>
      <c r="F497" s="13">
        <f>'БД_УСЛУГИ_РО'!P402+'БД_ЗАПЧАСТИ'!P25</f>
        <v>3200</v>
      </c>
      <c r="G497" s="33" t="str">
        <f>MIN(F497:F498) &amp; " - " &amp; MAX(F497:F498)</f>
        <v>3200 - 5400</v>
      </c>
      <c r="H497" s="101">
        <f>'БД_УСЛУГИ_РО'!P402</f>
        <v>2300</v>
      </c>
      <c r="I497" s="2"/>
      <c r="J497" s="85">
        <f>F497</f>
        <v>3200</v>
      </c>
      <c r="K497" s="84">
        <v>3200.0</v>
      </c>
      <c r="L497" s="61" t="str">
        <f>IFERROR(VLOOKUP("iPhone 11 Замена аккумулятора (3110 mAh) Standard", 'РЕМОНТ_ЯБЛОК'!C:D, 2, 0), "Ошибка") &amp; " | " &amp; IFERROR(VLOOKUP("iPhone 11 Замена аккумулятора (3510 mAh) HC (повышенная емкость)", 'РЕМОНТ_ЯБЛОК'!C:D, 2, 0), "Ошибка")</f>
        <v>3000 | 3500</v>
      </c>
      <c r="M497" s="60"/>
      <c r="N497" s="29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idden="1">
      <c r="A498" s="2"/>
      <c r="B498" s="46" t="s">
        <v>183</v>
      </c>
      <c r="C498" s="11"/>
      <c r="D498" s="11">
        <v>180.0</v>
      </c>
      <c r="E498" s="32" t="s">
        <v>35</v>
      </c>
      <c r="F498" s="13">
        <f>'БД_УСЛУГИ_РО'!P402+'БД_УСЛУГИ_РО'!P403+'БД_ЗАПЧАСТИ'!P25</f>
        <v>5400</v>
      </c>
      <c r="G498" s="28"/>
      <c r="H498" s="101">
        <f>'БД_УСЛУГИ_РО'!P402+'БД_УСЛУГИ_РО'!P403</f>
        <v>4500</v>
      </c>
      <c r="I498" s="2"/>
      <c r="J498" s="83"/>
      <c r="K498" s="84">
        <v>5400.0</v>
      </c>
      <c r="L498" s="61"/>
      <c r="M498" s="60"/>
      <c r="N498" s="29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idden="1">
      <c r="A499" s="2"/>
      <c r="B499" s="46" t="s">
        <v>183</v>
      </c>
      <c r="C499" s="11"/>
      <c r="D499" s="11">
        <v>90.0</v>
      </c>
      <c r="E499" s="32" t="s">
        <v>36</v>
      </c>
      <c r="F499" s="13">
        <f>'БД_УСЛУГИ_РО'!P404+'БД_ЗАПЧАСТИ'!P625</f>
        <v>3500</v>
      </c>
      <c r="G499" s="47"/>
      <c r="H499" s="101">
        <f>'БД_УСЛУГИ_РО'!P404</f>
        <v>2700</v>
      </c>
      <c r="I499" s="2"/>
      <c r="J499" s="85">
        <f>F499</f>
        <v>3500</v>
      </c>
      <c r="K499" s="84">
        <v>3500.0</v>
      </c>
      <c r="L499" s="61">
        <f>IFERROR(VLOOKUP("iPhone 11 Замена разъема питания", 'РЕМОНТ_ЯБЛОК'!C:D, 2, 0), "Ошибка")</f>
        <v>3500</v>
      </c>
      <c r="M499" s="96"/>
      <c r="N499" s="29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idden="1">
      <c r="A500" s="2"/>
      <c r="B500" s="46" t="s">
        <v>183</v>
      </c>
      <c r="C500" s="11"/>
      <c r="D500" s="11">
        <v>90.0</v>
      </c>
      <c r="E500" s="32" t="s">
        <v>40</v>
      </c>
      <c r="F500" s="13">
        <f>'БД_УСЛУГИ_РО'!P405+'БД_ЗАПЧАСТИ'!P194</f>
        <v>6100</v>
      </c>
      <c r="G500" s="33" t="str">
        <f>IFERROR(__xludf.DUMMYFUNCTION("MIN(FILTER(F500:F502, F500:F502 &lt;&gt; H500:H502)) &amp; "" - "" &amp; MAX(FILTER(F500:F502, F500:F502 &lt;&gt; H500:H502))"),"5500 - 6100")</f>
        <v>5500 - 6100</v>
      </c>
      <c r="H500" s="101">
        <f>'БД_УСЛУГИ_РО'!P405</f>
        <v>2300</v>
      </c>
      <c r="I500" s="2"/>
      <c r="J500" s="86">
        <f>IFERROR(__xludf.DUMMYFUNCTION("MIN(FILTER(F500:F501, F500:F501 &lt;&gt; H500:H501, F500:F501 &lt;&gt; """"))"),5500.0)</f>
        <v>5500</v>
      </c>
      <c r="K500" s="84">
        <v>6100.0</v>
      </c>
      <c r="L500" s="65">
        <f>IFERROR(VLOOKUP("iPhone 11 Замена дисплея (оригинал)", 'РЕМОНТ_ЯБЛОК'!C:D, 2, 0), "Ошибка")</f>
        <v>5500</v>
      </c>
      <c r="M500" s="60"/>
      <c r="N500" s="29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idden="1">
      <c r="A501" s="2"/>
      <c r="B501" s="46" t="s">
        <v>183</v>
      </c>
      <c r="C501" s="11"/>
      <c r="D501" s="11">
        <v>90.0</v>
      </c>
      <c r="E501" s="32" t="s">
        <v>43</v>
      </c>
      <c r="F501" s="13">
        <f>'БД_УСЛУГИ_РО'!P405+'БД_ЗАПЧАСТИ'!P195</f>
        <v>5500</v>
      </c>
      <c r="G501" s="19"/>
      <c r="H501" s="101">
        <f>'БД_УСЛУГИ_РО'!P405</f>
        <v>2300</v>
      </c>
      <c r="I501" s="2"/>
      <c r="J501" s="87"/>
      <c r="K501" s="84">
        <v>5500.0</v>
      </c>
      <c r="L501" s="67"/>
      <c r="M501" s="60"/>
      <c r="N501" s="29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idden="1">
      <c r="A502" s="2"/>
      <c r="B502" s="46" t="s">
        <v>183</v>
      </c>
      <c r="C502" s="11"/>
      <c r="D502" s="11">
        <v>90.0</v>
      </c>
      <c r="E502" s="32" t="s">
        <v>46</v>
      </c>
      <c r="F502" s="13">
        <f>'БД_УСЛУГИ_РО'!P405</f>
        <v>2300</v>
      </c>
      <c r="G502" s="28"/>
      <c r="H502" s="101">
        <f>'БД_УСЛУГИ_РО'!P405</f>
        <v>2300</v>
      </c>
      <c r="I502" s="2"/>
      <c r="J502" s="83" t="str">
        <f>IF(F502=H502, "", F502)</f>
        <v/>
      </c>
      <c r="K502" s="84">
        <v>2300.0</v>
      </c>
      <c r="L502" s="61">
        <f>IFERROR(VLOOKUP("iPhone 11 Замена дисплея (аналог)", 'РЕМОНТ_ЯБЛОК'!C:D, 2, 0), "Ошибка")</f>
        <v>4500</v>
      </c>
      <c r="M502" s="60"/>
      <c r="N502" s="29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idden="1">
      <c r="A503" s="2"/>
      <c r="B503" s="46" t="s">
        <v>183</v>
      </c>
      <c r="C503" s="11"/>
      <c r="D503" s="11">
        <v>90.0</v>
      </c>
      <c r="E503" s="32" t="s">
        <v>47</v>
      </c>
      <c r="F503" s="13">
        <f>'БД_УСЛУГИ_РО'!P406</f>
        <v>2000</v>
      </c>
      <c r="G503" s="47"/>
      <c r="H503" s="5"/>
      <c r="I503" s="2"/>
      <c r="J503" s="83"/>
      <c r="K503" s="84">
        <v>2000.0</v>
      </c>
      <c r="L503" s="61"/>
      <c r="M503" s="60"/>
      <c r="N503" s="29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idden="1">
      <c r="A504" s="2"/>
      <c r="B504" s="46" t="s">
        <v>183</v>
      </c>
      <c r="C504" s="11"/>
      <c r="D504" s="11">
        <v>90.0</v>
      </c>
      <c r="E504" s="32" t="s">
        <v>184</v>
      </c>
      <c r="F504" s="13">
        <f>'БД_УСЛУГИ_РО'!P407</f>
        <v>4000</v>
      </c>
      <c r="G504" s="33" t="str">
        <f>MIN(F504:F505) &amp; " - " &amp; MAX(F504:F505)</f>
        <v>4000 - 4500</v>
      </c>
      <c r="H504" s="5"/>
      <c r="I504" s="2"/>
      <c r="J504" s="85">
        <f>F504</f>
        <v>4000</v>
      </c>
      <c r="K504" s="84">
        <v>4000.0</v>
      </c>
      <c r="L504" s="61">
        <f>IFERROR(VLOOKUP("iPhone 11 Переклейка (восстановление) вашего дисплея", 'РЕМОНТ_ЯБЛОК'!C:D, 2, 0), "Ошибка")</f>
        <v>4000</v>
      </c>
      <c r="M504" s="96"/>
      <c r="N504" s="29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idden="1">
      <c r="A505" s="2"/>
      <c r="B505" s="46" t="s">
        <v>183</v>
      </c>
      <c r="C505" s="11"/>
      <c r="D505" s="11">
        <v>90.0</v>
      </c>
      <c r="E505" s="32" t="s">
        <v>49</v>
      </c>
      <c r="F505" s="13">
        <f>'БД_УСЛУГИ_РО'!P408</f>
        <v>4500</v>
      </c>
      <c r="G505" s="28"/>
      <c r="H505" s="5"/>
      <c r="I505" s="2"/>
      <c r="J505" s="83"/>
      <c r="K505" s="84">
        <v>4500.0</v>
      </c>
      <c r="L505" s="61"/>
      <c r="M505" s="60"/>
      <c r="N505" s="29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idden="1">
      <c r="A506" s="2"/>
      <c r="B506" s="46" t="s">
        <v>183</v>
      </c>
      <c r="C506" s="11"/>
      <c r="D506" s="11">
        <v>90.0</v>
      </c>
      <c r="E506" s="32" t="s">
        <v>50</v>
      </c>
      <c r="F506" s="13">
        <f>'БД_УСЛУГИ_РО'!P409+'БД_ЗАПЧАСТИ'!P767</f>
        <v>4500</v>
      </c>
      <c r="G506" s="47"/>
      <c r="H506" s="101">
        <f>'БД_УСЛУГИ_РО'!P409</f>
        <v>2800</v>
      </c>
      <c r="I506" s="2"/>
      <c r="J506" s="85">
        <f>F506</f>
        <v>4500</v>
      </c>
      <c r="K506" s="84">
        <v>4500.0</v>
      </c>
      <c r="L506" s="61">
        <f>IFERROR(VLOOKUP("iPhone 11 Замена основной камеры", 'РЕМОНТ_ЯБЛОК'!C:D, 2, 0), "Ошибка")</f>
        <v>4500</v>
      </c>
      <c r="M506" s="96"/>
      <c r="N506" s="29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idden="1">
      <c r="A507" s="2"/>
      <c r="B507" s="46" t="s">
        <v>183</v>
      </c>
      <c r="C507" s="11"/>
      <c r="D507" s="11">
        <v>90.0</v>
      </c>
      <c r="E507" s="32" t="s">
        <v>51</v>
      </c>
      <c r="F507" s="13">
        <f>'БД_УСЛУГИ_РО'!P410+'БД_ЗАПЧАСТИ'!P809</f>
        <v>5900</v>
      </c>
      <c r="G507" s="47"/>
      <c r="H507" s="101">
        <f>'БД_УСЛУГИ_РО'!P410</f>
        <v>3400</v>
      </c>
      <c r="I507" s="2"/>
      <c r="J507" s="83"/>
      <c r="K507" s="84">
        <v>5900.0</v>
      </c>
      <c r="L507" s="61"/>
      <c r="M507" s="60"/>
      <c r="N507" s="29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idden="1">
      <c r="A508" s="2"/>
      <c r="B508" s="46" t="s">
        <v>183</v>
      </c>
      <c r="C508" s="11"/>
      <c r="D508" s="11">
        <v>180.0</v>
      </c>
      <c r="E508" s="12" t="s">
        <v>52</v>
      </c>
      <c r="F508" s="13">
        <f>'БД_УСЛУГИ_РО'!P411+'БД_ЗАПЧАСТИ'!P549</f>
        <v>2000</v>
      </c>
      <c r="G508" s="47"/>
      <c r="H508" s="101">
        <f>'БД_УСЛУГИ_РО'!P411</f>
        <v>1800</v>
      </c>
      <c r="I508" s="2"/>
      <c r="J508" s="85">
        <f t="shared" ref="J508:J511" si="39">F508</f>
        <v>2000</v>
      </c>
      <c r="K508" s="84">
        <v>2000.0</v>
      </c>
      <c r="L508" s="61">
        <f>IFERROR(VLOOKUP("iPhone 11 Замена стекла камеры", 'РЕМОНТ_ЯБЛОК'!C:D, 2, 0), "Ошибка")</f>
        <v>2000</v>
      </c>
      <c r="M508" s="96"/>
      <c r="N508" s="29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idden="1">
      <c r="A509" s="2"/>
      <c r="B509" s="46" t="s">
        <v>183</v>
      </c>
      <c r="C509" s="11"/>
      <c r="D509" s="11">
        <v>90.0</v>
      </c>
      <c r="E509" s="32" t="s">
        <v>53</v>
      </c>
      <c r="F509" s="13">
        <f>'БД_УСЛУГИ_РО'!P412</f>
        <v>5000</v>
      </c>
      <c r="G509" s="47"/>
      <c r="H509" s="5"/>
      <c r="I509" s="2"/>
      <c r="J509" s="85">
        <f t="shared" si="39"/>
        <v>5000</v>
      </c>
      <c r="K509" s="84">
        <v>5000.0</v>
      </c>
      <c r="L509" s="61">
        <f>IFERROR(VLOOKUP("iPhone 11 Ремонт (восстановление) Face id", 'РЕМОНТ_ЯБЛОК'!C:D, 2, 0), "Ошибка")</f>
        <v>7500</v>
      </c>
      <c r="M509" s="96"/>
      <c r="N509" s="29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idden="1">
      <c r="A510" s="2"/>
      <c r="B510" s="46" t="s">
        <v>183</v>
      </c>
      <c r="C510" s="11"/>
      <c r="D510" s="11">
        <v>180.0</v>
      </c>
      <c r="E510" s="32" t="s">
        <v>55</v>
      </c>
      <c r="F510" s="13">
        <f>'БД_УСЛУГИ_РО'!P413+'БД_ЗАПЧАСТИ'!P348</f>
        <v>6000</v>
      </c>
      <c r="G510" s="29"/>
      <c r="H510" s="101">
        <f>'БД_УСЛУГИ_РО'!P413</f>
        <v>4000</v>
      </c>
      <c r="I510" s="2"/>
      <c r="J510" s="85">
        <f t="shared" si="39"/>
        <v>6000</v>
      </c>
      <c r="K510" s="84">
        <v>6000.0</v>
      </c>
      <c r="L510" s="61">
        <f>IFERROR(VLOOKUP("iPhone 11 Замена задней крышки", 'РЕМОНТ_ЯБЛОК'!C:D, 2, 0), "Ошибка")</f>
        <v>6000</v>
      </c>
      <c r="M510" s="96"/>
      <c r="N510" s="29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idden="1">
      <c r="A511" s="2"/>
      <c r="B511" s="46" t="s">
        <v>183</v>
      </c>
      <c r="C511" s="11"/>
      <c r="D511" s="11">
        <v>180.0</v>
      </c>
      <c r="E511" s="32" t="s">
        <v>56</v>
      </c>
      <c r="F511" s="102">
        <f>'БД_УСЛУГИ_РО'!P414</f>
        <v>3300</v>
      </c>
      <c r="G511" s="29"/>
      <c r="H511" s="62">
        <f>'БД_УСЛУГИ_РО'!P414</f>
        <v>3300</v>
      </c>
      <c r="I511" s="2"/>
      <c r="J511" s="85">
        <f t="shared" si="39"/>
        <v>3300</v>
      </c>
      <c r="K511" s="84">
        <v>3300.0</v>
      </c>
      <c r="L511" s="61">
        <f>IFERROR(VLOOKUP("iPhone 11 Замена корпуса", 'РЕМОНТ_ЯБЛОК'!C:D, 2, 0), "Ошибка")</f>
        <v>6000</v>
      </c>
      <c r="M511" s="96"/>
      <c r="N511" s="29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idden="1">
      <c r="A512" s="2"/>
      <c r="B512" s="46" t="s">
        <v>183</v>
      </c>
      <c r="C512" s="11"/>
      <c r="D512" s="11">
        <v>90.0</v>
      </c>
      <c r="E512" s="32" t="s">
        <v>59</v>
      </c>
      <c r="F512" s="102">
        <f>'БД_УСЛУГИ_РО'!P415</f>
        <v>3000</v>
      </c>
      <c r="G512" s="47"/>
      <c r="H512" s="5"/>
      <c r="I512" s="2"/>
      <c r="J512" s="83"/>
      <c r="K512" s="84">
        <v>3000.0</v>
      </c>
      <c r="L512" s="61"/>
      <c r="M512" s="60"/>
      <c r="N512" s="29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idden="1">
      <c r="A513" s="2"/>
      <c r="B513" s="46" t="s">
        <v>183</v>
      </c>
      <c r="C513" s="11"/>
      <c r="D513" s="11">
        <v>90.0</v>
      </c>
      <c r="E513" s="32" t="s">
        <v>60</v>
      </c>
      <c r="F513" s="13">
        <f>'БД_УСЛУГИ_РО'!P416+'БД_ЗАПЧАСТИ'!P894</f>
        <v>3500</v>
      </c>
      <c r="G513" s="47"/>
      <c r="H513" s="101">
        <f>'БД_УСЛУГИ_РО'!P416</f>
        <v>2300</v>
      </c>
      <c r="I513" s="2"/>
      <c r="J513" s="85">
        <f t="shared" ref="J513:J514" si="40">F513</f>
        <v>3500</v>
      </c>
      <c r="K513" s="84">
        <v>3500.0</v>
      </c>
      <c r="L513" s="61">
        <f>IFERROR(VLOOKUP("iPhone 11 Замена динамика", 'РЕМОНТ_ЯБЛОК'!C:D, 2, 0), "Ошибка")</f>
        <v>3500</v>
      </c>
      <c r="M513" s="96"/>
      <c r="N513" s="29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idden="1">
      <c r="A514" s="2"/>
      <c r="B514" s="46" t="s">
        <v>183</v>
      </c>
      <c r="C514" s="11"/>
      <c r="D514" s="11">
        <v>90.0</v>
      </c>
      <c r="E514" s="32" t="s">
        <v>61</v>
      </c>
      <c r="F514" s="13">
        <f>'БД_УСЛУГИ_РО'!P417+'БД_ЗАПЧАСТИ'!P852</f>
        <v>3500</v>
      </c>
      <c r="G514" s="47"/>
      <c r="H514" s="101">
        <f>'БД_УСЛУГИ_РО'!P417</f>
        <v>2300</v>
      </c>
      <c r="I514" s="2"/>
      <c r="J514" s="85">
        <f t="shared" si="40"/>
        <v>3500</v>
      </c>
      <c r="K514" s="84">
        <v>3500.0</v>
      </c>
      <c r="L514" s="61">
        <f>IFERROR(VLOOKUP("iPhone 11 Замена динамика", 'РЕМОНТ_ЯБЛОК'!C:D, 2, 0), "Ошибка")</f>
        <v>3500</v>
      </c>
      <c r="M514" s="96"/>
      <c r="N514" s="29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idden="1">
      <c r="A515" s="2"/>
      <c r="B515" s="46" t="s">
        <v>183</v>
      </c>
      <c r="C515" s="11"/>
      <c r="D515" s="11">
        <v>90.0</v>
      </c>
      <c r="E515" s="32" t="s">
        <v>62</v>
      </c>
      <c r="F515" s="13">
        <f>'БД_УСЛУГИ_РО'!P418+'БД_ЗАПЧАСТИ'!P625</f>
        <v>3700</v>
      </c>
      <c r="G515" s="47"/>
      <c r="H515" s="101">
        <f>'БД_УСЛУГИ_РО'!P418</f>
        <v>2900</v>
      </c>
      <c r="I515" s="2"/>
      <c r="J515" s="83"/>
      <c r="K515" s="84">
        <v>3700.0</v>
      </c>
      <c r="L515" s="61"/>
      <c r="M515" s="60"/>
      <c r="N515" s="29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idden="1">
      <c r="A516" s="2"/>
      <c r="B516" s="46" t="s">
        <v>183</v>
      </c>
      <c r="C516" s="11"/>
      <c r="D516" s="11">
        <v>90.0</v>
      </c>
      <c r="E516" s="32" t="s">
        <v>63</v>
      </c>
      <c r="F516" s="13">
        <f>'БД_УСЛУГИ_РО'!P419</f>
        <v>3000</v>
      </c>
      <c r="G516" s="47"/>
      <c r="H516" s="5"/>
      <c r="I516" s="2"/>
      <c r="J516" s="92"/>
      <c r="K516" s="93">
        <v>3000.0</v>
      </c>
      <c r="L516" s="65"/>
      <c r="M516" s="94"/>
      <c r="N516" s="33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idden="1">
      <c r="A517" s="2"/>
      <c r="B517" s="46" t="s">
        <v>183</v>
      </c>
      <c r="C517" s="11"/>
      <c r="D517" s="11">
        <v>90.0</v>
      </c>
      <c r="E517" s="32" t="s">
        <v>64</v>
      </c>
      <c r="F517" s="13">
        <f>'БД_УСЛУГИ_РО'!P421</f>
        <v>3500</v>
      </c>
      <c r="G517" s="47"/>
      <c r="H517" s="5"/>
      <c r="I517" s="2"/>
      <c r="J517" s="92"/>
      <c r="K517" s="93">
        <v>3500.0</v>
      </c>
      <c r="L517" s="65"/>
      <c r="M517" s="94"/>
      <c r="N517" s="33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idden="1">
      <c r="A518" s="2"/>
      <c r="B518" s="46" t="s">
        <v>183</v>
      </c>
      <c r="C518" s="11"/>
      <c r="D518" s="11">
        <v>90.0</v>
      </c>
      <c r="E518" s="32" t="s">
        <v>65</v>
      </c>
      <c r="F518" s="13">
        <f>'БД_УСЛУГИ_РО'!P420+'БД_УСЛУГИ_РО'!P422</f>
        <v>9000</v>
      </c>
      <c r="G518" s="47"/>
      <c r="H518" s="5"/>
      <c r="I518" s="2"/>
      <c r="J518" s="92"/>
      <c r="K518" s="93">
        <v>9000.0</v>
      </c>
      <c r="L518" s="65"/>
      <c r="M518" s="94"/>
      <c r="N518" s="33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idden="1">
      <c r="A519" s="2"/>
      <c r="B519" s="48" t="s">
        <v>183</v>
      </c>
      <c r="C519" s="36"/>
      <c r="D519" s="36">
        <v>90.0</v>
      </c>
      <c r="E519" s="49" t="s">
        <v>66</v>
      </c>
      <c r="F519" s="38">
        <f>'БД_УСЛУГИ_РО'!P420+'БД_УСЛУГИ_РО'!P423</f>
        <v>9500</v>
      </c>
      <c r="G519" s="50"/>
      <c r="H519" s="5"/>
      <c r="I519" s="2"/>
      <c r="J519" s="91"/>
      <c r="K519" s="89">
        <v>9500.0</v>
      </c>
      <c r="L519" s="73"/>
      <c r="M519" s="74"/>
      <c r="N519" s="39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idden="1">
      <c r="A520" s="2"/>
      <c r="B520" s="1"/>
      <c r="C520" s="1"/>
      <c r="D520" s="95"/>
      <c r="E520" s="30"/>
      <c r="F520" s="80"/>
      <c r="G520" s="2"/>
      <c r="H520" s="5"/>
      <c r="I520" s="2"/>
      <c r="J520" s="90"/>
      <c r="K520" s="2" t="s">
        <v>22</v>
      </c>
      <c r="L520" s="2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idden="1">
      <c r="A521" s="2"/>
      <c r="B521" s="41" t="s">
        <v>185</v>
      </c>
      <c r="C521" s="42"/>
      <c r="D521" s="42">
        <v>0.0</v>
      </c>
      <c r="E521" s="51" t="s">
        <v>24</v>
      </c>
      <c r="F521" s="44">
        <f>'БД_УСЛУГИ_РО'!P424</f>
        <v>1</v>
      </c>
      <c r="G521" s="52"/>
      <c r="H521" s="5"/>
      <c r="I521" s="2"/>
      <c r="J521" s="81"/>
      <c r="K521" s="82">
        <v>1.0</v>
      </c>
      <c r="L521" s="55"/>
      <c r="M521" s="56"/>
      <c r="N521" s="5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idden="1">
      <c r="A522" s="2"/>
      <c r="B522" s="57" t="s">
        <v>185</v>
      </c>
      <c r="C522" s="11"/>
      <c r="D522" s="11">
        <v>0.0</v>
      </c>
      <c r="E522" s="12" t="s">
        <v>26</v>
      </c>
      <c r="F522" s="13">
        <f>'БД_УСЛУГИ_РО'!P425+'БД_УСЛУГИ_РО'!P426</f>
        <v>1300</v>
      </c>
      <c r="G522" s="29"/>
      <c r="H522" s="5"/>
      <c r="I522" s="2"/>
      <c r="J522" s="83"/>
      <c r="K522" s="84">
        <v>1300.0</v>
      </c>
      <c r="L522" s="61"/>
      <c r="M522" s="60"/>
      <c r="N522" s="29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idden="1">
      <c r="A523" s="2"/>
      <c r="B523" s="57" t="s">
        <v>185</v>
      </c>
      <c r="C523" s="11"/>
      <c r="D523" s="11">
        <v>0.0</v>
      </c>
      <c r="E523" s="32" t="s">
        <v>27</v>
      </c>
      <c r="F523" s="13">
        <f>'БД_УСЛУГИ_РО'!P427</f>
        <v>400</v>
      </c>
      <c r="G523" s="33" t="str">
        <f>MIN(F523:F524) &amp; " - " &amp; MAX(F523:F524)</f>
        <v>400 - 2500</v>
      </c>
      <c r="H523" s="5"/>
      <c r="I523" s="2"/>
      <c r="J523" s="83"/>
      <c r="K523" s="84">
        <v>400.0</v>
      </c>
      <c r="L523" s="61"/>
      <c r="M523" s="60"/>
      <c r="N523" s="29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idden="1">
      <c r="A524" s="2"/>
      <c r="B524" s="57" t="s">
        <v>185</v>
      </c>
      <c r="C524" s="11"/>
      <c r="D524" s="11">
        <v>0.0</v>
      </c>
      <c r="E524" s="32" t="s">
        <v>28</v>
      </c>
      <c r="F524" s="13">
        <f>'БД_УСЛУГИ_РО'!P428</f>
        <v>2500</v>
      </c>
      <c r="G524" s="28"/>
      <c r="H524" s="5"/>
      <c r="I524" s="2"/>
      <c r="J524" s="83"/>
      <c r="K524" s="84">
        <v>2500.0</v>
      </c>
      <c r="L524" s="61"/>
      <c r="M524" s="60"/>
      <c r="N524" s="29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idden="1">
      <c r="A525" s="2"/>
      <c r="B525" s="57" t="s">
        <v>185</v>
      </c>
      <c r="C525" s="11"/>
      <c r="D525" s="11">
        <v>180.0</v>
      </c>
      <c r="E525" s="12" t="s">
        <v>34</v>
      </c>
      <c r="F525" s="13">
        <f>'БД_УСЛУГИ_РО'!P429+'БД_ЗАПЧАСТИ'!P27</f>
        <v>4000</v>
      </c>
      <c r="G525" s="33" t="str">
        <f>MIN(F525:F526) &amp; " - " &amp; MAX(F525:F526)</f>
        <v>4000 - 6200</v>
      </c>
      <c r="H525" s="101">
        <f>'БД_УСЛУГИ_РО'!P429</f>
        <v>2600</v>
      </c>
      <c r="I525" s="2"/>
      <c r="J525" s="85">
        <f>F525</f>
        <v>4000</v>
      </c>
      <c r="K525" s="84">
        <v>4000.0</v>
      </c>
      <c r="L525" s="61" t="str">
        <f>IFERROR(VLOOKUP("iPhone 11 Pro Замена аккумулятора (3046 mAh) Standard", 'РЕМОНТ_ЯБЛОК'!C:D, 2, 0), "Ошибка") &amp; " | " &amp; IFERROR(VLOOKUP("iPhone 11 Pro Замена аккумулятора (3410mAh) 3.81V HC (повышенная емкость)", 'РЕМОНТ_ЯБЛОК'!C:D, 2, 0), "Ошибка")</f>
        <v>4000 | 4500</v>
      </c>
      <c r="M525" s="60"/>
      <c r="N525" s="29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idden="1">
      <c r="A526" s="2"/>
      <c r="B526" s="57" t="s">
        <v>185</v>
      </c>
      <c r="C526" s="11"/>
      <c r="D526" s="11">
        <v>180.0</v>
      </c>
      <c r="E526" s="12" t="s">
        <v>35</v>
      </c>
      <c r="F526" s="13">
        <f>'БД_УСЛУГИ_РО'!P429+'БД_УСЛУГИ_РО'!P430+'БД_ЗАПЧАСТИ'!P27</f>
        <v>6200</v>
      </c>
      <c r="G526" s="28"/>
      <c r="H526" s="101">
        <f>'БД_УСЛУГИ_РО'!P429+'БД_УСЛУГИ_РО'!P430</f>
        <v>4800</v>
      </c>
      <c r="I526" s="2"/>
      <c r="J526" s="83"/>
      <c r="K526" s="84">
        <v>6200.0</v>
      </c>
      <c r="L526" s="61"/>
      <c r="M526" s="60"/>
      <c r="N526" s="29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idden="1">
      <c r="A527" s="2"/>
      <c r="B527" s="57" t="s">
        <v>185</v>
      </c>
      <c r="C527" s="11"/>
      <c r="D527" s="11">
        <v>90.0</v>
      </c>
      <c r="E527" s="12" t="s">
        <v>186</v>
      </c>
      <c r="F527" s="13">
        <f>'БД_УСЛУГИ_РО'!P431+'БД_ЗАПЧАСТИ'!P631</f>
        <v>4850</v>
      </c>
      <c r="G527" s="29"/>
      <c r="H527" s="101">
        <f>'БД_УСЛУГИ_РО'!P431</f>
        <v>3200</v>
      </c>
      <c r="I527" s="2"/>
      <c r="J527" s="85">
        <f>F527</f>
        <v>4850</v>
      </c>
      <c r="K527" s="84">
        <v>4850.0</v>
      </c>
      <c r="L527" s="61">
        <f>IFERROR(VLOOKUP("iPhone 11 Pro Замена разъема питания", 'РЕМОНТ_ЯБЛОК'!C:D, 2, 0), "Ошибка")</f>
        <v>4000</v>
      </c>
      <c r="M527" s="96"/>
      <c r="N527" s="29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idden="1">
      <c r="A528" s="2"/>
      <c r="B528" s="57" t="s">
        <v>185</v>
      </c>
      <c r="C528" s="11"/>
      <c r="D528" s="11">
        <v>90.0</v>
      </c>
      <c r="E528" s="12" t="s">
        <v>40</v>
      </c>
      <c r="F528" s="13">
        <f>'БД_УСЛУГИ_РО'!P432+'БД_ЗАПЧАСТИ'!P196</f>
        <v>9500</v>
      </c>
      <c r="G528" s="33" t="str">
        <f>IFERROR(__xludf.DUMMYFUNCTION("MIN(FILTER(F528:F530, F528:F530 &lt;&gt; H528:H530)) &amp; "" - "" &amp; MAX(FILTER(F528:F530, F528:F530 &lt;&gt; H528:H530))"),"9000 - 9500")</f>
        <v>9000 - 9500</v>
      </c>
      <c r="H528" s="101">
        <f>'БД_УСЛУГИ_РО'!P432</f>
        <v>2600</v>
      </c>
      <c r="I528" s="2"/>
      <c r="J528" s="86">
        <f>IFERROR(__xludf.DUMMYFUNCTION("MIN(FILTER(F528:F529, F528:F529 &lt;&gt; H528:H529, F528:F529 &lt;&gt; """"))"),9000.0)</f>
        <v>9000</v>
      </c>
      <c r="K528" s="84">
        <v>9500.0</v>
      </c>
      <c r="L528" s="65">
        <f>IFERROR(VLOOKUP("iPhone 11 Pro Замена дисплея (оригинал)", 'РЕМОНТ_ЯБЛОК'!C:D, 2, 0), "Ошибка")</f>
        <v>9000</v>
      </c>
      <c r="M528" s="60"/>
      <c r="N528" s="29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idden="1">
      <c r="A529" s="2"/>
      <c r="B529" s="57" t="s">
        <v>185</v>
      </c>
      <c r="C529" s="11"/>
      <c r="D529" s="11">
        <v>90.0</v>
      </c>
      <c r="E529" s="12" t="s">
        <v>43</v>
      </c>
      <c r="F529" s="13">
        <f>'БД_УСЛУГИ_РО'!P432+'БД_ЗАПЧАСТИ'!P197</f>
        <v>9000</v>
      </c>
      <c r="G529" s="19"/>
      <c r="H529" s="101">
        <f>'БД_УСЛУГИ_РО'!P432</f>
        <v>2600</v>
      </c>
      <c r="I529" s="2"/>
      <c r="J529" s="87"/>
      <c r="K529" s="84">
        <v>9000.0</v>
      </c>
      <c r="L529" s="67"/>
      <c r="M529" s="60"/>
      <c r="N529" s="29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idden="1">
      <c r="A530" s="2"/>
      <c r="B530" s="57" t="s">
        <v>185</v>
      </c>
      <c r="C530" s="11"/>
      <c r="D530" s="11">
        <v>90.0</v>
      </c>
      <c r="E530" s="12" t="s">
        <v>46</v>
      </c>
      <c r="F530" s="13">
        <f>'БД_УСЛУГИ_РО'!P432</f>
        <v>2600</v>
      </c>
      <c r="G530" s="28"/>
      <c r="H530" s="101">
        <f>'БД_УСЛУГИ_РО'!P432</f>
        <v>2600</v>
      </c>
      <c r="I530" s="2"/>
      <c r="J530" s="83" t="str">
        <f>IF(F530=H530, "", F530)</f>
        <v/>
      </c>
      <c r="K530" s="84">
        <v>2600.0</v>
      </c>
      <c r="L530" s="61">
        <f>IFERROR(VLOOKUP("iPhone 11 Pro Замена дисплея (аналог)", 'РЕМОНТ_ЯБЛОК'!C:D, 2, 0), "Ошибка")</f>
        <v>6000</v>
      </c>
      <c r="M530" s="60"/>
      <c r="N530" s="29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idden="1">
      <c r="A531" s="2"/>
      <c r="B531" s="57" t="s">
        <v>185</v>
      </c>
      <c r="C531" s="11"/>
      <c r="D531" s="11">
        <v>90.0</v>
      </c>
      <c r="E531" s="12" t="s">
        <v>47</v>
      </c>
      <c r="F531" s="13">
        <f>'БД_УСЛУГИ_РО'!P433</f>
        <v>2000</v>
      </c>
      <c r="G531" s="29"/>
      <c r="H531" s="5"/>
      <c r="I531" s="2"/>
      <c r="J531" s="83"/>
      <c r="K531" s="84">
        <v>2000.0</v>
      </c>
      <c r="L531" s="61"/>
      <c r="M531" s="60"/>
      <c r="N531" s="29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idden="1">
      <c r="A532" s="2"/>
      <c r="B532" s="57" t="s">
        <v>185</v>
      </c>
      <c r="C532" s="11"/>
      <c r="D532" s="11">
        <v>90.0</v>
      </c>
      <c r="E532" s="12" t="s">
        <v>187</v>
      </c>
      <c r="F532" s="13">
        <f>'БД_УСЛУГИ_РО'!P434</f>
        <v>6000</v>
      </c>
      <c r="G532" s="33" t="str">
        <f>MIN(F532:F533) &amp; " - " &amp; MAX(F532:F533)</f>
        <v>6000 - 7000</v>
      </c>
      <c r="H532" s="5"/>
      <c r="I532" s="2"/>
      <c r="J532" s="85">
        <f>F532</f>
        <v>6000</v>
      </c>
      <c r="K532" s="84">
        <v>6000.0</v>
      </c>
      <c r="L532" s="61">
        <f>IFERROR(VLOOKUP("iPhone 11 Pro Переклейка (восстановление) вашего дисплея", 'РЕМОНТ_ЯБЛОК'!C:D, 2, 0), "Ошибка")</f>
        <v>6000</v>
      </c>
      <c r="M532" s="96"/>
      <c r="N532" s="29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idden="1">
      <c r="A533" s="2"/>
      <c r="B533" s="57" t="s">
        <v>185</v>
      </c>
      <c r="C533" s="11"/>
      <c r="D533" s="11">
        <v>90.0</v>
      </c>
      <c r="E533" s="12" t="s">
        <v>188</v>
      </c>
      <c r="F533" s="13">
        <f>'БД_УСЛУГИ_РО'!P435</f>
        <v>7000</v>
      </c>
      <c r="G533" s="28"/>
      <c r="H533" s="5"/>
      <c r="I533" s="2"/>
      <c r="J533" s="83"/>
      <c r="K533" s="84">
        <v>7000.0</v>
      </c>
      <c r="L533" s="61"/>
      <c r="M533" s="60"/>
      <c r="N533" s="29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idden="1">
      <c r="A534" s="2"/>
      <c r="B534" s="57" t="s">
        <v>185</v>
      </c>
      <c r="C534" s="11"/>
      <c r="D534" s="11">
        <v>90.0</v>
      </c>
      <c r="E534" s="12" t="s">
        <v>189</v>
      </c>
      <c r="F534" s="13">
        <f>'БД_УСЛУГИ_РО'!P436+'БД_ЗАПЧАСТИ'!P768</f>
        <v>7500</v>
      </c>
      <c r="G534" s="29"/>
      <c r="H534" s="101">
        <f>'БД_УСЛУГИ_РО'!P436</f>
        <v>3100</v>
      </c>
      <c r="I534" s="2"/>
      <c r="J534" s="85">
        <f>F534</f>
        <v>7500</v>
      </c>
      <c r="K534" s="84">
        <v>7500.0</v>
      </c>
      <c r="L534" s="61">
        <f>IFERROR(VLOOKUP("iPhone 11 Pro Замена основной камеры", 'РЕМОНТ_ЯБЛОК'!C:D, 2, 0), "Ошибка")</f>
        <v>7500</v>
      </c>
      <c r="M534" s="96"/>
      <c r="N534" s="29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idden="1">
      <c r="A535" s="2"/>
      <c r="B535" s="57" t="s">
        <v>185</v>
      </c>
      <c r="C535" s="11"/>
      <c r="D535" s="11">
        <v>90.0</v>
      </c>
      <c r="E535" s="12" t="s">
        <v>190</v>
      </c>
      <c r="F535" s="13">
        <f>'БД_УСЛУГИ_РО'!P437+'БД_ЗАПЧАСТИ'!P810</f>
        <v>5900</v>
      </c>
      <c r="G535" s="29"/>
      <c r="H535" s="101">
        <f>'БД_УСЛУГИ_РО'!P437</f>
        <v>3700</v>
      </c>
      <c r="I535" s="2"/>
      <c r="J535" s="83"/>
      <c r="K535" s="84">
        <v>5900.0</v>
      </c>
      <c r="L535" s="61"/>
      <c r="M535" s="60"/>
      <c r="N535" s="29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idden="1">
      <c r="A536" s="2"/>
      <c r="B536" s="57" t="s">
        <v>185</v>
      </c>
      <c r="C536" s="11"/>
      <c r="D536" s="11">
        <v>180.0</v>
      </c>
      <c r="E536" s="12" t="s">
        <v>52</v>
      </c>
      <c r="F536" s="13">
        <f>'БД_УСЛУГИ_РО'!P438+'БД_ЗАПЧАСТИ'!P551</f>
        <v>2500</v>
      </c>
      <c r="G536" s="29"/>
      <c r="H536" s="101">
        <f>'БД_УСЛУГИ_РО'!P438</f>
        <v>2200</v>
      </c>
      <c r="I536" s="2"/>
      <c r="J536" s="85">
        <f t="shared" ref="J536:J539" si="41">F536</f>
        <v>2500</v>
      </c>
      <c r="K536" s="84">
        <v>2500.0</v>
      </c>
      <c r="L536" s="61">
        <f>IFERROR(VLOOKUP("iPhone 11 Pro Замена стекла камеры", 'РЕМОНТ_ЯБЛОК'!C:D, 2, 0), "Ошибка")</f>
        <v>2500</v>
      </c>
      <c r="M536" s="96"/>
      <c r="N536" s="29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idden="1">
      <c r="A537" s="2"/>
      <c r="B537" s="57" t="s">
        <v>185</v>
      </c>
      <c r="C537" s="11"/>
      <c r="D537" s="11">
        <v>90.0</v>
      </c>
      <c r="E537" s="12" t="s">
        <v>53</v>
      </c>
      <c r="F537" s="13">
        <f>'БД_УСЛУГИ_РО'!P439</f>
        <v>5000</v>
      </c>
      <c r="G537" s="29"/>
      <c r="H537" s="5"/>
      <c r="I537" s="2"/>
      <c r="J537" s="85">
        <f t="shared" si="41"/>
        <v>5000</v>
      </c>
      <c r="K537" s="84">
        <v>5000.0</v>
      </c>
      <c r="L537" s="61">
        <f>IFERROR(VLOOKUP("iPhone 11 Pro Ремонт (восстановление) Face id", 'РЕМОНТ_ЯБЛОК'!C:D, 2, 0), "Ошибка")</f>
        <v>8000</v>
      </c>
      <c r="M537" s="96"/>
      <c r="N537" s="29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idden="1">
      <c r="A538" s="2"/>
      <c r="B538" s="57" t="s">
        <v>185</v>
      </c>
      <c r="C538" s="11"/>
      <c r="D538" s="11">
        <v>180.0</v>
      </c>
      <c r="E538" s="12" t="s">
        <v>55</v>
      </c>
      <c r="F538" s="13">
        <f>'БД_УСЛУГИ_РО'!P440+'БД_ЗАПЧАСТИ'!P354</f>
        <v>6000</v>
      </c>
      <c r="G538" s="29"/>
      <c r="H538" s="101">
        <f>'БД_УСЛУГИ_РО'!P440</f>
        <v>4000</v>
      </c>
      <c r="I538" s="2"/>
      <c r="J538" s="85">
        <f t="shared" si="41"/>
        <v>6000</v>
      </c>
      <c r="K538" s="84">
        <v>6000.0</v>
      </c>
      <c r="L538" s="61">
        <f>IFERROR(VLOOKUP("iPhone 11 Pro Замена задней крышки", 'РЕМОНТ_ЯБЛОК'!C:D, 2, 0), "Ошибка")</f>
        <v>6000</v>
      </c>
      <c r="M538" s="96"/>
      <c r="N538" s="29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idden="1">
      <c r="A539" s="2"/>
      <c r="B539" s="57" t="s">
        <v>185</v>
      </c>
      <c r="C539" s="11"/>
      <c r="D539" s="11">
        <v>180.0</v>
      </c>
      <c r="E539" s="12" t="s">
        <v>56</v>
      </c>
      <c r="F539" s="13">
        <f>'БД_УСЛУГИ_РО'!P441</f>
        <v>3300</v>
      </c>
      <c r="G539" s="29"/>
      <c r="H539" s="101">
        <f>'БД_УСЛУГИ_РО'!P441</f>
        <v>3300</v>
      </c>
      <c r="I539" s="2"/>
      <c r="J539" s="85">
        <f t="shared" si="41"/>
        <v>3300</v>
      </c>
      <c r="K539" s="84">
        <v>3300.0</v>
      </c>
      <c r="L539" s="61">
        <f>IFERROR(VLOOKUP("iPhone 11 Pro Замена корпуса", 'РЕМОНТ_ЯБЛОК'!C:D, 2, 0), "Ошибка")</f>
        <v>8000</v>
      </c>
      <c r="M539" s="96"/>
      <c r="N539" s="29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idden="1">
      <c r="A540" s="2"/>
      <c r="B540" s="57" t="s">
        <v>185</v>
      </c>
      <c r="C540" s="11"/>
      <c r="D540" s="11">
        <v>90.0</v>
      </c>
      <c r="E540" s="12" t="s">
        <v>59</v>
      </c>
      <c r="F540" s="13">
        <f>'БД_УСЛУГИ_РО'!P442</f>
        <v>3000</v>
      </c>
      <c r="G540" s="29"/>
      <c r="H540" s="5"/>
      <c r="I540" s="2"/>
      <c r="J540" s="83"/>
      <c r="K540" s="84">
        <v>3000.0</v>
      </c>
      <c r="L540" s="61"/>
      <c r="M540" s="60"/>
      <c r="N540" s="29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idden="1">
      <c r="A541" s="2"/>
      <c r="B541" s="57" t="s">
        <v>185</v>
      </c>
      <c r="C541" s="11"/>
      <c r="D541" s="11">
        <v>90.0</v>
      </c>
      <c r="E541" s="12" t="s">
        <v>191</v>
      </c>
      <c r="F541" s="13">
        <f>'БД_УСЛУГИ_РО'!P443+'БД_ЗАПЧАСТИ'!P895</f>
        <v>4000</v>
      </c>
      <c r="G541" s="29"/>
      <c r="H541" s="101">
        <f>'БД_УСЛУГИ_РО'!P443</f>
        <v>3000</v>
      </c>
      <c r="I541" s="2"/>
      <c r="J541" s="85">
        <f t="shared" ref="J541:J542" si="42">F541</f>
        <v>4000</v>
      </c>
      <c r="K541" s="84">
        <v>4000.0</v>
      </c>
      <c r="L541" s="61">
        <f>IFERROR(VLOOKUP("iPhone 11 Pro Замена динамика", 'РЕМОНТ_ЯБЛОК'!C:D, 2, 0), "Ошибка")</f>
        <v>4000</v>
      </c>
      <c r="M541" s="96"/>
      <c r="N541" s="29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idden="1">
      <c r="A542" s="2"/>
      <c r="B542" s="57" t="s">
        <v>185</v>
      </c>
      <c r="C542" s="11"/>
      <c r="D542" s="11">
        <v>90.0</v>
      </c>
      <c r="E542" s="12" t="s">
        <v>192</v>
      </c>
      <c r="F542" s="13">
        <f>'БД_УСЛУГИ_РО'!P444+'БД_ЗАПЧАСТИ'!P854</f>
        <v>4000</v>
      </c>
      <c r="G542" s="29"/>
      <c r="H542" s="101">
        <f>'БД_УСЛУГИ_РО'!P444</f>
        <v>3000</v>
      </c>
      <c r="I542" s="2"/>
      <c r="J542" s="85">
        <f t="shared" si="42"/>
        <v>4000</v>
      </c>
      <c r="K542" s="84">
        <v>4000.0</v>
      </c>
      <c r="L542" s="61">
        <f>IFERROR(VLOOKUP("iPhone 11 Pro Замена динамика", 'РЕМОНТ_ЯБЛОК'!C:D, 2, 0), "Ошибка")</f>
        <v>4000</v>
      </c>
      <c r="M542" s="96"/>
      <c r="N542" s="29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idden="1">
      <c r="A543" s="2"/>
      <c r="B543" s="57" t="s">
        <v>185</v>
      </c>
      <c r="C543" s="11"/>
      <c r="D543" s="11">
        <v>90.0</v>
      </c>
      <c r="E543" s="32" t="s">
        <v>62</v>
      </c>
      <c r="F543" s="13">
        <f>'БД_УСЛУГИ_РО'!P445+'БД_ЗАПЧАСТИ'!P631</f>
        <v>5250</v>
      </c>
      <c r="G543" s="29"/>
      <c r="H543" s="101">
        <f>'БД_УСЛУГИ_РО'!P445</f>
        <v>3600</v>
      </c>
      <c r="I543" s="2"/>
      <c r="J543" s="83"/>
      <c r="K543" s="84">
        <v>5250.0</v>
      </c>
      <c r="L543" s="61"/>
      <c r="M543" s="60"/>
      <c r="N543" s="29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idden="1">
      <c r="A544" s="2"/>
      <c r="B544" s="57" t="s">
        <v>185</v>
      </c>
      <c r="C544" s="11"/>
      <c r="D544" s="11">
        <v>90.0</v>
      </c>
      <c r="E544" s="12" t="s">
        <v>63</v>
      </c>
      <c r="F544" s="13">
        <f>'БД_УСЛУГИ_РО'!P446</f>
        <v>3000</v>
      </c>
      <c r="G544" s="29"/>
      <c r="H544" s="5"/>
      <c r="I544" s="2"/>
      <c r="J544" s="92"/>
      <c r="K544" s="93">
        <v>3000.0</v>
      </c>
      <c r="L544" s="65"/>
      <c r="M544" s="94"/>
      <c r="N544" s="33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idden="1">
      <c r="A545" s="2"/>
      <c r="B545" s="57" t="s">
        <v>185</v>
      </c>
      <c r="C545" s="11"/>
      <c r="D545" s="11">
        <v>90.0</v>
      </c>
      <c r="E545" s="12" t="s">
        <v>64</v>
      </c>
      <c r="F545" s="13">
        <f>'БД_УСЛУГИ_РО'!P448</f>
        <v>3500</v>
      </c>
      <c r="G545" s="29"/>
      <c r="H545" s="5"/>
      <c r="I545" s="2"/>
      <c r="J545" s="92"/>
      <c r="K545" s="93">
        <v>3500.0</v>
      </c>
      <c r="L545" s="65"/>
      <c r="M545" s="94"/>
      <c r="N545" s="33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idden="1">
      <c r="A546" s="2"/>
      <c r="B546" s="57" t="s">
        <v>185</v>
      </c>
      <c r="C546" s="11"/>
      <c r="D546" s="11">
        <v>90.0</v>
      </c>
      <c r="E546" s="12" t="s">
        <v>65</v>
      </c>
      <c r="F546" s="13">
        <f>'БД_УСЛУГИ_РО'!P447+'БД_УСЛУГИ_РО'!P449</f>
        <v>9500</v>
      </c>
      <c r="G546" s="29"/>
      <c r="H546" s="5"/>
      <c r="I546" s="2"/>
      <c r="J546" s="92"/>
      <c r="K546" s="93">
        <v>9500.0</v>
      </c>
      <c r="L546" s="65"/>
      <c r="M546" s="94"/>
      <c r="N546" s="33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idden="1">
      <c r="A547" s="2"/>
      <c r="B547" s="69" t="s">
        <v>185</v>
      </c>
      <c r="C547" s="36"/>
      <c r="D547" s="36">
        <v>90.0</v>
      </c>
      <c r="E547" s="70" t="s">
        <v>66</v>
      </c>
      <c r="F547" s="38">
        <f>'БД_УСЛУГИ_РО'!P447+'БД_УСЛУГИ_РО'!P450</f>
        <v>10000</v>
      </c>
      <c r="G547" s="39"/>
      <c r="H547" s="5"/>
      <c r="I547" s="2"/>
      <c r="J547" s="91"/>
      <c r="K547" s="89">
        <v>10000.0</v>
      </c>
      <c r="L547" s="73"/>
      <c r="M547" s="74"/>
      <c r="N547" s="39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idden="1">
      <c r="A548" s="2"/>
      <c r="B548" s="1"/>
      <c r="C548" s="1"/>
      <c r="D548" s="95"/>
      <c r="E548" s="30"/>
      <c r="F548" s="80"/>
      <c r="G548" s="76"/>
      <c r="H548" s="5"/>
      <c r="I548" s="2"/>
      <c r="J548" s="90"/>
      <c r="K548" s="2" t="s">
        <v>22</v>
      </c>
      <c r="L548" s="2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idden="1">
      <c r="A549" s="2"/>
      <c r="B549" s="41" t="s">
        <v>193</v>
      </c>
      <c r="C549" s="42"/>
      <c r="D549" s="42">
        <v>0.0</v>
      </c>
      <c r="E549" s="51" t="s">
        <v>24</v>
      </c>
      <c r="F549" s="44">
        <f>'БД_УСЛУГИ_РО'!P451</f>
        <v>1</v>
      </c>
      <c r="G549" s="78"/>
      <c r="H549" s="5"/>
      <c r="I549" s="2"/>
      <c r="J549" s="81"/>
      <c r="K549" s="82">
        <v>1.0</v>
      </c>
      <c r="L549" s="55"/>
      <c r="M549" s="56"/>
      <c r="N549" s="5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idden="1">
      <c r="A550" s="2"/>
      <c r="B550" s="57" t="s">
        <v>193</v>
      </c>
      <c r="C550" s="11"/>
      <c r="D550" s="11">
        <v>0.0</v>
      </c>
      <c r="E550" s="12" t="s">
        <v>26</v>
      </c>
      <c r="F550" s="13">
        <f>'БД_УСЛУГИ_РО'!P452+'БД_УСЛУГИ_РО'!P453</f>
        <v>1300</v>
      </c>
      <c r="G550" s="29"/>
      <c r="H550" s="5"/>
      <c r="I550" s="2"/>
      <c r="J550" s="83"/>
      <c r="K550" s="84">
        <v>1300.0</v>
      </c>
      <c r="L550" s="61"/>
      <c r="M550" s="60"/>
      <c r="N550" s="29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idden="1">
      <c r="A551" s="2"/>
      <c r="B551" s="57" t="s">
        <v>193</v>
      </c>
      <c r="C551" s="11"/>
      <c r="D551" s="11">
        <v>0.0</v>
      </c>
      <c r="E551" s="32" t="s">
        <v>27</v>
      </c>
      <c r="F551" s="13">
        <f>'БД_УСЛУГИ_РО'!P454</f>
        <v>400</v>
      </c>
      <c r="G551" s="33" t="str">
        <f>MIN(F551:F552) &amp; " - " &amp; MAX(F551:F552)</f>
        <v>400 - 2500</v>
      </c>
      <c r="H551" s="5"/>
      <c r="I551" s="2"/>
      <c r="J551" s="83"/>
      <c r="K551" s="84">
        <v>400.0</v>
      </c>
      <c r="L551" s="61"/>
      <c r="M551" s="60"/>
      <c r="N551" s="29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idden="1">
      <c r="A552" s="2"/>
      <c r="B552" s="57" t="s">
        <v>193</v>
      </c>
      <c r="C552" s="11"/>
      <c r="D552" s="11">
        <v>0.0</v>
      </c>
      <c r="E552" s="32" t="s">
        <v>28</v>
      </c>
      <c r="F552" s="13">
        <f>'БД_УСЛУГИ_РО'!P455</f>
        <v>2500</v>
      </c>
      <c r="G552" s="28"/>
      <c r="H552" s="5"/>
      <c r="I552" s="2"/>
      <c r="J552" s="83"/>
      <c r="K552" s="84">
        <v>2500.0</v>
      </c>
      <c r="L552" s="61"/>
      <c r="M552" s="60"/>
      <c r="N552" s="29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idden="1">
      <c r="A553" s="2"/>
      <c r="B553" s="57" t="s">
        <v>193</v>
      </c>
      <c r="C553" s="11"/>
      <c r="D553" s="11">
        <v>180.0</v>
      </c>
      <c r="E553" s="12" t="s">
        <v>34</v>
      </c>
      <c r="F553" s="13">
        <f>'БД_УСЛУГИ_РО'!P456+'БД_ЗАПЧАСТИ'!P29</f>
        <v>4000</v>
      </c>
      <c r="G553" s="33" t="str">
        <f>MIN(F553:F554) &amp; " - " &amp; MAX(F553:F554)</f>
        <v>4000 - 6200</v>
      </c>
      <c r="H553" s="101">
        <f>'БД_УСЛУГИ_РО'!P456</f>
        <v>2600</v>
      </c>
      <c r="I553" s="2"/>
      <c r="J553" s="85">
        <f>F553</f>
        <v>4000</v>
      </c>
      <c r="K553" s="84">
        <v>4000.0</v>
      </c>
      <c r="L553" s="61" t="str">
        <f>IFERROR(VLOOKUP("iPhone 11 Pro Max Замена аккумулятора (3969 mAh) Standard", 'РЕМОНТ_ЯБЛОК'!C:D, 2, 0), "Ошибка") &amp; " | " &amp; IFERROR(VLOOKUP("iPhone 11 Pro Max Замена аккумулятора 4500mAh) 3.81V HC (повышенная емкость)", 'РЕМОНТ_ЯБЛОК'!C:D, 2, 0), "Ошибка")</f>
        <v>4000 | 4500</v>
      </c>
      <c r="M553" s="60"/>
      <c r="N553" s="29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idden="1">
      <c r="A554" s="2"/>
      <c r="B554" s="57" t="s">
        <v>193</v>
      </c>
      <c r="C554" s="11"/>
      <c r="D554" s="11">
        <v>180.0</v>
      </c>
      <c r="E554" s="12" t="s">
        <v>35</v>
      </c>
      <c r="F554" s="13">
        <f>'БД_УСЛУГИ_РО'!P456+'БД_УСЛУГИ_РО'!P457+'БД_ЗАПЧАСТИ'!P29</f>
        <v>6200</v>
      </c>
      <c r="G554" s="28"/>
      <c r="H554" s="101">
        <f>'БД_УСЛУГИ_РО'!P456+'БД_УСЛУГИ_РО'!P457</f>
        <v>4800</v>
      </c>
      <c r="I554" s="2"/>
      <c r="J554" s="83"/>
      <c r="K554" s="84">
        <v>6200.0</v>
      </c>
      <c r="L554" s="61"/>
      <c r="M554" s="60"/>
      <c r="N554" s="29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idden="1">
      <c r="A555" s="2"/>
      <c r="B555" s="57" t="s">
        <v>193</v>
      </c>
      <c r="C555" s="11"/>
      <c r="D555" s="11">
        <v>90.0</v>
      </c>
      <c r="E555" s="12" t="s">
        <v>194</v>
      </c>
      <c r="F555" s="13">
        <f>'БД_УСЛУГИ_РО'!P458+'БД_ЗАПЧАСТИ'!P635</f>
        <v>5550</v>
      </c>
      <c r="G555" s="29"/>
      <c r="H555" s="101">
        <f>'БД_УСЛУГИ_РО'!P458</f>
        <v>3200</v>
      </c>
      <c r="I555" s="2"/>
      <c r="J555" s="85">
        <f>F555</f>
        <v>5550</v>
      </c>
      <c r="K555" s="84">
        <v>5550.0</v>
      </c>
      <c r="L555" s="61">
        <f>IFERROR(VLOOKUP("iPhone 11 Pro Max Замена разъема питания", 'РЕМОНТ_ЯБЛОК'!C:D, 2, 0), "Ошибка")</f>
        <v>4500</v>
      </c>
      <c r="M555" s="96"/>
      <c r="N555" s="29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idden="1">
      <c r="A556" s="2"/>
      <c r="B556" s="57" t="s">
        <v>193</v>
      </c>
      <c r="C556" s="11"/>
      <c r="D556" s="11">
        <v>90.0</v>
      </c>
      <c r="E556" s="12" t="s">
        <v>40</v>
      </c>
      <c r="F556" s="13">
        <f>'БД_УСЛУГИ_РО'!P459+'БД_ЗАПЧАСТИ'!P198</f>
        <v>10350</v>
      </c>
      <c r="G556" s="33" t="str">
        <f>IFERROR(__xludf.DUMMYFUNCTION("MIN(FILTER(F556:F558, F556:F558 &lt;&gt; H556:H558)) &amp; "" - "" &amp; MAX(FILTER(F556:F558, F556:F558 &lt;&gt; H556:H558))"),"9700 - 10350")</f>
        <v>9700 - 10350</v>
      </c>
      <c r="H556" s="101">
        <f>'БД_УСЛУГИ_РО'!P459</f>
        <v>2600</v>
      </c>
      <c r="I556" s="2"/>
      <c r="J556" s="86">
        <f>IFERROR(__xludf.DUMMYFUNCTION("MIN(FILTER(F556:F557, F556:F557 &lt;&gt; H556:H557, F556:F557 &lt;&gt; """"))"),9700.0)</f>
        <v>9700</v>
      </c>
      <c r="K556" s="84">
        <v>10350.0</v>
      </c>
      <c r="L556" s="65">
        <f>IFERROR(VLOOKUP("iPhone 11 Pro Max Замена дисплея (оригинал)", 'РЕМОНТ_ЯБЛОК'!C:D, 2, 0), "Ошибка")</f>
        <v>9500</v>
      </c>
      <c r="M556" s="60"/>
      <c r="N556" s="29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idden="1">
      <c r="A557" s="2"/>
      <c r="B557" s="57" t="s">
        <v>193</v>
      </c>
      <c r="C557" s="11"/>
      <c r="D557" s="11">
        <v>90.0</v>
      </c>
      <c r="E557" s="12" t="s">
        <v>43</v>
      </c>
      <c r="F557" s="13">
        <f>'БД_УСЛУГИ_РО'!P459+'БД_ЗАПЧАСТИ'!P199</f>
        <v>9700</v>
      </c>
      <c r="G557" s="19"/>
      <c r="H557" s="101">
        <f>'БД_УСЛУГИ_РО'!P459</f>
        <v>2600</v>
      </c>
      <c r="I557" s="2"/>
      <c r="J557" s="87"/>
      <c r="K557" s="84">
        <v>9700.0</v>
      </c>
      <c r="L557" s="67"/>
      <c r="M557" s="60"/>
      <c r="N557" s="29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idden="1">
      <c r="A558" s="2"/>
      <c r="B558" s="57" t="s">
        <v>193</v>
      </c>
      <c r="C558" s="11"/>
      <c r="D558" s="11">
        <v>90.0</v>
      </c>
      <c r="E558" s="12" t="s">
        <v>46</v>
      </c>
      <c r="F558" s="13">
        <f>'БД_УСЛУГИ_РО'!P459</f>
        <v>2600</v>
      </c>
      <c r="G558" s="28"/>
      <c r="H558" s="101">
        <f>'БД_УСЛУГИ_РО'!P459</f>
        <v>2600</v>
      </c>
      <c r="I558" s="2"/>
      <c r="J558" s="83" t="str">
        <f>IF(F558=H558, "", F558)</f>
        <v/>
      </c>
      <c r="K558" s="84">
        <v>2600.0</v>
      </c>
      <c r="L558" s="61">
        <f>IFERROR(VLOOKUP("iPhone 11 Pro Max Замена дисплея (аналог)", 'РЕМОНТ_ЯБЛОК'!C:D, 2, 0), "Ошибка")</f>
        <v>6500</v>
      </c>
      <c r="M558" s="60"/>
      <c r="N558" s="29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idden="1">
      <c r="A559" s="2"/>
      <c r="B559" s="57" t="s">
        <v>193</v>
      </c>
      <c r="C559" s="11"/>
      <c r="D559" s="11">
        <v>90.0</v>
      </c>
      <c r="E559" s="12" t="s">
        <v>47</v>
      </c>
      <c r="F559" s="13">
        <f>'БД_УСЛУГИ_РО'!P460</f>
        <v>2000</v>
      </c>
      <c r="G559" s="29"/>
      <c r="H559" s="5"/>
      <c r="I559" s="2"/>
      <c r="J559" s="83"/>
      <c r="K559" s="84">
        <v>2000.0</v>
      </c>
      <c r="L559" s="61"/>
      <c r="M559" s="60"/>
      <c r="N559" s="29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idden="1">
      <c r="A560" s="2"/>
      <c r="B560" s="57" t="s">
        <v>193</v>
      </c>
      <c r="C560" s="11"/>
      <c r="D560" s="11">
        <v>90.0</v>
      </c>
      <c r="E560" s="12" t="s">
        <v>195</v>
      </c>
      <c r="F560" s="13">
        <f>'БД_УСЛУГИ_РО'!P461</f>
        <v>6500</v>
      </c>
      <c r="G560" s="33" t="str">
        <f>MIN(F560:F561) &amp; " - " &amp; MAX(F560:F561)</f>
        <v>6500 - 7500</v>
      </c>
      <c r="H560" s="5"/>
      <c r="I560" s="2"/>
      <c r="J560" s="85">
        <f>F560</f>
        <v>6500</v>
      </c>
      <c r="K560" s="84">
        <v>6500.0</v>
      </c>
      <c r="L560" s="61">
        <f>IFERROR(VLOOKUP("iPhone 11 Pro Max Переклейка (восстановление) вашего дисплея", 'РЕМОНТ_ЯБЛОК'!C:D, 2, 0), "Ошибка")</f>
        <v>6500</v>
      </c>
      <c r="M560" s="96"/>
      <c r="N560" s="29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idden="1">
      <c r="A561" s="2"/>
      <c r="B561" s="57" t="s">
        <v>193</v>
      </c>
      <c r="C561" s="11"/>
      <c r="D561" s="11">
        <v>90.0</v>
      </c>
      <c r="E561" s="12" t="s">
        <v>196</v>
      </c>
      <c r="F561" s="13">
        <f>'БД_УСЛУГИ_РО'!P462</f>
        <v>7500</v>
      </c>
      <c r="G561" s="28"/>
      <c r="H561" s="5"/>
      <c r="I561" s="2"/>
      <c r="J561" s="83"/>
      <c r="K561" s="84">
        <v>7500.0</v>
      </c>
      <c r="L561" s="61"/>
      <c r="M561" s="60"/>
      <c r="N561" s="29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idden="1">
      <c r="A562" s="2"/>
      <c r="B562" s="57" t="s">
        <v>193</v>
      </c>
      <c r="C562" s="11"/>
      <c r="D562" s="11">
        <v>90.0</v>
      </c>
      <c r="E562" s="12" t="s">
        <v>197</v>
      </c>
      <c r="F562" s="13">
        <f>'БД_УСЛУГИ_РО'!P463+'БД_ЗАПЧАСТИ'!P768</f>
        <v>7500</v>
      </c>
      <c r="G562" s="29"/>
      <c r="H562" s="101">
        <f>'БД_УСЛУГИ_РО'!P463</f>
        <v>3100</v>
      </c>
      <c r="I562" s="2"/>
      <c r="J562" s="85">
        <f>F562</f>
        <v>7500</v>
      </c>
      <c r="K562" s="84">
        <v>7500.0</v>
      </c>
      <c r="L562" s="61">
        <f>IFERROR(VLOOKUP("iPhone 11 Pro Max Замена основной камеры", 'РЕМОНТ_ЯБЛОК'!C:D, 2, 0), "Ошибка")</f>
        <v>7500</v>
      </c>
      <c r="M562" s="96"/>
      <c r="N562" s="29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idden="1">
      <c r="A563" s="2"/>
      <c r="B563" s="57" t="s">
        <v>193</v>
      </c>
      <c r="C563" s="11"/>
      <c r="D563" s="11">
        <v>90.0</v>
      </c>
      <c r="E563" s="12" t="s">
        <v>198</v>
      </c>
      <c r="F563" s="13">
        <f>'БД_УСЛУГИ_РО'!P464+'БД_ЗАПЧАСТИ'!P811</f>
        <v>5900</v>
      </c>
      <c r="G563" s="29"/>
      <c r="H563" s="101">
        <f>'БД_УСЛУГИ_РО'!P464</f>
        <v>3700</v>
      </c>
      <c r="I563" s="2"/>
      <c r="J563" s="83"/>
      <c r="K563" s="84">
        <v>5900.0</v>
      </c>
      <c r="L563" s="61"/>
      <c r="M563" s="60"/>
      <c r="N563" s="29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idden="1">
      <c r="A564" s="2"/>
      <c r="B564" s="57" t="s">
        <v>193</v>
      </c>
      <c r="C564" s="11"/>
      <c r="D564" s="11">
        <v>180.0</v>
      </c>
      <c r="E564" s="12" t="s">
        <v>52</v>
      </c>
      <c r="F564" s="13">
        <f>'БД_УСЛУГИ_РО'!P465+'БД_ЗАПЧАСТИ'!P551</f>
        <v>2500</v>
      </c>
      <c r="G564" s="29"/>
      <c r="H564" s="101">
        <f>'БД_УСЛУГИ_РО'!P465</f>
        <v>2200</v>
      </c>
      <c r="I564" s="2"/>
      <c r="J564" s="85">
        <f t="shared" ref="J564:J567" si="43">F564</f>
        <v>2500</v>
      </c>
      <c r="K564" s="84">
        <v>2500.0</v>
      </c>
      <c r="L564" s="61">
        <f>IFERROR(VLOOKUP("iPhone 11 Pro Max Замена стекла камеры", 'РЕМОНТ_ЯБЛОК'!C:D, 2, 0), "Ошибка")</f>
        <v>2500</v>
      </c>
      <c r="M564" s="96"/>
      <c r="N564" s="29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idden="1">
      <c r="A565" s="2"/>
      <c r="B565" s="57" t="s">
        <v>193</v>
      </c>
      <c r="C565" s="11"/>
      <c r="D565" s="11">
        <v>90.0</v>
      </c>
      <c r="E565" s="12" t="s">
        <v>53</v>
      </c>
      <c r="F565" s="13">
        <f>'БД_УСЛУГИ_РО'!P466</f>
        <v>5000</v>
      </c>
      <c r="G565" s="29"/>
      <c r="H565" s="5"/>
      <c r="I565" s="2"/>
      <c r="J565" s="85">
        <f t="shared" si="43"/>
        <v>5000</v>
      </c>
      <c r="K565" s="84">
        <v>5000.0</v>
      </c>
      <c r="L565" s="61">
        <f>IFERROR(VLOOKUP("iPhone 11 Pro Max Ремонт (восстановление) Face id", 'РЕМОНТ_ЯБЛОК'!C:D, 2, 0), "Ошибка")</f>
        <v>8500</v>
      </c>
      <c r="M565" s="96"/>
      <c r="N565" s="29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idden="1">
      <c r="A566" s="2"/>
      <c r="B566" s="57" t="s">
        <v>193</v>
      </c>
      <c r="C566" s="11"/>
      <c r="D566" s="11">
        <v>180.0</v>
      </c>
      <c r="E566" s="12" t="s">
        <v>55</v>
      </c>
      <c r="F566" s="13">
        <f>'БД_УСЛУГИ_РО'!P467+'БД_ЗАПЧАСТИ'!P358</f>
        <v>6000</v>
      </c>
      <c r="G566" s="29"/>
      <c r="H566" s="101">
        <f>'БД_УСЛУГИ_РО'!P467</f>
        <v>4000</v>
      </c>
      <c r="I566" s="2"/>
      <c r="J566" s="85">
        <f t="shared" si="43"/>
        <v>6000</v>
      </c>
      <c r="K566" s="84">
        <v>6000.0</v>
      </c>
      <c r="L566" s="61">
        <f>IFERROR(VLOOKUP("iPhone 11 Pro Max Замена задней крышки", 'РЕМОНТ_ЯБЛОК'!C:D, 2, 0), "Ошибка")</f>
        <v>6000</v>
      </c>
      <c r="M566" s="96"/>
      <c r="N566" s="29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idden="1">
      <c r="A567" s="2"/>
      <c r="B567" s="57" t="s">
        <v>193</v>
      </c>
      <c r="C567" s="11"/>
      <c r="D567" s="11">
        <v>180.0</v>
      </c>
      <c r="E567" s="12" t="s">
        <v>56</v>
      </c>
      <c r="F567" s="13">
        <f>'БД_УСЛУГИ_РО'!P468</f>
        <v>3300</v>
      </c>
      <c r="G567" s="29"/>
      <c r="H567" s="101">
        <f>'БД_УСЛУГИ_РО'!P468</f>
        <v>3300</v>
      </c>
      <c r="I567" s="2"/>
      <c r="J567" s="85">
        <f t="shared" si="43"/>
        <v>3300</v>
      </c>
      <c r="K567" s="84">
        <v>3300.0</v>
      </c>
      <c r="L567" s="61">
        <f>IFERROR(VLOOKUP("iPhone 11 Pro Max Замена корпуса", 'РЕМОНТ_ЯБЛОК'!C:D, 2, 0), "Ошибка")</f>
        <v>7000</v>
      </c>
      <c r="M567" s="96"/>
      <c r="N567" s="29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idden="1">
      <c r="A568" s="2"/>
      <c r="B568" s="57" t="s">
        <v>193</v>
      </c>
      <c r="C568" s="11"/>
      <c r="D568" s="11">
        <v>90.0</v>
      </c>
      <c r="E568" s="12" t="s">
        <v>59</v>
      </c>
      <c r="F568" s="13">
        <f>'БД_УСЛУГИ_РО'!P469</f>
        <v>3000</v>
      </c>
      <c r="G568" s="29"/>
      <c r="H568" s="5"/>
      <c r="I568" s="2"/>
      <c r="J568" s="83"/>
      <c r="K568" s="84">
        <v>3000.0</v>
      </c>
      <c r="L568" s="61"/>
      <c r="M568" s="60"/>
      <c r="N568" s="29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idden="1">
      <c r="A569" s="2"/>
      <c r="B569" s="57" t="s">
        <v>193</v>
      </c>
      <c r="C569" s="11"/>
      <c r="D569" s="11">
        <v>90.0</v>
      </c>
      <c r="E569" s="12" t="s">
        <v>199</v>
      </c>
      <c r="F569" s="13">
        <f>'БД_УСЛУГИ_РО'!P470+'БД_ЗАПЧАСТИ'!P896</f>
        <v>4500</v>
      </c>
      <c r="G569" s="29"/>
      <c r="H569" s="101">
        <f>'БД_УСЛУГИ_РО'!P470</f>
        <v>3000</v>
      </c>
      <c r="I569" s="2"/>
      <c r="J569" s="85">
        <f t="shared" ref="J569:J570" si="44">F569</f>
        <v>4500</v>
      </c>
      <c r="K569" s="84">
        <v>4500.0</v>
      </c>
      <c r="L569" s="61">
        <f>IFERROR(VLOOKUP("iPhone 11 Pro Max Замена динамика", 'РЕМОНТ_ЯБЛОК'!C:D, 2, 0), "Ошибка")</f>
        <v>4500</v>
      </c>
      <c r="M569" s="96"/>
      <c r="N569" s="29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idden="1">
      <c r="A570" s="2"/>
      <c r="B570" s="57" t="s">
        <v>193</v>
      </c>
      <c r="C570" s="11"/>
      <c r="D570" s="11">
        <v>90.0</v>
      </c>
      <c r="E570" s="12" t="s">
        <v>200</v>
      </c>
      <c r="F570" s="13">
        <f>'БД_УСЛУГИ_РО'!P471+'БД_ЗАПЧАСТИ'!P855</f>
        <v>4500</v>
      </c>
      <c r="G570" s="29"/>
      <c r="H570" s="101">
        <f>'БД_УСЛУГИ_РО'!P471</f>
        <v>3000</v>
      </c>
      <c r="I570" s="2"/>
      <c r="J570" s="85">
        <f t="shared" si="44"/>
        <v>4500</v>
      </c>
      <c r="K570" s="84">
        <v>4500.0</v>
      </c>
      <c r="L570" s="61">
        <f>IFERROR(VLOOKUP("iPhone 11 Pro Max Замена динамика", 'РЕМОНТ_ЯБЛОК'!C:D, 2, 0), "Ошибка")</f>
        <v>4500</v>
      </c>
      <c r="M570" s="96"/>
      <c r="N570" s="29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idden="1">
      <c r="A571" s="2"/>
      <c r="B571" s="57" t="s">
        <v>193</v>
      </c>
      <c r="C571" s="11"/>
      <c r="D571" s="11">
        <v>90.0</v>
      </c>
      <c r="E571" s="32" t="s">
        <v>62</v>
      </c>
      <c r="F571" s="13">
        <f>'БД_УСЛУГИ_РО'!P472+'БД_ЗАПЧАСТИ'!P635</f>
        <v>5950</v>
      </c>
      <c r="G571" s="29"/>
      <c r="H571" s="101">
        <f>'БД_УСЛУГИ_РО'!P472</f>
        <v>3600</v>
      </c>
      <c r="I571" s="2"/>
      <c r="J571" s="83"/>
      <c r="K571" s="84">
        <v>5950.0</v>
      </c>
      <c r="L571" s="61"/>
      <c r="M571" s="60"/>
      <c r="N571" s="29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idden="1">
      <c r="A572" s="2"/>
      <c r="B572" s="57" t="s">
        <v>193</v>
      </c>
      <c r="C572" s="11"/>
      <c r="D572" s="11">
        <v>90.0</v>
      </c>
      <c r="E572" s="12" t="s">
        <v>63</v>
      </c>
      <c r="F572" s="13">
        <f>'БД_УСЛУГИ_РО'!P473</f>
        <v>3000</v>
      </c>
      <c r="G572" s="29"/>
      <c r="H572" s="5"/>
      <c r="I572" s="2"/>
      <c r="J572" s="92"/>
      <c r="K572" s="93">
        <v>3000.0</v>
      </c>
      <c r="L572" s="65"/>
      <c r="M572" s="94"/>
      <c r="N572" s="33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idden="1">
      <c r="A573" s="2"/>
      <c r="B573" s="57" t="s">
        <v>193</v>
      </c>
      <c r="C573" s="11"/>
      <c r="D573" s="11">
        <v>90.0</v>
      </c>
      <c r="E573" s="12" t="s">
        <v>64</v>
      </c>
      <c r="F573" s="13">
        <f>'БД_УСЛУГИ_РО'!P475</f>
        <v>3500</v>
      </c>
      <c r="G573" s="29"/>
      <c r="H573" s="5"/>
      <c r="I573" s="2"/>
      <c r="J573" s="92"/>
      <c r="K573" s="93">
        <v>3500.0</v>
      </c>
      <c r="L573" s="65"/>
      <c r="M573" s="94"/>
      <c r="N573" s="33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idden="1">
      <c r="A574" s="2"/>
      <c r="B574" s="57" t="s">
        <v>193</v>
      </c>
      <c r="C574" s="11"/>
      <c r="D574" s="11">
        <v>90.0</v>
      </c>
      <c r="E574" s="12" t="s">
        <v>65</v>
      </c>
      <c r="F574" s="13">
        <f>'БД_УСЛУГИ_РО'!P474+'БД_УСЛУГИ_РО'!P476</f>
        <v>9500</v>
      </c>
      <c r="G574" s="29"/>
      <c r="H574" s="5"/>
      <c r="I574" s="2"/>
      <c r="J574" s="92"/>
      <c r="K574" s="93">
        <v>9500.0</v>
      </c>
      <c r="L574" s="65"/>
      <c r="M574" s="94"/>
      <c r="N574" s="33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idden="1">
      <c r="A575" s="2"/>
      <c r="B575" s="69" t="s">
        <v>193</v>
      </c>
      <c r="C575" s="36"/>
      <c r="D575" s="36">
        <v>90.0</v>
      </c>
      <c r="E575" s="70" t="s">
        <v>66</v>
      </c>
      <c r="F575" s="38">
        <f>'БД_УСЛУГИ_РО'!P474+'БД_УСЛУГИ_РО'!P477</f>
        <v>10000</v>
      </c>
      <c r="G575" s="39"/>
      <c r="H575" s="5"/>
      <c r="I575" s="2"/>
      <c r="J575" s="91"/>
      <c r="K575" s="89">
        <v>10000.0</v>
      </c>
      <c r="L575" s="73"/>
      <c r="M575" s="74"/>
      <c r="N575" s="39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idden="1">
      <c r="A576" s="2"/>
      <c r="B576" s="1"/>
      <c r="C576" s="1"/>
      <c r="D576" s="95"/>
      <c r="E576" s="30"/>
      <c r="F576" s="80"/>
      <c r="G576" s="76"/>
      <c r="H576" s="5"/>
      <c r="I576" s="2"/>
      <c r="J576" s="2"/>
      <c r="K576" s="2" t="s">
        <v>22</v>
      </c>
      <c r="L576" s="2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idden="1">
      <c r="A577" s="2"/>
      <c r="B577" s="41" t="s">
        <v>201</v>
      </c>
      <c r="C577" s="42"/>
      <c r="D577" s="42">
        <v>0.0</v>
      </c>
      <c r="E577" s="51" t="s">
        <v>24</v>
      </c>
      <c r="F577" s="44">
        <f>'БД_УСЛУГИ_РО'!P478</f>
        <v>1</v>
      </c>
      <c r="G577" s="78"/>
      <c r="H577" s="5"/>
      <c r="I577" s="2"/>
      <c r="J577" s="81"/>
      <c r="K577" s="82">
        <v>1.0</v>
      </c>
      <c r="L577" s="55"/>
      <c r="M577" s="56"/>
      <c r="N577" s="5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idden="1">
      <c r="A578" s="2"/>
      <c r="B578" s="57" t="s">
        <v>201</v>
      </c>
      <c r="C578" s="11"/>
      <c r="D578" s="11">
        <v>0.0</v>
      </c>
      <c r="E578" s="12" t="s">
        <v>26</v>
      </c>
      <c r="F578" s="13">
        <f>'БД_УСЛУГИ_РО'!P479+'БД_УСЛУГИ_РО'!P480</f>
        <v>1300</v>
      </c>
      <c r="G578" s="29"/>
      <c r="H578" s="5"/>
      <c r="I578" s="2"/>
      <c r="J578" s="83"/>
      <c r="K578" s="84">
        <v>1300.0</v>
      </c>
      <c r="L578" s="61"/>
      <c r="M578" s="60"/>
      <c r="N578" s="29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idden="1">
      <c r="A579" s="2"/>
      <c r="B579" s="57" t="s">
        <v>201</v>
      </c>
      <c r="C579" s="11"/>
      <c r="D579" s="11">
        <v>0.0</v>
      </c>
      <c r="E579" s="32" t="s">
        <v>27</v>
      </c>
      <c r="F579" s="13">
        <f>'БД_УСЛУГИ_РО'!P481</f>
        <v>700</v>
      </c>
      <c r="G579" s="33" t="str">
        <f>MIN(F579:F580) &amp; " - " &amp; MAX(F579:F580)</f>
        <v>700 - 2800</v>
      </c>
      <c r="H579" s="5"/>
      <c r="I579" s="2"/>
      <c r="J579" s="83"/>
      <c r="K579" s="84">
        <v>700.0</v>
      </c>
      <c r="L579" s="61"/>
      <c r="M579" s="60"/>
      <c r="N579" s="29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idden="1">
      <c r="A580" s="2"/>
      <c r="B580" s="57" t="s">
        <v>201</v>
      </c>
      <c r="C580" s="11"/>
      <c r="D580" s="11">
        <v>0.0</v>
      </c>
      <c r="E580" s="32" t="s">
        <v>28</v>
      </c>
      <c r="F580" s="13">
        <f>'БД_УСЛУГИ_РО'!P482</f>
        <v>2800</v>
      </c>
      <c r="G580" s="28"/>
      <c r="H580" s="5"/>
      <c r="I580" s="2"/>
      <c r="J580" s="83"/>
      <c r="K580" s="84">
        <v>2800.0</v>
      </c>
      <c r="L580" s="61"/>
      <c r="M580" s="60"/>
      <c r="N580" s="29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idden="1">
      <c r="A581" s="2"/>
      <c r="B581" s="57" t="s">
        <v>201</v>
      </c>
      <c r="C581" s="11"/>
      <c r="D581" s="11">
        <v>180.0</v>
      </c>
      <c r="E581" s="12" t="s">
        <v>202</v>
      </c>
      <c r="F581" s="13">
        <f>'БД_УСЛУГИ_РО'!P483+'БД_ЗАПЧАСТИ'!P31</f>
        <v>9700</v>
      </c>
      <c r="G581" s="33" t="str">
        <f>IFERROR(__xludf.DUMMYFUNCTION("MIN(FILTER(F581:F586, F581:F586 &lt;&gt; H581:H586)) &amp; "" - "" &amp; MAX(FILTER(F581:F586, F581:F586 &lt;&gt; H581:H586))"),"4100 - 9700")</f>
        <v>4100 - 9700</v>
      </c>
      <c r="H581" s="101">
        <f>'БД_УСЛУГИ_РО'!P483</f>
        <v>3100</v>
      </c>
      <c r="I581" s="2"/>
      <c r="J581" s="86">
        <f>IFERROR(__xludf.DUMMYFUNCTION("MIN(FILTER(F581:F586, F581:F586 &lt;&gt; H581:H586, F581:F586 &lt;&gt; """"))"),4100.0)</f>
        <v>4100</v>
      </c>
      <c r="K581" s="84">
        <v>9700.0</v>
      </c>
      <c r="L581" s="65" t="str">
        <f>IFERROR(VLOOKUP("iPhone 12 Замена аккумулятора (2815 mAh) Standard", 'РЕМОНТ_ЯБЛОК'!C:D, 2, 0), "Ошибка") &amp; " | " &amp; IFERROR(VLOOKUP("iPhone 12 Замена аккумулятора (3310mAh) (повышенная емкость)", 'РЕМОНТ_ЯБЛОК'!C:D, 2, 0), "Ошибка")</f>
        <v>4000 | 5000</v>
      </c>
      <c r="M581" s="60"/>
      <c r="N581" s="29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idden="1">
      <c r="A582" s="2"/>
      <c r="B582" s="57" t="s">
        <v>201</v>
      </c>
      <c r="C582" s="11"/>
      <c r="D582" s="11">
        <v>180.0</v>
      </c>
      <c r="E582" s="12" t="s">
        <v>203</v>
      </c>
      <c r="F582" s="13">
        <f>'БД_УСЛУГИ_РО'!P483+'БД_ЗАПЧАСТИ'!P32</f>
        <v>6100</v>
      </c>
      <c r="G582" s="19"/>
      <c r="H582" s="101">
        <f>'БД_УСЛУГИ_РО'!P483</f>
        <v>3100</v>
      </c>
      <c r="I582" s="2"/>
      <c r="J582" s="103"/>
      <c r="K582" s="84">
        <v>6100.0</v>
      </c>
      <c r="L582" s="104"/>
      <c r="M582" s="60"/>
      <c r="N582" s="29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idden="1">
      <c r="A583" s="2"/>
      <c r="B583" s="57" t="s">
        <v>201</v>
      </c>
      <c r="C583" s="11"/>
      <c r="D583" s="11">
        <v>180.0</v>
      </c>
      <c r="E583" s="12" t="s">
        <v>32</v>
      </c>
      <c r="F583" s="13">
        <f>'БД_УСЛУГИ_РО'!P483+'БД_ЗАПЧАСТИ'!P33</f>
        <v>5600</v>
      </c>
      <c r="G583" s="19"/>
      <c r="H583" s="101">
        <f>'БД_УСЛУГИ_РО'!P483</f>
        <v>3100</v>
      </c>
      <c r="I583" s="2"/>
      <c r="J583" s="103"/>
      <c r="K583" s="84">
        <v>5600.0</v>
      </c>
      <c r="L583" s="104"/>
      <c r="M583" s="60"/>
      <c r="N583" s="29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idden="1">
      <c r="A584" s="2"/>
      <c r="B584" s="57" t="s">
        <v>201</v>
      </c>
      <c r="C584" s="11"/>
      <c r="D584" s="11">
        <v>180.0</v>
      </c>
      <c r="E584" s="12" t="s">
        <v>33</v>
      </c>
      <c r="F584" s="13">
        <f>'БД_УСЛУГИ_РО'!P483+'БД_ЗАПЧАСТИ'!P34</f>
        <v>4600</v>
      </c>
      <c r="G584" s="19"/>
      <c r="H584" s="101">
        <f>'БД_УСЛУГИ_РО'!P483</f>
        <v>3100</v>
      </c>
      <c r="I584" s="2"/>
      <c r="J584" s="103"/>
      <c r="K584" s="84">
        <v>4600.0</v>
      </c>
      <c r="L584" s="104"/>
      <c r="M584" s="60"/>
      <c r="N584" s="29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idden="1">
      <c r="A585" s="2"/>
      <c r="B585" s="57" t="s">
        <v>201</v>
      </c>
      <c r="C585" s="11"/>
      <c r="D585" s="11">
        <v>180.0</v>
      </c>
      <c r="E585" s="12" t="s">
        <v>34</v>
      </c>
      <c r="F585" s="13">
        <f>'БД_УСЛУГИ_РО'!P483+'БД_ЗАПЧАСТИ'!P35</f>
        <v>4100</v>
      </c>
      <c r="G585" s="19"/>
      <c r="H585" s="101">
        <f>'БД_УСЛУГИ_РО'!P483</f>
        <v>3100</v>
      </c>
      <c r="I585" s="2"/>
      <c r="J585" s="87"/>
      <c r="K585" s="84">
        <v>4100.0</v>
      </c>
      <c r="L585" s="67"/>
      <c r="M585" s="60"/>
      <c r="N585" s="29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idden="1">
      <c r="A586" s="2"/>
      <c r="B586" s="57" t="s">
        <v>201</v>
      </c>
      <c r="C586" s="11"/>
      <c r="D586" s="11">
        <v>180.0</v>
      </c>
      <c r="E586" s="12" t="s">
        <v>35</v>
      </c>
      <c r="F586" s="13">
        <f>'БД_УСЛУГИ_РО'!P483+'БД_УСЛУГИ_РО'!P484+'БД_ЗАПЧАСТИ'!P35</f>
        <v>6800</v>
      </c>
      <c r="G586" s="28"/>
      <c r="H586" s="101">
        <f>'БД_УСЛУГИ_РО'!P483+'БД_УСЛУГИ_РО'!P484</f>
        <v>5800</v>
      </c>
      <c r="I586" s="2"/>
      <c r="J586" s="83"/>
      <c r="K586" s="84">
        <v>6800.0</v>
      </c>
      <c r="L586" s="61"/>
      <c r="M586" s="60"/>
      <c r="N586" s="29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idden="1">
      <c r="A587" s="2"/>
      <c r="B587" s="57" t="s">
        <v>201</v>
      </c>
      <c r="C587" s="11"/>
      <c r="D587" s="11">
        <v>90.0</v>
      </c>
      <c r="E587" s="12" t="s">
        <v>204</v>
      </c>
      <c r="F587" s="13">
        <f>'БД_УСЛУГИ_РО'!P485+'БД_ЗАПЧАСТИ'!P639</f>
        <v>5500</v>
      </c>
      <c r="G587" s="29"/>
      <c r="H587" s="101">
        <f>'БД_УСЛУГИ_РО'!P485</f>
        <v>3400</v>
      </c>
      <c r="I587" s="2"/>
      <c r="J587" s="85">
        <f>F587</f>
        <v>5500</v>
      </c>
      <c r="K587" s="84">
        <v>5500.0</v>
      </c>
      <c r="L587" s="61">
        <f>IFERROR(VLOOKUP("iPhone 12 Замена разъема питания", 'РЕМОНТ_ЯБЛОК'!C:D, 2, 0), "Ошибка")</f>
        <v>5500</v>
      </c>
      <c r="M587" s="96"/>
      <c r="N587" s="29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idden="1">
      <c r="A588" s="2"/>
      <c r="B588" s="57" t="s">
        <v>201</v>
      </c>
      <c r="C588" s="11"/>
      <c r="D588" s="11">
        <v>90.0</v>
      </c>
      <c r="E588" s="12" t="s">
        <v>205</v>
      </c>
      <c r="F588" s="13">
        <f>'БД_УСЛУГИ_РО'!P486+'БД_ЗАПЧАСТИ'!P200</f>
        <v>13250</v>
      </c>
      <c r="G588" s="33" t="str">
        <f>IFERROR(__xludf.DUMMYFUNCTION("MIN(FILTER(F588:F594, F588:F594 &lt;&gt; H588:H594)) &amp; "" - "" &amp; MAX(FILTER(F588:F594, F588:F594 &lt;&gt; H588:H594))"),"9500 - 13250")</f>
        <v>9500 - 13250</v>
      </c>
      <c r="H588" s="101">
        <f>'БД_УСЛУГИ_РО'!P486</f>
        <v>3100</v>
      </c>
      <c r="I588" s="2"/>
      <c r="J588" s="86">
        <f>IFERROR(__xludf.DUMMYFUNCTION("MIN(FILTER(F588:F592, F588:F592 &lt;&gt; H588:H592, F588:F592 &lt;&gt; """"))"),9500.0)</f>
        <v>9500</v>
      </c>
      <c r="K588" s="84">
        <v>13250.0</v>
      </c>
      <c r="L588" s="65">
        <f>IFERROR(VLOOKUP("iPhone 12 Замена дисплея (оригинал)", 'РЕМОНТ_ЯБЛОК'!C:D, 2, 0), "Ошибка")</f>
        <v>9500</v>
      </c>
      <c r="M588" s="60"/>
      <c r="N588" s="29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idden="1">
      <c r="A589" s="2"/>
      <c r="B589" s="57" t="s">
        <v>201</v>
      </c>
      <c r="C589" s="11"/>
      <c r="D589" s="11">
        <v>90.0</v>
      </c>
      <c r="E589" s="12" t="s">
        <v>39</v>
      </c>
      <c r="F589" s="13">
        <f>'БД_УСЛУГИ_РО'!P486+'БД_ЗАПЧАСТИ'!P201</f>
        <v>11900</v>
      </c>
      <c r="G589" s="19"/>
      <c r="H589" s="101">
        <f>'БД_УСЛУГИ_РО'!P486</f>
        <v>3100</v>
      </c>
      <c r="I589" s="2"/>
      <c r="J589" s="103"/>
      <c r="K589" s="84">
        <v>11900.0</v>
      </c>
      <c r="L589" s="104"/>
      <c r="M589" s="60"/>
      <c r="N589" s="29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idden="1">
      <c r="A590" s="2"/>
      <c r="B590" s="57" t="s">
        <v>201</v>
      </c>
      <c r="C590" s="11"/>
      <c r="D590" s="11">
        <v>90.0</v>
      </c>
      <c r="E590" s="12" t="s">
        <v>40</v>
      </c>
      <c r="F590" s="13">
        <f>'БД_УСЛУГИ_РО'!P486+'БД_ЗАПЧАСТИ'!P202</f>
        <v>9800</v>
      </c>
      <c r="G590" s="19"/>
      <c r="H590" s="101">
        <f>'БД_УСЛУГИ_РО'!P486</f>
        <v>3100</v>
      </c>
      <c r="I590" s="2"/>
      <c r="J590" s="103"/>
      <c r="K590" s="84">
        <v>9800.0</v>
      </c>
      <c r="L590" s="104"/>
      <c r="M590" s="60"/>
      <c r="N590" s="29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idden="1">
      <c r="A591" s="2"/>
      <c r="B591" s="57" t="s">
        <v>201</v>
      </c>
      <c r="C591" s="11"/>
      <c r="D591" s="11">
        <v>90.0</v>
      </c>
      <c r="E591" s="12" t="s">
        <v>42</v>
      </c>
      <c r="F591" s="13">
        <f>'БД_УСЛУГИ_РО'!P486+'БД_ЗАПЧАСТИ'!P203</f>
        <v>3100</v>
      </c>
      <c r="G591" s="19"/>
      <c r="H591" s="101">
        <f>'БД_УСЛУГИ_РО'!P486</f>
        <v>3100</v>
      </c>
      <c r="I591" s="2"/>
      <c r="J591" s="103"/>
      <c r="K591" s="84">
        <v>3100.0</v>
      </c>
      <c r="L591" s="104"/>
      <c r="M591" s="60"/>
      <c r="N591" s="29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idden="1">
      <c r="A592" s="2"/>
      <c r="B592" s="57" t="s">
        <v>201</v>
      </c>
      <c r="C592" s="11"/>
      <c r="D592" s="11">
        <v>90.0</v>
      </c>
      <c r="E592" s="12" t="s">
        <v>43</v>
      </c>
      <c r="F592" s="13">
        <f>'БД_УСЛУГИ_РО'!P486+'БД_ЗАПЧАСТИ'!P204</f>
        <v>9500</v>
      </c>
      <c r="G592" s="19"/>
      <c r="H592" s="101">
        <f>'БД_УСЛУГИ_РО'!P486</f>
        <v>3100</v>
      </c>
      <c r="I592" s="2"/>
      <c r="J592" s="87"/>
      <c r="K592" s="84">
        <v>9500.0</v>
      </c>
      <c r="L592" s="67"/>
      <c r="M592" s="60"/>
      <c r="N592" s="29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idden="1">
      <c r="A593" s="2"/>
      <c r="B593" s="57" t="s">
        <v>201</v>
      </c>
      <c r="C593" s="11"/>
      <c r="D593" s="11">
        <v>90.0</v>
      </c>
      <c r="E593" s="12" t="s">
        <v>45</v>
      </c>
      <c r="F593" s="13">
        <f>'БД_УСЛУГИ_РО'!P486</f>
        <v>3100</v>
      </c>
      <c r="G593" s="19"/>
      <c r="H593" s="101">
        <f>'БД_УСЛУГИ_РО'!P486</f>
        <v>3100</v>
      </c>
      <c r="I593" s="2"/>
      <c r="J593" s="92" t="str">
        <f>IFERROR(__xludf.DUMMYFUNCTION("MIN(FILTER(F593:F594, F593:F594 &lt;&gt; H593:H594, F593:F594 &lt;&gt; """"))"),"#N/A")</f>
        <v>#N/A</v>
      </c>
      <c r="K593" s="84">
        <v>3100.0</v>
      </c>
      <c r="L593" s="65">
        <f>IFERROR(VLOOKUP("iPhone 12 Замена дисплея (аналог)", 'РЕМОНТ_ЯБЛОК'!C:D, 2, 0), "Ошибка")</f>
        <v>6500</v>
      </c>
      <c r="M593" s="60"/>
      <c r="N593" s="29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idden="1">
      <c r="A594" s="2"/>
      <c r="B594" s="57" t="s">
        <v>201</v>
      </c>
      <c r="C594" s="11"/>
      <c r="D594" s="11">
        <v>90.0</v>
      </c>
      <c r="E594" s="12" t="s">
        <v>46</v>
      </c>
      <c r="F594" s="13">
        <f>'БД_УСЛУГИ_РО'!P486</f>
        <v>3100</v>
      </c>
      <c r="G594" s="28"/>
      <c r="H594" s="101">
        <f>'БД_УСЛУГИ_РО'!P486</f>
        <v>3100</v>
      </c>
      <c r="I594" s="2"/>
      <c r="J594" s="87"/>
      <c r="K594" s="84">
        <v>3100.0</v>
      </c>
      <c r="L594" s="67"/>
      <c r="M594" s="60"/>
      <c r="N594" s="29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idden="1">
      <c r="A595" s="2"/>
      <c r="B595" s="57" t="s">
        <v>201</v>
      </c>
      <c r="C595" s="11"/>
      <c r="D595" s="11">
        <v>90.0</v>
      </c>
      <c r="E595" s="12" t="s">
        <v>47</v>
      </c>
      <c r="F595" s="13">
        <f>'БД_УСЛУГИ_РО'!P487</f>
        <v>2700</v>
      </c>
      <c r="G595" s="29"/>
      <c r="H595" s="5"/>
      <c r="I595" s="2"/>
      <c r="J595" s="83"/>
      <c r="K595" s="84">
        <v>2700.0</v>
      </c>
      <c r="L595" s="61"/>
      <c r="M595" s="60"/>
      <c r="N595" s="29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idden="1">
      <c r="A596" s="2"/>
      <c r="B596" s="57" t="s">
        <v>201</v>
      </c>
      <c r="C596" s="11"/>
      <c r="D596" s="11">
        <v>90.0</v>
      </c>
      <c r="E596" s="12" t="s">
        <v>206</v>
      </c>
      <c r="F596" s="13">
        <f>'БД_УСЛУГИ_РО'!P488</f>
        <v>6500</v>
      </c>
      <c r="G596" s="33" t="str">
        <f>MIN(F596:F597) &amp; " - " &amp; MAX(F596:F597)</f>
        <v>6500 - 7200</v>
      </c>
      <c r="H596" s="5"/>
      <c r="I596" s="2"/>
      <c r="J596" s="85">
        <f>F596</f>
        <v>6500</v>
      </c>
      <c r="K596" s="84">
        <v>6500.0</v>
      </c>
      <c r="L596" s="61">
        <f>IFERROR(VLOOKUP("iPhone 12 Переклейка (восстановление) вашего дисплея", 'РЕМОНТ_ЯБЛОК'!C:D, 2, 0), "Ошибка")</f>
        <v>6500</v>
      </c>
      <c r="M596" s="96"/>
      <c r="N596" s="29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idden="1">
      <c r="A597" s="2"/>
      <c r="B597" s="57" t="s">
        <v>201</v>
      </c>
      <c r="C597" s="11"/>
      <c r="D597" s="11">
        <v>90.0</v>
      </c>
      <c r="E597" s="12" t="s">
        <v>207</v>
      </c>
      <c r="F597" s="13">
        <f>'БД_УСЛУГИ_РО'!P489</f>
        <v>7200</v>
      </c>
      <c r="G597" s="28"/>
      <c r="H597" s="5"/>
      <c r="I597" s="2"/>
      <c r="J597" s="83"/>
      <c r="K597" s="84">
        <v>7200.0</v>
      </c>
      <c r="L597" s="61"/>
      <c r="M597" s="60"/>
      <c r="N597" s="29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idden="1">
      <c r="A598" s="2"/>
      <c r="B598" s="57" t="s">
        <v>201</v>
      </c>
      <c r="C598" s="11"/>
      <c r="D598" s="11">
        <v>90.0</v>
      </c>
      <c r="E598" s="12" t="s">
        <v>208</v>
      </c>
      <c r="F598" s="13">
        <f>'БД_УСЛУГИ_РО'!P490+'БД_ЗАПЧАСТИ'!P769</f>
        <v>6500</v>
      </c>
      <c r="G598" s="29"/>
      <c r="H598" s="101">
        <f>'БД_УСЛУГИ_РО'!P490</f>
        <v>3500</v>
      </c>
      <c r="I598" s="2"/>
      <c r="J598" s="85">
        <f>F598</f>
        <v>6500</v>
      </c>
      <c r="K598" s="84">
        <v>6500.0</v>
      </c>
      <c r="L598" s="61">
        <f>IFERROR(VLOOKUP("iPhone 12 Замена основной камеры", 'РЕМОНТ_ЯБЛОК'!C:D, 2, 0), "Ошибка")</f>
        <v>6500</v>
      </c>
      <c r="M598" s="96"/>
      <c r="N598" s="29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idden="1">
      <c r="A599" s="2"/>
      <c r="B599" s="57" t="s">
        <v>201</v>
      </c>
      <c r="C599" s="11"/>
      <c r="D599" s="11">
        <v>90.0</v>
      </c>
      <c r="E599" s="12" t="s">
        <v>209</v>
      </c>
      <c r="F599" s="13">
        <f>'БД_УСЛУГИ_РО'!P491+'БД_ЗАПЧАСТИ'!P812</f>
        <v>6900</v>
      </c>
      <c r="G599" s="29"/>
      <c r="H599" s="101">
        <f>'БД_УСЛУГИ_РО'!P491</f>
        <v>4100</v>
      </c>
      <c r="I599" s="2"/>
      <c r="J599" s="83"/>
      <c r="K599" s="84">
        <v>6900.0</v>
      </c>
      <c r="L599" s="61"/>
      <c r="M599" s="60"/>
      <c r="N599" s="29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idden="1">
      <c r="A600" s="2"/>
      <c r="B600" s="57" t="s">
        <v>201</v>
      </c>
      <c r="C600" s="11"/>
      <c r="D600" s="11">
        <v>180.0</v>
      </c>
      <c r="E600" s="12" t="s">
        <v>52</v>
      </c>
      <c r="F600" s="13">
        <f>'БД_УСЛУГИ_РО'!P492+'БД_ЗАПЧАСТИ'!P549</f>
        <v>2600</v>
      </c>
      <c r="G600" s="29"/>
      <c r="H600" s="101">
        <f>'БД_УСЛУГИ_РО'!P492</f>
        <v>2400</v>
      </c>
      <c r="I600" s="2"/>
      <c r="J600" s="85">
        <f t="shared" ref="J600:J603" si="45">F600</f>
        <v>2600</v>
      </c>
      <c r="K600" s="93">
        <v>2600.0</v>
      </c>
      <c r="L600" s="61">
        <f>IFERROR(VLOOKUP("iPhone 12 Замена стекла камеры", 'РЕМОНТ_ЯБЛОК'!C:D, 2, 0), "Ошибка")</f>
        <v>2500</v>
      </c>
      <c r="M600" s="105"/>
      <c r="N600" s="33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idden="1">
      <c r="A601" s="2"/>
      <c r="B601" s="57" t="s">
        <v>201</v>
      </c>
      <c r="C601" s="11"/>
      <c r="D601" s="11">
        <v>90.0</v>
      </c>
      <c r="E601" s="12" t="s">
        <v>53</v>
      </c>
      <c r="F601" s="13">
        <f>'БД_УСЛУГИ_РО'!P493</f>
        <v>5800</v>
      </c>
      <c r="G601" s="29"/>
      <c r="H601" s="5"/>
      <c r="I601" s="2"/>
      <c r="J601" s="85">
        <f t="shared" si="45"/>
        <v>5800</v>
      </c>
      <c r="K601" s="93">
        <v>5800.0</v>
      </c>
      <c r="L601" s="61">
        <f>IFERROR(VLOOKUP("iPhone 12 Ремонт (восстановление) Face id", 'РЕМОНТ_ЯБЛОК'!C:D, 2, 0), "Ошибка")</f>
        <v>9500</v>
      </c>
      <c r="M601" s="105"/>
      <c r="N601" s="33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idden="1">
      <c r="A602" s="2"/>
      <c r="B602" s="57" t="s">
        <v>201</v>
      </c>
      <c r="C602" s="11"/>
      <c r="D602" s="11">
        <v>180.0</v>
      </c>
      <c r="E602" s="12" t="s">
        <v>55</v>
      </c>
      <c r="F602" s="13">
        <f>'БД_УСЛУГИ_РО'!P494+'БД_ЗАПЧАСТИ'!P362</f>
        <v>6500</v>
      </c>
      <c r="G602" s="29"/>
      <c r="H602" s="101">
        <f>'БД_УСЛУГИ_РО'!P494</f>
        <v>5000</v>
      </c>
      <c r="I602" s="2"/>
      <c r="J602" s="85">
        <f t="shared" si="45"/>
        <v>6500</v>
      </c>
      <c r="K602" s="93">
        <v>6500.0</v>
      </c>
      <c r="L602" s="61">
        <f>IFERROR(VLOOKUP("iPhone 12 Замена задней крышки", 'РЕМОНТ_ЯБЛОК'!C:D, 2, 0), "Ошибка")</f>
        <v>6500</v>
      </c>
      <c r="M602" s="105"/>
      <c r="N602" s="33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idden="1">
      <c r="A603" s="2"/>
      <c r="B603" s="57" t="s">
        <v>201</v>
      </c>
      <c r="C603" s="11"/>
      <c r="D603" s="11">
        <v>180.0</v>
      </c>
      <c r="E603" s="12" t="s">
        <v>56</v>
      </c>
      <c r="F603" s="13">
        <f>'БД_УСЛУГИ_РО'!P495</f>
        <v>4000</v>
      </c>
      <c r="G603" s="29"/>
      <c r="H603" s="101">
        <f>'БД_УСЛУГИ_РО'!P495</f>
        <v>4000</v>
      </c>
      <c r="I603" s="2"/>
      <c r="J603" s="85">
        <f t="shared" si="45"/>
        <v>4000</v>
      </c>
      <c r="K603" s="93">
        <v>4000.0</v>
      </c>
      <c r="L603" s="61">
        <f>IFERROR(VLOOKUP("iPhone 12 Замена корпуса", 'РЕМОНТ_ЯБЛОК'!C:D, 2, 0), "Ошибка")</f>
        <v>8000</v>
      </c>
      <c r="M603" s="105"/>
      <c r="N603" s="33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idden="1">
      <c r="A604" s="2"/>
      <c r="B604" s="57" t="s">
        <v>201</v>
      </c>
      <c r="C604" s="11"/>
      <c r="D604" s="11">
        <v>90.0</v>
      </c>
      <c r="E604" s="12" t="s">
        <v>59</v>
      </c>
      <c r="F604" s="13">
        <f>'БД_УСЛУГИ_РО'!P496</f>
        <v>4000</v>
      </c>
      <c r="G604" s="29"/>
      <c r="H604" s="5"/>
      <c r="I604" s="2"/>
      <c r="J604" s="83"/>
      <c r="K604" s="84">
        <v>4000.0</v>
      </c>
      <c r="L604" s="61"/>
      <c r="M604" s="60"/>
      <c r="N604" s="29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idden="1">
      <c r="A605" s="2"/>
      <c r="B605" s="57" t="s">
        <v>201</v>
      </c>
      <c r="C605" s="11"/>
      <c r="D605" s="11">
        <v>90.0</v>
      </c>
      <c r="E605" s="12" t="s">
        <v>210</v>
      </c>
      <c r="F605" s="13">
        <f>'БД_УСЛУГИ_РО'!P497+'БД_ЗАПЧАСТИ'!P897</f>
        <v>4000</v>
      </c>
      <c r="G605" s="29"/>
      <c r="H605" s="101">
        <f>'БД_УСЛУГИ_РО'!P497</f>
        <v>3000</v>
      </c>
      <c r="I605" s="2"/>
      <c r="J605" s="85">
        <f t="shared" ref="J605:J606" si="46">F605</f>
        <v>4000</v>
      </c>
      <c r="K605" s="84">
        <v>4000.0</v>
      </c>
      <c r="L605" s="61">
        <f>IFERROR(VLOOKUP("iPhone 12 Замена динамика", 'РЕМОНТ_ЯБЛОК'!C:D, 2, 0), "Ошибка")</f>
        <v>4000</v>
      </c>
      <c r="M605" s="96"/>
      <c r="N605" s="29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idden="1">
      <c r="A606" s="2"/>
      <c r="B606" s="57" t="s">
        <v>201</v>
      </c>
      <c r="C606" s="11"/>
      <c r="D606" s="11">
        <v>90.0</v>
      </c>
      <c r="E606" s="12" t="s">
        <v>211</v>
      </c>
      <c r="F606" s="13">
        <f>'БД_УСЛУГИ_РО'!P498+'БД_ЗАПЧАСТИ'!P856</f>
        <v>5050</v>
      </c>
      <c r="G606" s="29"/>
      <c r="H606" s="101">
        <f>'БД_УСЛУГИ_РО'!P498</f>
        <v>3700</v>
      </c>
      <c r="I606" s="2"/>
      <c r="J606" s="85">
        <f t="shared" si="46"/>
        <v>5050</v>
      </c>
      <c r="K606" s="84">
        <v>5050.0</v>
      </c>
      <c r="L606" s="61">
        <f>IFERROR(VLOOKUP("iPhone 12 Замена динамика", 'РЕМОНТ_ЯБЛОК'!C:D, 2, 0), "Ошибка")</f>
        <v>4000</v>
      </c>
      <c r="M606" s="96"/>
      <c r="N606" s="29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idden="1">
      <c r="A607" s="2"/>
      <c r="B607" s="57" t="s">
        <v>201</v>
      </c>
      <c r="C607" s="11"/>
      <c r="D607" s="11">
        <v>90.0</v>
      </c>
      <c r="E607" s="12" t="s">
        <v>62</v>
      </c>
      <c r="F607" s="13">
        <f>'БД_УСЛУГИ_РО'!P499+'БД_ЗАПЧАСТИ'!P639</f>
        <v>5700</v>
      </c>
      <c r="G607" s="29"/>
      <c r="H607" s="101">
        <f>'БД_УСЛУГИ_РО'!P499</f>
        <v>3600</v>
      </c>
      <c r="I607" s="2"/>
      <c r="J607" s="83"/>
      <c r="K607" s="84">
        <v>5700.0</v>
      </c>
      <c r="L607" s="61"/>
      <c r="M607" s="60"/>
      <c r="N607" s="29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idden="1">
      <c r="A608" s="2"/>
      <c r="B608" s="57" t="s">
        <v>201</v>
      </c>
      <c r="C608" s="11"/>
      <c r="D608" s="11">
        <v>90.0</v>
      </c>
      <c r="E608" s="12" t="s">
        <v>63</v>
      </c>
      <c r="F608" s="13">
        <f>'БД_УСЛУГИ_РО'!P500</f>
        <v>3800</v>
      </c>
      <c r="G608" s="29"/>
      <c r="H608" s="5"/>
      <c r="I608" s="2"/>
      <c r="J608" s="92"/>
      <c r="K608" s="93">
        <v>3800.0</v>
      </c>
      <c r="L608" s="65"/>
      <c r="M608" s="94"/>
      <c r="N608" s="33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idden="1">
      <c r="A609" s="2"/>
      <c r="B609" s="57" t="s">
        <v>201</v>
      </c>
      <c r="C609" s="11"/>
      <c r="D609" s="11">
        <v>90.0</v>
      </c>
      <c r="E609" s="12" t="s">
        <v>64</v>
      </c>
      <c r="F609" s="13">
        <f>'БД_УСЛУГИ_РО'!P502</f>
        <v>4500</v>
      </c>
      <c r="G609" s="29"/>
      <c r="H609" s="5"/>
      <c r="I609" s="2"/>
      <c r="J609" s="92"/>
      <c r="K609" s="93">
        <v>4500.0</v>
      </c>
      <c r="L609" s="65"/>
      <c r="M609" s="94"/>
      <c r="N609" s="33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idden="1">
      <c r="A610" s="2"/>
      <c r="B610" s="57" t="s">
        <v>201</v>
      </c>
      <c r="C610" s="11"/>
      <c r="D610" s="11">
        <v>90.0</v>
      </c>
      <c r="E610" s="12" t="s">
        <v>65</v>
      </c>
      <c r="F610" s="13">
        <f>'БД_УСЛУГИ_РО'!P501+'БД_УСЛУГИ_РО'!P503</f>
        <v>10800</v>
      </c>
      <c r="G610" s="29"/>
      <c r="H610" s="5"/>
      <c r="I610" s="2"/>
      <c r="J610" s="92"/>
      <c r="K610" s="93">
        <v>10800.0</v>
      </c>
      <c r="L610" s="65"/>
      <c r="M610" s="94"/>
      <c r="N610" s="33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idden="1">
      <c r="A611" s="2"/>
      <c r="B611" s="69" t="s">
        <v>201</v>
      </c>
      <c r="C611" s="36"/>
      <c r="D611" s="36">
        <v>90.0</v>
      </c>
      <c r="E611" s="70" t="s">
        <v>66</v>
      </c>
      <c r="F611" s="38">
        <f>'БД_УСЛУГИ_РО'!P501+'БД_УСЛУГИ_РО'!P504</f>
        <v>11300</v>
      </c>
      <c r="G611" s="39"/>
      <c r="H611" s="5"/>
      <c r="I611" s="2"/>
      <c r="J611" s="91"/>
      <c r="K611" s="89">
        <v>11300.0</v>
      </c>
      <c r="L611" s="73"/>
      <c r="M611" s="74"/>
      <c r="N611" s="39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idden="1">
      <c r="A612" s="2"/>
      <c r="B612" s="1"/>
      <c r="C612" s="1"/>
      <c r="D612" s="95"/>
      <c r="E612" s="30"/>
      <c r="F612" s="80"/>
      <c r="G612" s="76"/>
      <c r="H612" s="5"/>
      <c r="I612" s="2"/>
      <c r="J612" s="2"/>
      <c r="K612" s="2" t="s">
        <v>22</v>
      </c>
      <c r="L612" s="2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idden="1">
      <c r="A613" s="2"/>
      <c r="B613" s="41" t="s">
        <v>212</v>
      </c>
      <c r="C613" s="42"/>
      <c r="D613" s="42">
        <v>0.0</v>
      </c>
      <c r="E613" s="51" t="s">
        <v>24</v>
      </c>
      <c r="F613" s="44">
        <f>'БД_УСЛУГИ_РО'!P505</f>
        <v>1</v>
      </c>
      <c r="G613" s="78"/>
      <c r="H613" s="5"/>
      <c r="I613" s="2"/>
      <c r="J613" s="81"/>
      <c r="K613" s="82">
        <v>1.0</v>
      </c>
      <c r="L613" s="55"/>
      <c r="M613" s="56"/>
      <c r="N613" s="5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idden="1">
      <c r="A614" s="2"/>
      <c r="B614" s="57" t="s">
        <v>212</v>
      </c>
      <c r="C614" s="11"/>
      <c r="D614" s="11">
        <v>0.0</v>
      </c>
      <c r="E614" s="12" t="s">
        <v>26</v>
      </c>
      <c r="F614" s="13">
        <f>'БД_УСЛУГИ_РО'!P506+'БД_УСЛУГИ_РО'!P507</f>
        <v>1300</v>
      </c>
      <c r="G614" s="29"/>
      <c r="H614" s="5"/>
      <c r="I614" s="2"/>
      <c r="J614" s="83"/>
      <c r="K614" s="84">
        <v>1300.0</v>
      </c>
      <c r="L614" s="61"/>
      <c r="M614" s="60"/>
      <c r="N614" s="29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idden="1">
      <c r="A615" s="2"/>
      <c r="B615" s="57" t="s">
        <v>212</v>
      </c>
      <c r="C615" s="11"/>
      <c r="D615" s="11">
        <v>0.0</v>
      </c>
      <c r="E615" s="32" t="s">
        <v>27</v>
      </c>
      <c r="F615" s="13">
        <f>'БД_УСЛУГИ_РО'!P508</f>
        <v>700</v>
      </c>
      <c r="G615" s="33" t="str">
        <f>MIN(F615:F616) &amp; " - " &amp; MAX(F615:F616)</f>
        <v>700 - 2800</v>
      </c>
      <c r="H615" s="5"/>
      <c r="I615" s="2"/>
      <c r="J615" s="83"/>
      <c r="K615" s="84">
        <v>700.0</v>
      </c>
      <c r="L615" s="61"/>
      <c r="M615" s="60"/>
      <c r="N615" s="29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idden="1">
      <c r="A616" s="2"/>
      <c r="B616" s="57" t="s">
        <v>212</v>
      </c>
      <c r="C616" s="11"/>
      <c r="D616" s="11">
        <v>0.0</v>
      </c>
      <c r="E616" s="32" t="s">
        <v>28</v>
      </c>
      <c r="F616" s="13">
        <f>'БД_УСЛУГИ_РО'!P509</f>
        <v>2800</v>
      </c>
      <c r="G616" s="28"/>
      <c r="H616" s="5"/>
      <c r="I616" s="2"/>
      <c r="J616" s="83"/>
      <c r="K616" s="84">
        <v>2800.0</v>
      </c>
      <c r="L616" s="61"/>
      <c r="M616" s="60"/>
      <c r="N616" s="29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idden="1">
      <c r="A617" s="2"/>
      <c r="B617" s="57" t="s">
        <v>212</v>
      </c>
      <c r="C617" s="11"/>
      <c r="D617" s="11">
        <v>180.0</v>
      </c>
      <c r="E617" s="12" t="s">
        <v>202</v>
      </c>
      <c r="F617" s="13">
        <f>'БД_УСЛУГИ_РО'!P510+'БД_ЗАПЧАСТИ'!P37</f>
        <v>8850</v>
      </c>
      <c r="G617" s="33" t="str">
        <f>IFERROR(__xludf.DUMMYFUNCTION("MIN(FILTER(F617:F621, F617:F621 &lt;&gt; H617:H621)) &amp; "" - "" &amp; MAX(FILTER(F617:F621, F617:F621 &lt;&gt; H617:H621))"),"4000 - 8850")</f>
        <v>4000 - 8850</v>
      </c>
      <c r="H617" s="101">
        <f>'БД_УСЛУГИ_РО'!P510</f>
        <v>3100</v>
      </c>
      <c r="I617" s="2"/>
      <c r="J617" s="86">
        <f>IFERROR(__xludf.DUMMYFUNCTION("MIN(FILTER(F617:F621, F617:F621 &lt;&gt; H617:H621, F617:F621 &lt;&gt; """"))"),4000.0)</f>
        <v>4000</v>
      </c>
      <c r="K617" s="84">
        <v>8850.0</v>
      </c>
      <c r="L617" s="65" t="str">
        <f>IFERROR(VLOOKUP("iPhone 12 Mini Замена аккумулятора (2227 mAh) Standart", 'РЕМОНТ_ЯБЛОК'!C:D, 2, 0), "Ошибка") &amp; " | " &amp; IFERROR(VLOOKUP("iPhone 12 Mini Замена аккумулятора (2510 mAh) HC (повышенная емкость)", 'РЕМОНТ_ЯБЛОК'!C:D, 2, 0), "Ошибка")</f>
        <v>4000 | 5000</v>
      </c>
      <c r="M617" s="60"/>
      <c r="N617" s="29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idden="1">
      <c r="A618" s="2"/>
      <c r="B618" s="57" t="s">
        <v>212</v>
      </c>
      <c r="C618" s="11"/>
      <c r="D618" s="11">
        <v>180.0</v>
      </c>
      <c r="E618" s="12" t="s">
        <v>32</v>
      </c>
      <c r="F618" s="13">
        <f>'БД_УСЛУГИ_РО'!P510+'БД_ЗАПЧАСТИ'!P38</f>
        <v>5500</v>
      </c>
      <c r="G618" s="19"/>
      <c r="H618" s="101">
        <f>'БД_УСЛУГИ_РО'!P510</f>
        <v>3100</v>
      </c>
      <c r="I618" s="2"/>
      <c r="J618" s="103"/>
      <c r="K618" s="84">
        <v>5500.0</v>
      </c>
      <c r="L618" s="104"/>
      <c r="M618" s="60"/>
      <c r="N618" s="29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idden="1">
      <c r="A619" s="2"/>
      <c r="B619" s="57" t="s">
        <v>212</v>
      </c>
      <c r="C619" s="11"/>
      <c r="D619" s="11">
        <v>180.0</v>
      </c>
      <c r="E619" s="12" t="s">
        <v>33</v>
      </c>
      <c r="F619" s="13">
        <f>'БД_УСЛУГИ_РО'!P510+'БД_ЗАПЧАСТИ'!P39</f>
        <v>4500</v>
      </c>
      <c r="G619" s="19"/>
      <c r="H619" s="101">
        <f>'БД_УСЛУГИ_РО'!P510</f>
        <v>3100</v>
      </c>
      <c r="I619" s="2"/>
      <c r="J619" s="103"/>
      <c r="K619" s="84">
        <v>4500.0</v>
      </c>
      <c r="L619" s="104"/>
      <c r="M619" s="60"/>
      <c r="N619" s="29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idden="1">
      <c r="A620" s="2"/>
      <c r="B620" s="57" t="s">
        <v>212</v>
      </c>
      <c r="C620" s="11"/>
      <c r="D620" s="11">
        <v>180.0</v>
      </c>
      <c r="E620" s="12" t="s">
        <v>34</v>
      </c>
      <c r="F620" s="13">
        <f>'БД_УСЛУГИ_РО'!P510+'БД_ЗАПЧАСТИ'!P40</f>
        <v>4000</v>
      </c>
      <c r="G620" s="19"/>
      <c r="H620" s="101">
        <f>'БД_УСЛУГИ_РО'!P510</f>
        <v>3100</v>
      </c>
      <c r="I620" s="2"/>
      <c r="J620" s="87"/>
      <c r="K620" s="84">
        <v>4000.0</v>
      </c>
      <c r="L620" s="67"/>
      <c r="M620" s="60"/>
      <c r="N620" s="29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idden="1">
      <c r="A621" s="2"/>
      <c r="B621" s="57" t="s">
        <v>212</v>
      </c>
      <c r="C621" s="11"/>
      <c r="D621" s="11">
        <v>180.0</v>
      </c>
      <c r="E621" s="12" t="s">
        <v>35</v>
      </c>
      <c r="F621" s="13">
        <f>'БД_УСЛУГИ_РО'!P510+'БД_УСЛУГИ_РО'!P511+'БД_ЗАПЧАСТИ'!P40</f>
        <v>6700</v>
      </c>
      <c r="G621" s="28"/>
      <c r="H621" s="101">
        <f>'БД_УСЛУГИ_РО'!P510+'БД_УСЛУГИ_РО'!P511</f>
        <v>5800</v>
      </c>
      <c r="I621" s="2"/>
      <c r="J621" s="83"/>
      <c r="K621" s="84">
        <v>6700.0</v>
      </c>
      <c r="L621" s="61"/>
      <c r="M621" s="60"/>
      <c r="N621" s="29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idden="1">
      <c r="A622" s="2"/>
      <c r="B622" s="57" t="s">
        <v>212</v>
      </c>
      <c r="C622" s="11"/>
      <c r="D622" s="11">
        <v>90.0</v>
      </c>
      <c r="E622" s="12" t="s">
        <v>213</v>
      </c>
      <c r="F622" s="13">
        <f>'БД_УСЛУГИ_РО'!P512+'БД_ЗАПЧАСТИ'!P646</f>
        <v>5000</v>
      </c>
      <c r="G622" s="29"/>
      <c r="H622" s="101">
        <f>'БД_УСЛУГИ_РО'!P512</f>
        <v>3400</v>
      </c>
      <c r="I622" s="2"/>
      <c r="J622" s="85">
        <f>F622</f>
        <v>5000</v>
      </c>
      <c r="K622" s="84">
        <v>5000.0</v>
      </c>
      <c r="L622" s="61">
        <f>IFERROR(VLOOKUP("iPhone 12 Mini Замена разъема питания", 'РЕМОНТ_ЯБЛОК'!C:D, 2, 0), "Ошибка")</f>
        <v>5000</v>
      </c>
      <c r="M622" s="96"/>
      <c r="N622" s="29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idden="1">
      <c r="A623" s="2"/>
      <c r="B623" s="57" t="s">
        <v>212</v>
      </c>
      <c r="C623" s="11"/>
      <c r="D623" s="11">
        <v>90.0</v>
      </c>
      <c r="E623" s="12" t="s">
        <v>205</v>
      </c>
      <c r="F623" s="13">
        <f>'БД_УСЛУГИ_РО'!P513+'БД_ЗАПЧАСТИ'!P205</f>
        <v>3100</v>
      </c>
      <c r="G623" s="33" t="str">
        <f>IFERROR(__xludf.DUMMYFUNCTION("MIN(FILTER(F623:F629, F623:F629 &lt;&gt; H623:H629)) &amp; "" - "" &amp; MAX(FILTER(F623:F629, F623:F629 &lt;&gt; H623:H629))"),"9550 - 10000")</f>
        <v>9550 - 10000</v>
      </c>
      <c r="H623" s="101">
        <f>'БД_УСЛУГИ_РО'!P513</f>
        <v>3100</v>
      </c>
      <c r="I623" s="2"/>
      <c r="J623" s="86">
        <f>IFERROR(__xludf.DUMMYFUNCTION("MIN(FILTER(F623:F627, F623:F627 &lt;&gt; H623:H627, F623:F627 &lt;&gt; """"))"),9550.0)</f>
        <v>9550</v>
      </c>
      <c r="K623" s="84">
        <v>3100.0</v>
      </c>
      <c r="L623" s="65">
        <f>IFERROR(VLOOKUP("iPhone 12 Mini Замена дисплея (оригинал)", 'РЕМОНТ_ЯБЛОК'!C:D, 2, 0), "Ошибка")</f>
        <v>9500</v>
      </c>
      <c r="M623" s="60"/>
      <c r="N623" s="29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idden="1">
      <c r="A624" s="2"/>
      <c r="B624" s="57" t="s">
        <v>212</v>
      </c>
      <c r="C624" s="11"/>
      <c r="D624" s="11">
        <v>90.0</v>
      </c>
      <c r="E624" s="12" t="s">
        <v>39</v>
      </c>
      <c r="F624" s="13">
        <f>'БД_УСЛУГИ_РО'!P513+'БД_ЗАПЧАСТИ'!P206</f>
        <v>3100</v>
      </c>
      <c r="G624" s="19"/>
      <c r="H624" s="101">
        <f>'БД_УСЛУГИ_РО'!P513</f>
        <v>3100</v>
      </c>
      <c r="I624" s="2"/>
      <c r="J624" s="103"/>
      <c r="K624" s="84">
        <v>3100.0</v>
      </c>
      <c r="L624" s="104"/>
      <c r="M624" s="60"/>
      <c r="N624" s="29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idden="1">
      <c r="A625" s="2"/>
      <c r="B625" s="57" t="s">
        <v>212</v>
      </c>
      <c r="C625" s="11"/>
      <c r="D625" s="11">
        <v>90.0</v>
      </c>
      <c r="E625" s="12" t="s">
        <v>40</v>
      </c>
      <c r="F625" s="13">
        <f>'БД_УСЛУГИ_РО'!P513+'БД_ЗАПЧАСТИ'!P207</f>
        <v>10000</v>
      </c>
      <c r="G625" s="19"/>
      <c r="H625" s="101">
        <f>'БД_УСЛУГИ_РО'!P513</f>
        <v>3100</v>
      </c>
      <c r="I625" s="2"/>
      <c r="J625" s="103"/>
      <c r="K625" s="84">
        <v>10000.0</v>
      </c>
      <c r="L625" s="104"/>
      <c r="M625" s="60"/>
      <c r="N625" s="29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idden="1">
      <c r="A626" s="2"/>
      <c r="B626" s="57" t="s">
        <v>212</v>
      </c>
      <c r="C626" s="11"/>
      <c r="D626" s="11">
        <v>90.0</v>
      </c>
      <c r="E626" s="12" t="s">
        <v>42</v>
      </c>
      <c r="F626" s="13">
        <f>'БД_УСЛУГИ_РО'!P513+'БД_ЗАПЧАСТИ'!P208</f>
        <v>3100</v>
      </c>
      <c r="G626" s="19"/>
      <c r="H626" s="101">
        <f>'БД_УСЛУГИ_РО'!P513</f>
        <v>3100</v>
      </c>
      <c r="I626" s="2"/>
      <c r="J626" s="103"/>
      <c r="K626" s="84">
        <v>3100.0</v>
      </c>
      <c r="L626" s="104"/>
      <c r="M626" s="60"/>
      <c r="N626" s="29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idden="1">
      <c r="A627" s="2"/>
      <c r="B627" s="57" t="s">
        <v>212</v>
      </c>
      <c r="C627" s="11"/>
      <c r="D627" s="11">
        <v>90.0</v>
      </c>
      <c r="E627" s="12" t="s">
        <v>43</v>
      </c>
      <c r="F627" s="13">
        <f>'БД_УСЛУГИ_РО'!P513+'БД_ЗАПЧАСТИ'!P209</f>
        <v>9550</v>
      </c>
      <c r="G627" s="19"/>
      <c r="H627" s="101">
        <f>'БД_УСЛУГИ_РО'!P513</f>
        <v>3100</v>
      </c>
      <c r="I627" s="2"/>
      <c r="J627" s="87"/>
      <c r="K627" s="84">
        <v>9550.0</v>
      </c>
      <c r="L627" s="67"/>
      <c r="M627" s="60"/>
      <c r="N627" s="29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idden="1">
      <c r="A628" s="2"/>
      <c r="B628" s="57" t="s">
        <v>212</v>
      </c>
      <c r="C628" s="11"/>
      <c r="D628" s="11">
        <v>90.0</v>
      </c>
      <c r="E628" s="12" t="s">
        <v>45</v>
      </c>
      <c r="F628" s="13">
        <f>'БД_УСЛУГИ_РО'!P513</f>
        <v>3100</v>
      </c>
      <c r="G628" s="19"/>
      <c r="H628" s="101">
        <f>'БД_УСЛУГИ_РО'!P513</f>
        <v>3100</v>
      </c>
      <c r="I628" s="2"/>
      <c r="J628" s="92" t="str">
        <f>IFERROR(__xludf.DUMMYFUNCTION("MIN(FILTER(F628:F629, F628:F629 &lt;&gt; H628:H629, F628:F629 &lt;&gt; """"))"),"#N/A")</f>
        <v>#N/A</v>
      </c>
      <c r="K628" s="84">
        <v>3100.0</v>
      </c>
      <c r="L628" s="65">
        <f>IFERROR(VLOOKUP("iPhone 12 Mini Замена дисплея (аналог)", 'РЕМОНТ_ЯБЛОК'!C:D, 2, 0), "Ошибка")</f>
        <v>6500</v>
      </c>
      <c r="M628" s="60"/>
      <c r="N628" s="29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idden="1">
      <c r="A629" s="2"/>
      <c r="B629" s="57" t="s">
        <v>212</v>
      </c>
      <c r="C629" s="11"/>
      <c r="D629" s="11">
        <v>90.0</v>
      </c>
      <c r="E629" s="12" t="s">
        <v>46</v>
      </c>
      <c r="F629" s="13">
        <f>'БД_УСЛУГИ_РО'!P513</f>
        <v>3100</v>
      </c>
      <c r="G629" s="28"/>
      <c r="H629" s="101">
        <f>'БД_УСЛУГИ_РО'!P513</f>
        <v>3100</v>
      </c>
      <c r="I629" s="2"/>
      <c r="J629" s="87"/>
      <c r="K629" s="84">
        <v>3100.0</v>
      </c>
      <c r="L629" s="67"/>
      <c r="M629" s="60"/>
      <c r="N629" s="29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idden="1">
      <c r="A630" s="2"/>
      <c r="B630" s="57" t="s">
        <v>212</v>
      </c>
      <c r="C630" s="11"/>
      <c r="D630" s="11">
        <v>90.0</v>
      </c>
      <c r="E630" s="12" t="s">
        <v>47</v>
      </c>
      <c r="F630" s="13">
        <f>'БД_УСЛУГИ_РО'!P514</f>
        <v>2700</v>
      </c>
      <c r="G630" s="29"/>
      <c r="H630" s="5"/>
      <c r="I630" s="2"/>
      <c r="J630" s="83"/>
      <c r="K630" s="84">
        <v>2700.0</v>
      </c>
      <c r="L630" s="61"/>
      <c r="M630" s="60"/>
      <c r="N630" s="29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idden="1">
      <c r="A631" s="2"/>
      <c r="B631" s="57" t="s">
        <v>212</v>
      </c>
      <c r="C631" s="11"/>
      <c r="D631" s="11">
        <v>90.0</v>
      </c>
      <c r="E631" s="12" t="s">
        <v>214</v>
      </c>
      <c r="F631" s="13">
        <f>'БД_УСЛУГИ_РО'!P515</f>
        <v>6500</v>
      </c>
      <c r="G631" s="33" t="str">
        <f>MIN(F631:F632) &amp; " - " &amp; MAX(F631:F632)</f>
        <v>6500 - 9000</v>
      </c>
      <c r="H631" s="5"/>
      <c r="I631" s="2"/>
      <c r="J631" s="85">
        <f>F631</f>
        <v>6500</v>
      </c>
      <c r="K631" s="84">
        <v>6500.0</v>
      </c>
      <c r="L631" s="61">
        <f>IFERROR(VLOOKUP("iPhone 12 Mini Переклейка (восстановление) вашего дисплея", 'РЕМОНТ_ЯБЛОК'!C:D, 2, 0), "Ошибка")</f>
        <v>6500</v>
      </c>
      <c r="M631" s="96"/>
      <c r="N631" s="29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idden="1">
      <c r="A632" s="2"/>
      <c r="B632" s="57" t="s">
        <v>212</v>
      </c>
      <c r="C632" s="11"/>
      <c r="D632" s="11">
        <v>90.0</v>
      </c>
      <c r="E632" s="12" t="s">
        <v>215</v>
      </c>
      <c r="F632" s="13">
        <f>'БД_УСЛУГИ_РО'!P516</f>
        <v>9000</v>
      </c>
      <c r="G632" s="28"/>
      <c r="H632" s="5"/>
      <c r="I632" s="2"/>
      <c r="J632" s="83"/>
      <c r="K632" s="84">
        <v>9000.0</v>
      </c>
      <c r="L632" s="61"/>
      <c r="M632" s="60"/>
      <c r="N632" s="29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idden="1">
      <c r="A633" s="2"/>
      <c r="B633" s="57" t="s">
        <v>212</v>
      </c>
      <c r="C633" s="11"/>
      <c r="D633" s="11">
        <v>90.0</v>
      </c>
      <c r="E633" s="12" t="s">
        <v>216</v>
      </c>
      <c r="F633" s="13">
        <f>'БД_УСЛУГИ_РО'!P517+'БД_ЗАПЧАСТИ'!P770</f>
        <v>7500</v>
      </c>
      <c r="G633" s="29"/>
      <c r="H633" s="101">
        <f>'БД_УСЛУГИ_РО'!P517</f>
        <v>3500</v>
      </c>
      <c r="I633" s="2"/>
      <c r="J633" s="85">
        <f>F633</f>
        <v>7500</v>
      </c>
      <c r="K633" s="84">
        <v>7500.0</v>
      </c>
      <c r="L633" s="61">
        <f>IFERROR(VLOOKUP("iPhone 12 Mini Замена основной камеры", 'РЕМОНТ_ЯБЛОК'!C:D, 2, 0), "Ошибка")</f>
        <v>7500</v>
      </c>
      <c r="M633" s="96"/>
      <c r="N633" s="29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idden="1">
      <c r="A634" s="2"/>
      <c r="B634" s="57" t="s">
        <v>212</v>
      </c>
      <c r="C634" s="11"/>
      <c r="D634" s="11">
        <v>90.0</v>
      </c>
      <c r="E634" s="12" t="s">
        <v>217</v>
      </c>
      <c r="F634" s="13">
        <f>'БД_УСЛУГИ_РО'!P518+'БД_ЗАПЧАСТИ'!P813</f>
        <v>4100</v>
      </c>
      <c r="G634" s="29"/>
      <c r="H634" s="101">
        <f>'БД_УСЛУГИ_РО'!P518</f>
        <v>4100</v>
      </c>
      <c r="I634" s="2"/>
      <c r="J634" s="83"/>
      <c r="K634" s="84">
        <v>4100.0</v>
      </c>
      <c r="L634" s="61"/>
      <c r="M634" s="60"/>
      <c r="N634" s="29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idden="1">
      <c r="A635" s="2"/>
      <c r="B635" s="57" t="s">
        <v>212</v>
      </c>
      <c r="C635" s="11"/>
      <c r="D635" s="11">
        <v>180.0</v>
      </c>
      <c r="E635" s="12" t="s">
        <v>52</v>
      </c>
      <c r="F635" s="13">
        <f>'БД_УСЛУГИ_РО'!P519+'БД_ЗАПЧАСТИ'!P549</f>
        <v>2600</v>
      </c>
      <c r="G635" s="29"/>
      <c r="H635" s="101">
        <f>'БД_УСЛУГИ_РО'!P519</f>
        <v>2400</v>
      </c>
      <c r="I635" s="2"/>
      <c r="J635" s="85">
        <f t="shared" ref="J635:J638" si="47">F635</f>
        <v>2600</v>
      </c>
      <c r="K635" s="93">
        <v>2600.0</v>
      </c>
      <c r="L635" s="61">
        <f>IFERROR(VLOOKUP("iPhone 12 Mini Замена стекла камеры", 'РЕМОНТ_ЯБЛОК'!C:D, 2, 0), "Ошибка")</f>
        <v>2500</v>
      </c>
      <c r="M635" s="105"/>
      <c r="N635" s="33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idden="1">
      <c r="A636" s="2"/>
      <c r="B636" s="57" t="s">
        <v>212</v>
      </c>
      <c r="C636" s="11"/>
      <c r="D636" s="11">
        <v>90.0</v>
      </c>
      <c r="E636" s="12" t="s">
        <v>53</v>
      </c>
      <c r="F636" s="13">
        <f>'БД_УСЛУГИ_РО'!P520</f>
        <v>5800</v>
      </c>
      <c r="G636" s="29"/>
      <c r="H636" s="5"/>
      <c r="I636" s="2"/>
      <c r="J636" s="85">
        <f t="shared" si="47"/>
        <v>5800</v>
      </c>
      <c r="K636" s="93">
        <v>5800.0</v>
      </c>
      <c r="L636" s="61">
        <f>IFERROR(VLOOKUP("iPhone 12 Mini Ремонт (восстановление) Face id", 'РЕМОНТ_ЯБЛОК'!C:D, 2, 0), "Ошибка")</f>
        <v>9500</v>
      </c>
      <c r="M636" s="105"/>
      <c r="N636" s="33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idden="1">
      <c r="A637" s="2"/>
      <c r="B637" s="57" t="s">
        <v>212</v>
      </c>
      <c r="C637" s="11"/>
      <c r="D637" s="11">
        <v>180.0</v>
      </c>
      <c r="E637" s="12" t="s">
        <v>55</v>
      </c>
      <c r="F637" s="13">
        <f>'БД_УСЛУГИ_РО'!P521+'БД_ЗАПЧАСТИ'!P368</f>
        <v>6500</v>
      </c>
      <c r="G637" s="29"/>
      <c r="H637" s="101">
        <f>'БД_УСЛУГИ_РО'!P521</f>
        <v>5000</v>
      </c>
      <c r="I637" s="2"/>
      <c r="J637" s="85">
        <f t="shared" si="47"/>
        <v>6500</v>
      </c>
      <c r="K637" s="93">
        <v>6500.0</v>
      </c>
      <c r="L637" s="61">
        <f>IFERROR(VLOOKUP("iPhone 12 Mini Замена задней крышки", 'РЕМОНТ_ЯБЛОК'!C:D, 2, 0), "Ошибка")</f>
        <v>6500</v>
      </c>
      <c r="M637" s="105"/>
      <c r="N637" s="33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idden="1">
      <c r="A638" s="2"/>
      <c r="B638" s="57" t="s">
        <v>212</v>
      </c>
      <c r="C638" s="11"/>
      <c r="D638" s="11">
        <v>180.0</v>
      </c>
      <c r="E638" s="12" t="s">
        <v>56</v>
      </c>
      <c r="F638" s="13">
        <f>'БД_УСЛУГИ_РО'!P522</f>
        <v>4000</v>
      </c>
      <c r="G638" s="29"/>
      <c r="H638" s="101">
        <f>'БД_УСЛУГИ_РО'!P522</f>
        <v>4000</v>
      </c>
      <c r="I638" s="2"/>
      <c r="J638" s="85">
        <f t="shared" si="47"/>
        <v>4000</v>
      </c>
      <c r="K638" s="93">
        <v>4000.0</v>
      </c>
      <c r="L638" s="61">
        <f>IFERROR(VLOOKUP("iPhone 12 Mini Замена корпуса", 'РЕМОНТ_ЯБЛОК'!C:D, 2, 0), "Ошибка")</f>
        <v>8000</v>
      </c>
      <c r="M638" s="105"/>
      <c r="N638" s="33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idden="1">
      <c r="A639" s="2"/>
      <c r="B639" s="57" t="s">
        <v>212</v>
      </c>
      <c r="C639" s="11"/>
      <c r="D639" s="11">
        <v>90.0</v>
      </c>
      <c r="E639" s="12" t="s">
        <v>59</v>
      </c>
      <c r="F639" s="13">
        <f>'БД_УСЛУГИ_РО'!P523</f>
        <v>3000</v>
      </c>
      <c r="G639" s="29"/>
      <c r="H639" s="5"/>
      <c r="I639" s="2"/>
      <c r="J639" s="83"/>
      <c r="K639" s="84">
        <v>3000.0</v>
      </c>
      <c r="L639" s="61"/>
      <c r="M639" s="60"/>
      <c r="N639" s="29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idden="1">
      <c r="A640" s="2"/>
      <c r="B640" s="57" t="s">
        <v>212</v>
      </c>
      <c r="C640" s="11"/>
      <c r="D640" s="11">
        <v>90.0</v>
      </c>
      <c r="E640" s="12" t="s">
        <v>218</v>
      </c>
      <c r="F640" s="13">
        <f>'БД_УСЛУГИ_РО'!P524+'БД_ЗАПЧАСТИ'!P898</f>
        <v>3000</v>
      </c>
      <c r="G640" s="29"/>
      <c r="H640" s="101">
        <f>'БД_УСЛУГИ_РО'!P524</f>
        <v>3000</v>
      </c>
      <c r="I640" s="2"/>
      <c r="J640" s="85">
        <f t="shared" ref="J640:J641" si="48">F640</f>
        <v>3000</v>
      </c>
      <c r="K640" s="84">
        <v>3000.0</v>
      </c>
      <c r="L640" s="61">
        <f>IFERROR(VLOOKUP("iPhone 12 Mini Замена динамика", 'РЕМОНТ_ЯБЛОК'!C:D, 2, 0), "Ошибка")</f>
        <v>4000</v>
      </c>
      <c r="M640" s="96"/>
      <c r="N640" s="29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idden="1">
      <c r="A641" s="2"/>
      <c r="B641" s="57" t="s">
        <v>212</v>
      </c>
      <c r="C641" s="11"/>
      <c r="D641" s="11">
        <v>90.0</v>
      </c>
      <c r="E641" s="12" t="s">
        <v>219</v>
      </c>
      <c r="F641" s="13">
        <f>'БД_УСЛУГИ_РО'!P525+'БД_ЗАПЧАСТИ'!P858</f>
        <v>3000</v>
      </c>
      <c r="G641" s="29"/>
      <c r="H641" s="101">
        <f>'БД_УСЛУГИ_РО'!P525</f>
        <v>3000</v>
      </c>
      <c r="I641" s="2"/>
      <c r="J641" s="85">
        <f t="shared" si="48"/>
        <v>3000</v>
      </c>
      <c r="K641" s="84">
        <v>3000.0</v>
      </c>
      <c r="L641" s="61">
        <f>IFERROR(VLOOKUP("iPhone 12 Mini Замена динамика", 'РЕМОНТ_ЯБЛОК'!C:D, 2, 0), "Ошибка")</f>
        <v>4000</v>
      </c>
      <c r="M641" s="96"/>
      <c r="N641" s="29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idden="1">
      <c r="A642" s="2"/>
      <c r="B642" s="57" t="s">
        <v>212</v>
      </c>
      <c r="C642" s="11"/>
      <c r="D642" s="11">
        <v>90.0</v>
      </c>
      <c r="E642" s="32" t="s">
        <v>62</v>
      </c>
      <c r="F642" s="13">
        <f>'БД_УСЛУГИ_РО'!P526+'БД_ЗАПЧАСТИ'!P646</f>
        <v>5200</v>
      </c>
      <c r="G642" s="29"/>
      <c r="H642" s="101">
        <f>'БД_УСЛУГИ_РО'!P526</f>
        <v>3600</v>
      </c>
      <c r="I642" s="2"/>
      <c r="J642" s="83"/>
      <c r="K642" s="84">
        <v>5200.0</v>
      </c>
      <c r="L642" s="61"/>
      <c r="M642" s="60"/>
      <c r="N642" s="29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idden="1">
      <c r="A643" s="2"/>
      <c r="B643" s="57" t="s">
        <v>212</v>
      </c>
      <c r="C643" s="11"/>
      <c r="D643" s="11">
        <v>90.0</v>
      </c>
      <c r="E643" s="12" t="s">
        <v>63</v>
      </c>
      <c r="F643" s="13">
        <f>'БД_УСЛУГИ_РО'!P527</f>
        <v>3800</v>
      </c>
      <c r="G643" s="29"/>
      <c r="H643" s="5"/>
      <c r="I643" s="2"/>
      <c r="J643" s="92"/>
      <c r="K643" s="93">
        <v>3800.0</v>
      </c>
      <c r="L643" s="65"/>
      <c r="M643" s="94"/>
      <c r="N643" s="33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idden="1">
      <c r="A644" s="2"/>
      <c r="B644" s="57" t="s">
        <v>212</v>
      </c>
      <c r="C644" s="11"/>
      <c r="D644" s="11">
        <v>90.0</v>
      </c>
      <c r="E644" s="12" t="s">
        <v>64</v>
      </c>
      <c r="F644" s="13">
        <f>'БД_УСЛУГИ_РО'!P529</f>
        <v>4500</v>
      </c>
      <c r="G644" s="29"/>
      <c r="H644" s="5"/>
      <c r="I644" s="2"/>
      <c r="J644" s="92"/>
      <c r="K644" s="93">
        <v>4500.0</v>
      </c>
      <c r="L644" s="65"/>
      <c r="M644" s="94"/>
      <c r="N644" s="33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idden="1">
      <c r="A645" s="2"/>
      <c r="B645" s="57" t="s">
        <v>212</v>
      </c>
      <c r="C645" s="11"/>
      <c r="D645" s="11">
        <v>90.0</v>
      </c>
      <c r="E645" s="12" t="s">
        <v>65</v>
      </c>
      <c r="F645" s="13">
        <f>'БД_УСЛУГИ_РО'!P528+'БД_УСЛУГИ_РО'!P530</f>
        <v>11800</v>
      </c>
      <c r="G645" s="29"/>
      <c r="H645" s="5"/>
      <c r="I645" s="2"/>
      <c r="J645" s="92"/>
      <c r="K645" s="93">
        <v>11800.0</v>
      </c>
      <c r="L645" s="65"/>
      <c r="M645" s="94"/>
      <c r="N645" s="33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idden="1">
      <c r="A646" s="2"/>
      <c r="B646" s="69" t="s">
        <v>212</v>
      </c>
      <c r="C646" s="36"/>
      <c r="D646" s="36">
        <v>90.0</v>
      </c>
      <c r="E646" s="70" t="s">
        <v>66</v>
      </c>
      <c r="F646" s="38">
        <f>'БД_УСЛУГИ_РО'!P528+'БД_УСЛУГИ_РО'!P531</f>
        <v>11300</v>
      </c>
      <c r="G646" s="39"/>
      <c r="H646" s="5"/>
      <c r="I646" s="2"/>
      <c r="J646" s="91"/>
      <c r="K646" s="89">
        <v>11300.0</v>
      </c>
      <c r="L646" s="73"/>
      <c r="M646" s="74"/>
      <c r="N646" s="39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idden="1">
      <c r="A647" s="2"/>
      <c r="B647" s="1"/>
      <c r="C647" s="1"/>
      <c r="D647" s="95"/>
      <c r="E647" s="30"/>
      <c r="F647" s="80"/>
      <c r="G647" s="76"/>
      <c r="H647" s="5"/>
      <c r="I647" s="2"/>
      <c r="J647" s="2"/>
      <c r="K647" s="2" t="s">
        <v>22</v>
      </c>
      <c r="L647" s="2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idden="1">
      <c r="A648" s="2"/>
      <c r="B648" s="41" t="s">
        <v>220</v>
      </c>
      <c r="C648" s="42"/>
      <c r="D648" s="42">
        <v>0.0</v>
      </c>
      <c r="E648" s="51" t="s">
        <v>24</v>
      </c>
      <c r="F648" s="44">
        <f>'БД_УСЛУГИ_РО'!P532</f>
        <v>1</v>
      </c>
      <c r="G648" s="78"/>
      <c r="H648" s="5"/>
      <c r="I648" s="2"/>
      <c r="J648" s="81"/>
      <c r="K648" s="82">
        <v>1.0</v>
      </c>
      <c r="L648" s="55"/>
      <c r="M648" s="56"/>
      <c r="N648" s="5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idden="1">
      <c r="A649" s="2"/>
      <c r="B649" s="57" t="s">
        <v>220</v>
      </c>
      <c r="C649" s="11"/>
      <c r="D649" s="11">
        <v>0.0</v>
      </c>
      <c r="E649" s="12" t="s">
        <v>26</v>
      </c>
      <c r="F649" s="13">
        <f>'БД_УСЛУГИ_РО'!P533+'БД_УСЛУГИ_РО'!P534</f>
        <v>1500</v>
      </c>
      <c r="G649" s="29"/>
      <c r="H649" s="5"/>
      <c r="I649" s="2"/>
      <c r="J649" s="83"/>
      <c r="K649" s="84">
        <v>1500.0</v>
      </c>
      <c r="L649" s="61"/>
      <c r="M649" s="60"/>
      <c r="N649" s="29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idden="1">
      <c r="A650" s="2"/>
      <c r="B650" s="57" t="s">
        <v>220</v>
      </c>
      <c r="C650" s="11"/>
      <c r="D650" s="11">
        <v>0.0</v>
      </c>
      <c r="E650" s="32" t="s">
        <v>27</v>
      </c>
      <c r="F650" s="13">
        <f>'БД_УСЛУГИ_РО'!P535</f>
        <v>700</v>
      </c>
      <c r="G650" s="33" t="str">
        <f>MIN(F650:F651) &amp; " - " &amp; MAX(F650:F651)</f>
        <v>700 - 3300</v>
      </c>
      <c r="H650" s="5"/>
      <c r="I650" s="2"/>
      <c r="J650" s="83"/>
      <c r="K650" s="84">
        <v>700.0</v>
      </c>
      <c r="L650" s="61"/>
      <c r="M650" s="60"/>
      <c r="N650" s="29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idden="1">
      <c r="A651" s="2"/>
      <c r="B651" s="57" t="s">
        <v>220</v>
      </c>
      <c r="C651" s="11"/>
      <c r="D651" s="11">
        <v>0.0</v>
      </c>
      <c r="E651" s="32" t="s">
        <v>28</v>
      </c>
      <c r="F651" s="13">
        <f>'БД_УСЛУГИ_РО'!P536</f>
        <v>3300</v>
      </c>
      <c r="G651" s="28"/>
      <c r="H651" s="5"/>
      <c r="I651" s="2"/>
      <c r="J651" s="83"/>
      <c r="K651" s="84">
        <v>3300.0</v>
      </c>
      <c r="L651" s="61"/>
      <c r="M651" s="60"/>
      <c r="N651" s="29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idden="1">
      <c r="A652" s="2"/>
      <c r="B652" s="57" t="s">
        <v>220</v>
      </c>
      <c r="C652" s="11"/>
      <c r="D652" s="11">
        <v>180.0</v>
      </c>
      <c r="E652" s="12" t="s">
        <v>202</v>
      </c>
      <c r="F652" s="13">
        <f>'БД_УСЛУГИ_РО'!P537+'БД_ЗАПЧАСТИ'!P31</f>
        <v>10000</v>
      </c>
      <c r="G652" s="33" t="str">
        <f>IFERROR(__xludf.DUMMYFUNCTION("MIN(FILTER(F652:F657, F652:F657 &lt;&gt; H652:H657)) &amp; "" - "" &amp; MAX(FILTER(F652:F657, F652:F657 &lt;&gt; H652:H657))"),"4400 - 10000")</f>
        <v>4400 - 10000</v>
      </c>
      <c r="H652" s="101">
        <f>'БД_УСЛУГИ_РО'!P537</f>
        <v>3400</v>
      </c>
      <c r="I652" s="2"/>
      <c r="J652" s="86">
        <f>IFERROR(__xludf.DUMMYFUNCTION("MIN(FILTER(F652:F657, F652:F657 &lt;&gt; H652:H657, F652:F657 &lt;&gt; """"))"),4400.0)</f>
        <v>4400</v>
      </c>
      <c r="K652" s="84">
        <v>10000.0</v>
      </c>
      <c r="L652" s="65" t="str">
        <f>IFERROR(VLOOKUP("iPhone 12 Pro Замена аккумулятора (2815 mAh) Standard", 'РЕМОНТ_ЯБЛОК'!C:D, 2, 0), "Ошибка") &amp; " | " &amp; IFERROR(VLOOKUP("iPhone 12 Pro Замена аккумулятора (3310mAh) (повышенная емкость)", 'РЕМОНТ_ЯБЛОК'!C:D, 2, 0), "Ошибка")</f>
        <v>4000 | 5000</v>
      </c>
      <c r="M652" s="60"/>
      <c r="N652" s="29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idden="1">
      <c r="A653" s="2"/>
      <c r="B653" s="57" t="s">
        <v>220</v>
      </c>
      <c r="C653" s="11"/>
      <c r="D653" s="11">
        <v>180.0</v>
      </c>
      <c r="E653" s="12" t="s">
        <v>203</v>
      </c>
      <c r="F653" s="13">
        <f>'БД_УСЛУГИ_РО'!P537+'БД_ЗАПЧАСТИ'!P32</f>
        <v>6400</v>
      </c>
      <c r="G653" s="19"/>
      <c r="H653" s="101">
        <f>'БД_УСЛУГИ_РО'!P537</f>
        <v>3400</v>
      </c>
      <c r="I653" s="2"/>
      <c r="J653" s="103"/>
      <c r="K653" s="84">
        <v>6400.0</v>
      </c>
      <c r="L653" s="104"/>
      <c r="M653" s="60"/>
      <c r="N653" s="29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idden="1">
      <c r="A654" s="2"/>
      <c r="B654" s="57" t="s">
        <v>220</v>
      </c>
      <c r="C654" s="11"/>
      <c r="D654" s="11">
        <v>180.0</v>
      </c>
      <c r="E654" s="12" t="s">
        <v>32</v>
      </c>
      <c r="F654" s="13">
        <f>'БД_УСЛУГИ_РО'!P537+'БД_ЗАПЧАСТИ'!P33</f>
        <v>5900</v>
      </c>
      <c r="G654" s="19"/>
      <c r="H654" s="101">
        <f>'БД_УСЛУГИ_РО'!P537</f>
        <v>3400</v>
      </c>
      <c r="I654" s="2"/>
      <c r="J654" s="103"/>
      <c r="K654" s="84">
        <v>5900.0</v>
      </c>
      <c r="L654" s="104"/>
      <c r="M654" s="60"/>
      <c r="N654" s="29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idden="1">
      <c r="A655" s="2"/>
      <c r="B655" s="57" t="s">
        <v>220</v>
      </c>
      <c r="C655" s="11"/>
      <c r="D655" s="11">
        <v>180.0</v>
      </c>
      <c r="E655" s="12" t="s">
        <v>33</v>
      </c>
      <c r="F655" s="13">
        <f>'БД_УСЛУГИ_РО'!P537+'БД_ЗАПЧАСТИ'!P34</f>
        <v>4900</v>
      </c>
      <c r="G655" s="19"/>
      <c r="H655" s="101">
        <f>'БД_УСЛУГИ_РО'!P537</f>
        <v>3400</v>
      </c>
      <c r="I655" s="2"/>
      <c r="J655" s="103"/>
      <c r="K655" s="84">
        <v>4900.0</v>
      </c>
      <c r="L655" s="104"/>
      <c r="M655" s="60"/>
      <c r="N655" s="29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idden="1">
      <c r="A656" s="2"/>
      <c r="B656" s="57" t="s">
        <v>220</v>
      </c>
      <c r="C656" s="11"/>
      <c r="D656" s="11">
        <v>180.0</v>
      </c>
      <c r="E656" s="12" t="s">
        <v>34</v>
      </c>
      <c r="F656" s="13">
        <f>'БД_УСЛУГИ_РО'!P537+'БД_ЗАПЧАСТИ'!P35</f>
        <v>4400</v>
      </c>
      <c r="G656" s="19"/>
      <c r="H656" s="101">
        <f>'БД_УСЛУГИ_РО'!P537</f>
        <v>3400</v>
      </c>
      <c r="I656" s="2"/>
      <c r="J656" s="87"/>
      <c r="K656" s="84">
        <v>4400.0</v>
      </c>
      <c r="L656" s="67"/>
      <c r="M656" s="60"/>
      <c r="N656" s="29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idden="1">
      <c r="A657" s="2"/>
      <c r="B657" s="57" t="s">
        <v>220</v>
      </c>
      <c r="C657" s="11"/>
      <c r="D657" s="11">
        <v>180.0</v>
      </c>
      <c r="E657" s="12" t="s">
        <v>35</v>
      </c>
      <c r="F657" s="13">
        <f>'БД_УСЛУГИ_РО'!P537+'БД_УСЛУГИ_РО'!P538+'БД_ЗАПЧАСТИ'!P35</f>
        <v>7100</v>
      </c>
      <c r="G657" s="28"/>
      <c r="H657" s="101">
        <f>'БД_УСЛУГИ_РО'!P537+'БД_УСЛУГИ_РО'!P538</f>
        <v>6100</v>
      </c>
      <c r="I657" s="2"/>
      <c r="J657" s="83"/>
      <c r="K657" s="84">
        <v>7100.0</v>
      </c>
      <c r="L657" s="61"/>
      <c r="M657" s="60"/>
      <c r="N657" s="29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idden="1">
      <c r="A658" s="2"/>
      <c r="B658" s="57" t="s">
        <v>220</v>
      </c>
      <c r="C658" s="11"/>
      <c r="D658" s="11">
        <v>90.0</v>
      </c>
      <c r="E658" s="12" t="s">
        <v>221</v>
      </c>
      <c r="F658" s="13">
        <f>'БД_УСЛУГИ_РО'!P539+'БД_ЗАПЧАСТИ'!P639</f>
        <v>6000</v>
      </c>
      <c r="G658" s="29"/>
      <c r="H658" s="101">
        <f>'БД_УСЛУГИ_РО'!P539</f>
        <v>3900</v>
      </c>
      <c r="I658" s="2"/>
      <c r="J658" s="85">
        <f>F658</f>
        <v>6000</v>
      </c>
      <c r="K658" s="84">
        <v>6000.0</v>
      </c>
      <c r="L658" s="61">
        <f>IFERROR(VLOOKUP("iPhone 12 Pro Замена разъема питания", 'РЕМОНТ_ЯБЛОК'!C:D, 2, 0), "Ошибка")</f>
        <v>6000</v>
      </c>
      <c r="M658" s="96"/>
      <c r="N658" s="29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idden="1">
      <c r="A659" s="2"/>
      <c r="B659" s="57" t="s">
        <v>220</v>
      </c>
      <c r="C659" s="11"/>
      <c r="D659" s="11">
        <v>90.0</v>
      </c>
      <c r="E659" s="12" t="s">
        <v>205</v>
      </c>
      <c r="F659" s="13">
        <f>'БД_УСЛУГИ_РО'!P540+'БД_ЗАПЧАСТИ'!P200</f>
        <v>13550</v>
      </c>
      <c r="G659" s="33" t="str">
        <f>IFERROR(__xludf.DUMMYFUNCTION("MIN(FILTER(F659:F665, F659:F665 &lt;&gt; H659:H665)) &amp; "" - "" &amp; MAX(FILTER(F659:F665, F659:F665 &lt;&gt; H659:H665))"),"9800 - 13550")</f>
        <v>9800 - 13550</v>
      </c>
      <c r="H659" s="101">
        <f>'БД_УСЛУГИ_РО'!P540</f>
        <v>3400</v>
      </c>
      <c r="I659" s="2"/>
      <c r="J659" s="86">
        <f>IFERROR(__xludf.DUMMYFUNCTION("MIN(FILTER(F659:F663, F659:F663 &lt;&gt; H659:H663, F659:F663 &lt;&gt; """"))"),9800.0)</f>
        <v>9800</v>
      </c>
      <c r="K659" s="84">
        <v>13550.0</v>
      </c>
      <c r="L659" s="65">
        <f>IFERROR(VLOOKUP("iPhone 12 Pro Замена дисплея (оригинал)", 'РЕМОНТ_ЯБЛОК'!C:D, 2, 0), "Ошибка")</f>
        <v>9500</v>
      </c>
      <c r="M659" s="60"/>
      <c r="N659" s="29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idden="1">
      <c r="A660" s="2"/>
      <c r="B660" s="57" t="s">
        <v>220</v>
      </c>
      <c r="C660" s="11"/>
      <c r="D660" s="11">
        <v>90.0</v>
      </c>
      <c r="E660" s="12" t="s">
        <v>39</v>
      </c>
      <c r="F660" s="13">
        <f>'БД_УСЛУГИ_РО'!P540+'БД_ЗАПЧАСТИ'!P201</f>
        <v>12200</v>
      </c>
      <c r="G660" s="19"/>
      <c r="H660" s="101">
        <f>'БД_УСЛУГИ_РО'!P540</f>
        <v>3400</v>
      </c>
      <c r="I660" s="2"/>
      <c r="J660" s="103"/>
      <c r="K660" s="84">
        <v>12200.0</v>
      </c>
      <c r="L660" s="104"/>
      <c r="M660" s="60"/>
      <c r="N660" s="29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idden="1">
      <c r="A661" s="2"/>
      <c r="B661" s="57" t="s">
        <v>220</v>
      </c>
      <c r="C661" s="11"/>
      <c r="D661" s="11">
        <v>90.0</v>
      </c>
      <c r="E661" s="12" t="s">
        <v>40</v>
      </c>
      <c r="F661" s="13">
        <f>'БД_УСЛУГИ_РО'!P540+'БД_ЗАПЧАСТИ'!P202</f>
        <v>10100</v>
      </c>
      <c r="G661" s="19"/>
      <c r="H661" s="101">
        <f>'БД_УСЛУГИ_РО'!P540</f>
        <v>3400</v>
      </c>
      <c r="I661" s="2"/>
      <c r="J661" s="103"/>
      <c r="K661" s="84">
        <v>10100.0</v>
      </c>
      <c r="L661" s="104"/>
      <c r="M661" s="60"/>
      <c r="N661" s="29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idden="1">
      <c r="A662" s="2"/>
      <c r="B662" s="57" t="s">
        <v>220</v>
      </c>
      <c r="C662" s="11"/>
      <c r="D662" s="11">
        <v>90.0</v>
      </c>
      <c r="E662" s="12" t="s">
        <v>42</v>
      </c>
      <c r="F662" s="13">
        <f>'БД_УСЛУГИ_РО'!P540+'БД_ЗАПЧАСТИ'!P203</f>
        <v>3400</v>
      </c>
      <c r="G662" s="19"/>
      <c r="H662" s="101">
        <f>'БД_УСЛУГИ_РО'!P540</f>
        <v>3400</v>
      </c>
      <c r="I662" s="2"/>
      <c r="J662" s="103"/>
      <c r="K662" s="84">
        <v>3400.0</v>
      </c>
      <c r="L662" s="104"/>
      <c r="M662" s="60"/>
      <c r="N662" s="29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idden="1">
      <c r="A663" s="2"/>
      <c r="B663" s="57" t="s">
        <v>220</v>
      </c>
      <c r="C663" s="11"/>
      <c r="D663" s="11">
        <v>90.0</v>
      </c>
      <c r="E663" s="12" t="s">
        <v>43</v>
      </c>
      <c r="F663" s="13">
        <f>'БД_УСЛУГИ_РО'!P540+'БД_ЗАПЧАСТИ'!P204</f>
        <v>9800</v>
      </c>
      <c r="G663" s="19"/>
      <c r="H663" s="101">
        <f>'БД_УСЛУГИ_РО'!P540</f>
        <v>3400</v>
      </c>
      <c r="I663" s="2"/>
      <c r="J663" s="87"/>
      <c r="K663" s="84">
        <v>9800.0</v>
      </c>
      <c r="L663" s="67"/>
      <c r="M663" s="60"/>
      <c r="N663" s="29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idden="1">
      <c r="A664" s="2"/>
      <c r="B664" s="57" t="s">
        <v>220</v>
      </c>
      <c r="C664" s="11"/>
      <c r="D664" s="11">
        <v>90.0</v>
      </c>
      <c r="E664" s="12" t="s">
        <v>45</v>
      </c>
      <c r="F664" s="13">
        <f>'БД_УСЛУГИ_РО'!P540</f>
        <v>3400</v>
      </c>
      <c r="G664" s="19"/>
      <c r="H664" s="101">
        <f>'БД_УСЛУГИ_РО'!P540</f>
        <v>3400</v>
      </c>
      <c r="I664" s="2"/>
      <c r="J664" s="92" t="str">
        <f>IFERROR(__xludf.DUMMYFUNCTION("MIN(FILTER(F664:F665, F664:F665 &lt;&gt; H664:H665, F664:F665 &lt;&gt; """"))"),"#N/A")</f>
        <v>#N/A</v>
      </c>
      <c r="K664" s="84">
        <v>3400.0</v>
      </c>
      <c r="L664" s="65">
        <f>IFERROR(VLOOKUP("iPhone 12 Pro Замена дисплея (аналог)", 'РЕМОНТ_ЯБЛОК'!C:D, 2, 0), "Ошибка")</f>
        <v>7000</v>
      </c>
      <c r="M664" s="60"/>
      <c r="N664" s="29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idden="1">
      <c r="A665" s="2"/>
      <c r="B665" s="57" t="s">
        <v>220</v>
      </c>
      <c r="C665" s="11"/>
      <c r="D665" s="11">
        <v>90.0</v>
      </c>
      <c r="E665" s="12" t="s">
        <v>46</v>
      </c>
      <c r="F665" s="13">
        <f>'БД_УСЛУГИ_РО'!P540</f>
        <v>3400</v>
      </c>
      <c r="G665" s="28"/>
      <c r="H665" s="101">
        <f>'БД_УСЛУГИ_РО'!P540</f>
        <v>3400</v>
      </c>
      <c r="I665" s="2"/>
      <c r="J665" s="87"/>
      <c r="K665" s="84">
        <v>3400.0</v>
      </c>
      <c r="L665" s="67"/>
      <c r="M665" s="60"/>
      <c r="N665" s="29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idden="1">
      <c r="A666" s="2"/>
      <c r="B666" s="57" t="s">
        <v>220</v>
      </c>
      <c r="C666" s="11"/>
      <c r="D666" s="11">
        <v>90.0</v>
      </c>
      <c r="E666" s="12" t="s">
        <v>47</v>
      </c>
      <c r="F666" s="13">
        <f>'БД_УСЛУГИ_РО'!P541</f>
        <v>2700</v>
      </c>
      <c r="G666" s="29"/>
      <c r="H666" s="5"/>
      <c r="I666" s="2"/>
      <c r="J666" s="83"/>
      <c r="K666" s="84">
        <v>2700.0</v>
      </c>
      <c r="L666" s="61"/>
      <c r="M666" s="60"/>
      <c r="N666" s="29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idden="1">
      <c r="A667" s="2"/>
      <c r="B667" s="57" t="s">
        <v>220</v>
      </c>
      <c r="C667" s="11"/>
      <c r="D667" s="11">
        <v>90.0</v>
      </c>
      <c r="E667" s="12" t="s">
        <v>222</v>
      </c>
      <c r="F667" s="13">
        <f>'БД_УСЛУГИ_РО'!P542</f>
        <v>6500</v>
      </c>
      <c r="G667" s="33" t="str">
        <f>MIN(F667:F668) &amp; " - " &amp; MAX(F667:F668)</f>
        <v>6500 - 7200</v>
      </c>
      <c r="H667" s="5"/>
      <c r="I667" s="2"/>
      <c r="J667" s="85">
        <f>F667</f>
        <v>6500</v>
      </c>
      <c r="K667" s="84">
        <v>6500.0</v>
      </c>
      <c r="L667" s="61">
        <f>IFERROR(VLOOKUP("iPhone 12 Pro Переклейка (восстановление) вашего дисплея", 'РЕМОНТ_ЯБЛОК'!C:D, 2, 0), "Ошибка")</f>
        <v>6500</v>
      </c>
      <c r="M667" s="96"/>
      <c r="N667" s="29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idden="1">
      <c r="A668" s="2"/>
      <c r="B668" s="57" t="s">
        <v>220</v>
      </c>
      <c r="C668" s="11"/>
      <c r="D668" s="11">
        <v>90.0</v>
      </c>
      <c r="E668" s="12" t="s">
        <v>223</v>
      </c>
      <c r="F668" s="13">
        <f>'БД_УСЛУГИ_РО'!P543</f>
        <v>7200</v>
      </c>
      <c r="G668" s="28"/>
      <c r="H668" s="5"/>
      <c r="I668" s="2"/>
      <c r="J668" s="83"/>
      <c r="K668" s="84">
        <v>7200.0</v>
      </c>
      <c r="L668" s="61"/>
      <c r="M668" s="60"/>
      <c r="N668" s="29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idden="1">
      <c r="A669" s="2"/>
      <c r="B669" s="57" t="s">
        <v>220</v>
      </c>
      <c r="C669" s="11"/>
      <c r="D669" s="11">
        <v>90.0</v>
      </c>
      <c r="E669" s="12" t="s">
        <v>224</v>
      </c>
      <c r="F669" s="13">
        <f>'БД_УСЛУГИ_РО'!P544+'БД_ЗАПЧАСТИ'!P771</f>
        <v>9500</v>
      </c>
      <c r="G669" s="29"/>
      <c r="H669" s="101">
        <f>'БД_УСЛУГИ_РО'!P544</f>
        <v>3800</v>
      </c>
      <c r="I669" s="2"/>
      <c r="J669" s="85">
        <f>F669</f>
        <v>9500</v>
      </c>
      <c r="K669" s="84">
        <v>9500.0</v>
      </c>
      <c r="L669" s="61">
        <f>IFERROR(VLOOKUP("iPhone 12 Pro Замена основной камеры", 'РЕМОНТ_ЯБЛОК'!C:D, 2, 0), "Ошибка")</f>
        <v>9500</v>
      </c>
      <c r="M669" s="96"/>
      <c r="N669" s="29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idden="1">
      <c r="A670" s="2"/>
      <c r="B670" s="57" t="s">
        <v>220</v>
      </c>
      <c r="C670" s="11"/>
      <c r="D670" s="11">
        <v>90.0</v>
      </c>
      <c r="E670" s="12" t="s">
        <v>225</v>
      </c>
      <c r="F670" s="13">
        <f>'БД_УСЛУГИ_РО'!P545+'БД_ЗАПЧАСТИ'!P812</f>
        <v>6600</v>
      </c>
      <c r="G670" s="29"/>
      <c r="H670" s="101">
        <f>'БД_УСЛУГИ_РО'!P545</f>
        <v>3800</v>
      </c>
      <c r="I670" s="2"/>
      <c r="J670" s="83"/>
      <c r="K670" s="84">
        <v>6600.0</v>
      </c>
      <c r="L670" s="61"/>
      <c r="M670" s="60"/>
      <c r="N670" s="29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idden="1">
      <c r="A671" s="2"/>
      <c r="B671" s="57" t="s">
        <v>220</v>
      </c>
      <c r="C671" s="11"/>
      <c r="D671" s="11">
        <v>180.0</v>
      </c>
      <c r="E671" s="12" t="s">
        <v>52</v>
      </c>
      <c r="F671" s="13">
        <f>'БД_УСЛУГИ_РО'!P546+'БД_ЗАПЧАСТИ'!P551</f>
        <v>3100</v>
      </c>
      <c r="G671" s="29"/>
      <c r="H671" s="101">
        <f>'БД_УСЛУГИ_РО'!P546</f>
        <v>2800</v>
      </c>
      <c r="I671" s="2"/>
      <c r="J671" s="85">
        <f t="shared" ref="J671:J674" si="49">F671</f>
        <v>3100</v>
      </c>
      <c r="K671" s="93">
        <v>3100.0</v>
      </c>
      <c r="L671" s="61">
        <f>IFERROR(VLOOKUP("iPhone 12 Pro Замена стекла камеры", 'РЕМОНТ_ЯБЛОК'!C:D, 2, 0), "Ошибка")</f>
        <v>3000</v>
      </c>
      <c r="M671" s="105"/>
      <c r="N671" s="33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idden="1">
      <c r="A672" s="2"/>
      <c r="B672" s="57" t="s">
        <v>220</v>
      </c>
      <c r="C672" s="11"/>
      <c r="D672" s="11">
        <v>90.0</v>
      </c>
      <c r="E672" s="12" t="s">
        <v>53</v>
      </c>
      <c r="F672" s="13">
        <f>'БД_УСЛУГИ_РО'!P547</f>
        <v>5800</v>
      </c>
      <c r="G672" s="29"/>
      <c r="H672" s="5"/>
      <c r="I672" s="2"/>
      <c r="J672" s="85">
        <f t="shared" si="49"/>
        <v>5800</v>
      </c>
      <c r="K672" s="93">
        <v>5800.0</v>
      </c>
      <c r="L672" s="61">
        <f>IFERROR(VLOOKUP("iPhone 12 Pro Ремонт (восстановление) Face id", 'РЕМОНТ_ЯБЛОК'!C:D, 2, 0), "Ошибка")</f>
        <v>9500</v>
      </c>
      <c r="M672" s="105"/>
      <c r="N672" s="33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idden="1">
      <c r="A673" s="2"/>
      <c r="B673" s="57" t="s">
        <v>220</v>
      </c>
      <c r="C673" s="11"/>
      <c r="D673" s="11">
        <v>180.0</v>
      </c>
      <c r="E673" s="12" t="s">
        <v>55</v>
      </c>
      <c r="F673" s="13">
        <f>'БД_УСЛУГИ_РО'!P548+'БД_ЗАПЧАСТИ'!P374</f>
        <v>7000</v>
      </c>
      <c r="G673" s="29"/>
      <c r="H673" s="101">
        <f>'БД_УСЛУГИ_РО'!P548</f>
        <v>5300</v>
      </c>
      <c r="I673" s="2"/>
      <c r="J673" s="85">
        <f t="shared" si="49"/>
        <v>7000</v>
      </c>
      <c r="K673" s="93">
        <v>7000.0</v>
      </c>
      <c r="L673" s="61">
        <f>IFERROR(VLOOKUP("iPhone 12 Pro Замена задней крышки", 'РЕМОНТ_ЯБЛОК'!C:D, 2, 0), "Ошибка")</f>
        <v>7000</v>
      </c>
      <c r="M673" s="105"/>
      <c r="N673" s="33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idden="1">
      <c r="A674" s="2"/>
      <c r="B674" s="57" t="s">
        <v>220</v>
      </c>
      <c r="C674" s="11"/>
      <c r="D674" s="11">
        <v>180.0</v>
      </c>
      <c r="E674" s="12" t="s">
        <v>56</v>
      </c>
      <c r="F674" s="13">
        <f>'БД_УСЛУГИ_РО'!P549</f>
        <v>4000</v>
      </c>
      <c r="G674" s="29"/>
      <c r="H674" s="101">
        <f>'БД_УСЛУГИ_РО'!P549</f>
        <v>4000</v>
      </c>
      <c r="I674" s="2"/>
      <c r="J674" s="85">
        <f t="shared" si="49"/>
        <v>4000</v>
      </c>
      <c r="K674" s="93">
        <v>4000.0</v>
      </c>
      <c r="L674" s="61">
        <f>IFERROR(VLOOKUP("iPhone 12 Pro Замена корпуса", 'РЕМОНТ_ЯБЛОК'!C:D, 2, 0), "Ошибка")</f>
        <v>10000</v>
      </c>
      <c r="M674" s="105"/>
      <c r="N674" s="33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idden="1">
      <c r="A675" s="2"/>
      <c r="B675" s="57" t="s">
        <v>220</v>
      </c>
      <c r="C675" s="11"/>
      <c r="D675" s="11">
        <v>90.0</v>
      </c>
      <c r="E675" s="12" t="s">
        <v>59</v>
      </c>
      <c r="F675" s="13">
        <f>'БД_УСЛУГИ_РО'!P550</f>
        <v>4000</v>
      </c>
      <c r="G675" s="29"/>
      <c r="H675" s="5"/>
      <c r="I675" s="2"/>
      <c r="J675" s="83"/>
      <c r="K675" s="84">
        <v>4000.0</v>
      </c>
      <c r="L675" s="61"/>
      <c r="M675" s="60"/>
      <c r="N675" s="29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idden="1">
      <c r="A676" s="2"/>
      <c r="B676" s="57" t="s">
        <v>220</v>
      </c>
      <c r="C676" s="11"/>
      <c r="D676" s="11">
        <v>90.0</v>
      </c>
      <c r="E676" s="12" t="s">
        <v>226</v>
      </c>
      <c r="F676" s="13">
        <f>'БД_УСЛУГИ_РО'!P551+'БД_ЗАПЧАСТИ'!P897</f>
        <v>4700</v>
      </c>
      <c r="G676" s="29"/>
      <c r="H676" s="101">
        <f>'БД_УСЛУГИ_РО'!P551</f>
        <v>3700</v>
      </c>
      <c r="I676" s="2"/>
      <c r="J676" s="85">
        <f t="shared" ref="J676:J677" si="50">F676</f>
        <v>4700</v>
      </c>
      <c r="K676" s="84">
        <v>4700.0</v>
      </c>
      <c r="L676" s="61">
        <f>IFERROR(VLOOKUP("iPhone 12 Pro Замена динамика", 'РЕМОНТ_ЯБЛОК'!C:D, 2, 0), "Ошибка")</f>
        <v>4000</v>
      </c>
      <c r="M676" s="96"/>
      <c r="N676" s="29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idden="1">
      <c r="A677" s="2"/>
      <c r="B677" s="57" t="s">
        <v>220</v>
      </c>
      <c r="C677" s="11"/>
      <c r="D677" s="11">
        <v>90.0</v>
      </c>
      <c r="E677" s="12" t="s">
        <v>227</v>
      </c>
      <c r="F677" s="13">
        <f>'БД_УСЛУГИ_РО'!P552+'БД_ЗАПЧАСТИ'!P856</f>
        <v>5050</v>
      </c>
      <c r="G677" s="29"/>
      <c r="H677" s="101">
        <f>'БД_УСЛУГИ_РО'!P552</f>
        <v>3700</v>
      </c>
      <c r="I677" s="2"/>
      <c r="J677" s="85">
        <f t="shared" si="50"/>
        <v>5050</v>
      </c>
      <c r="K677" s="84">
        <v>5050.0</v>
      </c>
      <c r="L677" s="61">
        <f>IFERROR(VLOOKUP("iPhone 12 Pro Замена динамика", 'РЕМОНТ_ЯБЛОК'!C:D, 2, 0), "Ошибка")</f>
        <v>4000</v>
      </c>
      <c r="M677" s="96"/>
      <c r="N677" s="29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idden="1">
      <c r="A678" s="2"/>
      <c r="B678" s="57" t="s">
        <v>220</v>
      </c>
      <c r="C678" s="11"/>
      <c r="D678" s="11">
        <v>90.0</v>
      </c>
      <c r="E678" s="32" t="s">
        <v>62</v>
      </c>
      <c r="F678" s="13">
        <f>'БД_УСЛУГИ_РО'!P553+'БД_ЗАПЧАСТИ'!P639</f>
        <v>6400</v>
      </c>
      <c r="G678" s="29"/>
      <c r="H678" s="101">
        <f>'БД_УСЛУГИ_РО'!P553</f>
        <v>4300</v>
      </c>
      <c r="I678" s="2"/>
      <c r="J678" s="83"/>
      <c r="K678" s="84">
        <v>6400.0</v>
      </c>
      <c r="L678" s="61"/>
      <c r="M678" s="60"/>
      <c r="N678" s="29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idden="1">
      <c r="A679" s="2"/>
      <c r="B679" s="57" t="s">
        <v>220</v>
      </c>
      <c r="C679" s="11"/>
      <c r="D679" s="11">
        <v>90.0</v>
      </c>
      <c r="E679" s="12" t="s">
        <v>63</v>
      </c>
      <c r="F679" s="13">
        <f>'БД_УСЛУГИ_РО'!P554</f>
        <v>3800</v>
      </c>
      <c r="G679" s="29"/>
      <c r="H679" s="5"/>
      <c r="I679" s="2"/>
      <c r="J679" s="92"/>
      <c r="K679" s="93">
        <v>3800.0</v>
      </c>
      <c r="L679" s="65"/>
      <c r="M679" s="94"/>
      <c r="N679" s="33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idden="1">
      <c r="A680" s="2"/>
      <c r="B680" s="57" t="s">
        <v>220</v>
      </c>
      <c r="C680" s="11"/>
      <c r="D680" s="11">
        <v>90.0</v>
      </c>
      <c r="E680" s="12" t="s">
        <v>64</v>
      </c>
      <c r="F680" s="13">
        <f>'БД_УСЛУГИ_РО'!P556</f>
        <v>4500</v>
      </c>
      <c r="G680" s="29"/>
      <c r="H680" s="5"/>
      <c r="I680" s="2"/>
      <c r="J680" s="92"/>
      <c r="K680" s="93">
        <v>4500.0</v>
      </c>
      <c r="L680" s="65"/>
      <c r="M680" s="94"/>
      <c r="N680" s="33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idden="1">
      <c r="A681" s="2"/>
      <c r="B681" s="57" t="s">
        <v>220</v>
      </c>
      <c r="C681" s="11"/>
      <c r="D681" s="11">
        <v>90.0</v>
      </c>
      <c r="E681" s="12" t="s">
        <v>65</v>
      </c>
      <c r="F681" s="13">
        <f>'БД_УСЛУГИ_РО'!P555+'БД_УСЛУГИ_РО'!P557</f>
        <v>11300</v>
      </c>
      <c r="G681" s="29"/>
      <c r="H681" s="5"/>
      <c r="I681" s="2"/>
      <c r="J681" s="92"/>
      <c r="K681" s="93">
        <v>11300.0</v>
      </c>
      <c r="L681" s="65"/>
      <c r="M681" s="94"/>
      <c r="N681" s="33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idden="1">
      <c r="A682" s="2"/>
      <c r="B682" s="69" t="s">
        <v>220</v>
      </c>
      <c r="C682" s="36"/>
      <c r="D682" s="36">
        <v>90.0</v>
      </c>
      <c r="E682" s="70" t="s">
        <v>66</v>
      </c>
      <c r="F682" s="38">
        <f>'БД_УСЛУГИ_РО'!P555+'БД_УСЛУГИ_РО'!P558</f>
        <v>11800</v>
      </c>
      <c r="G682" s="39"/>
      <c r="H682" s="5"/>
      <c r="I682" s="2"/>
      <c r="J682" s="91"/>
      <c r="K682" s="89">
        <v>11800.0</v>
      </c>
      <c r="L682" s="73"/>
      <c r="M682" s="74"/>
      <c r="N682" s="39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idden="1">
      <c r="A683" s="2"/>
      <c r="B683" s="1"/>
      <c r="C683" s="1"/>
      <c r="D683" s="95"/>
      <c r="E683" s="30"/>
      <c r="F683" s="80"/>
      <c r="G683" s="76"/>
      <c r="H683" s="5"/>
      <c r="I683" s="2"/>
      <c r="J683" s="2"/>
      <c r="K683" s="2" t="s">
        <v>22</v>
      </c>
      <c r="L683" s="2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idden="1">
      <c r="A684" s="2"/>
      <c r="B684" s="41" t="s">
        <v>228</v>
      </c>
      <c r="C684" s="42"/>
      <c r="D684" s="42">
        <v>0.0</v>
      </c>
      <c r="E684" s="51" t="s">
        <v>24</v>
      </c>
      <c r="F684" s="44">
        <f>'БД_УСЛУГИ_РО'!P559</f>
        <v>1</v>
      </c>
      <c r="G684" s="78"/>
      <c r="H684" s="5"/>
      <c r="I684" s="2"/>
      <c r="J684" s="81"/>
      <c r="K684" s="82">
        <v>1.0</v>
      </c>
      <c r="L684" s="55"/>
      <c r="M684" s="56"/>
      <c r="N684" s="5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idden="1">
      <c r="A685" s="2"/>
      <c r="B685" s="57" t="s">
        <v>228</v>
      </c>
      <c r="C685" s="11"/>
      <c r="D685" s="11">
        <v>0.0</v>
      </c>
      <c r="E685" s="12" t="s">
        <v>26</v>
      </c>
      <c r="F685" s="13">
        <f>'БД_УСЛУГИ_РО'!P560+'БД_УСЛУГИ_РО'!P561</f>
        <v>1500</v>
      </c>
      <c r="G685" s="29"/>
      <c r="H685" s="5"/>
      <c r="I685" s="2"/>
      <c r="J685" s="83"/>
      <c r="K685" s="84">
        <v>1500.0</v>
      </c>
      <c r="L685" s="61"/>
      <c r="M685" s="60"/>
      <c r="N685" s="29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idden="1">
      <c r="A686" s="2"/>
      <c r="B686" s="57" t="s">
        <v>228</v>
      </c>
      <c r="C686" s="11"/>
      <c r="D686" s="11">
        <v>0.0</v>
      </c>
      <c r="E686" s="32" t="s">
        <v>27</v>
      </c>
      <c r="F686" s="13">
        <f>'БД_УСЛУГИ_РО'!P562</f>
        <v>700</v>
      </c>
      <c r="G686" s="33" t="str">
        <f>MIN(F686:F687) &amp; " - " &amp; MAX(F686:F687)</f>
        <v>700 - 3300</v>
      </c>
      <c r="H686" s="5"/>
      <c r="I686" s="2"/>
      <c r="J686" s="83"/>
      <c r="K686" s="84">
        <v>700.0</v>
      </c>
      <c r="L686" s="61"/>
      <c r="M686" s="60"/>
      <c r="N686" s="29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idden="1">
      <c r="A687" s="2"/>
      <c r="B687" s="57" t="s">
        <v>228</v>
      </c>
      <c r="C687" s="11"/>
      <c r="D687" s="11">
        <v>0.0</v>
      </c>
      <c r="E687" s="32" t="s">
        <v>28</v>
      </c>
      <c r="F687" s="13">
        <f>'БД_УСЛУГИ_РО'!P563</f>
        <v>3300</v>
      </c>
      <c r="G687" s="28"/>
      <c r="H687" s="5"/>
      <c r="I687" s="2"/>
      <c r="J687" s="83"/>
      <c r="K687" s="84">
        <v>3300.0</v>
      </c>
      <c r="L687" s="61"/>
      <c r="M687" s="60"/>
      <c r="N687" s="29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idden="1">
      <c r="A688" s="2"/>
      <c r="B688" s="57" t="s">
        <v>228</v>
      </c>
      <c r="C688" s="11"/>
      <c r="D688" s="11">
        <v>180.0</v>
      </c>
      <c r="E688" s="12" t="s">
        <v>202</v>
      </c>
      <c r="F688" s="13">
        <f>'БД_УСЛУГИ_РО'!P564+'БД_ЗАПЧАСТИ'!P42</f>
        <v>10700</v>
      </c>
      <c r="G688" s="33" t="str">
        <f>IFERROR(__xludf.DUMMYFUNCTION("MIN(FILTER(F688:F693, F688:F693 &lt;&gt; H688:H693)) &amp; "" - "" &amp; MAX(FILTER(F688:F693, F688:F693 &lt;&gt; H688:H693))"),"5000 - 10700")</f>
        <v>5000 - 10700</v>
      </c>
      <c r="H688" s="101">
        <f>'БД_УСЛУГИ_РО'!P564</f>
        <v>3400</v>
      </c>
      <c r="I688" s="2"/>
      <c r="J688" s="86">
        <f>IFERROR(__xludf.DUMMYFUNCTION("MIN(FILTER(F688:F693, F688:F693 &lt;&gt; H688:H693, F688:F693 &lt;&gt; """"))"),5000.0)</f>
        <v>5000</v>
      </c>
      <c r="K688" s="84">
        <v>10700.0</v>
      </c>
      <c r="L688" s="65" t="str">
        <f>IFERROR(VLOOKUP("iPhone 12 Pro Max Замена аккумулятора (3687 mAh) Standart", 'РЕМОНТ_ЯБЛОК'!C:D, 2, 0), "Ошибка") &amp; " | " &amp; IFERROR(VLOOKUP("iPhone 12 Pro Max Замена аккумулятора (4410 mAh) повышенная емкость", 'РЕМОНТ_ЯБЛОК'!C:D, 2, 0), "Ошибка")</f>
        <v>5000 | 6000</v>
      </c>
      <c r="M688" s="60"/>
      <c r="N688" s="29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idden="1">
      <c r="A689" s="2"/>
      <c r="B689" s="57" t="s">
        <v>228</v>
      </c>
      <c r="C689" s="11"/>
      <c r="D689" s="11">
        <v>180.0</v>
      </c>
      <c r="E689" s="12" t="s">
        <v>203</v>
      </c>
      <c r="F689" s="13">
        <f>'БД_УСЛУГИ_РО'!P564+'БД_ЗАПЧАСТИ'!P43</f>
        <v>7000</v>
      </c>
      <c r="G689" s="19"/>
      <c r="H689" s="101">
        <f>'БД_УСЛУГИ_РО'!P564</f>
        <v>3400</v>
      </c>
      <c r="I689" s="2"/>
      <c r="J689" s="103"/>
      <c r="K689" s="84">
        <v>7000.0</v>
      </c>
      <c r="L689" s="104"/>
      <c r="M689" s="60"/>
      <c r="N689" s="29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idden="1">
      <c r="A690" s="2"/>
      <c r="B690" s="57" t="s">
        <v>228</v>
      </c>
      <c r="C690" s="11"/>
      <c r="D690" s="11">
        <v>180.0</v>
      </c>
      <c r="E690" s="12" t="s">
        <v>32</v>
      </c>
      <c r="F690" s="13">
        <f>'БД_УСЛУГИ_РО'!P564+'БД_ЗАПЧАСТИ'!P44</f>
        <v>6500</v>
      </c>
      <c r="G690" s="19"/>
      <c r="H690" s="101">
        <f>'БД_УСЛУГИ_РО'!P564</f>
        <v>3400</v>
      </c>
      <c r="I690" s="2"/>
      <c r="J690" s="103"/>
      <c r="K690" s="84">
        <v>6500.0</v>
      </c>
      <c r="L690" s="104"/>
      <c r="M690" s="60"/>
      <c r="N690" s="29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idden="1">
      <c r="A691" s="2"/>
      <c r="B691" s="57" t="s">
        <v>228</v>
      </c>
      <c r="C691" s="11"/>
      <c r="D691" s="11">
        <v>180.0</v>
      </c>
      <c r="E691" s="12" t="s">
        <v>33</v>
      </c>
      <c r="F691" s="13">
        <f>'БД_УСЛУГИ_РО'!P564+'БД_ЗАПЧАСТИ'!P45</f>
        <v>5500</v>
      </c>
      <c r="G691" s="19"/>
      <c r="H691" s="101">
        <f>'БД_УСЛУГИ_РО'!P564</f>
        <v>3400</v>
      </c>
      <c r="I691" s="2"/>
      <c r="J691" s="103"/>
      <c r="K691" s="84">
        <v>5500.0</v>
      </c>
      <c r="L691" s="104"/>
      <c r="M691" s="60"/>
      <c r="N691" s="29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idden="1">
      <c r="A692" s="2"/>
      <c r="B692" s="57" t="s">
        <v>228</v>
      </c>
      <c r="C692" s="11"/>
      <c r="D692" s="11">
        <v>180.0</v>
      </c>
      <c r="E692" s="12" t="s">
        <v>34</v>
      </c>
      <c r="F692" s="13">
        <f>'БД_УСЛУГИ_РО'!P564+'БД_ЗАПЧАСТИ'!P46</f>
        <v>5000</v>
      </c>
      <c r="G692" s="19"/>
      <c r="H692" s="101">
        <f>'БД_УСЛУГИ_РО'!P564</f>
        <v>3400</v>
      </c>
      <c r="I692" s="2"/>
      <c r="J692" s="87"/>
      <c r="K692" s="84">
        <v>5000.0</v>
      </c>
      <c r="L692" s="67"/>
      <c r="M692" s="60"/>
      <c r="N692" s="29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idden="1">
      <c r="A693" s="2"/>
      <c r="B693" s="57" t="s">
        <v>228</v>
      </c>
      <c r="C693" s="11"/>
      <c r="D693" s="11">
        <v>180.0</v>
      </c>
      <c r="E693" s="12" t="s">
        <v>35</v>
      </c>
      <c r="F693" s="13">
        <f>'БД_УСЛУГИ_РО'!P564+'БД_УСЛУГИ_РО'!P565+'БД_ЗАПЧАСТИ'!P46</f>
        <v>7700</v>
      </c>
      <c r="G693" s="28"/>
      <c r="H693" s="101">
        <f>'БД_УСЛУГИ_РО'!P564+'БД_УСЛУГИ_РО'!P565</f>
        <v>6100</v>
      </c>
      <c r="I693" s="2"/>
      <c r="J693" s="83"/>
      <c r="K693" s="84">
        <v>7700.0</v>
      </c>
      <c r="L693" s="61"/>
      <c r="M693" s="60"/>
      <c r="N693" s="29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idden="1">
      <c r="A694" s="2"/>
      <c r="B694" s="57" t="s">
        <v>228</v>
      </c>
      <c r="C694" s="11"/>
      <c r="D694" s="11">
        <v>90.0</v>
      </c>
      <c r="E694" s="12" t="s">
        <v>229</v>
      </c>
      <c r="F694" s="13">
        <f>'БД_УСЛУГИ_РО'!P566+'БД_ЗАПЧАСТИ'!P652</f>
        <v>6500</v>
      </c>
      <c r="G694" s="29"/>
      <c r="H694" s="101">
        <f>'БД_УСЛУГИ_РО'!P566</f>
        <v>3900</v>
      </c>
      <c r="I694" s="2"/>
      <c r="J694" s="85">
        <f>F694</f>
        <v>6500</v>
      </c>
      <c r="K694" s="84">
        <v>6500.0</v>
      </c>
      <c r="L694" s="61">
        <f>IFERROR(VLOOKUP("iPhone 12 Pro Max Замена разъема питания", 'РЕМОНТ_ЯБЛОК'!C:D, 2, 0), "Ошибка")</f>
        <v>6500</v>
      </c>
      <c r="M694" s="96"/>
      <c r="N694" s="29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idden="1">
      <c r="A695" s="2"/>
      <c r="B695" s="57" t="s">
        <v>228</v>
      </c>
      <c r="C695" s="11"/>
      <c r="D695" s="11">
        <v>90.0</v>
      </c>
      <c r="E695" s="12" t="s">
        <v>205</v>
      </c>
      <c r="F695" s="13">
        <f>'БД_УСЛУГИ_РО'!P567+'БД_ЗАПЧАСТИ'!P210</f>
        <v>3400</v>
      </c>
      <c r="G695" s="33" t="str">
        <f>IFERROR(__xludf.DUMMYFUNCTION("MIN(FILTER(F695:F701, F695:F701 &lt;&gt; H695:H701)) &amp; "" - "" &amp; MAX(FILTER(F695:F701, F695:F701 &lt;&gt; H695:H701))"),"16000 - 16500")</f>
        <v>16000 - 16500</v>
      </c>
      <c r="H695" s="101">
        <f>'БД_УСЛУГИ_РО'!P567</f>
        <v>3400</v>
      </c>
      <c r="I695" s="2"/>
      <c r="J695" s="86">
        <f>IFERROR(__xludf.DUMMYFUNCTION("MIN(FILTER(F695:F699, F695:F699 &lt;&gt; H695:H699, F695:F699 &lt;&gt; """"))"),16000.0)</f>
        <v>16000</v>
      </c>
      <c r="K695" s="84">
        <v>3400.0</v>
      </c>
      <c r="L695" s="65">
        <f>IFERROR(VLOOKUP("iPhone 12 Pro Max Замена дисплея (оригинал)", 'РЕМОНТ_ЯБЛОК'!C:D, 2, 0), "Ошибка")</f>
        <v>16000</v>
      </c>
      <c r="M695" s="60"/>
      <c r="N695" s="29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idden="1">
      <c r="A696" s="2"/>
      <c r="B696" s="57" t="s">
        <v>228</v>
      </c>
      <c r="C696" s="11"/>
      <c r="D696" s="11">
        <v>90.0</v>
      </c>
      <c r="E696" s="12" t="s">
        <v>39</v>
      </c>
      <c r="F696" s="13">
        <f>'БД_УСЛУГИ_РО'!P567+'БД_ЗАПЧАСТИ'!P211</f>
        <v>3400</v>
      </c>
      <c r="G696" s="19"/>
      <c r="H696" s="101">
        <f>'БД_УСЛУГИ_РО'!P567</f>
        <v>3400</v>
      </c>
      <c r="I696" s="2"/>
      <c r="J696" s="103"/>
      <c r="K696" s="84">
        <v>3400.0</v>
      </c>
      <c r="L696" s="104"/>
      <c r="M696" s="60"/>
      <c r="N696" s="29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idden="1">
      <c r="A697" s="2"/>
      <c r="B697" s="57" t="s">
        <v>228</v>
      </c>
      <c r="C697" s="11"/>
      <c r="D697" s="11">
        <v>90.0</v>
      </c>
      <c r="E697" s="12" t="s">
        <v>40</v>
      </c>
      <c r="F697" s="13">
        <f>'БД_УСЛУГИ_РО'!P567+'БД_ЗАПЧАСТИ'!P212</f>
        <v>16500</v>
      </c>
      <c r="G697" s="19"/>
      <c r="H697" s="101">
        <f>'БД_УСЛУГИ_РО'!P567</f>
        <v>3400</v>
      </c>
      <c r="I697" s="2"/>
      <c r="J697" s="103"/>
      <c r="K697" s="84">
        <v>16500.0</v>
      </c>
      <c r="L697" s="104"/>
      <c r="M697" s="60"/>
      <c r="N697" s="29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idden="1">
      <c r="A698" s="2"/>
      <c r="B698" s="57" t="s">
        <v>228</v>
      </c>
      <c r="C698" s="11"/>
      <c r="D698" s="11">
        <v>90.0</v>
      </c>
      <c r="E698" s="12" t="s">
        <v>42</v>
      </c>
      <c r="F698" s="13">
        <f>'БД_УСЛУГИ_РО'!P567+'БД_ЗАПЧАСТИ'!P213</f>
        <v>3400</v>
      </c>
      <c r="G698" s="19"/>
      <c r="H698" s="101">
        <f>'БД_УСЛУГИ_РО'!P567</f>
        <v>3400</v>
      </c>
      <c r="I698" s="2"/>
      <c r="J698" s="103"/>
      <c r="K698" s="84">
        <v>3400.0</v>
      </c>
      <c r="L698" s="104"/>
      <c r="M698" s="60"/>
      <c r="N698" s="29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idden="1">
      <c r="A699" s="2"/>
      <c r="B699" s="57" t="s">
        <v>228</v>
      </c>
      <c r="C699" s="11"/>
      <c r="D699" s="11">
        <v>90.0</v>
      </c>
      <c r="E699" s="12" t="s">
        <v>43</v>
      </c>
      <c r="F699" s="13">
        <f>'БД_УСЛУГИ_РО'!P567+'БД_ЗАПЧАСТИ'!P214</f>
        <v>16000</v>
      </c>
      <c r="G699" s="19"/>
      <c r="H699" s="101">
        <f>'БД_УСЛУГИ_РО'!P567</f>
        <v>3400</v>
      </c>
      <c r="I699" s="2"/>
      <c r="J699" s="87"/>
      <c r="K699" s="84">
        <v>16000.0</v>
      </c>
      <c r="L699" s="67"/>
      <c r="M699" s="60"/>
      <c r="N699" s="29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idden="1">
      <c r="A700" s="2"/>
      <c r="B700" s="57" t="s">
        <v>228</v>
      </c>
      <c r="C700" s="11"/>
      <c r="D700" s="11">
        <v>90.0</v>
      </c>
      <c r="E700" s="12" t="s">
        <v>45</v>
      </c>
      <c r="F700" s="13">
        <f>'БД_УСЛУГИ_РО'!P567</f>
        <v>3400</v>
      </c>
      <c r="G700" s="19"/>
      <c r="H700" s="101">
        <f>'БД_УСЛУГИ_РО'!P567</f>
        <v>3400</v>
      </c>
      <c r="I700" s="2"/>
      <c r="J700" s="92" t="str">
        <f>IFERROR(__xludf.DUMMYFUNCTION("MIN(FILTER(F700:F701, F700:F701 &lt;&gt; H700:H701, F700:F701 &lt;&gt; """"))"),"#N/A")</f>
        <v>#N/A</v>
      </c>
      <c r="K700" s="84">
        <v>3400.0</v>
      </c>
      <c r="L700" s="65">
        <f>IFERROR(VLOOKUP("iPhone 12 Pro Max Замена дисплея (аналог)", 'РЕМОНТ_ЯБЛОК'!C:D, 2, 0), "Ошибка")</f>
        <v>9500</v>
      </c>
      <c r="M700" s="60"/>
      <c r="N700" s="29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idden="1">
      <c r="A701" s="2"/>
      <c r="B701" s="57" t="s">
        <v>228</v>
      </c>
      <c r="C701" s="11"/>
      <c r="D701" s="11">
        <v>90.0</v>
      </c>
      <c r="E701" s="12" t="s">
        <v>46</v>
      </c>
      <c r="F701" s="13">
        <f>'БД_УСЛУГИ_РО'!P567</f>
        <v>3400</v>
      </c>
      <c r="G701" s="28"/>
      <c r="H701" s="101">
        <f>'БД_УСЛУГИ_РО'!P567</f>
        <v>3400</v>
      </c>
      <c r="I701" s="2"/>
      <c r="J701" s="87"/>
      <c r="K701" s="84">
        <v>3400.0</v>
      </c>
      <c r="L701" s="67"/>
      <c r="M701" s="60"/>
      <c r="N701" s="29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idden="1">
      <c r="A702" s="2"/>
      <c r="B702" s="57" t="s">
        <v>228</v>
      </c>
      <c r="C702" s="11"/>
      <c r="D702" s="11">
        <v>90.0</v>
      </c>
      <c r="E702" s="12" t="s">
        <v>47</v>
      </c>
      <c r="F702" s="13">
        <f>'БД_УСЛУГИ_РО'!P568</f>
        <v>2700</v>
      </c>
      <c r="G702" s="29"/>
      <c r="H702" s="5"/>
      <c r="I702" s="2"/>
      <c r="J702" s="83"/>
      <c r="K702" s="84">
        <v>2700.0</v>
      </c>
      <c r="L702" s="61"/>
      <c r="M702" s="60"/>
      <c r="N702" s="29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idden="1">
      <c r="A703" s="2"/>
      <c r="B703" s="57" t="s">
        <v>228</v>
      </c>
      <c r="C703" s="11"/>
      <c r="D703" s="11">
        <v>90.0</v>
      </c>
      <c r="E703" s="12" t="s">
        <v>230</v>
      </c>
      <c r="F703" s="13">
        <f>'БД_УСЛУГИ_РО'!P569</f>
        <v>8500</v>
      </c>
      <c r="G703" s="33" t="str">
        <f>MIN(F703:F704) &amp; " - " &amp; MAX(F703:F704)</f>
        <v>8500 - 10000</v>
      </c>
      <c r="H703" s="5"/>
      <c r="I703" s="2"/>
      <c r="J703" s="85">
        <f>F703</f>
        <v>8500</v>
      </c>
      <c r="K703" s="84">
        <v>8500.0</v>
      </c>
      <c r="L703" s="61">
        <f>IFERROR(VLOOKUP("iPhone 12 Pro Max Переклейка (восстановление) вашего дисплея", 'РЕМОНТ_ЯБЛОК'!C:D, 2, 0), "Ошибка")</f>
        <v>8500</v>
      </c>
      <c r="M703" s="96"/>
      <c r="N703" s="29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idden="1">
      <c r="A704" s="2"/>
      <c r="B704" s="57" t="s">
        <v>228</v>
      </c>
      <c r="C704" s="11"/>
      <c r="D704" s="11">
        <v>90.0</v>
      </c>
      <c r="E704" s="12" t="s">
        <v>231</v>
      </c>
      <c r="F704" s="13">
        <f>'БД_УСЛУГИ_РО'!P570</f>
        <v>10000</v>
      </c>
      <c r="G704" s="28"/>
      <c r="H704" s="5"/>
      <c r="I704" s="2"/>
      <c r="J704" s="83"/>
      <c r="K704" s="84">
        <v>10000.0</v>
      </c>
      <c r="L704" s="61"/>
      <c r="M704" s="60"/>
      <c r="N704" s="29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idden="1">
      <c r="A705" s="2"/>
      <c r="B705" s="57" t="s">
        <v>228</v>
      </c>
      <c r="C705" s="11"/>
      <c r="D705" s="11">
        <v>90.0</v>
      </c>
      <c r="E705" s="12" t="s">
        <v>232</v>
      </c>
      <c r="F705" s="13">
        <f>'БД_УСЛУГИ_РО'!P571+'БД_ЗАПЧАСТИ'!P772</f>
        <v>9500</v>
      </c>
      <c r="G705" s="29"/>
      <c r="H705" s="101">
        <f>'БД_УСЛУГИ_РО'!P571</f>
        <v>3800</v>
      </c>
      <c r="I705" s="2"/>
      <c r="J705" s="85">
        <f>F705</f>
        <v>9500</v>
      </c>
      <c r="K705" s="84">
        <v>9500.0</v>
      </c>
      <c r="L705" s="61">
        <f>IFERROR(VLOOKUP("iPhone 12 Pro Max Замена основной камеры", 'РЕМОНТ_ЯБЛОК'!C:D, 2, 0), "Ошибка")</f>
        <v>9500</v>
      </c>
      <c r="M705" s="96"/>
      <c r="N705" s="29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idden="1">
      <c r="A706" s="2"/>
      <c r="B706" s="57" t="s">
        <v>228</v>
      </c>
      <c r="C706" s="11"/>
      <c r="D706" s="11">
        <v>90.0</v>
      </c>
      <c r="E706" s="12" t="s">
        <v>233</v>
      </c>
      <c r="F706" s="13">
        <f>'БД_УСЛУГИ_РО'!P572+'БД_ЗАПЧАСТИ'!P814</f>
        <v>6900</v>
      </c>
      <c r="G706" s="29"/>
      <c r="H706" s="101">
        <f>'БД_УСЛУГИ_РО'!P572</f>
        <v>3800</v>
      </c>
      <c r="I706" s="2"/>
      <c r="J706" s="83"/>
      <c r="K706" s="84">
        <v>6900.0</v>
      </c>
      <c r="L706" s="61"/>
      <c r="M706" s="60"/>
      <c r="N706" s="29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idden="1">
      <c r="A707" s="2"/>
      <c r="B707" s="57" t="s">
        <v>228</v>
      </c>
      <c r="C707" s="11"/>
      <c r="D707" s="11">
        <v>180.0</v>
      </c>
      <c r="E707" s="12" t="s">
        <v>52</v>
      </c>
      <c r="F707" s="13">
        <f>'БД_УСЛУГИ_РО'!P573+'БД_ЗАПЧАСТИ'!P553</f>
        <v>3100</v>
      </c>
      <c r="G707" s="29"/>
      <c r="H707" s="101">
        <f>'БД_УСЛУГИ_РО'!P573</f>
        <v>2800</v>
      </c>
      <c r="I707" s="2"/>
      <c r="J707" s="85">
        <f t="shared" ref="J707:J710" si="51">F707</f>
        <v>3100</v>
      </c>
      <c r="K707" s="93">
        <v>3100.0</v>
      </c>
      <c r="L707" s="61">
        <f>IFERROR(VLOOKUP("iPhone 12 Pro Max Замена стекла камеры", 'РЕМОНТ_ЯБЛОК'!C:D, 2, 0), "Ошибка")</f>
        <v>3000</v>
      </c>
      <c r="M707" s="105"/>
      <c r="N707" s="33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idden="1">
      <c r="A708" s="2"/>
      <c r="B708" s="57" t="s">
        <v>228</v>
      </c>
      <c r="C708" s="11"/>
      <c r="D708" s="11">
        <v>90.0</v>
      </c>
      <c r="E708" s="12" t="s">
        <v>53</v>
      </c>
      <c r="F708" s="13">
        <f>'БД_УСЛУГИ_РО'!P574</f>
        <v>5800</v>
      </c>
      <c r="G708" s="29"/>
      <c r="H708" s="5"/>
      <c r="I708" s="2"/>
      <c r="J708" s="85">
        <f t="shared" si="51"/>
        <v>5800</v>
      </c>
      <c r="K708" s="93">
        <v>5800.0</v>
      </c>
      <c r="L708" s="61">
        <f>IFERROR(VLOOKUP("iPhone 12 Pro Max Ремонт (восстановление) Face id", 'РЕМОНТ_ЯБЛОК'!C:D, 2, 0), "Ошибка")</f>
        <v>9500</v>
      </c>
      <c r="M708" s="105"/>
      <c r="N708" s="33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idden="1">
      <c r="A709" s="2"/>
      <c r="B709" s="57" t="s">
        <v>228</v>
      </c>
      <c r="C709" s="11"/>
      <c r="D709" s="11">
        <v>180.0</v>
      </c>
      <c r="E709" s="12" t="s">
        <v>55</v>
      </c>
      <c r="F709" s="13">
        <f>'БД_УСЛУГИ_РО'!P575+'БД_ЗАПЧАСТИ'!P378</f>
        <v>6000</v>
      </c>
      <c r="G709" s="29"/>
      <c r="H709" s="101">
        <f>'БД_УСЛУГИ_РО'!P575</f>
        <v>5300</v>
      </c>
      <c r="I709" s="2"/>
      <c r="J709" s="85">
        <f t="shared" si="51"/>
        <v>6000</v>
      </c>
      <c r="K709" s="93">
        <v>6000.0</v>
      </c>
      <c r="L709" s="61">
        <f>IFERROR(VLOOKUP("iPhone 12 Pro Max Замена задней крышки", 'РЕМОНТ_ЯБЛОК'!C:D, 2, 0), "Ошибка")</f>
        <v>6000</v>
      </c>
      <c r="M709" s="105"/>
      <c r="N709" s="33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idden="1">
      <c r="A710" s="2"/>
      <c r="B710" s="57" t="s">
        <v>228</v>
      </c>
      <c r="C710" s="11"/>
      <c r="D710" s="11">
        <v>180.0</v>
      </c>
      <c r="E710" s="12" t="s">
        <v>56</v>
      </c>
      <c r="F710" s="13">
        <f>'БД_УСЛУГИ_РО'!P576</f>
        <v>4000</v>
      </c>
      <c r="G710" s="29"/>
      <c r="H710" s="101">
        <f>'БД_УСЛУГИ_РО'!P576</f>
        <v>4000</v>
      </c>
      <c r="I710" s="2"/>
      <c r="J710" s="85">
        <f t="shared" si="51"/>
        <v>4000</v>
      </c>
      <c r="K710" s="93">
        <v>4000.0</v>
      </c>
      <c r="L710" s="61">
        <f>IFERROR(VLOOKUP("iPhone 12 Pro Max Замена корпуса", 'РЕМОНТ_ЯБЛОК'!C:D, 2, 0), "Ошибка")</f>
        <v>10000</v>
      </c>
      <c r="M710" s="105"/>
      <c r="N710" s="33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idden="1">
      <c r="A711" s="2"/>
      <c r="B711" s="57" t="s">
        <v>228</v>
      </c>
      <c r="C711" s="11"/>
      <c r="D711" s="11">
        <v>90.0</v>
      </c>
      <c r="E711" s="12" t="s">
        <v>59</v>
      </c>
      <c r="F711" s="13">
        <f>'БД_УСЛУГИ_РО'!P577</f>
        <v>4000</v>
      </c>
      <c r="G711" s="29"/>
      <c r="H711" s="5"/>
      <c r="I711" s="2"/>
      <c r="J711" s="83"/>
      <c r="K711" s="84">
        <v>4000.0</v>
      </c>
      <c r="L711" s="61"/>
      <c r="M711" s="60"/>
      <c r="N711" s="29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idden="1">
      <c r="A712" s="2"/>
      <c r="B712" s="57" t="s">
        <v>228</v>
      </c>
      <c r="C712" s="11"/>
      <c r="D712" s="11">
        <v>90.0</v>
      </c>
      <c r="E712" s="12" t="s">
        <v>234</v>
      </c>
      <c r="F712" s="13">
        <f>'БД_УСЛУГИ_РО'!P578+'БД_ЗАПЧАСТИ'!P899</f>
        <v>4700</v>
      </c>
      <c r="G712" s="29"/>
      <c r="H712" s="101">
        <f>'БД_УСЛУГИ_РО'!P578</f>
        <v>3700</v>
      </c>
      <c r="I712" s="2"/>
      <c r="J712" s="85">
        <f t="shared" ref="J712:J713" si="52">F712</f>
        <v>4700</v>
      </c>
      <c r="K712" s="84">
        <v>4700.0</v>
      </c>
      <c r="L712" s="61">
        <f>IFERROR(VLOOKUP("iPhone 12 Pro Max Замена динамика", 'РЕМОНТ_ЯБЛОК'!C:D, 2, 0), "Ошибка")</f>
        <v>4500</v>
      </c>
      <c r="M712" s="96"/>
      <c r="N712" s="29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idden="1">
      <c r="A713" s="2"/>
      <c r="B713" s="57" t="s">
        <v>228</v>
      </c>
      <c r="C713" s="11"/>
      <c r="D713" s="11">
        <v>90.0</v>
      </c>
      <c r="E713" s="12" t="s">
        <v>235</v>
      </c>
      <c r="F713" s="13">
        <f>'БД_УСЛУГИ_РО'!P579+'БД_ЗАПЧАСТИ'!P859</f>
        <v>4750</v>
      </c>
      <c r="G713" s="29"/>
      <c r="H713" s="101">
        <f>'БД_УСЛУГИ_РО'!P579</f>
        <v>3700</v>
      </c>
      <c r="I713" s="2"/>
      <c r="J713" s="85">
        <f t="shared" si="52"/>
        <v>4750</v>
      </c>
      <c r="K713" s="84">
        <v>4750.0</v>
      </c>
      <c r="L713" s="61">
        <f>IFERROR(VLOOKUP("iPhone 12 Pro Max Замена динамика", 'РЕМОНТ_ЯБЛОК'!C:D, 2, 0), "Ошибка")</f>
        <v>4500</v>
      </c>
      <c r="M713" s="96"/>
      <c r="N713" s="29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idden="1">
      <c r="A714" s="2"/>
      <c r="B714" s="57" t="s">
        <v>228</v>
      </c>
      <c r="C714" s="11"/>
      <c r="D714" s="11">
        <v>90.0</v>
      </c>
      <c r="E714" s="32" t="s">
        <v>62</v>
      </c>
      <c r="F714" s="13">
        <f>'БД_УСЛУГИ_РО'!P580+'БД_ЗАПЧАСТИ'!P652</f>
        <v>6900</v>
      </c>
      <c r="G714" s="29"/>
      <c r="H714" s="101">
        <f>'БД_УСЛУГИ_РО'!P580</f>
        <v>4300</v>
      </c>
      <c r="I714" s="2"/>
      <c r="J714" s="83"/>
      <c r="K714" s="84">
        <v>6900.0</v>
      </c>
      <c r="L714" s="61"/>
      <c r="M714" s="60"/>
      <c r="N714" s="29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idden="1">
      <c r="A715" s="2"/>
      <c r="B715" s="57" t="s">
        <v>228</v>
      </c>
      <c r="C715" s="11"/>
      <c r="D715" s="11">
        <v>90.0</v>
      </c>
      <c r="E715" s="12" t="s">
        <v>63</v>
      </c>
      <c r="F715" s="13">
        <f>'БД_УСЛУГИ_РО'!P581</f>
        <v>3800</v>
      </c>
      <c r="G715" s="29"/>
      <c r="H715" s="5"/>
      <c r="I715" s="2"/>
      <c r="J715" s="92"/>
      <c r="K715" s="93">
        <v>3800.0</v>
      </c>
      <c r="L715" s="65"/>
      <c r="M715" s="94"/>
      <c r="N715" s="33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idden="1">
      <c r="A716" s="2"/>
      <c r="B716" s="57" t="s">
        <v>228</v>
      </c>
      <c r="C716" s="11"/>
      <c r="D716" s="11">
        <v>90.0</v>
      </c>
      <c r="E716" s="12" t="s">
        <v>64</v>
      </c>
      <c r="F716" s="13">
        <f>'БД_УСЛУГИ_РО'!P583</f>
        <v>4500</v>
      </c>
      <c r="G716" s="29"/>
      <c r="H716" s="5"/>
      <c r="I716" s="2"/>
      <c r="J716" s="92"/>
      <c r="K716" s="93">
        <v>4500.0</v>
      </c>
      <c r="L716" s="65"/>
      <c r="M716" s="94"/>
      <c r="N716" s="33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idden="1">
      <c r="A717" s="2"/>
      <c r="B717" s="57" t="s">
        <v>228</v>
      </c>
      <c r="C717" s="11"/>
      <c r="D717" s="11">
        <v>90.0</v>
      </c>
      <c r="E717" s="12" t="s">
        <v>65</v>
      </c>
      <c r="F717" s="13">
        <f>'БД_УСЛУГИ_РО'!P582+'БД_УСЛУГИ_РО'!P584</f>
        <v>11300</v>
      </c>
      <c r="G717" s="29"/>
      <c r="H717" s="5"/>
      <c r="I717" s="2"/>
      <c r="J717" s="92"/>
      <c r="K717" s="93">
        <v>11300.0</v>
      </c>
      <c r="L717" s="65"/>
      <c r="M717" s="94"/>
      <c r="N717" s="33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idden="1">
      <c r="A718" s="2"/>
      <c r="B718" s="69" t="s">
        <v>228</v>
      </c>
      <c r="C718" s="36"/>
      <c r="D718" s="36">
        <v>90.0</v>
      </c>
      <c r="E718" s="70" t="s">
        <v>66</v>
      </c>
      <c r="F718" s="38">
        <f>'БД_УСЛУГИ_РО'!P582+'БД_УСЛУГИ_РО'!P585</f>
        <v>11800</v>
      </c>
      <c r="G718" s="39"/>
      <c r="H718" s="5"/>
      <c r="I718" s="2"/>
      <c r="J718" s="91"/>
      <c r="K718" s="89">
        <v>11800.0</v>
      </c>
      <c r="L718" s="73"/>
      <c r="M718" s="74"/>
      <c r="N718" s="39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idden="1">
      <c r="A719" s="2"/>
      <c r="B719" s="1"/>
      <c r="C719" s="1"/>
      <c r="D719" s="95"/>
      <c r="E719" s="30"/>
      <c r="F719" s="80"/>
      <c r="G719" s="76"/>
      <c r="H719" s="5"/>
      <c r="I719" s="2"/>
      <c r="J719" s="2"/>
      <c r="K719" s="2" t="s">
        <v>22</v>
      </c>
      <c r="L719" s="2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idden="1">
      <c r="A720" s="2"/>
      <c r="B720" s="41" t="s">
        <v>236</v>
      </c>
      <c r="C720" s="42"/>
      <c r="D720" s="42">
        <v>0.0</v>
      </c>
      <c r="E720" s="51" t="s">
        <v>24</v>
      </c>
      <c r="F720" s="44">
        <f>'БД_УСЛУГИ_РО'!P586</f>
        <v>1</v>
      </c>
      <c r="G720" s="78"/>
      <c r="H720" s="5"/>
      <c r="I720" s="2"/>
      <c r="J720" s="81"/>
      <c r="K720" s="82">
        <v>1.0</v>
      </c>
      <c r="L720" s="55"/>
      <c r="M720" s="56"/>
      <c r="N720" s="5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idden="1">
      <c r="A721" s="2"/>
      <c r="B721" s="57" t="s">
        <v>236</v>
      </c>
      <c r="C721" s="11"/>
      <c r="D721" s="11">
        <v>0.0</v>
      </c>
      <c r="E721" s="12" t="s">
        <v>26</v>
      </c>
      <c r="F721" s="13">
        <f>'БД_УСЛУГИ_РО'!P587+'БД_УСЛУГИ_РО'!P588</f>
        <v>1400</v>
      </c>
      <c r="G721" s="29"/>
      <c r="H721" s="5"/>
      <c r="I721" s="2"/>
      <c r="J721" s="83"/>
      <c r="K721" s="84">
        <v>1400.0</v>
      </c>
      <c r="L721" s="61"/>
      <c r="M721" s="60"/>
      <c r="N721" s="29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idden="1">
      <c r="A722" s="2"/>
      <c r="B722" s="57" t="s">
        <v>236</v>
      </c>
      <c r="C722" s="11"/>
      <c r="D722" s="11">
        <v>0.0</v>
      </c>
      <c r="E722" s="32" t="s">
        <v>27</v>
      </c>
      <c r="F722" s="13">
        <f>'БД_УСЛУГИ_РО'!P589</f>
        <v>700</v>
      </c>
      <c r="G722" s="33" t="str">
        <f>MIN(F722:F723) &amp; " - " &amp; MAX(F722:F723)</f>
        <v>700 - 3700</v>
      </c>
      <c r="H722" s="5"/>
      <c r="I722" s="2"/>
      <c r="J722" s="83"/>
      <c r="K722" s="84">
        <v>700.0</v>
      </c>
      <c r="L722" s="61"/>
      <c r="M722" s="60"/>
      <c r="N722" s="29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idden="1">
      <c r="A723" s="2"/>
      <c r="B723" s="57" t="s">
        <v>236</v>
      </c>
      <c r="C723" s="11"/>
      <c r="D723" s="11">
        <v>0.0</v>
      </c>
      <c r="E723" s="32" t="s">
        <v>28</v>
      </c>
      <c r="F723" s="13">
        <f>'БД_УСЛУГИ_РО'!P590</f>
        <v>3700</v>
      </c>
      <c r="G723" s="28"/>
      <c r="H723" s="5"/>
      <c r="I723" s="2"/>
      <c r="J723" s="83"/>
      <c r="K723" s="84">
        <v>3700.0</v>
      </c>
      <c r="L723" s="61"/>
      <c r="M723" s="60"/>
      <c r="N723" s="29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idden="1">
      <c r="A724" s="2"/>
      <c r="B724" s="57" t="s">
        <v>236</v>
      </c>
      <c r="C724" s="11"/>
      <c r="D724" s="11">
        <v>180.0</v>
      </c>
      <c r="E724" s="12" t="s">
        <v>202</v>
      </c>
      <c r="F724" s="13">
        <f>'БД_УСЛУГИ_РО'!P591+'БД_ЗАПЧАСТИ'!P48</f>
        <v>11200</v>
      </c>
      <c r="G724" s="33" t="str">
        <f>IFERROR(__xludf.DUMMYFUNCTION("MIN(FILTER(F724:F729, F724:F729 &lt;&gt; H724:H729)) &amp; "" - "" &amp; MAX(FILTER(F724:F729, F724:F729 &lt;&gt; H724:H729))"),"5000 - 11200")</f>
        <v>5000 - 11200</v>
      </c>
      <c r="H724" s="101">
        <f>'БД_УСЛУГИ_РО'!P591</f>
        <v>4000</v>
      </c>
      <c r="I724" s="2"/>
      <c r="J724" s="86">
        <f>IFERROR(__xludf.DUMMYFUNCTION("MIN(FILTER(F724:F729, F724:F729 &lt;&gt; H724:H729, F724:F729 &lt;&gt; """"))"),5000.0)</f>
        <v>5000</v>
      </c>
      <c r="K724" s="84">
        <v>11200.0</v>
      </c>
      <c r="L724" s="65" t="str">
        <f>IFERROR(VLOOKUP("iPhone 13 Замена аккумулятора (3227 mAh) Standart", 'РЕМОНТ_ЯБЛОК'!C:D, 2, 0), "Ошибка") &amp; " | " &amp; IFERROR(VLOOKUP("iPhone 13 Замена аккумулятора (3510 mAh) HC (повышенная емкость)", 'РЕМОНТ_ЯБЛОК'!C:D, 2, 0), "Ошибка")</f>
        <v>5000 | 6000</v>
      </c>
      <c r="M724" s="60"/>
      <c r="N724" s="29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idden="1">
      <c r="A725" s="2"/>
      <c r="B725" s="57" t="s">
        <v>236</v>
      </c>
      <c r="C725" s="11"/>
      <c r="D725" s="11">
        <v>180.0</v>
      </c>
      <c r="E725" s="12" t="s">
        <v>203</v>
      </c>
      <c r="F725" s="13">
        <f>'БД_УСЛУГИ_РО'!P591+'БД_ЗАПЧАСТИ'!P49</f>
        <v>7000</v>
      </c>
      <c r="G725" s="19"/>
      <c r="H725" s="101">
        <f>'БД_УСЛУГИ_РО'!P591</f>
        <v>4000</v>
      </c>
      <c r="I725" s="2"/>
      <c r="J725" s="103"/>
      <c r="K725" s="84">
        <v>7000.0</v>
      </c>
      <c r="L725" s="104"/>
      <c r="M725" s="60"/>
      <c r="N725" s="29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idden="1">
      <c r="A726" s="2"/>
      <c r="B726" s="57" t="s">
        <v>236</v>
      </c>
      <c r="C726" s="11"/>
      <c r="D726" s="11">
        <v>180.0</v>
      </c>
      <c r="E726" s="12" t="s">
        <v>32</v>
      </c>
      <c r="F726" s="13">
        <f>'БД_УСЛУГИ_РО'!P591+'БД_ЗАПЧАСТИ'!P50</f>
        <v>6500</v>
      </c>
      <c r="G726" s="19"/>
      <c r="H726" s="101">
        <f>'БД_УСЛУГИ_РО'!P591</f>
        <v>4000</v>
      </c>
      <c r="I726" s="2"/>
      <c r="J726" s="103"/>
      <c r="K726" s="84">
        <v>6500.0</v>
      </c>
      <c r="L726" s="104"/>
      <c r="M726" s="60"/>
      <c r="N726" s="29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idden="1">
      <c r="A727" s="2"/>
      <c r="B727" s="57" t="s">
        <v>236</v>
      </c>
      <c r="C727" s="11"/>
      <c r="D727" s="11">
        <v>180.0</v>
      </c>
      <c r="E727" s="12" t="s">
        <v>33</v>
      </c>
      <c r="F727" s="13">
        <f>'БД_УСЛУГИ_РО'!P591+'БД_ЗАПЧАСТИ'!P51</f>
        <v>5500</v>
      </c>
      <c r="G727" s="19"/>
      <c r="H727" s="101">
        <f>'БД_УСЛУГИ_РО'!P591</f>
        <v>4000</v>
      </c>
      <c r="I727" s="2"/>
      <c r="J727" s="103"/>
      <c r="K727" s="84">
        <v>5500.0</v>
      </c>
      <c r="L727" s="104"/>
      <c r="M727" s="60"/>
      <c r="N727" s="29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idden="1">
      <c r="A728" s="2"/>
      <c r="B728" s="57" t="s">
        <v>236</v>
      </c>
      <c r="C728" s="11"/>
      <c r="D728" s="11">
        <v>180.0</v>
      </c>
      <c r="E728" s="12" t="s">
        <v>34</v>
      </c>
      <c r="F728" s="13">
        <f>'БД_УСЛУГИ_РО'!P591+'БД_ЗАПЧАСТИ'!P52</f>
        <v>5000</v>
      </c>
      <c r="G728" s="19"/>
      <c r="H728" s="101">
        <f>'БД_УСЛУГИ_РО'!P591</f>
        <v>4000</v>
      </c>
      <c r="I728" s="2"/>
      <c r="J728" s="87"/>
      <c r="K728" s="84">
        <v>5000.0</v>
      </c>
      <c r="L728" s="67"/>
      <c r="M728" s="60"/>
      <c r="N728" s="29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idden="1">
      <c r="A729" s="2"/>
      <c r="B729" s="57" t="s">
        <v>236</v>
      </c>
      <c r="C729" s="11"/>
      <c r="D729" s="11">
        <v>180.0</v>
      </c>
      <c r="E729" s="12" t="s">
        <v>35</v>
      </c>
      <c r="F729" s="13">
        <f>'БД_УСЛУГИ_РО'!P591+'БД_УСЛУГИ_РО'!P592+'БД_ЗАПЧАСТИ'!P52</f>
        <v>8200</v>
      </c>
      <c r="G729" s="28"/>
      <c r="H729" s="101">
        <f>'БД_УСЛУГИ_РО'!P591+'БД_УСЛУГИ_РО'!P592</f>
        <v>7200</v>
      </c>
      <c r="I729" s="2"/>
      <c r="J729" s="83"/>
      <c r="K729" s="84">
        <v>8200.0</v>
      </c>
      <c r="L729" s="61"/>
      <c r="M729" s="60"/>
      <c r="N729" s="29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idden="1">
      <c r="A730" s="2"/>
      <c r="B730" s="57" t="s">
        <v>236</v>
      </c>
      <c r="C730" s="11"/>
      <c r="D730" s="11">
        <v>90.0</v>
      </c>
      <c r="E730" s="12" t="s">
        <v>36</v>
      </c>
      <c r="F730" s="13">
        <f>'БД_УСЛУГИ_РО'!P593+'БД_ЗАПЧАСТИ'!P656</f>
        <v>6550</v>
      </c>
      <c r="G730" s="29"/>
      <c r="H730" s="101">
        <f>'БД_УСЛУГИ_РО'!P593</f>
        <v>4000</v>
      </c>
      <c r="I730" s="2"/>
      <c r="J730" s="85">
        <f>F730</f>
        <v>6550</v>
      </c>
      <c r="K730" s="84">
        <v>6550.0</v>
      </c>
      <c r="L730" s="61">
        <f>IFERROR(VLOOKUP("iPhone 13 Замена разъема питания", 'РЕМОНТ_ЯБЛОК'!C:D, 2, 0), "Ошибка")</f>
        <v>6500</v>
      </c>
      <c r="M730" s="96"/>
      <c r="N730" s="29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idden="1">
      <c r="A731" s="2"/>
      <c r="B731" s="57" t="s">
        <v>236</v>
      </c>
      <c r="C731" s="11"/>
      <c r="D731" s="11">
        <v>90.0</v>
      </c>
      <c r="E731" s="12" t="s">
        <v>205</v>
      </c>
      <c r="F731" s="13">
        <f>'БД_УСЛУГИ_РО'!P594+'БД_ЗАПЧАСТИ'!P215</f>
        <v>4000</v>
      </c>
      <c r="G731" s="33" t="str">
        <f>IFERROR(__xludf.DUMMYFUNCTION("MIN(FILTER(F731:F737, F731:F737 &lt;&gt; H731:H737)) &amp; "" - "" &amp; MAX(FILTER(F731:F737, F731:F737 &lt;&gt; H731:H737))"),"10700 - 12000")</f>
        <v>10700 - 12000</v>
      </c>
      <c r="H731" s="101">
        <f>'БД_УСЛУГИ_РО'!P594</f>
        <v>4000</v>
      </c>
      <c r="I731" s="2"/>
      <c r="J731" s="86">
        <f>IFERROR(__xludf.DUMMYFUNCTION("MIN(FILTER(F731:F735, F731:F735 &lt;&gt; H731:H735, F731:F735 &lt;&gt; """"))"),10700.0)</f>
        <v>10700</v>
      </c>
      <c r="K731" s="84">
        <v>4000.0</v>
      </c>
      <c r="L731" s="65">
        <f>IFERROR(VLOOKUP("iPhone 13 Замена дисплея (оригинал)", 'РЕМОНТ_ЯБЛОК'!C:D, 2, 0), "Ошибка")</f>
        <v>10000</v>
      </c>
      <c r="M731" s="60"/>
      <c r="N731" s="29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idden="1">
      <c r="A732" s="2"/>
      <c r="B732" s="57" t="s">
        <v>236</v>
      </c>
      <c r="C732" s="11"/>
      <c r="D732" s="11">
        <v>90.0</v>
      </c>
      <c r="E732" s="12" t="s">
        <v>39</v>
      </c>
      <c r="F732" s="13">
        <f>'БД_УСЛУГИ_РО'!P594+'БД_ЗАПЧАСТИ'!P216</f>
        <v>12000</v>
      </c>
      <c r="G732" s="19"/>
      <c r="H732" s="101">
        <f>'БД_УСЛУГИ_РО'!P594</f>
        <v>4000</v>
      </c>
      <c r="I732" s="2"/>
      <c r="J732" s="103"/>
      <c r="K732" s="84">
        <v>12000.0</v>
      </c>
      <c r="L732" s="104"/>
      <c r="M732" s="60"/>
      <c r="N732" s="29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idden="1">
      <c r="A733" s="2"/>
      <c r="B733" s="57" t="s">
        <v>236</v>
      </c>
      <c r="C733" s="11"/>
      <c r="D733" s="11">
        <v>90.0</v>
      </c>
      <c r="E733" s="12" t="s">
        <v>40</v>
      </c>
      <c r="F733" s="13">
        <f>'БД_УСЛУГИ_РО'!P594+'БД_ЗАПЧАСТИ'!P217</f>
        <v>11700</v>
      </c>
      <c r="G733" s="19"/>
      <c r="H733" s="101">
        <f>'БД_УСЛУГИ_РО'!P594</f>
        <v>4000</v>
      </c>
      <c r="I733" s="2"/>
      <c r="J733" s="103"/>
      <c r="K733" s="84">
        <v>11700.0</v>
      </c>
      <c r="L733" s="104"/>
      <c r="M733" s="60"/>
      <c r="N733" s="29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idden="1">
      <c r="A734" s="2"/>
      <c r="B734" s="57" t="s">
        <v>236</v>
      </c>
      <c r="C734" s="11"/>
      <c r="D734" s="11">
        <v>90.0</v>
      </c>
      <c r="E734" s="12" t="s">
        <v>42</v>
      </c>
      <c r="F734" s="13">
        <f>'БД_УСЛУГИ_РО'!P594+'БД_ЗАПЧАСТИ'!P218</f>
        <v>11200</v>
      </c>
      <c r="G734" s="19"/>
      <c r="H734" s="101">
        <f>'БД_УСЛУГИ_РО'!P594</f>
        <v>4000</v>
      </c>
      <c r="I734" s="2"/>
      <c r="J734" s="103"/>
      <c r="K734" s="84">
        <v>11200.0</v>
      </c>
      <c r="L734" s="104"/>
      <c r="M734" s="60"/>
      <c r="N734" s="29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idden="1">
      <c r="A735" s="2"/>
      <c r="B735" s="57" t="s">
        <v>236</v>
      </c>
      <c r="C735" s="11"/>
      <c r="D735" s="11">
        <v>90.0</v>
      </c>
      <c r="E735" s="12" t="s">
        <v>43</v>
      </c>
      <c r="F735" s="13">
        <f>'БД_УСЛУГИ_РО'!P594+'БД_ЗАПЧАСТИ'!P219</f>
        <v>10700</v>
      </c>
      <c r="G735" s="19"/>
      <c r="H735" s="101">
        <f>'БД_УСЛУГИ_РО'!P594</f>
        <v>4000</v>
      </c>
      <c r="I735" s="2"/>
      <c r="J735" s="87"/>
      <c r="K735" s="84">
        <v>10700.0</v>
      </c>
      <c r="L735" s="67"/>
      <c r="M735" s="60"/>
      <c r="N735" s="29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idden="1">
      <c r="A736" s="2"/>
      <c r="B736" s="57" t="s">
        <v>236</v>
      </c>
      <c r="C736" s="11"/>
      <c r="D736" s="11">
        <v>90.0</v>
      </c>
      <c r="E736" s="12" t="s">
        <v>45</v>
      </c>
      <c r="F736" s="13">
        <f>'БД_УСЛУГИ_РО'!P594</f>
        <v>4000</v>
      </c>
      <c r="G736" s="19"/>
      <c r="H736" s="101">
        <f>'БД_УСЛУГИ_РО'!P594</f>
        <v>4000</v>
      </c>
      <c r="I736" s="2"/>
      <c r="J736" s="92" t="str">
        <f>IFERROR(__xludf.DUMMYFUNCTION("MIN(FILTER(F736:F737, F736:F737 &lt;&gt; H736:H737, F736:F737 &lt;&gt; """"))"),"#N/A")</f>
        <v>#N/A</v>
      </c>
      <c r="K736" s="84">
        <v>4000.0</v>
      </c>
      <c r="L736" s="65">
        <f>IFERROR(VLOOKUP("iPhone 13 Замена дисплея (аналог)", 'РЕМОНТ_ЯБЛОК'!C:D, 2, 0), "Ошибка")</f>
        <v>7000</v>
      </c>
      <c r="M736" s="60"/>
      <c r="N736" s="29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idden="1">
      <c r="A737" s="2"/>
      <c r="B737" s="57" t="s">
        <v>236</v>
      </c>
      <c r="C737" s="11"/>
      <c r="D737" s="11">
        <v>90.0</v>
      </c>
      <c r="E737" s="12" t="s">
        <v>46</v>
      </c>
      <c r="F737" s="13">
        <f>'БД_УСЛУГИ_РО'!P594</f>
        <v>4000</v>
      </c>
      <c r="G737" s="28"/>
      <c r="H737" s="101">
        <f>'БД_УСЛУГИ_РО'!P594</f>
        <v>4000</v>
      </c>
      <c r="I737" s="2"/>
      <c r="J737" s="87"/>
      <c r="K737" s="84">
        <v>4000.0</v>
      </c>
      <c r="L737" s="67"/>
      <c r="M737" s="60"/>
      <c r="N737" s="29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idden="1">
      <c r="A738" s="2"/>
      <c r="B738" s="57" t="s">
        <v>236</v>
      </c>
      <c r="C738" s="11"/>
      <c r="D738" s="11">
        <v>90.0</v>
      </c>
      <c r="E738" s="12" t="s">
        <v>47</v>
      </c>
      <c r="F738" s="13">
        <f>'БД_УСЛУГИ_РО'!P595</f>
        <v>3300</v>
      </c>
      <c r="G738" s="29"/>
      <c r="H738" s="5"/>
      <c r="I738" s="2"/>
      <c r="J738" s="83"/>
      <c r="K738" s="84">
        <v>3300.0</v>
      </c>
      <c r="L738" s="61"/>
      <c r="M738" s="60"/>
      <c r="N738" s="29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idden="1">
      <c r="A739" s="2"/>
      <c r="B739" s="57" t="s">
        <v>236</v>
      </c>
      <c r="C739" s="11"/>
      <c r="D739" s="11">
        <v>90.0</v>
      </c>
      <c r="E739" s="12" t="s">
        <v>184</v>
      </c>
      <c r="F739" s="13">
        <f>'БД_УСЛУГИ_РО'!P596</f>
        <v>8000</v>
      </c>
      <c r="G739" s="33" t="str">
        <f>MIN(F739:F740) &amp; " - " &amp; MAX(F739:F740)</f>
        <v>1 - 8000</v>
      </c>
      <c r="H739" s="5"/>
      <c r="I739" s="2"/>
      <c r="J739" s="85">
        <f>F739</f>
        <v>8000</v>
      </c>
      <c r="K739" s="84">
        <v>8000.0</v>
      </c>
      <c r="L739" s="61">
        <f>IFERROR(VLOOKUP("iPhone 13 Переклейка (восстановление) вашего дисплея", 'РЕМОНТ_ЯБЛОК'!C:D, 2, 0), "Ошибка")</f>
        <v>7000</v>
      </c>
      <c r="M739" s="96"/>
      <c r="N739" s="29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idden="1">
      <c r="A740" s="2"/>
      <c r="B740" s="57" t="s">
        <v>236</v>
      </c>
      <c r="C740" s="11"/>
      <c r="D740" s="11">
        <v>90.0</v>
      </c>
      <c r="E740" s="12" t="s">
        <v>237</v>
      </c>
      <c r="F740" s="13">
        <f>'БД_УСЛУГИ_РО'!P597</f>
        <v>1</v>
      </c>
      <c r="G740" s="28"/>
      <c r="H740" s="5"/>
      <c r="I740" s="2"/>
      <c r="J740" s="83"/>
      <c r="K740" s="84">
        <v>1.0</v>
      </c>
      <c r="L740" s="61"/>
      <c r="M740" s="60"/>
      <c r="N740" s="29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idden="1">
      <c r="A741" s="2"/>
      <c r="B741" s="57" t="s">
        <v>236</v>
      </c>
      <c r="C741" s="11"/>
      <c r="D741" s="11">
        <v>90.0</v>
      </c>
      <c r="E741" s="12" t="s">
        <v>50</v>
      </c>
      <c r="F741" s="13">
        <f>'БД_УСЛУГИ_РО'!P598+'БД_ЗАПЧАСТИ'!P773</f>
        <v>6500</v>
      </c>
      <c r="G741" s="29"/>
      <c r="H741" s="101">
        <f>'БД_УСЛУГИ_РО'!P598</f>
        <v>4100</v>
      </c>
      <c r="I741" s="2"/>
      <c r="J741" s="85">
        <f>F741</f>
        <v>6500</v>
      </c>
      <c r="K741" s="84">
        <v>6500.0</v>
      </c>
      <c r="L741" s="61">
        <f>IFERROR(VLOOKUP("iPhone 13 Замена основной камеры", 'РЕМОНТ_ЯБЛОК'!C:D, 2, 0), "Ошибка")</f>
        <v>6500</v>
      </c>
      <c r="M741" s="96"/>
      <c r="N741" s="29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idden="1">
      <c r="A742" s="2"/>
      <c r="B742" s="57" t="s">
        <v>236</v>
      </c>
      <c r="C742" s="11"/>
      <c r="D742" s="11">
        <v>90.0</v>
      </c>
      <c r="E742" s="12" t="s">
        <v>51</v>
      </c>
      <c r="F742" s="13">
        <f>'БД_УСЛУГИ_РО'!P599+'БД_ЗАПЧАСТИ'!P815</f>
        <v>7900</v>
      </c>
      <c r="G742" s="29"/>
      <c r="H742" s="101">
        <f>'БД_УСЛУГИ_РО'!P599</f>
        <v>4700</v>
      </c>
      <c r="I742" s="2"/>
      <c r="J742" s="83"/>
      <c r="K742" s="84">
        <v>7900.0</v>
      </c>
      <c r="L742" s="61"/>
      <c r="M742" s="60"/>
      <c r="N742" s="29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idden="1">
      <c r="A743" s="2"/>
      <c r="B743" s="57" t="s">
        <v>236</v>
      </c>
      <c r="C743" s="11"/>
      <c r="D743" s="11">
        <v>180.0</v>
      </c>
      <c r="E743" s="12" t="s">
        <v>52</v>
      </c>
      <c r="F743" s="13">
        <f>'БД_УСЛУГИ_РО'!P600+'БД_ЗАПЧАСТИ'!P556</f>
        <v>3200</v>
      </c>
      <c r="G743" s="29"/>
      <c r="H743" s="101">
        <f>'БД_УСЛУГИ_РО'!P600</f>
        <v>3000</v>
      </c>
      <c r="I743" s="2"/>
      <c r="J743" s="85">
        <f t="shared" ref="J743:J746" si="53">F743</f>
        <v>3200</v>
      </c>
      <c r="K743" s="93">
        <v>3200.0</v>
      </c>
      <c r="L743" s="61">
        <f>IFERROR(VLOOKUP("iPhone 13 Замена стекла камеры", 'РЕМОНТ_ЯБЛОК'!C:D, 2, 0), "Ошибка")</f>
        <v>3000</v>
      </c>
      <c r="M743" s="105"/>
      <c r="N743" s="33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idden="1">
      <c r="A744" s="2"/>
      <c r="B744" s="57" t="s">
        <v>236</v>
      </c>
      <c r="C744" s="11"/>
      <c r="D744" s="11">
        <v>90.0</v>
      </c>
      <c r="E744" s="12" t="s">
        <v>53</v>
      </c>
      <c r="F744" s="13">
        <f>'БД_УСЛУГИ_РО'!P601</f>
        <v>6700</v>
      </c>
      <c r="G744" s="29"/>
      <c r="H744" s="5"/>
      <c r="I744" s="2"/>
      <c r="J744" s="85">
        <f t="shared" si="53"/>
        <v>6700</v>
      </c>
      <c r="K744" s="93">
        <v>6700.0</v>
      </c>
      <c r="L744" s="61">
        <f>IFERROR(VLOOKUP("iPhone 13 Ремонт (восстановление) Face id", 'РЕМОНТ_ЯБЛОК'!C:D, 2, 0), "Ошибка")</f>
        <v>16000</v>
      </c>
      <c r="M744" s="105"/>
      <c r="N744" s="33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idden="1">
      <c r="A745" s="2"/>
      <c r="B745" s="57" t="s">
        <v>236</v>
      </c>
      <c r="C745" s="11"/>
      <c r="D745" s="11">
        <v>180.0</v>
      </c>
      <c r="E745" s="12" t="s">
        <v>55</v>
      </c>
      <c r="F745" s="13">
        <f>'БД_УСЛУГИ_РО'!P602+'БД_ЗАПЧАСТИ'!P382</f>
        <v>6500</v>
      </c>
      <c r="G745" s="29"/>
      <c r="H745" s="101">
        <f>'БД_УСЛУГИ_РО'!P602</f>
        <v>6000</v>
      </c>
      <c r="I745" s="2"/>
      <c r="J745" s="85">
        <f t="shared" si="53"/>
        <v>6500</v>
      </c>
      <c r="K745" s="93">
        <v>6500.0</v>
      </c>
      <c r="L745" s="61">
        <f>IFERROR(VLOOKUP("iPhone 13 Замена задней крышки", 'РЕМОНТ_ЯБЛОК'!C:D, 2, 0), "Ошибка")</f>
        <v>6000</v>
      </c>
      <c r="M745" s="105"/>
      <c r="N745" s="33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idden="1">
      <c r="A746" s="2"/>
      <c r="B746" s="57" t="s">
        <v>236</v>
      </c>
      <c r="C746" s="11"/>
      <c r="D746" s="11">
        <v>180.0</v>
      </c>
      <c r="E746" s="12" t="s">
        <v>56</v>
      </c>
      <c r="F746" s="13">
        <f>'БД_УСЛУГИ_РО'!P603</f>
        <v>4600</v>
      </c>
      <c r="G746" s="29"/>
      <c r="H746" s="101">
        <f>'БД_УСЛУГИ_РО'!P603</f>
        <v>4600</v>
      </c>
      <c r="I746" s="2"/>
      <c r="J746" s="85">
        <f t="shared" si="53"/>
        <v>4600</v>
      </c>
      <c r="K746" s="93">
        <v>4600.0</v>
      </c>
      <c r="L746" s="61">
        <f>IFERROR(VLOOKUP("iPhone 13 Замена корпуса", 'РЕМОНТ_ЯБЛОК'!C:D, 2, 0), "Ошибка")</f>
        <v>9000</v>
      </c>
      <c r="M746" s="105"/>
      <c r="N746" s="33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idden="1">
      <c r="A747" s="2"/>
      <c r="B747" s="57" t="s">
        <v>236</v>
      </c>
      <c r="C747" s="11"/>
      <c r="D747" s="11">
        <v>90.0</v>
      </c>
      <c r="E747" s="12" t="s">
        <v>59</v>
      </c>
      <c r="F747" s="13">
        <f>'БД_УСЛУГИ_РО'!P604</f>
        <v>5000</v>
      </c>
      <c r="G747" s="29"/>
      <c r="H747" s="5"/>
      <c r="I747" s="2"/>
      <c r="J747" s="83"/>
      <c r="K747" s="84">
        <v>5000.0</v>
      </c>
      <c r="L747" s="61"/>
      <c r="M747" s="60"/>
      <c r="N747" s="29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idden="1">
      <c r="A748" s="2"/>
      <c r="B748" s="57" t="s">
        <v>236</v>
      </c>
      <c r="C748" s="11"/>
      <c r="D748" s="11">
        <v>90.0</v>
      </c>
      <c r="E748" s="12" t="s">
        <v>60</v>
      </c>
      <c r="F748" s="13">
        <f>'БД_УСЛУГИ_РО'!P605+'БД_ЗАПЧАСТИ'!P900</f>
        <v>4500</v>
      </c>
      <c r="G748" s="29"/>
      <c r="H748" s="101">
        <f>'БД_УСЛУГИ_РО'!P605</f>
        <v>3600</v>
      </c>
      <c r="I748" s="2"/>
      <c r="J748" s="85">
        <f t="shared" ref="J748:J749" si="54">F748</f>
        <v>4500</v>
      </c>
      <c r="K748" s="84">
        <v>4500.0</v>
      </c>
      <c r="L748" s="61">
        <f>IFERROR(VLOOKUP("iPhone 13 Замена динамика", 'РЕМОНТ_ЯБЛОК'!C:D, 2, 0), "Ошибка")</f>
        <v>4500</v>
      </c>
      <c r="M748" s="96"/>
      <c r="N748" s="29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idden="1">
      <c r="A749" s="2"/>
      <c r="B749" s="57" t="s">
        <v>236</v>
      </c>
      <c r="C749" s="11"/>
      <c r="D749" s="11">
        <v>90.0</v>
      </c>
      <c r="E749" s="12" t="s">
        <v>61</v>
      </c>
      <c r="F749" s="13">
        <f>'БД_УСЛУГИ_РО'!P606+'БД_ЗАПЧАСТИ'!P860</f>
        <v>4650</v>
      </c>
      <c r="G749" s="29"/>
      <c r="H749" s="101">
        <f>'БД_УСЛУГИ_РО'!P606</f>
        <v>3600</v>
      </c>
      <c r="I749" s="2"/>
      <c r="J749" s="85">
        <f t="shared" si="54"/>
        <v>4650</v>
      </c>
      <c r="K749" s="84">
        <v>4650.0</v>
      </c>
      <c r="L749" s="61">
        <f>IFERROR(VLOOKUP("iPhone 13 Замена динамика", 'РЕМОНТ_ЯБЛОК'!C:D, 2, 0), "Ошибка")</f>
        <v>4500</v>
      </c>
      <c r="M749" s="96"/>
      <c r="N749" s="29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idden="1">
      <c r="A750" s="2"/>
      <c r="B750" s="57" t="s">
        <v>236</v>
      </c>
      <c r="C750" s="11"/>
      <c r="D750" s="11">
        <v>90.0</v>
      </c>
      <c r="E750" s="32" t="s">
        <v>62</v>
      </c>
      <c r="F750" s="13">
        <f>'БД_УСЛУГИ_РО'!P607+'БД_ЗАПЧАСТИ'!P656</f>
        <v>6750</v>
      </c>
      <c r="G750" s="29"/>
      <c r="H750" s="101">
        <f>'БД_УСЛУГИ_РО'!P607</f>
        <v>4200</v>
      </c>
      <c r="I750" s="2"/>
      <c r="J750" s="83"/>
      <c r="K750" s="84">
        <v>6750.0</v>
      </c>
      <c r="L750" s="61"/>
      <c r="M750" s="60"/>
      <c r="N750" s="29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idden="1">
      <c r="A751" s="2"/>
      <c r="B751" s="57" t="s">
        <v>236</v>
      </c>
      <c r="C751" s="11"/>
      <c r="D751" s="11">
        <v>90.0</v>
      </c>
      <c r="E751" s="12" t="s">
        <v>63</v>
      </c>
      <c r="F751" s="13">
        <f>'БД_УСЛУГИ_РО'!P608</f>
        <v>4700</v>
      </c>
      <c r="G751" s="29"/>
      <c r="H751" s="5"/>
      <c r="I751" s="2"/>
      <c r="J751" s="92"/>
      <c r="K751" s="93">
        <v>4700.0</v>
      </c>
      <c r="L751" s="65"/>
      <c r="M751" s="94"/>
      <c r="N751" s="33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idden="1">
      <c r="A752" s="2"/>
      <c r="B752" s="57" t="s">
        <v>236</v>
      </c>
      <c r="C752" s="11"/>
      <c r="D752" s="11">
        <v>90.0</v>
      </c>
      <c r="E752" s="12" t="s">
        <v>64</v>
      </c>
      <c r="F752" s="13">
        <f>'БД_УСЛУГИ_РО'!P610</f>
        <v>5500</v>
      </c>
      <c r="G752" s="29"/>
      <c r="H752" s="5"/>
      <c r="I752" s="2"/>
      <c r="J752" s="92"/>
      <c r="K752" s="93">
        <v>5500.0</v>
      </c>
      <c r="L752" s="65"/>
      <c r="M752" s="94"/>
      <c r="N752" s="33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idden="1">
      <c r="A753" s="2"/>
      <c r="B753" s="57" t="s">
        <v>236</v>
      </c>
      <c r="C753" s="11"/>
      <c r="D753" s="11">
        <v>90.0</v>
      </c>
      <c r="E753" s="12" t="s">
        <v>65</v>
      </c>
      <c r="F753" s="13">
        <f>'БД_УСЛУГИ_РО'!P609+'БД_УСЛУГИ_РО'!P611</f>
        <v>12700</v>
      </c>
      <c r="G753" s="29"/>
      <c r="H753" s="5"/>
      <c r="I753" s="2"/>
      <c r="J753" s="92"/>
      <c r="K753" s="93">
        <v>12700.0</v>
      </c>
      <c r="L753" s="65"/>
      <c r="M753" s="94"/>
      <c r="N753" s="33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idden="1">
      <c r="A754" s="2"/>
      <c r="B754" s="69" t="s">
        <v>236</v>
      </c>
      <c r="C754" s="36"/>
      <c r="D754" s="36">
        <v>90.0</v>
      </c>
      <c r="E754" s="70" t="s">
        <v>66</v>
      </c>
      <c r="F754" s="38">
        <f>'БД_УСЛУГИ_РО'!P609+'БД_УСЛУГИ_РО'!P612</f>
        <v>13200</v>
      </c>
      <c r="G754" s="39"/>
      <c r="H754" s="5"/>
      <c r="I754" s="2"/>
      <c r="J754" s="91"/>
      <c r="K754" s="89">
        <v>13200.0</v>
      </c>
      <c r="L754" s="73"/>
      <c r="M754" s="74"/>
      <c r="N754" s="39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idden="1">
      <c r="A755" s="2"/>
      <c r="B755" s="1"/>
      <c r="C755" s="1"/>
      <c r="D755" s="95"/>
      <c r="E755" s="30"/>
      <c r="F755" s="80"/>
      <c r="G755" s="76"/>
      <c r="H755" s="5"/>
      <c r="I755" s="2"/>
      <c r="J755" s="2"/>
      <c r="K755" s="2" t="s">
        <v>22</v>
      </c>
      <c r="L755" s="2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idden="1">
      <c r="A756" s="2"/>
      <c r="B756" s="41" t="s">
        <v>238</v>
      </c>
      <c r="C756" s="42"/>
      <c r="D756" s="42">
        <v>0.0</v>
      </c>
      <c r="E756" s="51" t="s">
        <v>24</v>
      </c>
      <c r="F756" s="44">
        <f>'БД_УСЛУГИ_РО'!P613</f>
        <v>1</v>
      </c>
      <c r="G756" s="78"/>
      <c r="H756" s="5"/>
      <c r="I756" s="2"/>
      <c r="J756" s="81"/>
      <c r="K756" s="82">
        <v>1.0</v>
      </c>
      <c r="L756" s="55"/>
      <c r="M756" s="56"/>
      <c r="N756" s="5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idden="1">
      <c r="A757" s="2"/>
      <c r="B757" s="57" t="s">
        <v>238</v>
      </c>
      <c r="C757" s="11"/>
      <c r="D757" s="11">
        <v>0.0</v>
      </c>
      <c r="E757" s="12" t="s">
        <v>26</v>
      </c>
      <c r="F757" s="13">
        <f>'БД_УСЛУГИ_РО'!P614+'БД_УСЛУГИ_РО'!P615</f>
        <v>1400</v>
      </c>
      <c r="G757" s="29"/>
      <c r="H757" s="5"/>
      <c r="I757" s="2"/>
      <c r="J757" s="83"/>
      <c r="K757" s="84">
        <v>1400.0</v>
      </c>
      <c r="L757" s="61"/>
      <c r="M757" s="60"/>
      <c r="N757" s="29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idden="1">
      <c r="A758" s="2"/>
      <c r="B758" s="57" t="s">
        <v>238</v>
      </c>
      <c r="C758" s="11"/>
      <c r="D758" s="11">
        <v>0.0</v>
      </c>
      <c r="E758" s="32" t="s">
        <v>27</v>
      </c>
      <c r="F758" s="13">
        <f>'БД_УСЛУГИ_РО'!P616</f>
        <v>700</v>
      </c>
      <c r="G758" s="33" t="str">
        <f>MIN(F758:F759) &amp; " - " &amp; MAX(F758:F759)</f>
        <v>700 - 3700</v>
      </c>
      <c r="H758" s="5"/>
      <c r="I758" s="2"/>
      <c r="J758" s="83"/>
      <c r="K758" s="84">
        <v>700.0</v>
      </c>
      <c r="L758" s="61"/>
      <c r="M758" s="60"/>
      <c r="N758" s="29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idden="1">
      <c r="A759" s="2"/>
      <c r="B759" s="57" t="s">
        <v>238</v>
      </c>
      <c r="C759" s="11"/>
      <c r="D759" s="11">
        <v>0.0</v>
      </c>
      <c r="E759" s="32" t="s">
        <v>28</v>
      </c>
      <c r="F759" s="13">
        <f>'БД_УСЛУГИ_РО'!P617</f>
        <v>3700</v>
      </c>
      <c r="G759" s="28"/>
      <c r="H759" s="5"/>
      <c r="I759" s="2"/>
      <c r="J759" s="83"/>
      <c r="K759" s="84">
        <v>3700.0</v>
      </c>
      <c r="L759" s="61"/>
      <c r="M759" s="60"/>
      <c r="N759" s="29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idden="1">
      <c r="A760" s="2"/>
      <c r="B760" s="57" t="s">
        <v>238</v>
      </c>
      <c r="C760" s="11"/>
      <c r="D760" s="11">
        <v>180.0</v>
      </c>
      <c r="E760" s="12" t="s">
        <v>202</v>
      </c>
      <c r="F760" s="13">
        <f>'БД_УСЛУГИ_РО'!P618+'БД_ЗАПЧАСТИ'!P54</f>
        <v>12300</v>
      </c>
      <c r="G760" s="33" t="str">
        <f>IFERROR(__xludf.DUMMYFUNCTION("MIN(FILTER(F760:F764, F760:F764 &lt;&gt; H760:H764)) &amp; "" - "" &amp; MAX(FILTER(F760:F764, F760:F764 &lt;&gt; H760:H764))"),"5000 - 12300")</f>
        <v>5000 - 12300</v>
      </c>
      <c r="H760" s="101">
        <f>'БД_УСЛУГИ_РО'!P618</f>
        <v>4000</v>
      </c>
      <c r="I760" s="2"/>
      <c r="J760" s="86">
        <f>IFERROR(__xludf.DUMMYFUNCTION("MIN(FILTER(F760:F764, F760:F764 &lt;&gt; H760:H764, F760:F764 &lt;&gt; """"))"),5000.0)</f>
        <v>5000</v>
      </c>
      <c r="K760" s="84">
        <v>12300.0</v>
      </c>
      <c r="L760" s="65" t="str">
        <f>IFERROR(VLOOKUP("iPhone 13 Mini Замена аккумулятора  (2406 mAh) Standard", 'РЕМОНТ_ЯБЛОК'!C:D, 2, 0), "Ошибка") &amp; " | " &amp; IFERROR(VLOOKUP("iPhone 13 Mini Замена аккумулятора (2550 mAh) HC (повышенная емкость)", 'РЕМОНТ_ЯБЛОК'!C:D, 2, 0), "Ошибка")</f>
        <v>5000 | 6000</v>
      </c>
      <c r="M760" s="60"/>
      <c r="N760" s="29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idden="1">
      <c r="A761" s="2"/>
      <c r="B761" s="57" t="s">
        <v>238</v>
      </c>
      <c r="C761" s="11"/>
      <c r="D761" s="11">
        <v>180.0</v>
      </c>
      <c r="E761" s="12" t="s">
        <v>32</v>
      </c>
      <c r="F761" s="13">
        <f>'БД_УСЛУГИ_РО'!P618+'БД_ЗАПЧАСТИ'!P55</f>
        <v>6500</v>
      </c>
      <c r="G761" s="19"/>
      <c r="H761" s="101">
        <f>'БД_УСЛУГИ_РО'!P618</f>
        <v>4000</v>
      </c>
      <c r="I761" s="2"/>
      <c r="J761" s="103"/>
      <c r="K761" s="84">
        <v>6500.0</v>
      </c>
      <c r="L761" s="104"/>
      <c r="M761" s="60"/>
      <c r="N761" s="29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idden="1">
      <c r="A762" s="2"/>
      <c r="B762" s="57" t="s">
        <v>238</v>
      </c>
      <c r="C762" s="11"/>
      <c r="D762" s="11">
        <v>180.0</v>
      </c>
      <c r="E762" s="12" t="s">
        <v>33</v>
      </c>
      <c r="F762" s="13">
        <f>'БД_УСЛУГИ_РО'!P618+'БД_ЗАПЧАСТИ'!P56</f>
        <v>5500</v>
      </c>
      <c r="G762" s="19"/>
      <c r="H762" s="101">
        <f>'БД_УСЛУГИ_РО'!P618</f>
        <v>4000</v>
      </c>
      <c r="I762" s="2"/>
      <c r="J762" s="103"/>
      <c r="K762" s="84">
        <v>5500.0</v>
      </c>
      <c r="L762" s="104"/>
      <c r="M762" s="60"/>
      <c r="N762" s="29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idden="1">
      <c r="A763" s="2"/>
      <c r="B763" s="57" t="s">
        <v>238</v>
      </c>
      <c r="C763" s="11"/>
      <c r="D763" s="11">
        <v>180.0</v>
      </c>
      <c r="E763" s="12" t="s">
        <v>34</v>
      </c>
      <c r="F763" s="13">
        <f>'БД_УСЛУГИ_РО'!P618+'БД_ЗАПЧАСТИ'!P57</f>
        <v>5000</v>
      </c>
      <c r="G763" s="19"/>
      <c r="H763" s="101">
        <f>'БД_УСЛУГИ_РО'!P618</f>
        <v>4000</v>
      </c>
      <c r="I763" s="2"/>
      <c r="J763" s="87"/>
      <c r="K763" s="84">
        <v>5000.0</v>
      </c>
      <c r="L763" s="67"/>
      <c r="M763" s="60"/>
      <c r="N763" s="29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idden="1">
      <c r="A764" s="2"/>
      <c r="B764" s="57" t="s">
        <v>238</v>
      </c>
      <c r="C764" s="11"/>
      <c r="D764" s="11">
        <v>180.0</v>
      </c>
      <c r="E764" s="12" t="s">
        <v>35</v>
      </c>
      <c r="F764" s="13">
        <f>'БД_УСЛУГИ_РО'!P618+'БД_УСЛУГИ_РО'!P619+'БД_ЗАПЧАСТИ'!P57</f>
        <v>8200</v>
      </c>
      <c r="G764" s="28"/>
      <c r="H764" s="101">
        <f>'БД_УСЛУГИ_РО'!P618+'БД_УСЛУГИ_РО'!P619</f>
        <v>7200</v>
      </c>
      <c r="I764" s="2"/>
      <c r="J764" s="83"/>
      <c r="K764" s="84">
        <v>8200.0</v>
      </c>
      <c r="L764" s="61"/>
      <c r="M764" s="60"/>
      <c r="N764" s="29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idden="1">
      <c r="A765" s="2"/>
      <c r="B765" s="57" t="s">
        <v>238</v>
      </c>
      <c r="C765" s="11"/>
      <c r="D765" s="11">
        <v>90.0</v>
      </c>
      <c r="E765" s="12" t="s">
        <v>239</v>
      </c>
      <c r="F765" s="13">
        <f>'БД_УСЛУГИ_РО'!P620+'БД_ЗАПЧАСТИ'!P662</f>
        <v>6600</v>
      </c>
      <c r="G765" s="29"/>
      <c r="H765" s="101">
        <f>'БД_УСЛУГИ_РО'!P620</f>
        <v>4000</v>
      </c>
      <c r="I765" s="2"/>
      <c r="J765" s="85">
        <f>F765</f>
        <v>6600</v>
      </c>
      <c r="K765" s="84">
        <v>6600.0</v>
      </c>
      <c r="L765" s="61">
        <f>IFERROR(VLOOKUP("iPhone 13 Mini Замена разъема питания", 'РЕМОНТ_ЯБЛОК'!C:D, 2, 0), "Ошибка")</f>
        <v>6500</v>
      </c>
      <c r="M765" s="96"/>
      <c r="N765" s="29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idden="1">
      <c r="A766" s="2"/>
      <c r="B766" s="57" t="s">
        <v>238</v>
      </c>
      <c r="C766" s="11"/>
      <c r="D766" s="11">
        <v>90.0</v>
      </c>
      <c r="E766" s="12" t="s">
        <v>205</v>
      </c>
      <c r="F766" s="13">
        <f>'БД_УСЛУГИ_РО'!P621+'БД_ЗАПЧАСТИ'!P220</f>
        <v>4000</v>
      </c>
      <c r="G766" s="33" t="str">
        <f>IFERROR(__xludf.DUMMYFUNCTION("MIN(FILTER(F766:F772, F766:F772 &lt;&gt; H766:H772)) &amp; "" - "" &amp; MAX(FILTER(F766:F772, F766:F772 &lt;&gt; H766:H772))"),"15650 - 18650")</f>
        <v>15650 - 18650</v>
      </c>
      <c r="H766" s="101">
        <f>'БД_УСЛУГИ_РО'!P621</f>
        <v>4000</v>
      </c>
      <c r="I766" s="2"/>
      <c r="J766" s="86">
        <f>IFERROR(__xludf.DUMMYFUNCTION("MIN(FILTER(F766:F770, F766:F770 &lt;&gt; H766:H770, F766:F770 &lt;&gt; """"))"),15650.0)</f>
        <v>15650</v>
      </c>
      <c r="K766" s="84">
        <v>4000.0</v>
      </c>
      <c r="L766" s="65">
        <f>IFERROR(VLOOKUP("iPhone 13 Mini Замена дисплея (оригинал)", 'РЕМОНТ_ЯБЛОК'!C:D, 2, 0), "Ошибка")</f>
        <v>15000</v>
      </c>
      <c r="M766" s="60"/>
      <c r="N766" s="29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idden="1">
      <c r="A767" s="2"/>
      <c r="B767" s="57" t="s">
        <v>238</v>
      </c>
      <c r="C767" s="11"/>
      <c r="D767" s="11">
        <v>90.0</v>
      </c>
      <c r="E767" s="12" t="s">
        <v>39</v>
      </c>
      <c r="F767" s="13">
        <f>'БД_УСЛУГИ_РО'!P621+'БД_ЗАПЧАСТИ'!P221</f>
        <v>18650</v>
      </c>
      <c r="G767" s="19"/>
      <c r="H767" s="101">
        <f>'БД_УСЛУГИ_РО'!P621</f>
        <v>4000</v>
      </c>
      <c r="I767" s="2"/>
      <c r="J767" s="103"/>
      <c r="K767" s="84">
        <v>18650.0</v>
      </c>
      <c r="L767" s="104"/>
      <c r="M767" s="60"/>
      <c r="N767" s="29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idden="1">
      <c r="A768" s="2"/>
      <c r="B768" s="57" t="s">
        <v>238</v>
      </c>
      <c r="C768" s="11"/>
      <c r="D768" s="11">
        <v>90.0</v>
      </c>
      <c r="E768" s="12" t="s">
        <v>40</v>
      </c>
      <c r="F768" s="13">
        <f>'БД_УСЛУГИ_РО'!P621+'БД_ЗАПЧАСТИ'!P222</f>
        <v>16000</v>
      </c>
      <c r="G768" s="19"/>
      <c r="H768" s="101">
        <f>'БД_УСЛУГИ_РО'!P621</f>
        <v>4000</v>
      </c>
      <c r="I768" s="2"/>
      <c r="J768" s="103"/>
      <c r="K768" s="84">
        <v>16000.0</v>
      </c>
      <c r="L768" s="104"/>
      <c r="M768" s="60"/>
      <c r="N768" s="29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idden="1">
      <c r="A769" s="2"/>
      <c r="B769" s="57" t="s">
        <v>238</v>
      </c>
      <c r="C769" s="11"/>
      <c r="D769" s="11">
        <v>90.0</v>
      </c>
      <c r="E769" s="12" t="s">
        <v>42</v>
      </c>
      <c r="F769" s="13">
        <f>'БД_УСЛУГИ_РО'!P621+'БД_ЗАПЧАСТИ'!P223</f>
        <v>4000</v>
      </c>
      <c r="G769" s="19"/>
      <c r="H769" s="101">
        <f>'БД_УСЛУГИ_РО'!P621</f>
        <v>4000</v>
      </c>
      <c r="I769" s="2"/>
      <c r="J769" s="103"/>
      <c r="K769" s="84">
        <v>4000.0</v>
      </c>
      <c r="L769" s="104"/>
      <c r="M769" s="60"/>
      <c r="N769" s="29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idden="1">
      <c r="A770" s="2"/>
      <c r="B770" s="57" t="s">
        <v>238</v>
      </c>
      <c r="C770" s="11"/>
      <c r="D770" s="11">
        <v>90.0</v>
      </c>
      <c r="E770" s="12" t="s">
        <v>43</v>
      </c>
      <c r="F770" s="13">
        <f>'БД_УСЛУГИ_РО'!P621+'БД_ЗАПЧАСТИ'!P224</f>
        <v>15650</v>
      </c>
      <c r="G770" s="19"/>
      <c r="H770" s="101">
        <f>'БД_УСЛУГИ_РО'!P621</f>
        <v>4000</v>
      </c>
      <c r="I770" s="2"/>
      <c r="J770" s="87"/>
      <c r="K770" s="84">
        <v>15650.0</v>
      </c>
      <c r="L770" s="67"/>
      <c r="M770" s="60"/>
      <c r="N770" s="29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idden="1">
      <c r="A771" s="2"/>
      <c r="B771" s="57" t="s">
        <v>238</v>
      </c>
      <c r="C771" s="11"/>
      <c r="D771" s="11">
        <v>90.0</v>
      </c>
      <c r="E771" s="12" t="s">
        <v>45</v>
      </c>
      <c r="F771" s="13">
        <f>'БД_УСЛУГИ_РО'!P621</f>
        <v>4000</v>
      </c>
      <c r="G771" s="19"/>
      <c r="H771" s="101">
        <f>'БД_УСЛУГИ_РО'!P621</f>
        <v>4000</v>
      </c>
      <c r="I771" s="2"/>
      <c r="J771" s="92" t="str">
        <f>IFERROR(__xludf.DUMMYFUNCTION("MIN(FILTER(F771:F772, F771:F772 &lt;&gt; H771:H772, F771:F772 &lt;&gt; """"))"),"#N/A")</f>
        <v>#N/A</v>
      </c>
      <c r="K771" s="84">
        <v>4000.0</v>
      </c>
      <c r="L771" s="65">
        <f>IFERROR(VLOOKUP("iPhone 13 Mini Замена дисплея (аналог)", 'РЕМОНТ_ЯБЛОК'!C:D, 2, 0), "Ошибка")</f>
        <v>8500</v>
      </c>
      <c r="M771" s="60"/>
      <c r="N771" s="29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idden="1">
      <c r="A772" s="2"/>
      <c r="B772" s="57" t="s">
        <v>238</v>
      </c>
      <c r="C772" s="11"/>
      <c r="D772" s="11">
        <v>90.0</v>
      </c>
      <c r="E772" s="12" t="s">
        <v>46</v>
      </c>
      <c r="F772" s="13">
        <f>'БД_УСЛУГИ_РО'!P621</f>
        <v>4000</v>
      </c>
      <c r="G772" s="28"/>
      <c r="H772" s="101">
        <f>'БД_УСЛУГИ_РО'!P621</f>
        <v>4000</v>
      </c>
      <c r="I772" s="2"/>
      <c r="J772" s="87"/>
      <c r="K772" s="84">
        <v>4000.0</v>
      </c>
      <c r="L772" s="67"/>
      <c r="M772" s="60"/>
      <c r="N772" s="29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idden="1">
      <c r="A773" s="2"/>
      <c r="B773" s="57" t="s">
        <v>238</v>
      </c>
      <c r="C773" s="11"/>
      <c r="D773" s="11">
        <v>90.0</v>
      </c>
      <c r="E773" s="12" t="s">
        <v>47</v>
      </c>
      <c r="F773" s="13">
        <f>'БД_УСЛУГИ_РО'!P622</f>
        <v>3300</v>
      </c>
      <c r="G773" s="29"/>
      <c r="H773" s="5"/>
      <c r="I773" s="2"/>
      <c r="J773" s="83"/>
      <c r="K773" s="84">
        <v>3300.0</v>
      </c>
      <c r="L773" s="61"/>
      <c r="M773" s="60"/>
      <c r="N773" s="29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idden="1">
      <c r="A774" s="2"/>
      <c r="B774" s="57" t="s">
        <v>238</v>
      </c>
      <c r="C774" s="11"/>
      <c r="D774" s="11">
        <v>90.0</v>
      </c>
      <c r="E774" s="12" t="s">
        <v>240</v>
      </c>
      <c r="F774" s="13">
        <f>'БД_УСЛУГИ_РО'!P623</f>
        <v>8500</v>
      </c>
      <c r="G774" s="33" t="str">
        <f>MIN(F774:F775) &amp; " - " &amp; MAX(F774:F775)</f>
        <v>1 - 8500</v>
      </c>
      <c r="H774" s="5"/>
      <c r="I774" s="2"/>
      <c r="J774" s="85">
        <f>F774</f>
        <v>8500</v>
      </c>
      <c r="K774" s="84">
        <v>8500.0</v>
      </c>
      <c r="L774" s="61">
        <f>IFERROR(VLOOKUP("iPhone 13 Mini Переклейка (восстановление) вашего дисплея", 'РЕМОНТ_ЯБЛОК'!C:D, 2, 0), "Ошибка")</f>
        <v>8500</v>
      </c>
      <c r="M774" s="96"/>
      <c r="N774" s="29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idden="1">
      <c r="A775" s="2"/>
      <c r="B775" s="57" t="s">
        <v>238</v>
      </c>
      <c r="C775" s="11"/>
      <c r="D775" s="11">
        <v>90.0</v>
      </c>
      <c r="E775" s="12" t="s">
        <v>241</v>
      </c>
      <c r="F775" s="13">
        <f>'БД_УСЛУГИ_РО'!P624</f>
        <v>1</v>
      </c>
      <c r="G775" s="28"/>
      <c r="H775" s="5"/>
      <c r="I775" s="2"/>
      <c r="J775" s="83"/>
      <c r="K775" s="84">
        <v>1.0</v>
      </c>
      <c r="L775" s="61"/>
      <c r="M775" s="60"/>
      <c r="N775" s="29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idden="1">
      <c r="A776" s="2"/>
      <c r="B776" s="57" t="s">
        <v>238</v>
      </c>
      <c r="C776" s="11"/>
      <c r="D776" s="11">
        <v>90.0</v>
      </c>
      <c r="E776" s="12" t="s">
        <v>242</v>
      </c>
      <c r="F776" s="13">
        <f>'БД_УСЛУГИ_РО'!P625+'БД_ЗАПЧАСТИ'!P773</f>
        <v>6500</v>
      </c>
      <c r="G776" s="29"/>
      <c r="H776" s="101">
        <f>'БД_УСЛУГИ_РО'!P625</f>
        <v>4100</v>
      </c>
      <c r="I776" s="2"/>
      <c r="J776" s="85">
        <f>F776</f>
        <v>6500</v>
      </c>
      <c r="K776" s="84">
        <v>6500.0</v>
      </c>
      <c r="L776" s="61">
        <f>IFERROR(VLOOKUP("iPhone 13 Mini Замена основной камеры", 'РЕМОНТ_ЯБЛОК'!C:D, 2, 0), "Ошибка")</f>
        <v>6500</v>
      </c>
      <c r="M776" s="96"/>
      <c r="N776" s="29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idden="1">
      <c r="A777" s="2"/>
      <c r="B777" s="57" t="s">
        <v>238</v>
      </c>
      <c r="C777" s="11"/>
      <c r="D777" s="11">
        <v>90.0</v>
      </c>
      <c r="E777" s="12" t="s">
        <v>243</v>
      </c>
      <c r="F777" s="13">
        <f>'БД_УСЛУГИ_РО'!P626+'БД_ЗАПЧАСТИ'!P816</f>
        <v>4700</v>
      </c>
      <c r="G777" s="29"/>
      <c r="H777" s="101">
        <f>'БД_УСЛУГИ_РО'!P626</f>
        <v>4700</v>
      </c>
      <c r="I777" s="2"/>
      <c r="J777" s="83"/>
      <c r="K777" s="84">
        <v>4700.0</v>
      </c>
      <c r="L777" s="61"/>
      <c r="M777" s="60"/>
      <c r="N777" s="29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idden="1">
      <c r="A778" s="2"/>
      <c r="B778" s="57" t="s">
        <v>238</v>
      </c>
      <c r="C778" s="11"/>
      <c r="D778" s="11">
        <v>180.0</v>
      </c>
      <c r="E778" s="12" t="s">
        <v>52</v>
      </c>
      <c r="F778" s="13">
        <f>'БД_УСЛУГИ_РО'!P627+'БД_ЗАПЧАСТИ'!P556</f>
        <v>3200</v>
      </c>
      <c r="G778" s="29"/>
      <c r="H778" s="101">
        <f>'БД_УСЛУГИ_РО'!P627</f>
        <v>3000</v>
      </c>
      <c r="I778" s="2"/>
      <c r="J778" s="85">
        <f t="shared" ref="J778:J781" si="55">F778</f>
        <v>3200</v>
      </c>
      <c r="K778" s="93">
        <v>3200.0</v>
      </c>
      <c r="L778" s="61">
        <f>IFERROR(VLOOKUP("iPhone 13 Mini Замена стекла камеры", 'РЕМОНТ_ЯБЛОК'!C:D, 2, 0), "Ошибка")</f>
        <v>3000</v>
      </c>
      <c r="M778" s="105"/>
      <c r="N778" s="33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idden="1">
      <c r="A779" s="2"/>
      <c r="B779" s="57" t="s">
        <v>238</v>
      </c>
      <c r="C779" s="11"/>
      <c r="D779" s="11">
        <v>90.0</v>
      </c>
      <c r="E779" s="12" t="s">
        <v>53</v>
      </c>
      <c r="F779" s="13">
        <f>'БД_УСЛУГИ_РО'!P628</f>
        <v>6700</v>
      </c>
      <c r="G779" s="29"/>
      <c r="H779" s="5"/>
      <c r="I779" s="2"/>
      <c r="J779" s="85">
        <f t="shared" si="55"/>
        <v>6700</v>
      </c>
      <c r="K779" s="93">
        <v>6700.0</v>
      </c>
      <c r="L779" s="61">
        <f>IFERROR(VLOOKUP("iPhone 13 Mini Ремонт (восстановление) Face id", 'РЕМОНТ_ЯБЛОК'!C:D, 2, 0), "Ошибка")</f>
        <v>16000</v>
      </c>
      <c r="M779" s="105"/>
      <c r="N779" s="33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idden="1">
      <c r="A780" s="2"/>
      <c r="B780" s="57" t="s">
        <v>238</v>
      </c>
      <c r="C780" s="11"/>
      <c r="D780" s="11">
        <v>180.0</v>
      </c>
      <c r="E780" s="12" t="s">
        <v>55</v>
      </c>
      <c r="F780" s="13">
        <f>'БД_УСЛУГИ_РО'!P629+'БД_ЗАПЧАСТИ'!P388</f>
        <v>6450</v>
      </c>
      <c r="G780" s="29"/>
      <c r="H780" s="101">
        <f>'БД_УСЛУГИ_РО'!P629</f>
        <v>6000</v>
      </c>
      <c r="I780" s="2"/>
      <c r="J780" s="85">
        <f t="shared" si="55"/>
        <v>6450</v>
      </c>
      <c r="K780" s="93">
        <v>6450.0</v>
      </c>
      <c r="L780" s="61">
        <f>IFERROR(VLOOKUP("iPhone 13 Mini Замена задней крышки", 'РЕМОНТ_ЯБЛОК'!C:D, 2, 0), "Ошибка")</f>
        <v>6000</v>
      </c>
      <c r="M780" s="105"/>
      <c r="N780" s="33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idden="1">
      <c r="A781" s="2"/>
      <c r="B781" s="57" t="s">
        <v>238</v>
      </c>
      <c r="C781" s="11"/>
      <c r="D781" s="11">
        <v>180.0</v>
      </c>
      <c r="E781" s="12" t="s">
        <v>56</v>
      </c>
      <c r="F781" s="13">
        <f>'БД_УСЛУГИ_РО'!P630</f>
        <v>4600</v>
      </c>
      <c r="G781" s="29"/>
      <c r="H781" s="101">
        <f>'БД_УСЛУГИ_РО'!P630</f>
        <v>4600</v>
      </c>
      <c r="I781" s="2"/>
      <c r="J781" s="85">
        <f t="shared" si="55"/>
        <v>4600</v>
      </c>
      <c r="K781" s="93">
        <v>4600.0</v>
      </c>
      <c r="L781" s="61">
        <f>IFERROR(VLOOKUP("iPhone 13 Mini Замена корпуса", 'РЕМОНТ_ЯБЛОК'!C:D, 2, 0), "Ошибка")</f>
        <v>9000</v>
      </c>
      <c r="M781" s="105"/>
      <c r="N781" s="33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idden="1">
      <c r="A782" s="2"/>
      <c r="B782" s="57" t="s">
        <v>238</v>
      </c>
      <c r="C782" s="11"/>
      <c r="D782" s="11">
        <v>90.0</v>
      </c>
      <c r="E782" s="12" t="s">
        <v>59</v>
      </c>
      <c r="F782" s="13">
        <f>'БД_УСЛУГИ_РО'!P631</f>
        <v>5000</v>
      </c>
      <c r="G782" s="29"/>
      <c r="H782" s="5"/>
      <c r="I782" s="2"/>
      <c r="J782" s="83"/>
      <c r="K782" s="84">
        <v>5000.0</v>
      </c>
      <c r="L782" s="61"/>
      <c r="M782" s="60"/>
      <c r="N782" s="29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idden="1">
      <c r="A783" s="2"/>
      <c r="B783" s="57" t="s">
        <v>238</v>
      </c>
      <c r="C783" s="11"/>
      <c r="D783" s="11">
        <v>90.0</v>
      </c>
      <c r="E783" s="12" t="s">
        <v>244</v>
      </c>
      <c r="F783" s="13">
        <f>'БД_УСЛУГИ_РО'!P632+'БД_ЗАПЧАСТИ'!P901</f>
        <v>3600</v>
      </c>
      <c r="G783" s="29"/>
      <c r="H783" s="101">
        <f>'БД_УСЛУГИ_РО'!P632</f>
        <v>3600</v>
      </c>
      <c r="I783" s="2"/>
      <c r="J783" s="85">
        <f t="shared" ref="J783:J784" si="56">F783</f>
        <v>3600</v>
      </c>
      <c r="K783" s="84">
        <v>3600.0</v>
      </c>
      <c r="L783" s="61">
        <f>IFERROR(VLOOKUP("iPhone 13 Mini Замена динамика", 'РЕМОНТ_ЯБЛОК'!C:D, 2, 0), "Ошибка")</f>
        <v>4500</v>
      </c>
      <c r="M783" s="96"/>
      <c r="N783" s="29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idden="1">
      <c r="A784" s="2"/>
      <c r="B784" s="57" t="s">
        <v>238</v>
      </c>
      <c r="C784" s="11"/>
      <c r="D784" s="11">
        <v>90.0</v>
      </c>
      <c r="E784" s="12" t="s">
        <v>245</v>
      </c>
      <c r="F784" s="13">
        <f>'БД_УСЛУГИ_РО'!P633+'БД_ЗАПЧАСТИ'!P861</f>
        <v>3600</v>
      </c>
      <c r="G784" s="29"/>
      <c r="H784" s="101">
        <f>'БД_УСЛУГИ_РО'!P633</f>
        <v>3600</v>
      </c>
      <c r="I784" s="2"/>
      <c r="J784" s="85">
        <f t="shared" si="56"/>
        <v>3600</v>
      </c>
      <c r="K784" s="84">
        <v>3600.0</v>
      </c>
      <c r="L784" s="61">
        <f>IFERROR(VLOOKUP("iPhone 13 Mini Замена динамика", 'РЕМОНТ_ЯБЛОК'!C:D, 2, 0), "Ошибка")</f>
        <v>4500</v>
      </c>
      <c r="M784" s="96"/>
      <c r="N784" s="29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idden="1">
      <c r="A785" s="2"/>
      <c r="B785" s="57" t="s">
        <v>238</v>
      </c>
      <c r="C785" s="11"/>
      <c r="D785" s="11">
        <v>90.0</v>
      </c>
      <c r="E785" s="32" t="s">
        <v>62</v>
      </c>
      <c r="F785" s="13">
        <f>'БД_УСЛУГИ_РО'!P634+'БД_ЗАПЧАСТИ'!P662</f>
        <v>6800</v>
      </c>
      <c r="G785" s="29"/>
      <c r="H785" s="101">
        <f>'БД_УСЛУГИ_РО'!P634</f>
        <v>4200</v>
      </c>
      <c r="I785" s="2"/>
      <c r="J785" s="83"/>
      <c r="K785" s="84">
        <v>6800.0</v>
      </c>
      <c r="L785" s="61"/>
      <c r="M785" s="60"/>
      <c r="N785" s="29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idden="1">
      <c r="A786" s="2"/>
      <c r="B786" s="57" t="s">
        <v>238</v>
      </c>
      <c r="C786" s="11"/>
      <c r="D786" s="11">
        <v>90.0</v>
      </c>
      <c r="E786" s="12" t="s">
        <v>63</v>
      </c>
      <c r="F786" s="13">
        <f>'БД_УСЛУГИ_РО'!P635</f>
        <v>4700</v>
      </c>
      <c r="G786" s="29"/>
      <c r="H786" s="5"/>
      <c r="I786" s="2"/>
      <c r="J786" s="92"/>
      <c r="K786" s="93">
        <v>4700.0</v>
      </c>
      <c r="L786" s="65"/>
      <c r="M786" s="94"/>
      <c r="N786" s="33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idden="1">
      <c r="A787" s="2"/>
      <c r="B787" s="57" t="s">
        <v>238</v>
      </c>
      <c r="C787" s="11"/>
      <c r="D787" s="11">
        <v>90.0</v>
      </c>
      <c r="E787" s="12" t="s">
        <v>64</v>
      </c>
      <c r="F787" s="13">
        <f>'БД_УСЛУГИ_РО'!P637</f>
        <v>5500</v>
      </c>
      <c r="G787" s="29"/>
      <c r="H787" s="5"/>
      <c r="I787" s="2"/>
      <c r="J787" s="92"/>
      <c r="K787" s="93">
        <v>5500.0</v>
      </c>
      <c r="L787" s="65"/>
      <c r="M787" s="94"/>
      <c r="N787" s="33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idden="1">
      <c r="A788" s="2"/>
      <c r="B788" s="57" t="s">
        <v>238</v>
      </c>
      <c r="C788" s="11"/>
      <c r="D788" s="11">
        <v>90.0</v>
      </c>
      <c r="E788" s="12" t="s">
        <v>65</v>
      </c>
      <c r="F788" s="13">
        <f>'БД_УСЛУГИ_РО'!P636+'БД_УСЛУГИ_РО'!P638</f>
        <v>12700</v>
      </c>
      <c r="G788" s="29"/>
      <c r="H788" s="5"/>
      <c r="I788" s="2"/>
      <c r="J788" s="92"/>
      <c r="K788" s="93">
        <v>12700.0</v>
      </c>
      <c r="L788" s="65"/>
      <c r="M788" s="94"/>
      <c r="N788" s="33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idden="1">
      <c r="A789" s="2"/>
      <c r="B789" s="69" t="s">
        <v>238</v>
      </c>
      <c r="C789" s="36"/>
      <c r="D789" s="36">
        <v>90.0</v>
      </c>
      <c r="E789" s="70" t="s">
        <v>66</v>
      </c>
      <c r="F789" s="38">
        <f>'БД_УСЛУГИ_РО'!P636+'БД_УСЛУГИ_РО'!P639</f>
        <v>13200</v>
      </c>
      <c r="G789" s="39"/>
      <c r="H789" s="5"/>
      <c r="I789" s="2"/>
      <c r="J789" s="91"/>
      <c r="K789" s="89">
        <v>13200.0</v>
      </c>
      <c r="L789" s="73"/>
      <c r="M789" s="74"/>
      <c r="N789" s="39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idden="1">
      <c r="A790" s="2"/>
      <c r="B790" s="1"/>
      <c r="C790" s="1"/>
      <c r="D790" s="95"/>
      <c r="E790" s="30"/>
      <c r="F790" s="80"/>
      <c r="G790" s="76"/>
      <c r="H790" s="5"/>
      <c r="I790" s="2"/>
      <c r="J790" s="2"/>
      <c r="K790" s="2" t="s">
        <v>22</v>
      </c>
      <c r="L790" s="2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idden="1">
      <c r="A791" s="2"/>
      <c r="B791" s="41" t="s">
        <v>246</v>
      </c>
      <c r="C791" s="42"/>
      <c r="D791" s="42">
        <v>0.0</v>
      </c>
      <c r="E791" s="51" t="s">
        <v>24</v>
      </c>
      <c r="F791" s="44">
        <f>'БД_УСЛУГИ_РО'!P640</f>
        <v>1</v>
      </c>
      <c r="G791" s="78"/>
      <c r="H791" s="5"/>
      <c r="I791" s="2"/>
      <c r="J791" s="81"/>
      <c r="K791" s="82">
        <v>1.0</v>
      </c>
      <c r="L791" s="55"/>
      <c r="M791" s="56"/>
      <c r="N791" s="5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idden="1">
      <c r="A792" s="2"/>
      <c r="B792" s="57" t="s">
        <v>246</v>
      </c>
      <c r="C792" s="11"/>
      <c r="D792" s="11">
        <v>0.0</v>
      </c>
      <c r="E792" s="12" t="s">
        <v>26</v>
      </c>
      <c r="F792" s="13">
        <f>'БД_УСЛУГИ_РО'!P641+'БД_УСЛУГИ_РО'!P642</f>
        <v>1600</v>
      </c>
      <c r="G792" s="29"/>
      <c r="H792" s="5"/>
      <c r="I792" s="2"/>
      <c r="J792" s="83"/>
      <c r="K792" s="84">
        <v>1600.0</v>
      </c>
      <c r="L792" s="61"/>
      <c r="M792" s="60"/>
      <c r="N792" s="29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idden="1">
      <c r="A793" s="2"/>
      <c r="B793" s="57" t="s">
        <v>246</v>
      </c>
      <c r="C793" s="11"/>
      <c r="D793" s="11">
        <v>0.0</v>
      </c>
      <c r="E793" s="32" t="s">
        <v>27</v>
      </c>
      <c r="F793" s="13">
        <f>'БД_УСЛУГИ_РО'!P643</f>
        <v>700</v>
      </c>
      <c r="G793" s="33" t="str">
        <f>MIN(F793:F794) &amp; " - " &amp; MAX(F793:F794)</f>
        <v>700 - 4200</v>
      </c>
      <c r="H793" s="5"/>
      <c r="I793" s="2"/>
      <c r="J793" s="83"/>
      <c r="K793" s="84">
        <v>700.0</v>
      </c>
      <c r="L793" s="61"/>
      <c r="M793" s="60"/>
      <c r="N793" s="29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idden="1">
      <c r="A794" s="2"/>
      <c r="B794" s="57" t="s">
        <v>246</v>
      </c>
      <c r="C794" s="11"/>
      <c r="D794" s="11">
        <v>0.0</v>
      </c>
      <c r="E794" s="32" t="s">
        <v>28</v>
      </c>
      <c r="F794" s="13">
        <f>'БД_УСЛУГИ_РО'!P644</f>
        <v>4200</v>
      </c>
      <c r="G794" s="28"/>
      <c r="H794" s="5"/>
      <c r="I794" s="2"/>
      <c r="J794" s="83"/>
      <c r="K794" s="84">
        <v>4200.0</v>
      </c>
      <c r="L794" s="61"/>
      <c r="M794" s="60"/>
      <c r="N794" s="29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idden="1">
      <c r="A795" s="2"/>
      <c r="B795" s="57" t="s">
        <v>246</v>
      </c>
      <c r="C795" s="11"/>
      <c r="D795" s="11">
        <v>180.0</v>
      </c>
      <c r="E795" s="12" t="s">
        <v>202</v>
      </c>
      <c r="F795" s="13">
        <f>'БД_УСЛУГИ_РО'!P645+'БД_ЗАПЧАСТИ'!P59</f>
        <v>12600</v>
      </c>
      <c r="G795" s="33" t="str">
        <f>IFERROR(__xludf.DUMMYFUNCTION("MIN(FILTER(F795:F800, F795:F800 &lt;&gt; H795:H800)) &amp; "" - "" &amp; MAX(FILTER(F795:F800, F795:F800 &lt;&gt; H795:H800))"),"5500 - 12600")</f>
        <v>5500 - 12600</v>
      </c>
      <c r="H795" s="101">
        <f>'БД_УСЛУГИ_РО'!P645</f>
        <v>4300</v>
      </c>
      <c r="I795" s="2"/>
      <c r="J795" s="86">
        <f>IFERROR(__xludf.DUMMYFUNCTION("MIN(FILTER(F795:F800, F795:F800 &lt;&gt; H795:H800, F795:F800 &lt;&gt; """"))"),5500.0)</f>
        <v>5500</v>
      </c>
      <c r="K795" s="84">
        <v>12600.0</v>
      </c>
      <c r="L795" s="65" t="str">
        <f>IFERROR(VLOOKUP("iPhone 13 Pro Замена аккумулятора (3095 mah) Standard", 'РЕМОНТ_ЯБЛОК'!C:D, 2, 0), "Ошибка") &amp; " | " &amp; IFERROR(VLOOKUP("iPhone 13 Pro Замена аккумулятора (3410 mAh) HC (повышенная емкость)", 'РЕМОНТ_ЯБЛОК'!C:D, 2, 0), "Ошибка")</f>
        <v>5000 | 6000</v>
      </c>
      <c r="M795" s="60"/>
      <c r="N795" s="29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idden="1">
      <c r="A796" s="2"/>
      <c r="B796" s="57" t="s">
        <v>246</v>
      </c>
      <c r="C796" s="11"/>
      <c r="D796" s="11">
        <v>180.0</v>
      </c>
      <c r="E796" s="12" t="s">
        <v>203</v>
      </c>
      <c r="F796" s="13">
        <f>'БД_УСЛУГИ_РО'!P645+'БД_ЗАПЧАСТИ'!P60</f>
        <v>8800</v>
      </c>
      <c r="G796" s="19"/>
      <c r="H796" s="101">
        <f>'БД_УСЛУГИ_РО'!P645</f>
        <v>4300</v>
      </c>
      <c r="I796" s="2"/>
      <c r="J796" s="103"/>
      <c r="K796" s="84">
        <v>8800.0</v>
      </c>
      <c r="L796" s="104"/>
      <c r="M796" s="60"/>
      <c r="N796" s="29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idden="1">
      <c r="A797" s="2"/>
      <c r="B797" s="57" t="s">
        <v>246</v>
      </c>
      <c r="C797" s="11"/>
      <c r="D797" s="11">
        <v>180.0</v>
      </c>
      <c r="E797" s="12" t="s">
        <v>32</v>
      </c>
      <c r="F797" s="13">
        <f>'БД_УСЛУГИ_РО'!P645+'БД_ЗАПЧАСТИ'!P61</f>
        <v>7100</v>
      </c>
      <c r="G797" s="19"/>
      <c r="H797" s="101">
        <f>'БД_УСЛУГИ_РО'!P645</f>
        <v>4300</v>
      </c>
      <c r="I797" s="2"/>
      <c r="J797" s="103"/>
      <c r="K797" s="84">
        <v>7100.0</v>
      </c>
      <c r="L797" s="104"/>
      <c r="M797" s="60"/>
      <c r="N797" s="29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idden="1">
      <c r="A798" s="2"/>
      <c r="B798" s="57" t="s">
        <v>246</v>
      </c>
      <c r="C798" s="11"/>
      <c r="D798" s="11">
        <v>180.0</v>
      </c>
      <c r="E798" s="12" t="s">
        <v>33</v>
      </c>
      <c r="F798" s="13">
        <f>'БД_УСЛУГИ_РО'!P645+'БД_ЗАПЧАСТИ'!P62</f>
        <v>6000</v>
      </c>
      <c r="G798" s="19"/>
      <c r="H798" s="101">
        <f>'БД_УСЛУГИ_РО'!P645</f>
        <v>4300</v>
      </c>
      <c r="I798" s="2"/>
      <c r="J798" s="103"/>
      <c r="K798" s="84">
        <v>6000.0</v>
      </c>
      <c r="L798" s="104"/>
      <c r="M798" s="60"/>
      <c r="N798" s="29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idden="1">
      <c r="A799" s="2"/>
      <c r="B799" s="57" t="s">
        <v>246</v>
      </c>
      <c r="C799" s="11"/>
      <c r="D799" s="11">
        <v>180.0</v>
      </c>
      <c r="E799" s="12" t="s">
        <v>34</v>
      </c>
      <c r="F799" s="13">
        <f>'БД_УСЛУГИ_РО'!P645+'БД_ЗАПЧАСТИ'!P63</f>
        <v>5500</v>
      </c>
      <c r="G799" s="19"/>
      <c r="H799" s="101">
        <f>'БД_УСЛУГИ_РО'!P645</f>
        <v>4300</v>
      </c>
      <c r="I799" s="2"/>
      <c r="J799" s="87"/>
      <c r="K799" s="84">
        <v>5500.0</v>
      </c>
      <c r="L799" s="67"/>
      <c r="M799" s="60"/>
      <c r="N799" s="29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idden="1">
      <c r="A800" s="2"/>
      <c r="B800" s="57" t="s">
        <v>246</v>
      </c>
      <c r="C800" s="11"/>
      <c r="D800" s="11">
        <v>180.0</v>
      </c>
      <c r="E800" s="12" t="s">
        <v>35</v>
      </c>
      <c r="F800" s="13">
        <f>'БД_УСЛУГИ_РО'!P645+'БД_УСЛУГИ_РО'!P646+'БД_ЗАПЧАСТИ'!P63</f>
        <v>8700</v>
      </c>
      <c r="G800" s="28"/>
      <c r="H800" s="101">
        <f>'БД_УСЛУГИ_РО'!P645+'БД_УСЛУГИ_РО'!P646</f>
        <v>7500</v>
      </c>
      <c r="I800" s="2"/>
      <c r="J800" s="83"/>
      <c r="K800" s="84">
        <v>8700.0</v>
      </c>
      <c r="L800" s="61"/>
      <c r="M800" s="60"/>
      <c r="N800" s="29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idden="1">
      <c r="A801" s="2"/>
      <c r="B801" s="57" t="s">
        <v>246</v>
      </c>
      <c r="C801" s="11"/>
      <c r="D801" s="11">
        <v>90.0</v>
      </c>
      <c r="E801" s="12" t="s">
        <v>247</v>
      </c>
      <c r="F801" s="13">
        <f>'БД_УСЛУГИ_РО'!P647+'БД_ЗАПЧАСТИ'!P668</f>
        <v>7500</v>
      </c>
      <c r="G801" s="29"/>
      <c r="H801" s="101">
        <f>'БД_УСЛУГИ_РО'!P647</f>
        <v>4500</v>
      </c>
      <c r="I801" s="2"/>
      <c r="J801" s="85">
        <f>F801</f>
        <v>7500</v>
      </c>
      <c r="K801" s="84">
        <v>7500.0</v>
      </c>
      <c r="L801" s="61">
        <f>IFERROR(VLOOKUP("iPhone 13 Pro Замена разъема питания", 'РЕМОНТ_ЯБЛОК'!C:D, 2, 0), "Ошибка")</f>
        <v>7500</v>
      </c>
      <c r="M801" s="96"/>
      <c r="N801" s="29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idden="1">
      <c r="A802" s="2"/>
      <c r="B802" s="57" t="s">
        <v>246</v>
      </c>
      <c r="C802" s="11"/>
      <c r="D802" s="11">
        <v>90.0</v>
      </c>
      <c r="E802" s="12" t="s">
        <v>205</v>
      </c>
      <c r="F802" s="13">
        <f>'БД_УСЛУГИ_РО'!P648+'БД_ЗАПЧАСТИ'!P225</f>
        <v>26100</v>
      </c>
      <c r="G802" s="33" t="str">
        <f>IFERROR(__xludf.DUMMYFUNCTION("MIN(FILTER(F802:F808, F802:F808 &lt;&gt; H802:H808)) &amp; "" - "" &amp; MAX(FILTER(F802:F808, F802:F808 &lt;&gt; H802:H808))"),"15000 - 26100")</f>
        <v>15000 - 26100</v>
      </c>
      <c r="H802" s="101">
        <f>'БД_УСЛУГИ_РО'!P648</f>
        <v>4300</v>
      </c>
      <c r="I802" s="2"/>
      <c r="J802" s="86">
        <f>IFERROR(__xludf.DUMMYFUNCTION("MIN(FILTER(F802:F806, F802:F806 &lt;&gt; H802:H806, F802:F806 &lt;&gt; """"))"),15000.0)</f>
        <v>15000</v>
      </c>
      <c r="K802" s="84">
        <v>26100.0</v>
      </c>
      <c r="L802" s="65">
        <f>IFERROR(VLOOKUP("iPhone 13 Pro Замена дисплея (оригинал)", 'РЕМОНТ_ЯБЛОК'!C:D, 2, 0), "Ошибка")</f>
        <v>15000</v>
      </c>
      <c r="M802" s="60"/>
      <c r="N802" s="29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idden="1">
      <c r="A803" s="2"/>
      <c r="B803" s="57" t="s">
        <v>246</v>
      </c>
      <c r="C803" s="11"/>
      <c r="D803" s="11">
        <v>90.0</v>
      </c>
      <c r="E803" s="12" t="s">
        <v>39</v>
      </c>
      <c r="F803" s="13">
        <f>'БД_УСЛУГИ_РО'!P648+'БД_ЗАПЧАСТИ'!P226</f>
        <v>17300</v>
      </c>
      <c r="G803" s="19"/>
      <c r="H803" s="101">
        <f>'БД_УСЛУГИ_РО'!P648</f>
        <v>4300</v>
      </c>
      <c r="I803" s="2"/>
      <c r="J803" s="103"/>
      <c r="K803" s="84">
        <v>17300.0</v>
      </c>
      <c r="L803" s="104"/>
      <c r="M803" s="60"/>
      <c r="N803" s="29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idden="1">
      <c r="A804" s="2"/>
      <c r="B804" s="57" t="s">
        <v>246</v>
      </c>
      <c r="C804" s="11"/>
      <c r="D804" s="11">
        <v>90.0</v>
      </c>
      <c r="E804" s="12" t="s">
        <v>40</v>
      </c>
      <c r="F804" s="13">
        <f>'БД_УСЛУГИ_РО'!P648+'БД_ЗАПЧАСТИ'!P227</f>
        <v>15900</v>
      </c>
      <c r="G804" s="19"/>
      <c r="H804" s="101">
        <f>'БД_УСЛУГИ_РО'!P648</f>
        <v>4300</v>
      </c>
      <c r="I804" s="2"/>
      <c r="J804" s="103"/>
      <c r="K804" s="84">
        <v>15900.0</v>
      </c>
      <c r="L804" s="104"/>
      <c r="M804" s="60"/>
      <c r="N804" s="29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idden="1">
      <c r="A805" s="2"/>
      <c r="B805" s="57" t="s">
        <v>246</v>
      </c>
      <c r="C805" s="11"/>
      <c r="D805" s="11">
        <v>90.0</v>
      </c>
      <c r="E805" s="12" t="s">
        <v>42</v>
      </c>
      <c r="F805" s="13">
        <f>'БД_УСЛУГИ_РО'!P648+'БД_ЗАПЧАСТИ'!P228</f>
        <v>15500</v>
      </c>
      <c r="G805" s="19"/>
      <c r="H805" s="101">
        <f>'БД_УСЛУГИ_РО'!P648</f>
        <v>4300</v>
      </c>
      <c r="I805" s="2"/>
      <c r="J805" s="103"/>
      <c r="K805" s="84">
        <v>15500.0</v>
      </c>
      <c r="L805" s="104"/>
      <c r="M805" s="60"/>
      <c r="N805" s="29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idden="1">
      <c r="A806" s="2"/>
      <c r="B806" s="57" t="s">
        <v>246</v>
      </c>
      <c r="C806" s="11"/>
      <c r="D806" s="11">
        <v>90.0</v>
      </c>
      <c r="E806" s="12" t="s">
        <v>43</v>
      </c>
      <c r="F806" s="13">
        <f>'БД_УСЛУГИ_РО'!P648+'БД_ЗАПЧАСТИ'!P229</f>
        <v>15000</v>
      </c>
      <c r="G806" s="19"/>
      <c r="H806" s="101">
        <f>'БД_УСЛУГИ_РО'!P648</f>
        <v>4300</v>
      </c>
      <c r="I806" s="2"/>
      <c r="J806" s="87"/>
      <c r="K806" s="84">
        <v>15000.0</v>
      </c>
      <c r="L806" s="67"/>
      <c r="M806" s="60"/>
      <c r="N806" s="29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idden="1">
      <c r="A807" s="2"/>
      <c r="B807" s="57" t="s">
        <v>246</v>
      </c>
      <c r="C807" s="11"/>
      <c r="D807" s="11">
        <v>90.0</v>
      </c>
      <c r="E807" s="12" t="s">
        <v>45</v>
      </c>
      <c r="F807" s="13">
        <f>'БД_УСЛУГИ_РО'!P648</f>
        <v>4300</v>
      </c>
      <c r="G807" s="19"/>
      <c r="H807" s="101">
        <f>'БД_УСЛУГИ_РО'!P648</f>
        <v>4300</v>
      </c>
      <c r="I807" s="2"/>
      <c r="J807" s="92" t="str">
        <f>IFERROR(__xludf.DUMMYFUNCTION("MIN(FILTER(F807:F808, F807:F808 &lt;&gt; H807:H808, F807:F808 &lt;&gt; """"))"),"#N/A")</f>
        <v>#N/A</v>
      </c>
      <c r="K807" s="84">
        <v>4300.0</v>
      </c>
      <c r="L807" s="65">
        <f>IFERROR(VLOOKUP("iPhone 13 Pro Замена дисплея (аналог)", 'РЕМОНТ_ЯБЛОК'!C:D, 2, 0), "Ошибка")</f>
        <v>10000</v>
      </c>
      <c r="M807" s="60"/>
      <c r="N807" s="29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idden="1">
      <c r="A808" s="2"/>
      <c r="B808" s="57" t="s">
        <v>246</v>
      </c>
      <c r="C808" s="11"/>
      <c r="D808" s="11">
        <v>90.0</v>
      </c>
      <c r="E808" s="12" t="s">
        <v>46</v>
      </c>
      <c r="F808" s="13">
        <f>'БД_УСЛУГИ_РО'!P648</f>
        <v>4300</v>
      </c>
      <c r="G808" s="28"/>
      <c r="H808" s="101">
        <f>'БД_УСЛУГИ_РО'!P648</f>
        <v>4300</v>
      </c>
      <c r="I808" s="2"/>
      <c r="J808" s="87"/>
      <c r="K808" s="84">
        <v>4300.0</v>
      </c>
      <c r="L808" s="67"/>
      <c r="M808" s="60"/>
      <c r="N808" s="29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idden="1">
      <c r="A809" s="2"/>
      <c r="B809" s="57" t="s">
        <v>246</v>
      </c>
      <c r="C809" s="11"/>
      <c r="D809" s="11">
        <v>90.0</v>
      </c>
      <c r="E809" s="12" t="s">
        <v>47</v>
      </c>
      <c r="F809" s="13">
        <f>'БД_УСЛУГИ_РО'!P649</f>
        <v>3300</v>
      </c>
      <c r="G809" s="29"/>
      <c r="H809" s="5"/>
      <c r="I809" s="2"/>
      <c r="J809" s="83"/>
      <c r="K809" s="84">
        <v>3300.0</v>
      </c>
      <c r="L809" s="61"/>
      <c r="M809" s="60"/>
      <c r="N809" s="29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idden="1">
      <c r="A810" s="2"/>
      <c r="B810" s="57" t="s">
        <v>246</v>
      </c>
      <c r="C810" s="11"/>
      <c r="D810" s="11">
        <v>90.0</v>
      </c>
      <c r="E810" s="12" t="s">
        <v>248</v>
      </c>
      <c r="F810" s="13">
        <f>'БД_УСЛУГИ_РО'!P650</f>
        <v>10000</v>
      </c>
      <c r="G810" s="33" t="str">
        <f>MIN(F810:F811) &amp; " - " &amp; MAX(F810:F811)</f>
        <v>1 - 10000</v>
      </c>
      <c r="H810" s="5"/>
      <c r="I810" s="2"/>
      <c r="J810" s="85">
        <f>F810</f>
        <v>10000</v>
      </c>
      <c r="K810" s="84">
        <v>10000.0</v>
      </c>
      <c r="L810" s="61">
        <f>IFERROR(VLOOKUP("iPhone 13 Pro Переклейка (восстановление) вашего дисплея", 'РЕМОНТ_ЯБЛОК'!C:D, 2, 0), "Ошибка")</f>
        <v>10000</v>
      </c>
      <c r="M810" s="96"/>
      <c r="N810" s="29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idden="1">
      <c r="A811" s="2"/>
      <c r="B811" s="57" t="s">
        <v>246</v>
      </c>
      <c r="C811" s="11"/>
      <c r="D811" s="11">
        <v>90.0</v>
      </c>
      <c r="E811" s="12" t="s">
        <v>249</v>
      </c>
      <c r="F811" s="13">
        <f>'БД_УСЛУГИ_РО'!P651</f>
        <v>1</v>
      </c>
      <c r="G811" s="28"/>
      <c r="H811" s="5"/>
      <c r="I811" s="2"/>
      <c r="J811" s="83"/>
      <c r="K811" s="84">
        <v>1.0</v>
      </c>
      <c r="L811" s="61"/>
      <c r="M811" s="60"/>
      <c r="N811" s="29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idden="1">
      <c r="A812" s="2"/>
      <c r="B812" s="57" t="s">
        <v>246</v>
      </c>
      <c r="C812" s="11"/>
      <c r="D812" s="11">
        <v>90.0</v>
      </c>
      <c r="E812" s="12" t="s">
        <v>250</v>
      </c>
      <c r="F812" s="13">
        <f>'БД_УСЛУГИ_РО'!P652+'БД_ЗАПЧАСТИ'!P774</f>
        <v>9900</v>
      </c>
      <c r="G812" s="29"/>
      <c r="H812" s="101">
        <f>'БД_УСЛУГИ_РО'!P652</f>
        <v>4400</v>
      </c>
      <c r="I812" s="2"/>
      <c r="J812" s="85">
        <f>F812</f>
        <v>9900</v>
      </c>
      <c r="K812" s="84">
        <v>9900.0</v>
      </c>
      <c r="L812" s="61">
        <f>IFERROR(VLOOKUP("iPhone 13 Pro Замена основной камеры", 'РЕМОНТ_ЯБЛОК'!C:D, 2, 0), "Ошибка")</f>
        <v>9500</v>
      </c>
      <c r="M812" s="96"/>
      <c r="N812" s="29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idden="1">
      <c r="A813" s="2"/>
      <c r="B813" s="57" t="s">
        <v>246</v>
      </c>
      <c r="C813" s="11"/>
      <c r="D813" s="11">
        <v>90.0</v>
      </c>
      <c r="E813" s="12" t="s">
        <v>251</v>
      </c>
      <c r="F813" s="13">
        <f>'БД_УСЛУГИ_РО'!P653+'БД_ЗАПЧАСТИ'!P817</f>
        <v>7900</v>
      </c>
      <c r="G813" s="29"/>
      <c r="H813" s="101">
        <f>'БД_УСЛУГИ_РО'!P653</f>
        <v>5000</v>
      </c>
      <c r="I813" s="2"/>
      <c r="J813" s="83"/>
      <c r="K813" s="84">
        <v>7900.0</v>
      </c>
      <c r="L813" s="61"/>
      <c r="M813" s="60"/>
      <c r="N813" s="29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idden="1">
      <c r="A814" s="2"/>
      <c r="B814" s="57" t="s">
        <v>246</v>
      </c>
      <c r="C814" s="11"/>
      <c r="D814" s="11">
        <v>180.0</v>
      </c>
      <c r="E814" s="12" t="s">
        <v>52</v>
      </c>
      <c r="F814" s="13">
        <f>'БД_УСЛУГИ_РО'!P654+'БД_ЗАПЧАСТИ'!P558</f>
        <v>3750</v>
      </c>
      <c r="G814" s="29"/>
      <c r="H814" s="101">
        <f>'БД_УСЛУГИ_РО'!P654</f>
        <v>3400</v>
      </c>
      <c r="I814" s="2"/>
      <c r="J814" s="85">
        <f t="shared" ref="J814:J817" si="57">F814</f>
        <v>3750</v>
      </c>
      <c r="K814" s="93">
        <v>3750.0</v>
      </c>
      <c r="L814" s="61">
        <f>IFERROR(VLOOKUP("iPhone 13 Pro Замена стекла камеры", 'РЕМОНТ_ЯБЛОК'!C:D, 2, 0), "Ошибка")</f>
        <v>3000</v>
      </c>
      <c r="M814" s="105"/>
      <c r="N814" s="33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idden="1">
      <c r="A815" s="2"/>
      <c r="B815" s="57" t="s">
        <v>246</v>
      </c>
      <c r="C815" s="11"/>
      <c r="D815" s="11">
        <v>90.0</v>
      </c>
      <c r="E815" s="12" t="s">
        <v>53</v>
      </c>
      <c r="F815" s="13">
        <f>'БД_УСЛУГИ_РО'!P655</f>
        <v>6700</v>
      </c>
      <c r="G815" s="29"/>
      <c r="H815" s="5"/>
      <c r="I815" s="2"/>
      <c r="J815" s="85">
        <f t="shared" si="57"/>
        <v>6700</v>
      </c>
      <c r="K815" s="93">
        <v>6700.0</v>
      </c>
      <c r="L815" s="61">
        <f>IFERROR(VLOOKUP("iPhone 13 Pro Ремонт (восстановление) Face id", 'РЕМОНТ_ЯБЛОК'!C:D, 2, 0), "Ошибка")</f>
        <v>16000</v>
      </c>
      <c r="M815" s="105"/>
      <c r="N815" s="33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idden="1">
      <c r="A816" s="2"/>
      <c r="B816" s="57" t="s">
        <v>246</v>
      </c>
      <c r="C816" s="11"/>
      <c r="D816" s="11">
        <v>180.0</v>
      </c>
      <c r="E816" s="12" t="s">
        <v>55</v>
      </c>
      <c r="F816" s="13">
        <f>'БД_УСЛУГИ_РО'!P656+'БД_ЗАПЧАСТИ'!P394</f>
        <v>7000</v>
      </c>
      <c r="G816" s="29"/>
      <c r="H816" s="101">
        <f>'БД_УСЛУГИ_РО'!P656</f>
        <v>6300</v>
      </c>
      <c r="I816" s="2"/>
      <c r="J816" s="85">
        <f t="shared" si="57"/>
        <v>7000</v>
      </c>
      <c r="K816" s="93">
        <v>7000.0</v>
      </c>
      <c r="L816" s="61">
        <f>IFERROR(VLOOKUP("iPhone 13 Pro Замена задней крышки", 'РЕМОНТ_ЯБЛОК'!C:D, 2, 0), "Ошибка")</f>
        <v>6000</v>
      </c>
      <c r="M816" s="105"/>
      <c r="N816" s="33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idden="1">
      <c r="A817" s="2"/>
      <c r="B817" s="57" t="s">
        <v>246</v>
      </c>
      <c r="C817" s="11"/>
      <c r="D817" s="11">
        <v>180.0</v>
      </c>
      <c r="E817" s="12" t="s">
        <v>56</v>
      </c>
      <c r="F817" s="13">
        <f>'БД_УСЛУГИ_РО'!P657</f>
        <v>4600</v>
      </c>
      <c r="G817" s="29"/>
      <c r="H817" s="101">
        <f>'БД_УСЛУГИ_РО'!P657</f>
        <v>4600</v>
      </c>
      <c r="I817" s="2"/>
      <c r="J817" s="85">
        <f t="shared" si="57"/>
        <v>4600</v>
      </c>
      <c r="K817" s="93">
        <v>4600.0</v>
      </c>
      <c r="L817" s="61">
        <f>IFERROR(VLOOKUP("iPhone 13 Pro Замена корпуса", 'РЕМОНТ_ЯБЛОК'!C:D, 2, 0), "Ошибка")</f>
        <v>10000</v>
      </c>
      <c r="M817" s="105"/>
      <c r="N817" s="33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idden="1">
      <c r="A818" s="2"/>
      <c r="B818" s="57" t="s">
        <v>246</v>
      </c>
      <c r="C818" s="11"/>
      <c r="D818" s="11">
        <v>90.0</v>
      </c>
      <c r="E818" s="12" t="s">
        <v>59</v>
      </c>
      <c r="F818" s="13">
        <f>'БД_УСЛУГИ_РО'!P658</f>
        <v>5000</v>
      </c>
      <c r="G818" s="29"/>
      <c r="H818" s="5"/>
      <c r="I818" s="2"/>
      <c r="J818" s="83"/>
      <c r="K818" s="84">
        <v>5000.0</v>
      </c>
      <c r="L818" s="61"/>
      <c r="M818" s="60"/>
      <c r="N818" s="29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idden="1">
      <c r="A819" s="2"/>
      <c r="B819" s="57" t="s">
        <v>246</v>
      </c>
      <c r="C819" s="11"/>
      <c r="D819" s="11">
        <v>90.0</v>
      </c>
      <c r="E819" s="12" t="s">
        <v>252</v>
      </c>
      <c r="F819" s="13">
        <f>'БД_УСЛУГИ_РО'!P659+'БД_ЗАПЧАСТИ'!P902</f>
        <v>5350</v>
      </c>
      <c r="G819" s="29"/>
      <c r="H819" s="101">
        <f>'БД_УСЛУГИ_РО'!P659</f>
        <v>4300</v>
      </c>
      <c r="I819" s="2"/>
      <c r="J819" s="85">
        <f t="shared" ref="J819:J820" si="58">F819</f>
        <v>5350</v>
      </c>
      <c r="K819" s="84">
        <v>5350.0</v>
      </c>
      <c r="L819" s="61">
        <f>IFERROR(VLOOKUP("iPhone 13 Pro Замена динамика", 'РЕМОНТ_ЯБЛОК'!C:D, 2, 0), "Ошибка")</f>
        <v>5000</v>
      </c>
      <c r="M819" s="96"/>
      <c r="N819" s="29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idden="1">
      <c r="A820" s="2"/>
      <c r="B820" s="57" t="s">
        <v>246</v>
      </c>
      <c r="C820" s="11"/>
      <c r="D820" s="11">
        <v>90.0</v>
      </c>
      <c r="E820" s="12" t="s">
        <v>253</v>
      </c>
      <c r="F820" s="13">
        <f>'БД_УСЛУГИ_РО'!P660+'БД_ЗАПЧАСТИ'!P862</f>
        <v>5350</v>
      </c>
      <c r="G820" s="29"/>
      <c r="H820" s="101">
        <f>'БД_УСЛУГИ_РО'!P660</f>
        <v>4300</v>
      </c>
      <c r="I820" s="2"/>
      <c r="J820" s="85">
        <f t="shared" si="58"/>
        <v>5350</v>
      </c>
      <c r="K820" s="84">
        <v>5350.0</v>
      </c>
      <c r="L820" s="61">
        <f>IFERROR(VLOOKUP("iPhone 13 Pro Замена динамика", 'РЕМОНТ_ЯБЛОК'!C:D, 2, 0), "Ошибка")</f>
        <v>5000</v>
      </c>
      <c r="M820" s="96"/>
      <c r="N820" s="29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idden="1">
      <c r="A821" s="2"/>
      <c r="B821" s="57" t="s">
        <v>246</v>
      </c>
      <c r="C821" s="11"/>
      <c r="D821" s="11">
        <v>90.0</v>
      </c>
      <c r="E821" s="32" t="s">
        <v>62</v>
      </c>
      <c r="F821" s="13">
        <f>'БД_УСЛУГИ_РО'!P661+'БД_ЗАПЧАСТИ'!P668</f>
        <v>7900</v>
      </c>
      <c r="G821" s="29"/>
      <c r="H821" s="101">
        <f>'БД_УСЛУГИ_РО'!P661</f>
        <v>4900</v>
      </c>
      <c r="I821" s="2"/>
      <c r="J821" s="83"/>
      <c r="K821" s="84">
        <v>7900.0</v>
      </c>
      <c r="L821" s="61"/>
      <c r="M821" s="60"/>
      <c r="N821" s="29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idden="1">
      <c r="A822" s="2"/>
      <c r="B822" s="57" t="s">
        <v>246</v>
      </c>
      <c r="C822" s="11"/>
      <c r="D822" s="11">
        <v>90.0</v>
      </c>
      <c r="E822" s="12" t="s">
        <v>63</v>
      </c>
      <c r="F822" s="13">
        <f>'БД_УСЛУГИ_РО'!P662</f>
        <v>4700</v>
      </c>
      <c r="G822" s="29"/>
      <c r="H822" s="5"/>
      <c r="I822" s="2"/>
      <c r="J822" s="92"/>
      <c r="K822" s="93">
        <v>4700.0</v>
      </c>
      <c r="L822" s="65"/>
      <c r="M822" s="94"/>
      <c r="N822" s="33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idden="1">
      <c r="A823" s="2"/>
      <c r="B823" s="57" t="s">
        <v>246</v>
      </c>
      <c r="C823" s="11"/>
      <c r="D823" s="11">
        <v>90.0</v>
      </c>
      <c r="E823" s="12" t="s">
        <v>64</v>
      </c>
      <c r="F823" s="13">
        <f>'БД_УСЛУГИ_РО'!P664</f>
        <v>5500</v>
      </c>
      <c r="G823" s="29"/>
      <c r="H823" s="5"/>
      <c r="I823" s="2"/>
      <c r="J823" s="92"/>
      <c r="K823" s="93">
        <v>5500.0</v>
      </c>
      <c r="L823" s="65"/>
      <c r="M823" s="94"/>
      <c r="N823" s="33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idden="1">
      <c r="A824" s="2"/>
      <c r="B824" s="57" t="s">
        <v>246</v>
      </c>
      <c r="C824" s="11"/>
      <c r="D824" s="11">
        <v>90.0</v>
      </c>
      <c r="E824" s="12" t="s">
        <v>65</v>
      </c>
      <c r="F824" s="13">
        <f>'БД_УСЛУГИ_РО'!P663+'БД_УСЛУГИ_РО'!P665</f>
        <v>13200</v>
      </c>
      <c r="G824" s="29"/>
      <c r="H824" s="5"/>
      <c r="I824" s="2"/>
      <c r="J824" s="92"/>
      <c r="K824" s="93">
        <v>13200.0</v>
      </c>
      <c r="L824" s="65"/>
      <c r="M824" s="94"/>
      <c r="N824" s="33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idden="1">
      <c r="A825" s="2"/>
      <c r="B825" s="69" t="s">
        <v>246</v>
      </c>
      <c r="C825" s="36"/>
      <c r="D825" s="36">
        <v>90.0</v>
      </c>
      <c r="E825" s="70" t="s">
        <v>66</v>
      </c>
      <c r="F825" s="38">
        <f>'БД_УСЛУГИ_РО'!P663+'БД_УСЛУГИ_РО'!P666</f>
        <v>13700</v>
      </c>
      <c r="G825" s="39"/>
      <c r="H825" s="5"/>
      <c r="I825" s="2"/>
      <c r="J825" s="91"/>
      <c r="K825" s="89">
        <v>13700.0</v>
      </c>
      <c r="L825" s="73"/>
      <c r="M825" s="74"/>
      <c r="N825" s="39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idden="1">
      <c r="A826" s="2"/>
      <c r="B826" s="1"/>
      <c r="C826" s="1"/>
      <c r="D826" s="95"/>
      <c r="E826" s="30"/>
      <c r="F826" s="80"/>
      <c r="G826" s="76"/>
      <c r="H826" s="5"/>
      <c r="I826" s="2"/>
      <c r="J826" s="2"/>
      <c r="K826" s="2" t="s">
        <v>22</v>
      </c>
      <c r="L826" s="2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idden="1">
      <c r="A827" s="2"/>
      <c r="B827" s="41" t="s">
        <v>254</v>
      </c>
      <c r="C827" s="42"/>
      <c r="D827" s="42">
        <v>0.0</v>
      </c>
      <c r="E827" s="51" t="s">
        <v>24</v>
      </c>
      <c r="F827" s="44">
        <f>'БД_УСЛУГИ_РО'!P667</f>
        <v>1</v>
      </c>
      <c r="G827" s="78"/>
      <c r="H827" s="5"/>
      <c r="I827" s="2"/>
      <c r="J827" s="81"/>
      <c r="K827" s="82">
        <v>1.0</v>
      </c>
      <c r="L827" s="55"/>
      <c r="M827" s="56"/>
      <c r="N827" s="5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idden="1">
      <c r="A828" s="2"/>
      <c r="B828" s="57" t="s">
        <v>254</v>
      </c>
      <c r="C828" s="11"/>
      <c r="D828" s="11">
        <v>0.0</v>
      </c>
      <c r="E828" s="12" t="s">
        <v>26</v>
      </c>
      <c r="F828" s="13">
        <f>'БД_УСЛУГИ_РО'!P668+'БД_УСЛУГИ_РО'!P669</f>
        <v>1600</v>
      </c>
      <c r="G828" s="29"/>
      <c r="H828" s="5"/>
      <c r="I828" s="2"/>
      <c r="J828" s="83"/>
      <c r="K828" s="84">
        <v>1600.0</v>
      </c>
      <c r="L828" s="61"/>
      <c r="M828" s="60"/>
      <c r="N828" s="29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idden="1">
      <c r="A829" s="2"/>
      <c r="B829" s="57" t="s">
        <v>254</v>
      </c>
      <c r="C829" s="11"/>
      <c r="D829" s="11">
        <v>0.0</v>
      </c>
      <c r="E829" s="32" t="s">
        <v>27</v>
      </c>
      <c r="F829" s="13">
        <f>'БД_УСЛУГИ_РО'!P670</f>
        <v>700</v>
      </c>
      <c r="G829" s="33" t="str">
        <f>MIN(F829:F830) &amp; " - " &amp; MAX(F829:F830)</f>
        <v>700 - 4200</v>
      </c>
      <c r="H829" s="5"/>
      <c r="I829" s="2"/>
      <c r="J829" s="83"/>
      <c r="K829" s="84">
        <v>700.0</v>
      </c>
      <c r="L829" s="61"/>
      <c r="M829" s="60"/>
      <c r="N829" s="29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idden="1">
      <c r="A830" s="2"/>
      <c r="B830" s="57" t="s">
        <v>254</v>
      </c>
      <c r="C830" s="11"/>
      <c r="D830" s="11">
        <v>0.0</v>
      </c>
      <c r="E830" s="32" t="s">
        <v>28</v>
      </c>
      <c r="F830" s="13">
        <f>'БД_УСЛУГИ_РО'!P671</f>
        <v>4200</v>
      </c>
      <c r="G830" s="28"/>
      <c r="H830" s="5"/>
      <c r="I830" s="2"/>
      <c r="J830" s="83"/>
      <c r="K830" s="84">
        <v>4200.0</v>
      </c>
      <c r="L830" s="61"/>
      <c r="M830" s="60"/>
      <c r="N830" s="29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idden="1">
      <c r="A831" s="2"/>
      <c r="B831" s="57" t="s">
        <v>254</v>
      </c>
      <c r="C831" s="11"/>
      <c r="D831" s="11">
        <v>180.0</v>
      </c>
      <c r="E831" s="12" t="s">
        <v>202</v>
      </c>
      <c r="F831" s="13">
        <f>'БД_УСЛУГИ_РО'!P672+'БД_ЗАПЧАСТИ'!P65</f>
        <v>12600</v>
      </c>
      <c r="G831" s="33" t="str">
        <f>IFERROR(__xludf.DUMMYFUNCTION("MIN(FILTER(F831:F836, F831:F836 &lt;&gt; H831:H836)) &amp; "" - "" &amp; MAX(FILTER(F831:F836, F831:F836 &lt;&gt; H831:H836))"),"6000 - 12600")</f>
        <v>6000 - 12600</v>
      </c>
      <c r="H831" s="101">
        <f>'БД_УСЛУГИ_РО'!P672</f>
        <v>4300</v>
      </c>
      <c r="I831" s="2"/>
      <c r="J831" s="86">
        <f>IFERROR(__xludf.DUMMYFUNCTION("MIN(FILTER(F831:F836, F831:F836 &lt;&gt; H831:H836, F831:F836 &lt;&gt; """"))"),6000.0)</f>
        <v>6000</v>
      </c>
      <c r="K831" s="84">
        <v>12600.0</v>
      </c>
      <c r="L831" s="65" t="str">
        <f>IFERROR(VLOOKUP("iPhone 13 Pro Max Замена аккумулятора (4352 mAh) Standart", 'РЕМОНТ_ЯБЛОК'!C:D, 2, 0), "Ошибка") &amp; " | " &amp; IFERROR(VLOOKUP("iPhone 13 Pro Max Замена аккумулятора (4750 mAh) HC (повышенная емкость)", 'РЕМОНТ_ЯБЛОК'!C:D, 2, 0), "Ошибка")</f>
        <v>6000 | 7000</v>
      </c>
      <c r="M831" s="60"/>
      <c r="N831" s="29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idden="1">
      <c r="A832" s="2"/>
      <c r="B832" s="57" t="s">
        <v>254</v>
      </c>
      <c r="C832" s="11"/>
      <c r="D832" s="11">
        <v>180.0</v>
      </c>
      <c r="E832" s="12" t="s">
        <v>203</v>
      </c>
      <c r="F832" s="13">
        <f>'БД_УСЛУГИ_РО'!P672+'БД_ЗАПЧАСТИ'!P66</f>
        <v>8800</v>
      </c>
      <c r="G832" s="19"/>
      <c r="H832" s="101">
        <f>'БД_УСЛУГИ_РО'!P672</f>
        <v>4300</v>
      </c>
      <c r="I832" s="2"/>
      <c r="J832" s="103"/>
      <c r="K832" s="84">
        <v>8800.0</v>
      </c>
      <c r="L832" s="104"/>
      <c r="M832" s="60"/>
      <c r="N832" s="29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idden="1">
      <c r="A833" s="2"/>
      <c r="B833" s="57" t="s">
        <v>254</v>
      </c>
      <c r="C833" s="11"/>
      <c r="D833" s="11">
        <v>180.0</v>
      </c>
      <c r="E833" s="12" t="s">
        <v>32</v>
      </c>
      <c r="F833" s="13">
        <f>'БД_УСЛУГИ_РО'!P672+'БД_ЗАПЧАСТИ'!P67</f>
        <v>7500</v>
      </c>
      <c r="G833" s="19"/>
      <c r="H833" s="101">
        <f>'БД_УСЛУГИ_РО'!P672</f>
        <v>4300</v>
      </c>
      <c r="I833" s="2"/>
      <c r="J833" s="103"/>
      <c r="K833" s="84">
        <v>7500.0</v>
      </c>
      <c r="L833" s="104"/>
      <c r="M833" s="60"/>
      <c r="N833" s="29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idden="1">
      <c r="A834" s="2"/>
      <c r="B834" s="57" t="s">
        <v>254</v>
      </c>
      <c r="C834" s="11"/>
      <c r="D834" s="11">
        <v>180.0</v>
      </c>
      <c r="E834" s="12" t="s">
        <v>33</v>
      </c>
      <c r="F834" s="13">
        <f>'БД_УСЛУГИ_РО'!P672+'БД_ЗАПЧАСТИ'!P68</f>
        <v>6500</v>
      </c>
      <c r="G834" s="19"/>
      <c r="H834" s="101">
        <f>'БД_УСЛУГИ_РО'!P672</f>
        <v>4300</v>
      </c>
      <c r="I834" s="2"/>
      <c r="J834" s="103"/>
      <c r="K834" s="84">
        <v>6500.0</v>
      </c>
      <c r="L834" s="104"/>
      <c r="M834" s="60"/>
      <c r="N834" s="29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idden="1">
      <c r="A835" s="2"/>
      <c r="B835" s="57" t="s">
        <v>254</v>
      </c>
      <c r="C835" s="11"/>
      <c r="D835" s="11">
        <v>180.0</v>
      </c>
      <c r="E835" s="12" t="s">
        <v>34</v>
      </c>
      <c r="F835" s="13">
        <f>'БД_УСЛУГИ_РО'!P672+'БД_ЗАПЧАСТИ'!P69</f>
        <v>6000</v>
      </c>
      <c r="G835" s="19"/>
      <c r="H835" s="101">
        <f>'БД_УСЛУГИ_РО'!P672</f>
        <v>4300</v>
      </c>
      <c r="I835" s="2"/>
      <c r="J835" s="87"/>
      <c r="K835" s="84">
        <v>6000.0</v>
      </c>
      <c r="L835" s="67"/>
      <c r="M835" s="60"/>
      <c r="N835" s="29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idden="1">
      <c r="A836" s="2"/>
      <c r="B836" s="57" t="s">
        <v>254</v>
      </c>
      <c r="C836" s="11"/>
      <c r="D836" s="11">
        <v>180.0</v>
      </c>
      <c r="E836" s="12" t="s">
        <v>35</v>
      </c>
      <c r="F836" s="13">
        <f>'БД_УСЛУГИ_РО'!P672+'БД_УСЛУГИ_РО'!P673+'БД_ЗАПЧАСТИ'!P69</f>
        <v>9200</v>
      </c>
      <c r="G836" s="28"/>
      <c r="H836" s="101">
        <f>'БД_УСЛУГИ_РО'!P672+'БД_УСЛУГИ_РО'!P673</f>
        <v>7500</v>
      </c>
      <c r="I836" s="2"/>
      <c r="J836" s="83"/>
      <c r="K836" s="84">
        <v>9200.0</v>
      </c>
      <c r="L836" s="61"/>
      <c r="M836" s="60"/>
      <c r="N836" s="29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idden="1">
      <c r="A837" s="2"/>
      <c r="B837" s="57" t="s">
        <v>254</v>
      </c>
      <c r="C837" s="11"/>
      <c r="D837" s="11">
        <v>90.0</v>
      </c>
      <c r="E837" s="12" t="s">
        <v>255</v>
      </c>
      <c r="F837" s="13">
        <f>'БД_УСЛУГИ_РО'!P674+'БД_ЗАПЧАСТИ'!P673</f>
        <v>8000</v>
      </c>
      <c r="G837" s="29"/>
      <c r="H837" s="101">
        <f>'БД_УСЛУГИ_РО'!P674</f>
        <v>4500</v>
      </c>
      <c r="I837" s="2"/>
      <c r="J837" s="85">
        <f>F837</f>
        <v>8000</v>
      </c>
      <c r="K837" s="84">
        <v>8000.0</v>
      </c>
      <c r="L837" s="61">
        <f>IFERROR(VLOOKUP("iPhone 13 Pro Max Замена разъема питания", 'РЕМОНТ_ЯБЛОК'!C:D, 2, 0), "Ошибка")</f>
        <v>8000</v>
      </c>
      <c r="M837" s="96"/>
      <c r="N837" s="29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idden="1">
      <c r="A838" s="2"/>
      <c r="B838" s="57" t="s">
        <v>254</v>
      </c>
      <c r="C838" s="11"/>
      <c r="D838" s="11">
        <v>90.0</v>
      </c>
      <c r="E838" s="12" t="s">
        <v>205</v>
      </c>
      <c r="F838" s="13">
        <f>'БД_УСЛУГИ_РО'!P675+'БД_ЗАПЧАСТИ'!P230</f>
        <v>27550</v>
      </c>
      <c r="G838" s="33" t="str">
        <f>IFERROR(__xludf.DUMMYFUNCTION("MIN(FILTER(F838:F844, F838:F844 &lt;&gt; H838:H844)) &amp; "" - "" &amp; MAX(FILTER(F838:F844, F838:F844 &lt;&gt; H838:H844))"),"15000 - 27550")</f>
        <v>15000 - 27550</v>
      </c>
      <c r="H838" s="101">
        <f>'БД_УСЛУГИ_РО'!P675</f>
        <v>4300</v>
      </c>
      <c r="I838" s="2"/>
      <c r="J838" s="86">
        <f>IFERROR(__xludf.DUMMYFUNCTION("MIN(FILTER(F838:F842, F838:F842 &lt;&gt; H838:H842, F838:F842 &lt;&gt; """"))"),15000.0)</f>
        <v>15000</v>
      </c>
      <c r="K838" s="84">
        <v>27550.0</v>
      </c>
      <c r="L838" s="65">
        <f>IFERROR(VLOOKUP("iPhone 13 Pro Max Замена дисплея (оригинал)", 'РЕМОНТ_ЯБЛОК'!C:D, 2, 0), "Ошибка")</f>
        <v>15000</v>
      </c>
      <c r="M838" s="60"/>
      <c r="N838" s="29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idden="1">
      <c r="A839" s="2"/>
      <c r="B839" s="57" t="s">
        <v>254</v>
      </c>
      <c r="C839" s="11"/>
      <c r="D839" s="11">
        <v>90.0</v>
      </c>
      <c r="E839" s="12" t="s">
        <v>39</v>
      </c>
      <c r="F839" s="13">
        <f>'БД_УСЛУГИ_РО'!P675+'БД_ЗАПЧАСТИ'!P231</f>
        <v>18950</v>
      </c>
      <c r="G839" s="19"/>
      <c r="H839" s="101">
        <f>'БД_УСЛУГИ_РО'!P675</f>
        <v>4300</v>
      </c>
      <c r="I839" s="2"/>
      <c r="J839" s="103"/>
      <c r="K839" s="84">
        <v>18950.0</v>
      </c>
      <c r="L839" s="104"/>
      <c r="M839" s="60"/>
      <c r="N839" s="29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idden="1">
      <c r="A840" s="2"/>
      <c r="B840" s="57" t="s">
        <v>254</v>
      </c>
      <c r="C840" s="11"/>
      <c r="D840" s="11">
        <v>90.0</v>
      </c>
      <c r="E840" s="12" t="s">
        <v>40</v>
      </c>
      <c r="F840" s="13">
        <f>'БД_УСЛУГИ_РО'!P675+'БД_ЗАПЧАСТИ'!P232</f>
        <v>17800</v>
      </c>
      <c r="G840" s="19"/>
      <c r="H840" s="101">
        <f>'БД_УСЛУГИ_РО'!P675</f>
        <v>4300</v>
      </c>
      <c r="I840" s="2"/>
      <c r="J840" s="103"/>
      <c r="K840" s="84">
        <v>17800.0</v>
      </c>
      <c r="L840" s="104"/>
      <c r="M840" s="60"/>
      <c r="N840" s="29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idden="1">
      <c r="A841" s="2"/>
      <c r="B841" s="57" t="s">
        <v>254</v>
      </c>
      <c r="C841" s="11"/>
      <c r="D841" s="11">
        <v>90.0</v>
      </c>
      <c r="E841" s="12" t="s">
        <v>42</v>
      </c>
      <c r="F841" s="13">
        <f>'БД_УСЛУГИ_РО'!P675+'БД_ЗАПЧАСТИ'!P233</f>
        <v>17400</v>
      </c>
      <c r="G841" s="19"/>
      <c r="H841" s="101">
        <f>'БД_УСЛУГИ_РО'!P675</f>
        <v>4300</v>
      </c>
      <c r="I841" s="2"/>
      <c r="J841" s="103"/>
      <c r="K841" s="84">
        <v>17400.0</v>
      </c>
      <c r="L841" s="104"/>
      <c r="M841" s="60"/>
      <c r="N841" s="29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idden="1">
      <c r="A842" s="2"/>
      <c r="B842" s="57" t="s">
        <v>254</v>
      </c>
      <c r="C842" s="11"/>
      <c r="D842" s="11">
        <v>90.0</v>
      </c>
      <c r="E842" s="12" t="s">
        <v>43</v>
      </c>
      <c r="F842" s="13">
        <f>'БД_УСЛУГИ_РО'!P675+'БД_ЗАПЧАСТИ'!P234</f>
        <v>15000</v>
      </c>
      <c r="G842" s="19"/>
      <c r="H842" s="101">
        <f>'БД_УСЛУГИ_РО'!P675</f>
        <v>4300</v>
      </c>
      <c r="I842" s="2"/>
      <c r="J842" s="87"/>
      <c r="K842" s="84">
        <v>15000.0</v>
      </c>
      <c r="L842" s="67"/>
      <c r="M842" s="60"/>
      <c r="N842" s="29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idden="1">
      <c r="A843" s="2"/>
      <c r="B843" s="57" t="s">
        <v>254</v>
      </c>
      <c r="C843" s="11"/>
      <c r="D843" s="11">
        <v>90.0</v>
      </c>
      <c r="E843" s="12" t="s">
        <v>45</v>
      </c>
      <c r="F843" s="13">
        <f>'БД_УСЛУГИ_РО'!P675</f>
        <v>4300</v>
      </c>
      <c r="G843" s="19"/>
      <c r="H843" s="101">
        <f>'БД_УСЛУГИ_РО'!P675</f>
        <v>4300</v>
      </c>
      <c r="I843" s="2"/>
      <c r="J843" s="92" t="str">
        <f>IFERROR(__xludf.DUMMYFUNCTION("MIN(FILTER(F843:F844, F843:F844 &lt;&gt; H843:H844, F843:F844 &lt;&gt; """"))"),"#N/A")</f>
        <v>#N/A</v>
      </c>
      <c r="K843" s="84">
        <v>4300.0</v>
      </c>
      <c r="L843" s="65">
        <f>IFERROR(VLOOKUP("iPhone 13 Pro Max Замена дисплея (аналог)", 'РЕМОНТ_ЯБЛОК'!C:D, 2, 0), "Ошибка")</f>
        <v>10000</v>
      </c>
      <c r="M843" s="60"/>
      <c r="N843" s="29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idden="1">
      <c r="A844" s="2"/>
      <c r="B844" s="57" t="s">
        <v>254</v>
      </c>
      <c r="C844" s="11"/>
      <c r="D844" s="11">
        <v>90.0</v>
      </c>
      <c r="E844" s="12" t="s">
        <v>46</v>
      </c>
      <c r="F844" s="13">
        <f>'БД_УСЛУГИ_РО'!P675</f>
        <v>4300</v>
      </c>
      <c r="G844" s="28"/>
      <c r="H844" s="101">
        <f>'БД_УСЛУГИ_РО'!P675</f>
        <v>4300</v>
      </c>
      <c r="I844" s="2"/>
      <c r="J844" s="87"/>
      <c r="K844" s="84">
        <v>4300.0</v>
      </c>
      <c r="L844" s="67"/>
      <c r="M844" s="60"/>
      <c r="N844" s="29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idden="1">
      <c r="A845" s="2"/>
      <c r="B845" s="57" t="s">
        <v>254</v>
      </c>
      <c r="C845" s="11"/>
      <c r="D845" s="11">
        <v>90.0</v>
      </c>
      <c r="E845" s="12" t="s">
        <v>47</v>
      </c>
      <c r="F845" s="13">
        <f>'БД_УСЛУГИ_РО'!P676</f>
        <v>3300</v>
      </c>
      <c r="G845" s="29"/>
      <c r="H845" s="5"/>
      <c r="I845" s="2"/>
      <c r="J845" s="83"/>
      <c r="K845" s="84">
        <v>3300.0</v>
      </c>
      <c r="L845" s="61"/>
      <c r="M845" s="60"/>
      <c r="N845" s="29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idden="1">
      <c r="A846" s="2"/>
      <c r="B846" s="57" t="s">
        <v>254</v>
      </c>
      <c r="C846" s="11"/>
      <c r="D846" s="11">
        <v>90.0</v>
      </c>
      <c r="E846" s="12" t="s">
        <v>256</v>
      </c>
      <c r="F846" s="13">
        <f>'БД_УСЛУГИ_РО'!P677</f>
        <v>12000</v>
      </c>
      <c r="G846" s="33" t="str">
        <f>MIN(F846:F847) &amp; " - " &amp; MAX(F846:F847)</f>
        <v>1 - 12000</v>
      </c>
      <c r="H846" s="5"/>
      <c r="I846" s="2"/>
      <c r="J846" s="85">
        <f>F846</f>
        <v>12000</v>
      </c>
      <c r="K846" s="84">
        <v>12000.0</v>
      </c>
      <c r="L846" s="61">
        <f>IFERROR(VLOOKUP("iPhone 13 Pro Max Переклейка (восстановление) вашего дисплея", 'РЕМОНТ_ЯБЛОК'!C:D, 2, 0), "Ошибка")</f>
        <v>10000</v>
      </c>
      <c r="M846" s="96"/>
      <c r="N846" s="29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idden="1">
      <c r="A847" s="2"/>
      <c r="B847" s="57" t="s">
        <v>254</v>
      </c>
      <c r="C847" s="11"/>
      <c r="D847" s="11">
        <v>90.0</v>
      </c>
      <c r="E847" s="12" t="s">
        <v>257</v>
      </c>
      <c r="F847" s="13">
        <f>'БД_УСЛУГИ_РО'!P678</f>
        <v>1</v>
      </c>
      <c r="G847" s="28"/>
      <c r="H847" s="5"/>
      <c r="I847" s="2"/>
      <c r="J847" s="83"/>
      <c r="K847" s="84">
        <v>1.0</v>
      </c>
      <c r="L847" s="61"/>
      <c r="M847" s="60"/>
      <c r="N847" s="29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idden="1">
      <c r="A848" s="2"/>
      <c r="B848" s="57" t="s">
        <v>254</v>
      </c>
      <c r="C848" s="11"/>
      <c r="D848" s="11">
        <v>90.0</v>
      </c>
      <c r="E848" s="12" t="s">
        <v>258</v>
      </c>
      <c r="F848" s="13">
        <f>'БД_УСЛУГИ_РО'!P679+'БД_ЗАПЧАСТИ'!P774</f>
        <v>9900</v>
      </c>
      <c r="G848" s="29"/>
      <c r="H848" s="101">
        <f>'БД_УСЛУГИ_РО'!P679</f>
        <v>4400</v>
      </c>
      <c r="I848" s="2"/>
      <c r="J848" s="85">
        <f>F848</f>
        <v>9900</v>
      </c>
      <c r="K848" s="84">
        <v>9900.0</v>
      </c>
      <c r="L848" s="61">
        <f>IFERROR(VLOOKUP("iPhone 13 Pro Max Замена основной камеры", 'РЕМОНТ_ЯБЛОК'!C:D, 2, 0), "Ошибка")</f>
        <v>10000</v>
      </c>
      <c r="M848" s="96"/>
      <c r="N848" s="29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idden="1">
      <c r="A849" s="2"/>
      <c r="B849" s="57" t="s">
        <v>254</v>
      </c>
      <c r="C849" s="11"/>
      <c r="D849" s="11">
        <v>90.0</v>
      </c>
      <c r="E849" s="12" t="s">
        <v>259</v>
      </c>
      <c r="F849" s="13">
        <f>'БД_УСЛУГИ_РО'!P680+'БД_ЗАПЧАСТИ'!P818</f>
        <v>7900</v>
      </c>
      <c r="G849" s="29"/>
      <c r="H849" s="101">
        <f>'БД_УСЛУГИ_РО'!P680</f>
        <v>5000</v>
      </c>
      <c r="I849" s="2"/>
      <c r="J849" s="83"/>
      <c r="K849" s="84">
        <v>7900.0</v>
      </c>
      <c r="L849" s="61"/>
      <c r="M849" s="60"/>
      <c r="N849" s="29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idden="1">
      <c r="A850" s="2"/>
      <c r="B850" s="57" t="s">
        <v>254</v>
      </c>
      <c r="C850" s="11"/>
      <c r="D850" s="11">
        <v>180.0</v>
      </c>
      <c r="E850" s="12" t="s">
        <v>52</v>
      </c>
      <c r="F850" s="13">
        <f>'БД_УСЛУГИ_РО'!P681+'БД_ЗАПЧАСТИ'!P558</f>
        <v>3750</v>
      </c>
      <c r="G850" s="29"/>
      <c r="H850" s="101">
        <f>'БД_УСЛУГИ_РО'!P681</f>
        <v>3400</v>
      </c>
      <c r="I850" s="2"/>
      <c r="J850" s="85">
        <f t="shared" ref="J850:J853" si="59">F850</f>
        <v>3750</v>
      </c>
      <c r="K850" s="93">
        <v>3750.0</v>
      </c>
      <c r="L850" s="61">
        <f>IFERROR(VLOOKUP("iPhone 13 Pro Max Замена стекла камеры", 'РЕМОНТ_ЯБЛОК'!C:D, 2, 0), "Ошибка")</f>
        <v>3000</v>
      </c>
      <c r="M850" s="105"/>
      <c r="N850" s="33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idden="1">
      <c r="A851" s="2"/>
      <c r="B851" s="57" t="s">
        <v>254</v>
      </c>
      <c r="C851" s="11"/>
      <c r="D851" s="11">
        <v>90.0</v>
      </c>
      <c r="E851" s="12" t="s">
        <v>53</v>
      </c>
      <c r="F851" s="13">
        <f>'БД_УСЛУГИ_РО'!P682</f>
        <v>6700</v>
      </c>
      <c r="G851" s="29"/>
      <c r="H851" s="5"/>
      <c r="I851" s="2"/>
      <c r="J851" s="85">
        <f t="shared" si="59"/>
        <v>6700</v>
      </c>
      <c r="K851" s="93">
        <v>6700.0</v>
      </c>
      <c r="L851" s="61">
        <f>IFERROR(VLOOKUP("iPhone 13 Pro Max Ремонт (восстановление) Face id", 'РЕМОНТ_ЯБЛОК'!C:D, 2, 0), "Ошибка")</f>
        <v>16000</v>
      </c>
      <c r="M851" s="105"/>
      <c r="N851" s="33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idden="1">
      <c r="A852" s="2"/>
      <c r="B852" s="57" t="s">
        <v>254</v>
      </c>
      <c r="C852" s="11"/>
      <c r="D852" s="11">
        <v>180.0</v>
      </c>
      <c r="E852" s="12" t="s">
        <v>55</v>
      </c>
      <c r="F852" s="13">
        <f>'БД_УСЛУГИ_РО'!P683+'БД_ЗАПЧАСТИ'!P399</f>
        <v>7050</v>
      </c>
      <c r="G852" s="29"/>
      <c r="H852" s="101">
        <f>'БД_УСЛУГИ_РО'!P683</f>
        <v>6300</v>
      </c>
      <c r="I852" s="2"/>
      <c r="J852" s="85">
        <f t="shared" si="59"/>
        <v>7050</v>
      </c>
      <c r="K852" s="93">
        <v>7050.0</v>
      </c>
      <c r="L852" s="61">
        <f>IFERROR(VLOOKUP("iPhone 13 Pro Max Замена задней крышки", 'РЕМОНТ_ЯБЛОК'!C:D, 2, 0), "Ошибка")</f>
        <v>6000</v>
      </c>
      <c r="M852" s="105"/>
      <c r="N852" s="33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idden="1">
      <c r="A853" s="2"/>
      <c r="B853" s="57" t="s">
        <v>254</v>
      </c>
      <c r="C853" s="11"/>
      <c r="D853" s="11">
        <v>180.0</v>
      </c>
      <c r="E853" s="12" t="s">
        <v>56</v>
      </c>
      <c r="F853" s="13">
        <f>'БД_УСЛУГИ_РО'!P684</f>
        <v>4600</v>
      </c>
      <c r="G853" s="29"/>
      <c r="H853" s="101">
        <f>'БД_УСЛУГИ_РО'!P684</f>
        <v>4600</v>
      </c>
      <c r="I853" s="2"/>
      <c r="J853" s="85">
        <f t="shared" si="59"/>
        <v>4600</v>
      </c>
      <c r="K853" s="93">
        <v>4600.0</v>
      </c>
      <c r="L853" s="61">
        <f>IFERROR(VLOOKUP("iPhone 13 Pro Max Замена корпуса", 'РЕМОНТ_ЯБЛОК'!C:D, 2, 0), "Ошибка")</f>
        <v>12000</v>
      </c>
      <c r="M853" s="105"/>
      <c r="N853" s="33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idden="1">
      <c r="A854" s="2"/>
      <c r="B854" s="57" t="s">
        <v>254</v>
      </c>
      <c r="C854" s="11"/>
      <c r="D854" s="11">
        <v>90.0</v>
      </c>
      <c r="E854" s="12" t="s">
        <v>59</v>
      </c>
      <c r="F854" s="13">
        <f>'БД_УСЛУГИ_РО'!P685</f>
        <v>5000</v>
      </c>
      <c r="G854" s="29"/>
      <c r="H854" s="5"/>
      <c r="I854" s="2"/>
      <c r="J854" s="83"/>
      <c r="K854" s="84">
        <v>5000.0</v>
      </c>
      <c r="L854" s="61"/>
      <c r="M854" s="60"/>
      <c r="N854" s="29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idden="1">
      <c r="A855" s="2"/>
      <c r="B855" s="57" t="s">
        <v>254</v>
      </c>
      <c r="C855" s="11"/>
      <c r="D855" s="11">
        <v>90.0</v>
      </c>
      <c r="E855" s="12" t="s">
        <v>260</v>
      </c>
      <c r="F855" s="13">
        <f>'БД_УСЛУГИ_РО'!P686+'БД_ЗАПЧАСТИ'!P903</f>
        <v>5500</v>
      </c>
      <c r="G855" s="29"/>
      <c r="H855" s="101">
        <f>'БД_УСЛУГИ_РО'!P686</f>
        <v>4300</v>
      </c>
      <c r="I855" s="2"/>
      <c r="J855" s="85">
        <f t="shared" ref="J855:J856" si="60">F855</f>
        <v>5500</v>
      </c>
      <c r="K855" s="84">
        <v>5500.0</v>
      </c>
      <c r="L855" s="61">
        <f>IFERROR(VLOOKUP("iPhone 13 Pro Max Замена динамика", 'РЕМОНТ_ЯБЛОК'!C:D, 2, 0), "Ошибка")</f>
        <v>5500</v>
      </c>
      <c r="M855" s="96"/>
      <c r="N855" s="29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idden="1">
      <c r="A856" s="2"/>
      <c r="B856" s="57" t="s">
        <v>254</v>
      </c>
      <c r="C856" s="11"/>
      <c r="D856" s="11">
        <v>90.0</v>
      </c>
      <c r="E856" s="12" t="s">
        <v>261</v>
      </c>
      <c r="F856" s="13">
        <f>'БД_УСЛУГИ_РО'!P687+'БД_ЗАПЧАСТИ'!P863</f>
        <v>5500</v>
      </c>
      <c r="G856" s="29"/>
      <c r="H856" s="101">
        <f>'БД_УСЛУГИ_РО'!P687</f>
        <v>4300</v>
      </c>
      <c r="I856" s="2"/>
      <c r="J856" s="85">
        <f t="shared" si="60"/>
        <v>5500</v>
      </c>
      <c r="K856" s="84">
        <v>5500.0</v>
      </c>
      <c r="L856" s="61">
        <f>IFERROR(VLOOKUP("iPhone 13 Pro Max Замена динамика", 'РЕМОНТ_ЯБЛОК'!C:D, 2, 0), "Ошибка")</f>
        <v>5500</v>
      </c>
      <c r="M856" s="96"/>
      <c r="N856" s="29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idden="1">
      <c r="A857" s="2"/>
      <c r="B857" s="57" t="s">
        <v>254</v>
      </c>
      <c r="C857" s="11"/>
      <c r="D857" s="11">
        <v>90.0</v>
      </c>
      <c r="E857" s="32" t="s">
        <v>62</v>
      </c>
      <c r="F857" s="13">
        <f>'БД_УСЛУГИ_РО'!P688+'БД_ЗАПЧАСТИ'!P673</f>
        <v>8400</v>
      </c>
      <c r="G857" s="29"/>
      <c r="H857" s="101">
        <f>'БД_УСЛУГИ_РО'!P688</f>
        <v>4900</v>
      </c>
      <c r="I857" s="2"/>
      <c r="J857" s="83"/>
      <c r="K857" s="84">
        <v>8400.0</v>
      </c>
      <c r="L857" s="61"/>
      <c r="M857" s="60"/>
      <c r="N857" s="29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idden="1">
      <c r="A858" s="2"/>
      <c r="B858" s="57" t="s">
        <v>254</v>
      </c>
      <c r="C858" s="11"/>
      <c r="D858" s="11">
        <v>90.0</v>
      </c>
      <c r="E858" s="12" t="s">
        <v>63</v>
      </c>
      <c r="F858" s="13">
        <f>'БД_УСЛУГИ_РО'!P689</f>
        <v>4700</v>
      </c>
      <c r="G858" s="29"/>
      <c r="H858" s="5"/>
      <c r="I858" s="2"/>
      <c r="J858" s="92"/>
      <c r="K858" s="93">
        <v>4700.0</v>
      </c>
      <c r="L858" s="65"/>
      <c r="M858" s="94"/>
      <c r="N858" s="33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idden="1">
      <c r="A859" s="2"/>
      <c r="B859" s="57" t="s">
        <v>254</v>
      </c>
      <c r="C859" s="11"/>
      <c r="D859" s="11">
        <v>90.0</v>
      </c>
      <c r="E859" s="12" t="s">
        <v>64</v>
      </c>
      <c r="F859" s="13">
        <f>'БД_УСЛУГИ_РО'!P691</f>
        <v>5500</v>
      </c>
      <c r="G859" s="29"/>
      <c r="H859" s="5"/>
      <c r="I859" s="2"/>
      <c r="J859" s="92"/>
      <c r="K859" s="93">
        <v>5500.0</v>
      </c>
      <c r="L859" s="65"/>
      <c r="M859" s="94"/>
      <c r="N859" s="33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idden="1">
      <c r="A860" s="2"/>
      <c r="B860" s="57" t="s">
        <v>254</v>
      </c>
      <c r="C860" s="11"/>
      <c r="D860" s="11">
        <v>90.0</v>
      </c>
      <c r="E860" s="12" t="s">
        <v>65</v>
      </c>
      <c r="F860" s="13">
        <f>'БД_УСЛУГИ_РО'!P690+'БД_УСЛУГИ_РО'!P692</f>
        <v>13200</v>
      </c>
      <c r="G860" s="29"/>
      <c r="H860" s="5"/>
      <c r="I860" s="2"/>
      <c r="J860" s="92"/>
      <c r="K860" s="93">
        <v>13200.0</v>
      </c>
      <c r="L860" s="65"/>
      <c r="M860" s="94"/>
      <c r="N860" s="33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idden="1">
      <c r="A861" s="2"/>
      <c r="B861" s="69" t="s">
        <v>254</v>
      </c>
      <c r="C861" s="36"/>
      <c r="D861" s="36">
        <v>90.0</v>
      </c>
      <c r="E861" s="70" t="s">
        <v>66</v>
      </c>
      <c r="F861" s="38">
        <f>'БД_УСЛУГИ_РО'!P690+'БД_УСЛУГИ_РО'!P693</f>
        <v>13700</v>
      </c>
      <c r="G861" s="39"/>
      <c r="H861" s="5"/>
      <c r="I861" s="2"/>
      <c r="J861" s="91"/>
      <c r="K861" s="89">
        <v>13700.0</v>
      </c>
      <c r="L861" s="73"/>
      <c r="M861" s="74"/>
      <c r="N861" s="39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idden="1">
      <c r="A862" s="2"/>
      <c r="B862" s="1"/>
      <c r="C862" s="1"/>
      <c r="D862" s="95"/>
      <c r="E862" s="30"/>
      <c r="F862" s="80"/>
      <c r="G862" s="76"/>
      <c r="H862" s="5"/>
      <c r="I862" s="2"/>
      <c r="J862" s="2"/>
      <c r="K862" s="2" t="s">
        <v>22</v>
      </c>
      <c r="L862" s="2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idden="1">
      <c r="A863" s="2"/>
      <c r="B863" s="41" t="s">
        <v>262</v>
      </c>
      <c r="C863" s="42"/>
      <c r="D863" s="42">
        <v>0.0</v>
      </c>
      <c r="E863" s="51" t="s">
        <v>24</v>
      </c>
      <c r="F863" s="44">
        <f>'БД_УСЛУГИ_РО'!P694</f>
        <v>1</v>
      </c>
      <c r="G863" s="78"/>
      <c r="H863" s="5"/>
      <c r="I863" s="2"/>
      <c r="J863" s="81"/>
      <c r="K863" s="82">
        <v>1.0</v>
      </c>
      <c r="L863" s="55"/>
      <c r="M863" s="56"/>
      <c r="N863" s="5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idden="1">
      <c r="A864" s="2"/>
      <c r="B864" s="57" t="s">
        <v>262</v>
      </c>
      <c r="C864" s="11"/>
      <c r="D864" s="11">
        <v>0.0</v>
      </c>
      <c r="E864" s="12" t="s">
        <v>26</v>
      </c>
      <c r="F864" s="13">
        <f>'БД_УСЛУГИ_РО'!P695+'БД_УСЛУГИ_РО'!P696</f>
        <v>1600</v>
      </c>
      <c r="G864" s="29"/>
      <c r="H864" s="5"/>
      <c r="I864" s="2"/>
      <c r="J864" s="83"/>
      <c r="K864" s="84">
        <v>1600.0</v>
      </c>
      <c r="L864" s="61"/>
      <c r="M864" s="60"/>
      <c r="N864" s="29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idden="1">
      <c r="A865" s="2"/>
      <c r="B865" s="57" t="s">
        <v>262</v>
      </c>
      <c r="C865" s="11"/>
      <c r="D865" s="11">
        <v>0.0</v>
      </c>
      <c r="E865" s="32" t="s">
        <v>27</v>
      </c>
      <c r="F865" s="13">
        <f>'БД_УСЛУГИ_РО'!P697</f>
        <v>700</v>
      </c>
      <c r="G865" s="33" t="str">
        <f>MIN(F865:F866) &amp; " - " &amp; MAX(F865:F866)</f>
        <v>700 - 4500</v>
      </c>
      <c r="H865" s="5"/>
      <c r="I865" s="2"/>
      <c r="J865" s="83"/>
      <c r="K865" s="84">
        <v>700.0</v>
      </c>
      <c r="L865" s="61"/>
      <c r="M865" s="60"/>
      <c r="N865" s="29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idden="1">
      <c r="A866" s="2"/>
      <c r="B866" s="57" t="s">
        <v>262</v>
      </c>
      <c r="C866" s="11"/>
      <c r="D866" s="11">
        <v>0.0</v>
      </c>
      <c r="E866" s="32" t="s">
        <v>28</v>
      </c>
      <c r="F866" s="13">
        <f>'БД_УСЛУГИ_РО'!P698</f>
        <v>4500</v>
      </c>
      <c r="G866" s="28"/>
      <c r="H866" s="5"/>
      <c r="I866" s="2"/>
      <c r="J866" s="83"/>
      <c r="K866" s="84">
        <v>4500.0</v>
      </c>
      <c r="L866" s="61"/>
      <c r="M866" s="60"/>
      <c r="N866" s="29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idden="1">
      <c r="A867" s="2"/>
      <c r="B867" s="57" t="s">
        <v>262</v>
      </c>
      <c r="C867" s="11"/>
      <c r="D867" s="11">
        <v>180.0</v>
      </c>
      <c r="E867" s="12" t="s">
        <v>202</v>
      </c>
      <c r="F867" s="13">
        <f>'БД_УСЛУГИ_РО'!P699+'БД_ЗАПЧАСТИ'!P71</f>
        <v>14400</v>
      </c>
      <c r="G867" s="33" t="str">
        <f>IFERROR(__xludf.DUMMYFUNCTION("MIN(FILTER(F867:F872, F867:F872 &lt;&gt; H867:H872)) &amp; "" - "" &amp; MAX(FILTER(F867:F872, F867:F872 &lt;&gt; H867:H872))"),"7000 - 14400")</f>
        <v>7000 - 14400</v>
      </c>
      <c r="H867" s="101">
        <f>'БД_УСЛУГИ_РО'!P699</f>
        <v>4800</v>
      </c>
      <c r="I867" s="2"/>
      <c r="J867" s="86">
        <f>IFERROR(__xludf.DUMMYFUNCTION("MIN(FILTER(F867:F872, F867:F872 &lt;&gt; H867:H872, F867:F872 &lt;&gt; """"))"),7000.0)</f>
        <v>7000</v>
      </c>
      <c r="K867" s="84">
        <v>14400.0</v>
      </c>
      <c r="L867" s="31">
        <f>IFERROR(VLOOKUP("iPhone 14 Замена аккумулятора", 'РЕМОНТ_ЯБЛОК'!C:D, 2, 0), "Ошибка")</f>
        <v>7000</v>
      </c>
      <c r="M867" s="60"/>
      <c r="N867" s="29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idden="1">
      <c r="A868" s="2"/>
      <c r="B868" s="57" t="s">
        <v>262</v>
      </c>
      <c r="C868" s="11"/>
      <c r="D868" s="11">
        <v>180.0</v>
      </c>
      <c r="E868" s="12" t="s">
        <v>203</v>
      </c>
      <c r="F868" s="13">
        <f>'БД_УСЛУГИ_РО'!P699+'БД_ЗАПЧАСТИ'!P72</f>
        <v>9000</v>
      </c>
      <c r="G868" s="19"/>
      <c r="H868" s="101">
        <f>'БД_УСЛУГИ_РО'!P699</f>
        <v>4800</v>
      </c>
      <c r="I868" s="2"/>
      <c r="J868" s="103"/>
      <c r="K868" s="84">
        <v>9000.0</v>
      </c>
      <c r="L868" s="104"/>
      <c r="M868" s="60"/>
      <c r="N868" s="29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idden="1">
      <c r="A869" s="2"/>
      <c r="B869" s="57" t="s">
        <v>262</v>
      </c>
      <c r="C869" s="11"/>
      <c r="D869" s="11">
        <v>180.0</v>
      </c>
      <c r="E869" s="12" t="s">
        <v>32</v>
      </c>
      <c r="F869" s="13">
        <f>'БД_УСЛУГИ_РО'!P699+'БД_ЗАПЧАСТИ'!P73</f>
        <v>8500</v>
      </c>
      <c r="G869" s="19"/>
      <c r="H869" s="101">
        <f>'БД_УСЛУГИ_РО'!P699</f>
        <v>4800</v>
      </c>
      <c r="I869" s="2"/>
      <c r="J869" s="103"/>
      <c r="K869" s="84">
        <v>8500.0</v>
      </c>
      <c r="L869" s="104"/>
      <c r="M869" s="60"/>
      <c r="N869" s="29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idden="1">
      <c r="A870" s="2"/>
      <c r="B870" s="57" t="s">
        <v>262</v>
      </c>
      <c r="C870" s="11"/>
      <c r="D870" s="11">
        <v>180.0</v>
      </c>
      <c r="E870" s="12" t="s">
        <v>33</v>
      </c>
      <c r="F870" s="13">
        <f>'БД_УСЛУГИ_РО'!P699+'БД_ЗАПЧАСТИ'!P74</f>
        <v>7500</v>
      </c>
      <c r="G870" s="19"/>
      <c r="H870" s="101">
        <f>'БД_УСЛУГИ_РО'!P699</f>
        <v>4800</v>
      </c>
      <c r="I870" s="2"/>
      <c r="J870" s="103"/>
      <c r="K870" s="84">
        <v>7500.0</v>
      </c>
      <c r="L870" s="104"/>
      <c r="M870" s="60"/>
      <c r="N870" s="29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idden="1">
      <c r="A871" s="2"/>
      <c r="B871" s="57" t="s">
        <v>262</v>
      </c>
      <c r="C871" s="11"/>
      <c r="D871" s="11">
        <v>180.0</v>
      </c>
      <c r="E871" s="12" t="s">
        <v>34</v>
      </c>
      <c r="F871" s="13">
        <f>'БД_УСЛУГИ_РО'!P699+'БД_ЗАПЧАСТИ'!P75</f>
        <v>7000</v>
      </c>
      <c r="G871" s="19"/>
      <c r="H871" s="101">
        <f>'БД_УСЛУГИ_РО'!P699</f>
        <v>4800</v>
      </c>
      <c r="I871" s="2"/>
      <c r="J871" s="87"/>
      <c r="K871" s="84">
        <v>7000.0</v>
      </c>
      <c r="L871" s="67"/>
      <c r="M871" s="60"/>
      <c r="N871" s="29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idden="1">
      <c r="A872" s="2"/>
      <c r="B872" s="57" t="s">
        <v>262</v>
      </c>
      <c r="C872" s="11"/>
      <c r="D872" s="11">
        <v>180.0</v>
      </c>
      <c r="E872" s="12" t="s">
        <v>35</v>
      </c>
      <c r="F872" s="13">
        <f>'БД_УСЛУГИ_РО'!P699+'БД_УСЛУГИ_РО'!P700+'БД_ЗАПЧАСТИ'!P75</f>
        <v>10700</v>
      </c>
      <c r="G872" s="28"/>
      <c r="H872" s="101">
        <f>'БД_УСЛУГИ_РО'!P699+'БД_УСЛУГИ_РО'!P700</f>
        <v>8500</v>
      </c>
      <c r="I872" s="2"/>
      <c r="J872" s="83"/>
      <c r="K872" s="84">
        <v>10700.0</v>
      </c>
      <c r="L872" s="61"/>
      <c r="M872" s="60"/>
      <c r="N872" s="29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idden="1">
      <c r="A873" s="2"/>
      <c r="B873" s="57" t="s">
        <v>262</v>
      </c>
      <c r="C873" s="11"/>
      <c r="D873" s="11">
        <v>90.0</v>
      </c>
      <c r="E873" s="12" t="s">
        <v>263</v>
      </c>
      <c r="F873" s="13">
        <f>'БД_УСЛУГИ_РО'!P701+'БД_ЗАПЧАСТИ'!P678</f>
        <v>7450</v>
      </c>
      <c r="G873" s="29"/>
      <c r="H873" s="101">
        <f>'БД_УСЛУГИ_РО'!P701</f>
        <v>4700</v>
      </c>
      <c r="I873" s="2"/>
      <c r="J873" s="83"/>
      <c r="K873" s="84">
        <v>7450.0</v>
      </c>
      <c r="L873" s="61"/>
      <c r="M873" s="60"/>
      <c r="N873" s="29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idden="1">
      <c r="A874" s="2"/>
      <c r="B874" s="57" t="s">
        <v>262</v>
      </c>
      <c r="C874" s="11"/>
      <c r="D874" s="11">
        <v>90.0</v>
      </c>
      <c r="E874" s="12" t="s">
        <v>205</v>
      </c>
      <c r="F874" s="13">
        <f>'БД_УСЛУГИ_РО'!P702+'БД_ЗАПЧАСТИ'!P235</f>
        <v>4800</v>
      </c>
      <c r="G874" s="33" t="str">
        <f>IFERROR(__xludf.DUMMYFUNCTION("MIN(FILTER(F874:F880, F874:F880 &lt;&gt; H874:H880)) &amp; "" - "" &amp; MAX(FILTER(F874:F880, F874:F880 &lt;&gt; H874:H880))"),"13000 - 14600")</f>
        <v>13000 - 14600</v>
      </c>
      <c r="H874" s="101">
        <f>'БД_УСЛУГИ_РО'!P702</f>
        <v>4800</v>
      </c>
      <c r="I874" s="2"/>
      <c r="J874" s="86">
        <f>IFERROR(__xludf.DUMMYFUNCTION("MIN(FILTER(F874:F878, F874:F878 &lt;&gt; H874:H878, F874:F878 &lt;&gt; """"))"),13000.0)</f>
        <v>13000</v>
      </c>
      <c r="K874" s="84">
        <v>4800.0</v>
      </c>
      <c r="L874" s="65">
        <f>IFERROR(VLOOKUP("iPhone 14 Замена дисплея (оригинал)", 'РЕМОНТ_ЯБЛОК'!C:D, 2, 0), "Ошибка")</f>
        <v>13000</v>
      </c>
      <c r="M874" s="60"/>
      <c r="N874" s="29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idden="1">
      <c r="A875" s="2"/>
      <c r="B875" s="57" t="s">
        <v>262</v>
      </c>
      <c r="C875" s="11"/>
      <c r="D875" s="11">
        <v>90.0</v>
      </c>
      <c r="E875" s="12" t="s">
        <v>39</v>
      </c>
      <c r="F875" s="13">
        <f>'БД_УСЛУГИ_РО'!P702+'БД_ЗАПЧАСТИ'!P236</f>
        <v>14600</v>
      </c>
      <c r="G875" s="19"/>
      <c r="H875" s="101">
        <f>'БД_УСЛУГИ_РО'!P702</f>
        <v>4800</v>
      </c>
      <c r="I875" s="2"/>
      <c r="J875" s="103"/>
      <c r="K875" s="84">
        <v>14600.0</v>
      </c>
      <c r="L875" s="104"/>
      <c r="M875" s="60"/>
      <c r="N875" s="29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idden="1">
      <c r="A876" s="2"/>
      <c r="B876" s="57" t="s">
        <v>262</v>
      </c>
      <c r="C876" s="11"/>
      <c r="D876" s="11">
        <v>90.0</v>
      </c>
      <c r="E876" s="12" t="s">
        <v>40</v>
      </c>
      <c r="F876" s="13">
        <f>'БД_УСЛУГИ_РО'!P702+'БД_ЗАПЧАСТИ'!P237</f>
        <v>13700</v>
      </c>
      <c r="G876" s="19"/>
      <c r="H876" s="101">
        <f>'БД_УСЛУГИ_РО'!P702</f>
        <v>4800</v>
      </c>
      <c r="I876" s="2"/>
      <c r="J876" s="103"/>
      <c r="K876" s="84">
        <v>13700.0</v>
      </c>
      <c r="L876" s="104"/>
      <c r="M876" s="60"/>
      <c r="N876" s="29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idden="1">
      <c r="A877" s="2"/>
      <c r="B877" s="57" t="s">
        <v>262</v>
      </c>
      <c r="C877" s="11"/>
      <c r="D877" s="11">
        <v>90.0</v>
      </c>
      <c r="E877" s="12" t="s">
        <v>42</v>
      </c>
      <c r="F877" s="13">
        <f>'БД_УСЛУГИ_РО'!P702+'БД_ЗАПЧАСТИ'!P238</f>
        <v>13700</v>
      </c>
      <c r="G877" s="19"/>
      <c r="H877" s="101">
        <f>'БД_УСЛУГИ_РО'!P702</f>
        <v>4800</v>
      </c>
      <c r="I877" s="2"/>
      <c r="J877" s="103"/>
      <c r="K877" s="84">
        <v>13700.0</v>
      </c>
      <c r="L877" s="104"/>
      <c r="M877" s="60"/>
      <c r="N877" s="29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idden="1">
      <c r="A878" s="2"/>
      <c r="B878" s="57" t="s">
        <v>262</v>
      </c>
      <c r="C878" s="11"/>
      <c r="D878" s="11">
        <v>90.0</v>
      </c>
      <c r="E878" s="12" t="s">
        <v>43</v>
      </c>
      <c r="F878" s="13">
        <f>'БД_УСЛУГИ_РО'!P702+'БД_ЗАПЧАСТИ'!P239</f>
        <v>13000</v>
      </c>
      <c r="G878" s="19"/>
      <c r="H878" s="101">
        <f>'БД_УСЛУГИ_РО'!P702</f>
        <v>4800</v>
      </c>
      <c r="I878" s="2"/>
      <c r="J878" s="87"/>
      <c r="K878" s="84">
        <v>13000.0</v>
      </c>
      <c r="L878" s="67"/>
      <c r="M878" s="60"/>
      <c r="N878" s="29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idden="1">
      <c r="A879" s="2"/>
      <c r="B879" s="57" t="s">
        <v>262</v>
      </c>
      <c r="C879" s="11"/>
      <c r="D879" s="11">
        <v>90.0</v>
      </c>
      <c r="E879" s="12" t="s">
        <v>45</v>
      </c>
      <c r="F879" s="13">
        <f>'БД_УСЛУГИ_РО'!P702</f>
        <v>4800</v>
      </c>
      <c r="G879" s="19"/>
      <c r="H879" s="101">
        <f>'БД_УСЛУГИ_РО'!P702</f>
        <v>4800</v>
      </c>
      <c r="I879" s="2"/>
      <c r="J879" s="92" t="str">
        <f>IFERROR(__xludf.DUMMYFUNCTION("MIN(FILTER(F879:F880, F879:F880 &lt;&gt; H879:H880, F879:F880 &lt;&gt; """"))"),"#N/A")</f>
        <v>#N/A</v>
      </c>
      <c r="K879" s="84">
        <v>4800.0</v>
      </c>
      <c r="L879" s="65">
        <f>IFERROR(VLOOKUP("iPhone 14 Замена дисплея (аналог)", 'РЕМОНТ_ЯБЛОК'!C:D, 2, 0), "Ошибка")</f>
        <v>7000</v>
      </c>
      <c r="M879" s="60"/>
      <c r="N879" s="29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idden="1">
      <c r="A880" s="2"/>
      <c r="B880" s="57" t="s">
        <v>262</v>
      </c>
      <c r="C880" s="11"/>
      <c r="D880" s="11">
        <v>90.0</v>
      </c>
      <c r="E880" s="12" t="s">
        <v>46</v>
      </c>
      <c r="F880" s="13">
        <f>'БД_УСЛУГИ_РО'!P702</f>
        <v>4800</v>
      </c>
      <c r="G880" s="28"/>
      <c r="H880" s="101">
        <f>'БД_УСЛУГИ_РО'!P702</f>
        <v>4800</v>
      </c>
      <c r="I880" s="2"/>
      <c r="J880" s="87"/>
      <c r="K880" s="84">
        <v>4800.0</v>
      </c>
      <c r="L880" s="67"/>
      <c r="M880" s="60"/>
      <c r="N880" s="29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idden="1">
      <c r="A881" s="2"/>
      <c r="B881" s="57" t="s">
        <v>262</v>
      </c>
      <c r="C881" s="11"/>
      <c r="D881" s="11">
        <v>90.0</v>
      </c>
      <c r="E881" s="12" t="s">
        <v>47</v>
      </c>
      <c r="F881" s="13">
        <f>'БД_УСЛУГИ_РО'!P703</f>
        <v>4000</v>
      </c>
      <c r="G881" s="29"/>
      <c r="H881" s="5"/>
      <c r="I881" s="2"/>
      <c r="J881" s="83"/>
      <c r="K881" s="84">
        <v>4000.0</v>
      </c>
      <c r="L881" s="61"/>
      <c r="M881" s="60"/>
      <c r="N881" s="29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idden="1">
      <c r="A882" s="2"/>
      <c r="B882" s="57" t="s">
        <v>262</v>
      </c>
      <c r="C882" s="11"/>
      <c r="D882" s="11">
        <v>90.0</v>
      </c>
      <c r="E882" s="12" t="s">
        <v>264</v>
      </c>
      <c r="F882" s="13">
        <f>'БД_УСЛУГИ_РО'!P704</f>
        <v>9000</v>
      </c>
      <c r="G882" s="29"/>
      <c r="H882" s="5"/>
      <c r="I882" s="2"/>
      <c r="J882" s="85">
        <f t="shared" ref="J882:J883" si="61">F882</f>
        <v>9000</v>
      </c>
      <c r="K882" s="84">
        <v>9000.0</v>
      </c>
      <c r="L882" s="61">
        <f>IFERROR(VLOOKUP("iPhone 14 Переклейка (восстановление) вашего дисплея", 'РЕМОНТ_ЯБЛОК'!C:D, 2, 0), "Ошибка")</f>
        <v>7500</v>
      </c>
      <c r="M882" s="96"/>
      <c r="N882" s="29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idden="1">
      <c r="A883" s="2"/>
      <c r="B883" s="57" t="s">
        <v>262</v>
      </c>
      <c r="C883" s="11"/>
      <c r="D883" s="11">
        <v>90.0</v>
      </c>
      <c r="E883" s="12" t="s">
        <v>265</v>
      </c>
      <c r="F883" s="13">
        <f>'БД_УСЛУГИ_РО'!P705+'БД_ЗАПЧАСТИ'!P775</f>
        <v>10000</v>
      </c>
      <c r="G883" s="29"/>
      <c r="H883" s="101">
        <f>'БД_УСЛУГИ_РО'!P705</f>
        <v>4800</v>
      </c>
      <c r="I883" s="2"/>
      <c r="J883" s="85">
        <f t="shared" si="61"/>
        <v>10000</v>
      </c>
      <c r="K883" s="84">
        <v>10000.0</v>
      </c>
      <c r="L883" s="61">
        <f>IFERROR(VLOOKUP("iPhone 14 Замена основной камеры", 'РЕМОНТ_ЯБЛОК'!C:D, 2, 0), "Ошибка")</f>
        <v>10000</v>
      </c>
      <c r="M883" s="96"/>
      <c r="N883" s="29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idden="1">
      <c r="A884" s="2"/>
      <c r="B884" s="57" t="s">
        <v>262</v>
      </c>
      <c r="C884" s="11"/>
      <c r="D884" s="11">
        <v>90.0</v>
      </c>
      <c r="E884" s="12" t="s">
        <v>266</v>
      </c>
      <c r="F884" s="13">
        <f>'БД_УСЛУГИ_РО'!P706+'БД_ЗАПЧАСТИ'!P819</f>
        <v>8900</v>
      </c>
      <c r="G884" s="29"/>
      <c r="H884" s="101">
        <f>'БД_УСЛУГИ_РО'!P706</f>
        <v>5400</v>
      </c>
      <c r="I884" s="2"/>
      <c r="J884" s="83"/>
      <c r="K884" s="84">
        <v>8900.0</v>
      </c>
      <c r="L884" s="61"/>
      <c r="M884" s="60"/>
      <c r="N884" s="29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idden="1">
      <c r="A885" s="2"/>
      <c r="B885" s="57" t="s">
        <v>262</v>
      </c>
      <c r="C885" s="11"/>
      <c r="D885" s="11">
        <v>180.0</v>
      </c>
      <c r="E885" s="12" t="s">
        <v>52</v>
      </c>
      <c r="F885" s="13">
        <f>'БД_УСЛУГИ_РО'!P707+'БД_ЗАПЧАСТИ'!P561</f>
        <v>3900</v>
      </c>
      <c r="G885" s="29"/>
      <c r="H885" s="101">
        <f>'БД_УСЛУГИ_РО'!P707</f>
        <v>3600</v>
      </c>
      <c r="I885" s="2"/>
      <c r="J885" s="83"/>
      <c r="K885" s="84">
        <v>3900.0</v>
      </c>
      <c r="L885" s="61"/>
      <c r="M885" s="60"/>
      <c r="N885" s="29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idden="1">
      <c r="A886" s="2"/>
      <c r="B886" s="57" t="s">
        <v>262</v>
      </c>
      <c r="C886" s="11"/>
      <c r="D886" s="11">
        <v>90.0</v>
      </c>
      <c r="E886" s="12" t="s">
        <v>53</v>
      </c>
      <c r="F886" s="13">
        <f>'БД_УСЛУГИ_РО'!P708</f>
        <v>7500</v>
      </c>
      <c r="G886" s="29"/>
      <c r="H886" s="5"/>
      <c r="I886" s="2"/>
      <c r="J886" s="92"/>
      <c r="K886" s="93">
        <v>7500.0</v>
      </c>
      <c r="L886" s="65"/>
      <c r="M886" s="94"/>
      <c r="N886" s="33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idden="1">
      <c r="A887" s="2"/>
      <c r="B887" s="57" t="s">
        <v>262</v>
      </c>
      <c r="C887" s="11"/>
      <c r="D887" s="11">
        <v>180.0</v>
      </c>
      <c r="E887" s="12" t="s">
        <v>54</v>
      </c>
      <c r="F887" s="13">
        <f>'БД_УСЛУГИ_РО'!P709+'БД_ЗАПЧАСТИ'!P404</f>
        <v>4400</v>
      </c>
      <c r="G887" s="33" t="str">
        <f>MIN(F887:F888) &amp; " - " &amp; MAX(F887:F888)</f>
        <v>4400 - 8000</v>
      </c>
      <c r="H887" s="101">
        <f>'БД_УСЛУГИ_РО'!P709</f>
        <v>4400</v>
      </c>
      <c r="I887" s="2"/>
      <c r="J887" s="92"/>
      <c r="K887" s="93">
        <v>4400.0</v>
      </c>
      <c r="L887" s="65"/>
      <c r="M887" s="94"/>
      <c r="N887" s="33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idden="1">
      <c r="A888" s="2"/>
      <c r="B888" s="57" t="s">
        <v>262</v>
      </c>
      <c r="C888" s="11"/>
      <c r="D888" s="11">
        <v>180.0</v>
      </c>
      <c r="E888" s="12" t="s">
        <v>55</v>
      </c>
      <c r="F888" s="13">
        <f>'БД_УСЛУГИ_РО'!P709+'БД_ЗАПЧАСТИ'!P410</f>
        <v>8000</v>
      </c>
      <c r="G888" s="28"/>
      <c r="H888" s="101">
        <f>'БД_УСЛУГИ_РО'!P709</f>
        <v>4400</v>
      </c>
      <c r="I888" s="2"/>
      <c r="J888" s="85">
        <f t="shared" ref="J888:J889" si="62">F888</f>
        <v>8000</v>
      </c>
      <c r="K888" s="93">
        <v>8000.0</v>
      </c>
      <c r="L888" s="61">
        <f>IFERROR(VLOOKUP("iPhone 14 Замена задней крышки", 'РЕМОНТ_ЯБЛОК'!C:D, 2, 0), "Ошибка")</f>
        <v>8000</v>
      </c>
      <c r="M888" s="105"/>
      <c r="N888" s="33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idden="1">
      <c r="A889" s="2"/>
      <c r="B889" s="57" t="s">
        <v>262</v>
      </c>
      <c r="C889" s="11"/>
      <c r="D889" s="11">
        <v>180.0</v>
      </c>
      <c r="E889" s="12" t="s">
        <v>56</v>
      </c>
      <c r="F889" s="13">
        <f>'БД_УСЛУГИ_РО'!P710</f>
        <v>7500</v>
      </c>
      <c r="G889" s="29"/>
      <c r="H889" s="101">
        <f>'БД_УСЛУГИ_РО'!P710</f>
        <v>7500</v>
      </c>
      <c r="I889" s="2"/>
      <c r="J889" s="85">
        <f t="shared" si="62"/>
        <v>7500</v>
      </c>
      <c r="K889" s="93">
        <v>7500.0</v>
      </c>
      <c r="L889" s="61">
        <f>IFERROR(VLOOKUP("iPhone 14 Замена корпуса", 'РЕМОНТ_ЯБЛОК'!C:D, 2, 0), "Ошибка")</f>
        <v>14000</v>
      </c>
      <c r="M889" s="105"/>
      <c r="N889" s="33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idden="1">
      <c r="A890" s="2"/>
      <c r="B890" s="57" t="s">
        <v>262</v>
      </c>
      <c r="C890" s="11"/>
      <c r="D890" s="11">
        <v>180.0</v>
      </c>
      <c r="E890" s="12" t="s">
        <v>57</v>
      </c>
      <c r="F890" s="13">
        <f>'БД_УСЛУГИ_РО'!P711</f>
        <v>5300</v>
      </c>
      <c r="G890" s="29"/>
      <c r="H890" s="101">
        <f>'БД_УСЛУГИ_РО'!P711</f>
        <v>5300</v>
      </c>
      <c r="I890" s="2"/>
      <c r="J890" s="83"/>
      <c r="K890" s="84">
        <v>5300.0</v>
      </c>
      <c r="L890" s="61"/>
      <c r="M890" s="60"/>
      <c r="N890" s="29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idden="1">
      <c r="A891" s="2"/>
      <c r="B891" s="57" t="s">
        <v>262</v>
      </c>
      <c r="C891" s="11"/>
      <c r="D891" s="11">
        <v>90.0</v>
      </c>
      <c r="E891" s="12" t="s">
        <v>59</v>
      </c>
      <c r="F891" s="13">
        <f>'БД_УСЛУГИ_РО'!P712</f>
        <v>5000</v>
      </c>
      <c r="G891" s="29"/>
      <c r="H891" s="5"/>
      <c r="I891" s="2"/>
      <c r="J891" s="83"/>
      <c r="K891" s="84">
        <v>5000.0</v>
      </c>
      <c r="L891" s="61"/>
      <c r="M891" s="60"/>
      <c r="N891" s="29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idden="1">
      <c r="A892" s="2"/>
      <c r="B892" s="57" t="s">
        <v>262</v>
      </c>
      <c r="C892" s="11"/>
      <c r="D892" s="11">
        <v>90.0</v>
      </c>
      <c r="E892" s="12" t="s">
        <v>267</v>
      </c>
      <c r="F892" s="13">
        <f>'БД_УСЛУГИ_РО'!P713+'БД_ЗАПЧАСТИ'!P904</f>
        <v>5050</v>
      </c>
      <c r="G892" s="29"/>
      <c r="H892" s="101">
        <f>'БД_УСЛУГИ_РО'!P713</f>
        <v>4300</v>
      </c>
      <c r="I892" s="2"/>
      <c r="J892" s="83"/>
      <c r="K892" s="84">
        <v>5050.0</v>
      </c>
      <c r="L892" s="61"/>
      <c r="M892" s="60"/>
      <c r="N892" s="29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idden="1">
      <c r="A893" s="2"/>
      <c r="B893" s="57" t="s">
        <v>262</v>
      </c>
      <c r="C893" s="11"/>
      <c r="D893" s="11">
        <v>90.0</v>
      </c>
      <c r="E893" s="12" t="s">
        <v>268</v>
      </c>
      <c r="F893" s="13">
        <f>'БД_УСЛУГИ_РО'!P714+'БД_ЗАПЧАСТИ'!P864</f>
        <v>4300</v>
      </c>
      <c r="G893" s="29"/>
      <c r="H893" s="101">
        <f>'БД_УСЛУГИ_РО'!P714</f>
        <v>4300</v>
      </c>
      <c r="I893" s="2"/>
      <c r="J893" s="83"/>
      <c r="K893" s="84">
        <v>4300.0</v>
      </c>
      <c r="L893" s="61"/>
      <c r="M893" s="60"/>
      <c r="N893" s="29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idden="1">
      <c r="A894" s="2"/>
      <c r="B894" s="57" t="s">
        <v>262</v>
      </c>
      <c r="C894" s="11"/>
      <c r="D894" s="11">
        <v>90.0</v>
      </c>
      <c r="E894" s="32" t="s">
        <v>62</v>
      </c>
      <c r="F894" s="13">
        <f>'БД_УСЛУГИ_РО'!P715+'БД_ЗАПЧАСТИ'!P678</f>
        <v>7650</v>
      </c>
      <c r="G894" s="29"/>
      <c r="H894" s="101">
        <f>'БД_УСЛУГИ_РО'!P715</f>
        <v>4900</v>
      </c>
      <c r="I894" s="2"/>
      <c r="J894" s="92"/>
      <c r="K894" s="93">
        <v>7650.0</v>
      </c>
      <c r="L894" s="65"/>
      <c r="M894" s="94"/>
      <c r="N894" s="33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idden="1">
      <c r="A895" s="2"/>
      <c r="B895" s="57" t="s">
        <v>262</v>
      </c>
      <c r="C895" s="11"/>
      <c r="D895" s="11">
        <v>90.0</v>
      </c>
      <c r="E895" s="12" t="s">
        <v>63</v>
      </c>
      <c r="F895" s="13">
        <f>'БД_УСЛУГИ_РО'!P716</f>
        <v>5500</v>
      </c>
      <c r="G895" s="29"/>
      <c r="H895" s="5"/>
      <c r="I895" s="2"/>
      <c r="J895" s="92"/>
      <c r="K895" s="93">
        <v>5500.0</v>
      </c>
      <c r="L895" s="65"/>
      <c r="M895" s="94"/>
      <c r="N895" s="33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idden="1">
      <c r="A896" s="2"/>
      <c r="B896" s="57" t="s">
        <v>262</v>
      </c>
      <c r="C896" s="11"/>
      <c r="D896" s="11">
        <v>90.0</v>
      </c>
      <c r="E896" s="12" t="s">
        <v>64</v>
      </c>
      <c r="F896" s="13">
        <f>'БД_УСЛУГИ_РО'!P718</f>
        <v>6500</v>
      </c>
      <c r="G896" s="29"/>
      <c r="H896" s="5"/>
      <c r="I896" s="2"/>
      <c r="J896" s="92"/>
      <c r="K896" s="93">
        <v>6500.0</v>
      </c>
      <c r="L896" s="65"/>
      <c r="M896" s="94"/>
      <c r="N896" s="33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idden="1">
      <c r="A897" s="2"/>
      <c r="B897" s="57" t="s">
        <v>262</v>
      </c>
      <c r="C897" s="11"/>
      <c r="D897" s="11">
        <v>90.0</v>
      </c>
      <c r="E897" s="12" t="s">
        <v>65</v>
      </c>
      <c r="F897" s="13">
        <f>'БД_УСЛУГИ_РО'!P717+'БД_УСЛУГИ_РО'!P719</f>
        <v>14500</v>
      </c>
      <c r="G897" s="29"/>
      <c r="H897" s="5"/>
      <c r="I897" s="2"/>
      <c r="J897" s="92"/>
      <c r="K897" s="93">
        <v>14500.0</v>
      </c>
      <c r="L897" s="65"/>
      <c r="M897" s="94"/>
      <c r="N897" s="33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idden="1">
      <c r="A898" s="2"/>
      <c r="B898" s="69" t="s">
        <v>262</v>
      </c>
      <c r="C898" s="36"/>
      <c r="D898" s="36">
        <v>90.0</v>
      </c>
      <c r="E898" s="70" t="s">
        <v>66</v>
      </c>
      <c r="F898" s="38">
        <f>'БД_УСЛУГИ_РО'!P717+'БД_УСЛУГИ_РО'!P720</f>
        <v>15000</v>
      </c>
      <c r="G898" s="39"/>
      <c r="H898" s="5"/>
      <c r="I898" s="2"/>
      <c r="J898" s="91"/>
      <c r="K898" s="89">
        <v>15000.0</v>
      </c>
      <c r="L898" s="73"/>
      <c r="M898" s="74"/>
      <c r="N898" s="39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idden="1">
      <c r="A899" s="2"/>
      <c r="B899" s="1"/>
      <c r="C899" s="1"/>
      <c r="D899" s="95"/>
      <c r="E899" s="30"/>
      <c r="F899" s="80"/>
      <c r="G899" s="76"/>
      <c r="H899" s="5"/>
      <c r="I899" s="2"/>
      <c r="J899" s="2"/>
      <c r="K899" s="2" t="s">
        <v>22</v>
      </c>
      <c r="L899" s="2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idden="1">
      <c r="A900" s="2"/>
      <c r="B900" s="41" t="s">
        <v>269</v>
      </c>
      <c r="C900" s="42"/>
      <c r="D900" s="42">
        <v>0.0</v>
      </c>
      <c r="E900" s="51" t="s">
        <v>24</v>
      </c>
      <c r="F900" s="44">
        <f>'БД_УСЛУГИ_РО'!P721</f>
        <v>1</v>
      </c>
      <c r="G900" s="78"/>
      <c r="H900" s="5"/>
      <c r="I900" s="2"/>
      <c r="J900" s="81"/>
      <c r="K900" s="82">
        <v>1.0</v>
      </c>
      <c r="L900" s="55"/>
      <c r="M900" s="56"/>
      <c r="N900" s="5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idden="1">
      <c r="A901" s="2"/>
      <c r="B901" s="57" t="s">
        <v>269</v>
      </c>
      <c r="C901" s="11"/>
      <c r="D901" s="11">
        <v>0.0</v>
      </c>
      <c r="E901" s="12" t="s">
        <v>26</v>
      </c>
      <c r="F901" s="13">
        <f>'БД_УСЛУГИ_РО'!P722+'БД_УСЛУГИ_РО'!P723</f>
        <v>1600</v>
      </c>
      <c r="G901" s="29"/>
      <c r="H901" s="5"/>
      <c r="I901" s="2"/>
      <c r="J901" s="83"/>
      <c r="K901" s="84">
        <v>1600.0</v>
      </c>
      <c r="L901" s="61"/>
      <c r="M901" s="60"/>
      <c r="N901" s="29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idden="1">
      <c r="A902" s="2"/>
      <c r="B902" s="57" t="s">
        <v>269</v>
      </c>
      <c r="C902" s="11"/>
      <c r="D902" s="11">
        <v>0.0</v>
      </c>
      <c r="E902" s="32" t="s">
        <v>27</v>
      </c>
      <c r="F902" s="13">
        <f>'БД_УСЛУГИ_РО'!P724</f>
        <v>700</v>
      </c>
      <c r="G902" s="33" t="str">
        <f>MIN(F902:F903) &amp; " - " &amp; MAX(F902:F903)</f>
        <v>700 - 4500</v>
      </c>
      <c r="H902" s="5"/>
      <c r="I902" s="2"/>
      <c r="J902" s="83"/>
      <c r="K902" s="84">
        <v>700.0</v>
      </c>
      <c r="L902" s="61"/>
      <c r="M902" s="60"/>
      <c r="N902" s="29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idden="1">
      <c r="A903" s="2"/>
      <c r="B903" s="57" t="s">
        <v>269</v>
      </c>
      <c r="C903" s="11"/>
      <c r="D903" s="11">
        <v>0.0</v>
      </c>
      <c r="E903" s="32" t="s">
        <v>28</v>
      </c>
      <c r="F903" s="13">
        <f>'БД_УСЛУГИ_РО'!P725</f>
        <v>4500</v>
      </c>
      <c r="G903" s="28"/>
      <c r="H903" s="5"/>
      <c r="I903" s="2"/>
      <c r="J903" s="83"/>
      <c r="K903" s="84">
        <v>4500.0</v>
      </c>
      <c r="L903" s="61"/>
      <c r="M903" s="60"/>
      <c r="N903" s="29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idden="1">
      <c r="A904" s="2"/>
      <c r="B904" s="57" t="s">
        <v>269</v>
      </c>
      <c r="C904" s="11"/>
      <c r="D904" s="11">
        <v>180.0</v>
      </c>
      <c r="E904" s="12" t="s">
        <v>202</v>
      </c>
      <c r="F904" s="13">
        <f>'БД_УСЛУГИ_РО'!P726+'БД_ЗАПЧАСТИ'!P77</f>
        <v>14400</v>
      </c>
      <c r="G904" s="33" t="str">
        <f>IFERROR(__xludf.DUMMYFUNCTION("MIN(FILTER(F904:F909, F904:F909 &lt;&gt; H904:H909)) &amp; "" - "" &amp; MAX(FILTER(F904:F909, F904:F909 &lt;&gt; H904:H909))"),"7000 - 14400")</f>
        <v>7000 - 14400</v>
      </c>
      <c r="H904" s="101">
        <f>'БД_УСЛУГИ_РО'!P726</f>
        <v>4800</v>
      </c>
      <c r="I904" s="2"/>
      <c r="J904" s="86">
        <f>IFERROR(__xludf.DUMMYFUNCTION("MIN(FILTER(F904:F909, F904:F909 &lt;&gt; H904:H909, F904:F909 &lt;&gt; """"))"),7000.0)</f>
        <v>7000</v>
      </c>
      <c r="K904" s="84">
        <v>14400.0</v>
      </c>
      <c r="L904" s="31">
        <f>IFERROR(VLOOKUP("iPhone 14 Plus Замена аккумулятора", 'РЕМОНТ_ЯБЛОК'!C:D, 2, 0), "Ошибка")</f>
        <v>7000</v>
      </c>
      <c r="M904" s="60"/>
      <c r="N904" s="29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idden="1">
      <c r="A905" s="2"/>
      <c r="B905" s="57" t="s">
        <v>269</v>
      </c>
      <c r="C905" s="11"/>
      <c r="D905" s="11">
        <v>180.0</v>
      </c>
      <c r="E905" s="12" t="s">
        <v>203</v>
      </c>
      <c r="F905" s="13">
        <f>'БД_УСЛУГИ_РО'!P726+'БД_ЗАПЧАСТИ'!P78</f>
        <v>9000</v>
      </c>
      <c r="G905" s="19"/>
      <c r="H905" s="101">
        <f>'БД_УСЛУГИ_РО'!P726</f>
        <v>4800</v>
      </c>
      <c r="I905" s="2"/>
      <c r="J905" s="103"/>
      <c r="K905" s="84">
        <v>9000.0</v>
      </c>
      <c r="L905" s="104"/>
      <c r="M905" s="60"/>
      <c r="N905" s="29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idden="1">
      <c r="A906" s="2"/>
      <c r="B906" s="57" t="s">
        <v>269</v>
      </c>
      <c r="C906" s="11"/>
      <c r="D906" s="11">
        <v>180.0</v>
      </c>
      <c r="E906" s="12" t="s">
        <v>32</v>
      </c>
      <c r="F906" s="13">
        <f>'БД_УСЛУГИ_РО'!P726+'БД_ЗАПЧАСТИ'!P79</f>
        <v>8500</v>
      </c>
      <c r="G906" s="19"/>
      <c r="H906" s="101">
        <f>'БД_УСЛУГИ_РО'!P726</f>
        <v>4800</v>
      </c>
      <c r="I906" s="2"/>
      <c r="J906" s="103"/>
      <c r="K906" s="84">
        <v>8500.0</v>
      </c>
      <c r="L906" s="104"/>
      <c r="M906" s="60"/>
      <c r="N906" s="29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idden="1">
      <c r="A907" s="2"/>
      <c r="B907" s="57" t="s">
        <v>269</v>
      </c>
      <c r="C907" s="11"/>
      <c r="D907" s="11">
        <v>180.0</v>
      </c>
      <c r="E907" s="12" t="s">
        <v>33</v>
      </c>
      <c r="F907" s="13">
        <f>'БД_УСЛУГИ_РО'!P726+'БД_ЗАПЧАСТИ'!P80</f>
        <v>7500</v>
      </c>
      <c r="G907" s="19"/>
      <c r="H907" s="101">
        <f>'БД_УСЛУГИ_РО'!P726</f>
        <v>4800</v>
      </c>
      <c r="I907" s="2"/>
      <c r="J907" s="103"/>
      <c r="K907" s="84">
        <v>7500.0</v>
      </c>
      <c r="L907" s="104"/>
      <c r="M907" s="60"/>
      <c r="N907" s="29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idden="1">
      <c r="A908" s="2"/>
      <c r="B908" s="57" t="s">
        <v>269</v>
      </c>
      <c r="C908" s="11"/>
      <c r="D908" s="11">
        <v>180.0</v>
      </c>
      <c r="E908" s="12" t="s">
        <v>34</v>
      </c>
      <c r="F908" s="13">
        <f>'БД_УСЛУГИ_РО'!P726+'БД_ЗАПЧАСТИ'!P81</f>
        <v>7000</v>
      </c>
      <c r="G908" s="19"/>
      <c r="H908" s="101">
        <f>'БД_УСЛУГИ_РО'!P726</f>
        <v>4800</v>
      </c>
      <c r="I908" s="2"/>
      <c r="J908" s="87"/>
      <c r="K908" s="84">
        <v>7000.0</v>
      </c>
      <c r="L908" s="67"/>
      <c r="M908" s="60"/>
      <c r="N908" s="29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idden="1">
      <c r="A909" s="2"/>
      <c r="B909" s="57" t="s">
        <v>269</v>
      </c>
      <c r="C909" s="11"/>
      <c r="D909" s="11">
        <v>180.0</v>
      </c>
      <c r="E909" s="12" t="s">
        <v>35</v>
      </c>
      <c r="F909" s="13">
        <f>'БД_УСЛУГИ_РО'!P726+'БД_УСЛУГИ_РО'!P727+'БД_ЗАПЧАСТИ'!P81</f>
        <v>10700</v>
      </c>
      <c r="G909" s="28"/>
      <c r="H909" s="101">
        <f>'БД_УСЛУГИ_РО'!P726+'БД_УСЛУГИ_РО'!P727</f>
        <v>8500</v>
      </c>
      <c r="I909" s="2"/>
      <c r="J909" s="83"/>
      <c r="K909" s="84">
        <v>10700.0</v>
      </c>
      <c r="L909" s="61"/>
      <c r="M909" s="60"/>
      <c r="N909" s="29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idden="1">
      <c r="A910" s="2"/>
      <c r="B910" s="57" t="s">
        <v>269</v>
      </c>
      <c r="C910" s="11"/>
      <c r="D910" s="11">
        <v>90.0</v>
      </c>
      <c r="E910" s="12" t="s">
        <v>270</v>
      </c>
      <c r="F910" s="13">
        <f>'БД_УСЛУГИ_РО'!P728+'БД_ЗАПЧАСТИ'!P684</f>
        <v>7950</v>
      </c>
      <c r="G910" s="29"/>
      <c r="H910" s="101">
        <f>'БД_УСЛУГИ_РО'!P728</f>
        <v>4700</v>
      </c>
      <c r="I910" s="2"/>
      <c r="J910" s="83"/>
      <c r="K910" s="84">
        <v>7950.0</v>
      </c>
      <c r="L910" s="61"/>
      <c r="M910" s="60"/>
      <c r="N910" s="29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idden="1">
      <c r="A911" s="2"/>
      <c r="B911" s="57" t="s">
        <v>269</v>
      </c>
      <c r="C911" s="11"/>
      <c r="D911" s="11">
        <v>90.0</v>
      </c>
      <c r="E911" s="12" t="s">
        <v>205</v>
      </c>
      <c r="F911" s="13">
        <f>'БД_УСЛУГИ_РО'!P729+'БД_ЗАПЧАСТИ'!P240</f>
        <v>4800</v>
      </c>
      <c r="G911" s="33" t="str">
        <f>IFERROR(__xludf.DUMMYFUNCTION("MIN(FILTER(F911:F917, F911:F917 &lt;&gt; H911:H917)) &amp; "" - "" &amp; MAX(FILTER(F911:F917, F911:F917 &lt;&gt; H911:H917))"),"18800 - 18800")</f>
        <v>18800 - 18800</v>
      </c>
      <c r="H911" s="101">
        <f>'БД_УСЛУГИ_РО'!P729</f>
        <v>4800</v>
      </c>
      <c r="I911" s="2"/>
      <c r="J911" s="86">
        <f>IFERROR(__xludf.DUMMYFUNCTION("MIN(FILTER(F911:F915, F911:F915 &lt;&gt; H911:H915, F911:F915 &lt;&gt; """"))"),18800.0)</f>
        <v>18800</v>
      </c>
      <c r="K911" s="84">
        <v>4800.0</v>
      </c>
      <c r="L911" s="65">
        <f>IFERROR(VLOOKUP("iPhone 14 Plus Замена дисплея (оригинал)", 'РЕМОНТ_ЯБЛОК'!C:D, 2, 0), "Ошибка")</f>
        <v>17000</v>
      </c>
      <c r="M911" s="60"/>
      <c r="N911" s="29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idden="1">
      <c r="A912" s="2"/>
      <c r="B912" s="57" t="s">
        <v>269</v>
      </c>
      <c r="C912" s="11"/>
      <c r="D912" s="11">
        <v>90.0</v>
      </c>
      <c r="E912" s="12" t="s">
        <v>39</v>
      </c>
      <c r="F912" s="13">
        <f>'БД_УСЛУГИ_РО'!P729+'БД_ЗАПЧАСТИ'!P241</f>
        <v>4800</v>
      </c>
      <c r="G912" s="19"/>
      <c r="H912" s="101">
        <f>'БД_УСЛУГИ_РО'!P729</f>
        <v>4800</v>
      </c>
      <c r="I912" s="2"/>
      <c r="J912" s="103"/>
      <c r="K912" s="84">
        <v>4800.0</v>
      </c>
      <c r="L912" s="104"/>
      <c r="M912" s="60"/>
      <c r="N912" s="29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idden="1">
      <c r="A913" s="2"/>
      <c r="B913" s="57" t="s">
        <v>269</v>
      </c>
      <c r="C913" s="11"/>
      <c r="D913" s="11">
        <v>90.0</v>
      </c>
      <c r="E913" s="12" t="s">
        <v>40</v>
      </c>
      <c r="F913" s="13">
        <f>'БД_УСЛУГИ_РО'!P729+'БД_ЗАПЧАСТИ'!P242</f>
        <v>18800</v>
      </c>
      <c r="G913" s="19"/>
      <c r="H913" s="101">
        <f>'БД_УСЛУГИ_РО'!P729</f>
        <v>4800</v>
      </c>
      <c r="I913" s="2"/>
      <c r="J913" s="103"/>
      <c r="K913" s="84">
        <v>18800.0</v>
      </c>
      <c r="L913" s="104"/>
      <c r="M913" s="60"/>
      <c r="N913" s="29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idden="1">
      <c r="A914" s="2"/>
      <c r="B914" s="57" t="s">
        <v>269</v>
      </c>
      <c r="C914" s="11"/>
      <c r="D914" s="11">
        <v>90.0</v>
      </c>
      <c r="E914" s="12" t="s">
        <v>42</v>
      </c>
      <c r="F914" s="13">
        <f>'БД_УСЛУГИ_РО'!P729+'БД_ЗАПЧАСТИ'!P243</f>
        <v>4800</v>
      </c>
      <c r="G914" s="19"/>
      <c r="H914" s="101">
        <f>'БД_УСЛУГИ_РО'!P729</f>
        <v>4800</v>
      </c>
      <c r="I914" s="2"/>
      <c r="J914" s="103"/>
      <c r="K914" s="84">
        <v>4800.0</v>
      </c>
      <c r="L914" s="104"/>
      <c r="M914" s="60"/>
      <c r="N914" s="29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idden="1">
      <c r="A915" s="2"/>
      <c r="B915" s="57" t="s">
        <v>269</v>
      </c>
      <c r="C915" s="11"/>
      <c r="D915" s="11">
        <v>90.0</v>
      </c>
      <c r="E915" s="12" t="s">
        <v>43</v>
      </c>
      <c r="F915" s="13">
        <f>'БД_УСЛУГИ_РО'!P729+'БД_ЗАПЧАСТИ'!P244</f>
        <v>4800</v>
      </c>
      <c r="G915" s="19"/>
      <c r="H915" s="101">
        <f>'БД_УСЛУГИ_РО'!P729</f>
        <v>4800</v>
      </c>
      <c r="I915" s="2"/>
      <c r="J915" s="87"/>
      <c r="K915" s="84">
        <v>4800.0</v>
      </c>
      <c r="L915" s="67"/>
      <c r="M915" s="60"/>
      <c r="N915" s="29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idden="1">
      <c r="A916" s="2"/>
      <c r="B916" s="57" t="s">
        <v>269</v>
      </c>
      <c r="C916" s="11"/>
      <c r="D916" s="11">
        <v>90.0</v>
      </c>
      <c r="E916" s="12" t="s">
        <v>45</v>
      </c>
      <c r="F916" s="13">
        <f>'БД_УСЛУГИ_РО'!P729</f>
        <v>4800</v>
      </c>
      <c r="G916" s="19"/>
      <c r="H916" s="101">
        <f>'БД_УСЛУГИ_РО'!P729</f>
        <v>4800</v>
      </c>
      <c r="I916" s="2"/>
      <c r="J916" s="92" t="str">
        <f>IFERROR(__xludf.DUMMYFUNCTION("MIN(FILTER(F916:F917, F916:F917 &lt;&gt; H916:H917, F916:F917 &lt;&gt; """"))"),"#N/A")</f>
        <v>#N/A</v>
      </c>
      <c r="K916" s="84">
        <v>4800.0</v>
      </c>
      <c r="L916" s="65">
        <f>IFERROR(VLOOKUP("iPhone 14 Plus Замена дисплея (аналог)", 'РЕМОНТ_ЯБЛОК'!C:D, 2, 0), "Ошибка")</f>
        <v>10000</v>
      </c>
      <c r="M916" s="60"/>
      <c r="N916" s="29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idden="1">
      <c r="A917" s="2"/>
      <c r="B917" s="57" t="s">
        <v>269</v>
      </c>
      <c r="C917" s="11"/>
      <c r="D917" s="11">
        <v>90.0</v>
      </c>
      <c r="E917" s="12" t="s">
        <v>46</v>
      </c>
      <c r="F917" s="13">
        <f>'БД_УСЛУГИ_РО'!P729</f>
        <v>4800</v>
      </c>
      <c r="G917" s="28"/>
      <c r="H917" s="101">
        <f>'БД_УСЛУГИ_РО'!P729</f>
        <v>4800</v>
      </c>
      <c r="I917" s="2"/>
      <c r="J917" s="87"/>
      <c r="K917" s="84">
        <v>4800.0</v>
      </c>
      <c r="L917" s="67"/>
      <c r="M917" s="60"/>
      <c r="N917" s="29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idden="1">
      <c r="A918" s="2"/>
      <c r="B918" s="57" t="s">
        <v>269</v>
      </c>
      <c r="C918" s="11"/>
      <c r="D918" s="11">
        <v>90.0</v>
      </c>
      <c r="E918" s="12" t="s">
        <v>47</v>
      </c>
      <c r="F918" s="13">
        <f>'БД_УСЛУГИ_РО'!P730</f>
        <v>4000</v>
      </c>
      <c r="G918" s="29"/>
      <c r="H918" s="5"/>
      <c r="I918" s="2"/>
      <c r="J918" s="83"/>
      <c r="K918" s="84">
        <v>4000.0</v>
      </c>
      <c r="L918" s="61"/>
      <c r="M918" s="60"/>
      <c r="N918" s="29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idden="1">
      <c r="A919" s="2"/>
      <c r="B919" s="57" t="s">
        <v>269</v>
      </c>
      <c r="C919" s="11"/>
      <c r="D919" s="11">
        <v>90.0</v>
      </c>
      <c r="E919" s="12" t="s">
        <v>271</v>
      </c>
      <c r="F919" s="13">
        <f>'БД_УСЛУГИ_РО'!P731</f>
        <v>10000</v>
      </c>
      <c r="G919" s="29"/>
      <c r="H919" s="5"/>
      <c r="I919" s="2"/>
      <c r="J919" s="85">
        <f t="shared" ref="J919:J920" si="63">F919</f>
        <v>10000</v>
      </c>
      <c r="K919" s="84">
        <v>10000.0</v>
      </c>
      <c r="L919" s="61">
        <f>IFERROR(VLOOKUP("iPhone 14 Plus Переклейка (восстановление) вашего дисплея", 'РЕМОНТ_ЯБЛОК'!C:D, 2, 0), "Ошибка")</f>
        <v>10000</v>
      </c>
      <c r="M919" s="96"/>
      <c r="N919" s="29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idden="1">
      <c r="A920" s="2"/>
      <c r="B920" s="57" t="s">
        <v>269</v>
      </c>
      <c r="C920" s="11"/>
      <c r="D920" s="11">
        <v>90.0</v>
      </c>
      <c r="E920" s="12" t="s">
        <v>272</v>
      </c>
      <c r="F920" s="13">
        <f>'БД_УСЛУГИ_РО'!P732+'БД_ЗАПЧАСТИ'!P776</f>
        <v>9000</v>
      </c>
      <c r="G920" s="29"/>
      <c r="H920" s="101">
        <f>'БД_УСЛУГИ_РО'!P732</f>
        <v>4800</v>
      </c>
      <c r="I920" s="2"/>
      <c r="J920" s="85">
        <f t="shared" si="63"/>
        <v>9000</v>
      </c>
      <c r="K920" s="84">
        <v>9000.0</v>
      </c>
      <c r="L920" s="61">
        <f>IFERROR(VLOOKUP("iPhone 14 Plus Замена основной камеры", 'РЕМОНТ_ЯБЛОК'!C:D, 2, 0), "Ошибка")</f>
        <v>9000</v>
      </c>
      <c r="M920" s="96"/>
      <c r="N920" s="29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idden="1">
      <c r="A921" s="2"/>
      <c r="B921" s="57" t="s">
        <v>269</v>
      </c>
      <c r="C921" s="11"/>
      <c r="D921" s="11">
        <v>90.0</v>
      </c>
      <c r="E921" s="12" t="s">
        <v>273</v>
      </c>
      <c r="F921" s="13">
        <f>'БД_УСЛУГИ_РО'!P733+'БД_ЗАПЧАСТИ'!P820</f>
        <v>8900</v>
      </c>
      <c r="G921" s="29"/>
      <c r="H921" s="101">
        <f>'БД_УСЛУГИ_РО'!P733</f>
        <v>5400</v>
      </c>
      <c r="I921" s="2"/>
      <c r="J921" s="83"/>
      <c r="K921" s="84">
        <v>8900.0</v>
      </c>
      <c r="L921" s="61"/>
      <c r="M921" s="60"/>
      <c r="N921" s="29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idden="1">
      <c r="A922" s="2"/>
      <c r="B922" s="57" t="s">
        <v>269</v>
      </c>
      <c r="C922" s="11"/>
      <c r="D922" s="11">
        <v>180.0</v>
      </c>
      <c r="E922" s="12" t="s">
        <v>52</v>
      </c>
      <c r="F922" s="13">
        <f>'БД_УСЛУГИ_РО'!P734+'БД_ЗАПЧАСТИ'!P561</f>
        <v>3900</v>
      </c>
      <c r="G922" s="29"/>
      <c r="H922" s="101">
        <f>'БД_УСЛУГИ_РО'!P734</f>
        <v>3600</v>
      </c>
      <c r="I922" s="2"/>
      <c r="J922" s="83"/>
      <c r="K922" s="84">
        <v>3900.0</v>
      </c>
      <c r="L922" s="61"/>
      <c r="M922" s="60"/>
      <c r="N922" s="29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idden="1">
      <c r="A923" s="2"/>
      <c r="B923" s="57" t="s">
        <v>269</v>
      </c>
      <c r="C923" s="11"/>
      <c r="D923" s="11">
        <v>90.0</v>
      </c>
      <c r="E923" s="12" t="s">
        <v>53</v>
      </c>
      <c r="F923" s="13">
        <f>'БД_УСЛУГИ_РО'!P735</f>
        <v>7500</v>
      </c>
      <c r="G923" s="29"/>
      <c r="H923" s="5"/>
      <c r="I923" s="2"/>
      <c r="J923" s="92"/>
      <c r="K923" s="93">
        <v>7500.0</v>
      </c>
      <c r="L923" s="65"/>
      <c r="M923" s="94"/>
      <c r="N923" s="33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idden="1">
      <c r="A924" s="2"/>
      <c r="B924" s="57" t="s">
        <v>269</v>
      </c>
      <c r="C924" s="11"/>
      <c r="D924" s="11">
        <v>180.0</v>
      </c>
      <c r="E924" s="12" t="s">
        <v>54</v>
      </c>
      <c r="F924" s="13">
        <f>'БД_УСЛУГИ_РО'!P736+'БД_ЗАПЧАСТИ'!P416</f>
        <v>4400</v>
      </c>
      <c r="G924" s="33" t="str">
        <f>MIN(F924:F925) &amp; " - " &amp; MAX(F924:F925)</f>
        <v>4400 - 8000</v>
      </c>
      <c r="H924" s="101">
        <f>'БД_УСЛУГИ_РО'!P736</f>
        <v>4400</v>
      </c>
      <c r="I924" s="2"/>
      <c r="J924" s="92"/>
      <c r="K924" s="93">
        <v>4400.0</v>
      </c>
      <c r="L924" s="65"/>
      <c r="M924" s="94"/>
      <c r="N924" s="33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idden="1">
      <c r="A925" s="2"/>
      <c r="B925" s="57" t="s">
        <v>269</v>
      </c>
      <c r="C925" s="11"/>
      <c r="D925" s="11">
        <v>180.0</v>
      </c>
      <c r="E925" s="12" t="s">
        <v>55</v>
      </c>
      <c r="F925" s="13">
        <f>'БД_УСЛУГИ_РО'!P736+'БД_ЗАПЧАСТИ'!P422</f>
        <v>8000</v>
      </c>
      <c r="G925" s="28"/>
      <c r="H925" s="101">
        <f>'БД_УСЛУГИ_РО'!P736</f>
        <v>4400</v>
      </c>
      <c r="I925" s="2"/>
      <c r="J925" s="85">
        <f t="shared" ref="J925:J926" si="64">F925</f>
        <v>8000</v>
      </c>
      <c r="K925" s="93">
        <v>8000.0</v>
      </c>
      <c r="L925" s="61">
        <f>IFERROR(VLOOKUP("iPhone 14 Plus Замена задней крышки", 'РЕМОНТ_ЯБЛОК'!C:D, 2, 0), "Ошибка")</f>
        <v>8000</v>
      </c>
      <c r="M925" s="105"/>
      <c r="N925" s="33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idden="1">
      <c r="A926" s="2"/>
      <c r="B926" s="57" t="s">
        <v>269</v>
      </c>
      <c r="C926" s="11"/>
      <c r="D926" s="11">
        <v>180.0</v>
      </c>
      <c r="E926" s="12" t="s">
        <v>56</v>
      </c>
      <c r="F926" s="13">
        <f>'БД_УСЛУГИ_РО'!P737</f>
        <v>7500</v>
      </c>
      <c r="G926" s="29"/>
      <c r="H926" s="101">
        <f>'БД_УСЛУГИ_РО'!P737</f>
        <v>7500</v>
      </c>
      <c r="I926" s="2"/>
      <c r="J926" s="85">
        <f t="shared" si="64"/>
        <v>7500</v>
      </c>
      <c r="K926" s="93">
        <v>7500.0</v>
      </c>
      <c r="L926" s="61">
        <f>IFERROR(VLOOKUP("iPhone 14 Plus Замена корпуса", 'РЕМОНТ_ЯБЛОК'!C:D, 2, 0), "Ошибка")</f>
        <v>14000</v>
      </c>
      <c r="M926" s="105"/>
      <c r="N926" s="33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idden="1">
      <c r="A927" s="2"/>
      <c r="B927" s="57" t="s">
        <v>269</v>
      </c>
      <c r="C927" s="11"/>
      <c r="D927" s="11">
        <v>180.0</v>
      </c>
      <c r="E927" s="12" t="s">
        <v>57</v>
      </c>
      <c r="F927" s="13">
        <f>'БД_УСЛУГИ_РО'!P738</f>
        <v>5300</v>
      </c>
      <c r="G927" s="29"/>
      <c r="H927" s="101">
        <f>'БД_УСЛУГИ_РО'!P738</f>
        <v>5300</v>
      </c>
      <c r="I927" s="2"/>
      <c r="J927" s="83"/>
      <c r="K927" s="84">
        <v>5300.0</v>
      </c>
      <c r="L927" s="61"/>
      <c r="M927" s="60"/>
      <c r="N927" s="29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idden="1">
      <c r="A928" s="2"/>
      <c r="B928" s="57" t="s">
        <v>269</v>
      </c>
      <c r="C928" s="11"/>
      <c r="D928" s="11">
        <v>90.0</v>
      </c>
      <c r="E928" s="12" t="s">
        <v>59</v>
      </c>
      <c r="F928" s="13">
        <f>'БД_УСЛУГИ_РО'!P739</f>
        <v>5000</v>
      </c>
      <c r="G928" s="29"/>
      <c r="H928" s="5"/>
      <c r="I928" s="2"/>
      <c r="J928" s="83"/>
      <c r="K928" s="84">
        <v>5000.0</v>
      </c>
      <c r="L928" s="61"/>
      <c r="M928" s="60"/>
      <c r="N928" s="29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idden="1">
      <c r="A929" s="2"/>
      <c r="B929" s="57" t="s">
        <v>269</v>
      </c>
      <c r="C929" s="11"/>
      <c r="D929" s="11">
        <v>90.0</v>
      </c>
      <c r="E929" s="12" t="s">
        <v>274</v>
      </c>
      <c r="F929" s="13">
        <f>'БД_УСЛУГИ_РО'!P740+'БД_ЗАПЧАСТИ'!P905</f>
        <v>4300</v>
      </c>
      <c r="G929" s="29"/>
      <c r="H929" s="101">
        <f>'БД_УСЛУГИ_РО'!P740</f>
        <v>4300</v>
      </c>
      <c r="I929" s="2"/>
      <c r="J929" s="83"/>
      <c r="K929" s="84">
        <v>4300.0</v>
      </c>
      <c r="L929" s="61"/>
      <c r="M929" s="60"/>
      <c r="N929" s="29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idden="1">
      <c r="A930" s="2"/>
      <c r="B930" s="57" t="s">
        <v>269</v>
      </c>
      <c r="C930" s="11"/>
      <c r="D930" s="11">
        <v>90.0</v>
      </c>
      <c r="E930" s="12" t="s">
        <v>275</v>
      </c>
      <c r="F930" s="13">
        <f>'БД_УСЛУГИ_РО'!P741+'БД_ЗАПЧАСТИ'!P865</f>
        <v>5650</v>
      </c>
      <c r="G930" s="29"/>
      <c r="H930" s="101">
        <f>'БД_УСЛУГИ_РО'!P741</f>
        <v>4300</v>
      </c>
      <c r="I930" s="2"/>
      <c r="J930" s="83"/>
      <c r="K930" s="84">
        <v>5650.0</v>
      </c>
      <c r="L930" s="61"/>
      <c r="M930" s="60"/>
      <c r="N930" s="29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idden="1">
      <c r="A931" s="2"/>
      <c r="B931" s="57" t="s">
        <v>269</v>
      </c>
      <c r="C931" s="11"/>
      <c r="D931" s="11">
        <v>90.0</v>
      </c>
      <c r="E931" s="32" t="s">
        <v>62</v>
      </c>
      <c r="F931" s="13">
        <f>'БД_УСЛУГИ_РО'!P742+'БД_ЗАПЧАСТИ'!P684</f>
        <v>8150</v>
      </c>
      <c r="G931" s="29"/>
      <c r="H931" s="101">
        <f>'БД_УСЛУГИ_РО'!P742</f>
        <v>4900</v>
      </c>
      <c r="I931" s="2"/>
      <c r="J931" s="92"/>
      <c r="K931" s="93">
        <v>8150.0</v>
      </c>
      <c r="L931" s="65"/>
      <c r="M931" s="94"/>
      <c r="N931" s="33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idden="1">
      <c r="A932" s="2"/>
      <c r="B932" s="57" t="s">
        <v>269</v>
      </c>
      <c r="C932" s="11"/>
      <c r="D932" s="11">
        <v>90.0</v>
      </c>
      <c r="E932" s="12" t="s">
        <v>63</v>
      </c>
      <c r="F932" s="13">
        <f>'БД_УСЛУГИ_РО'!P743</f>
        <v>5500</v>
      </c>
      <c r="G932" s="29"/>
      <c r="H932" s="5"/>
      <c r="I932" s="2"/>
      <c r="J932" s="92"/>
      <c r="K932" s="93">
        <v>5500.0</v>
      </c>
      <c r="L932" s="65"/>
      <c r="M932" s="94"/>
      <c r="N932" s="33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idden="1">
      <c r="A933" s="2"/>
      <c r="B933" s="57" t="s">
        <v>269</v>
      </c>
      <c r="C933" s="11"/>
      <c r="D933" s="11">
        <v>90.0</v>
      </c>
      <c r="E933" s="12" t="s">
        <v>64</v>
      </c>
      <c r="F933" s="13">
        <f>'БД_УСЛУГИ_РО'!P745</f>
        <v>6500</v>
      </c>
      <c r="G933" s="29"/>
      <c r="H933" s="5"/>
      <c r="I933" s="2"/>
      <c r="J933" s="92"/>
      <c r="K933" s="93">
        <v>6500.0</v>
      </c>
      <c r="L933" s="65"/>
      <c r="M933" s="94"/>
      <c r="N933" s="33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idden="1">
      <c r="A934" s="2"/>
      <c r="B934" s="57" t="s">
        <v>269</v>
      </c>
      <c r="C934" s="11"/>
      <c r="D934" s="11">
        <v>90.0</v>
      </c>
      <c r="E934" s="12" t="s">
        <v>65</v>
      </c>
      <c r="F934" s="13">
        <f>'БД_УСЛУГИ_РО'!P744+'БД_УСЛУГИ_РО'!P746</f>
        <v>14500</v>
      </c>
      <c r="G934" s="29"/>
      <c r="H934" s="5"/>
      <c r="I934" s="2"/>
      <c r="J934" s="92"/>
      <c r="K934" s="93">
        <v>14500.0</v>
      </c>
      <c r="L934" s="65"/>
      <c r="M934" s="94"/>
      <c r="N934" s="33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idden="1">
      <c r="A935" s="2"/>
      <c r="B935" s="69" t="s">
        <v>269</v>
      </c>
      <c r="C935" s="36"/>
      <c r="D935" s="36">
        <v>90.0</v>
      </c>
      <c r="E935" s="70" t="s">
        <v>66</v>
      </c>
      <c r="F935" s="38">
        <f>'БД_УСЛУГИ_РО'!P744+'БД_УСЛУГИ_РО'!P747</f>
        <v>15000</v>
      </c>
      <c r="G935" s="39"/>
      <c r="H935" s="5"/>
      <c r="I935" s="2"/>
      <c r="J935" s="91"/>
      <c r="K935" s="89">
        <v>15000.0</v>
      </c>
      <c r="L935" s="73"/>
      <c r="M935" s="74"/>
      <c r="N935" s="39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idden="1">
      <c r="A936" s="2"/>
      <c r="B936" s="1"/>
      <c r="C936" s="1"/>
      <c r="D936" s="95"/>
      <c r="E936" s="30"/>
      <c r="F936" s="80"/>
      <c r="G936" s="76"/>
      <c r="H936" s="5"/>
      <c r="I936" s="2"/>
      <c r="J936" s="2"/>
      <c r="K936" s="2" t="s">
        <v>22</v>
      </c>
      <c r="L936" s="2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idden="1">
      <c r="A937" s="2"/>
      <c r="B937" s="41" t="s">
        <v>276</v>
      </c>
      <c r="C937" s="42"/>
      <c r="D937" s="42">
        <v>0.0</v>
      </c>
      <c r="E937" s="51" t="s">
        <v>24</v>
      </c>
      <c r="F937" s="44">
        <f>'БД_УСЛУГИ_РО'!P748</f>
        <v>1</v>
      </c>
      <c r="G937" s="78"/>
      <c r="H937" s="5"/>
      <c r="I937" s="2"/>
      <c r="J937" s="81"/>
      <c r="K937" s="82">
        <v>1.0</v>
      </c>
      <c r="L937" s="55"/>
      <c r="M937" s="56"/>
      <c r="N937" s="5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idden="1">
      <c r="A938" s="2"/>
      <c r="B938" s="57" t="s">
        <v>276</v>
      </c>
      <c r="C938" s="11"/>
      <c r="D938" s="11">
        <v>0.0</v>
      </c>
      <c r="E938" s="12" t="s">
        <v>26</v>
      </c>
      <c r="F938" s="13">
        <f>'БД_УСЛУГИ_РО'!P749+'БД_УСЛУГИ_РО'!P750</f>
        <v>1800</v>
      </c>
      <c r="G938" s="29"/>
      <c r="H938" s="5"/>
      <c r="I938" s="2"/>
      <c r="J938" s="83"/>
      <c r="K938" s="84">
        <v>1800.0</v>
      </c>
      <c r="L938" s="61"/>
      <c r="M938" s="60"/>
      <c r="N938" s="29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idden="1">
      <c r="A939" s="2"/>
      <c r="B939" s="57" t="s">
        <v>276</v>
      </c>
      <c r="C939" s="11"/>
      <c r="D939" s="11">
        <v>0.0</v>
      </c>
      <c r="E939" s="32" t="s">
        <v>27</v>
      </c>
      <c r="F939" s="13">
        <f>'БД_УСЛУГИ_РО'!P751</f>
        <v>700</v>
      </c>
      <c r="G939" s="33" t="str">
        <f>MIN(F939:F940) &amp; " - " &amp; MAX(F939:F940)</f>
        <v>700 - 5000</v>
      </c>
      <c r="H939" s="5"/>
      <c r="I939" s="2"/>
      <c r="J939" s="83"/>
      <c r="K939" s="84">
        <v>700.0</v>
      </c>
      <c r="L939" s="61"/>
      <c r="M939" s="60"/>
      <c r="N939" s="29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idden="1">
      <c r="A940" s="2"/>
      <c r="B940" s="57" t="s">
        <v>276</v>
      </c>
      <c r="C940" s="11"/>
      <c r="D940" s="11">
        <v>0.0</v>
      </c>
      <c r="E940" s="32" t="s">
        <v>28</v>
      </c>
      <c r="F940" s="13">
        <f>'БД_УСЛУГИ_РО'!P752</f>
        <v>5000</v>
      </c>
      <c r="G940" s="28"/>
      <c r="H940" s="5"/>
      <c r="I940" s="2"/>
      <c r="J940" s="83"/>
      <c r="K940" s="84">
        <v>5000.0</v>
      </c>
      <c r="L940" s="61"/>
      <c r="M940" s="60"/>
      <c r="N940" s="29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idden="1">
      <c r="A941" s="2"/>
      <c r="B941" s="57" t="s">
        <v>276</v>
      </c>
      <c r="C941" s="11"/>
      <c r="D941" s="11">
        <v>180.0</v>
      </c>
      <c r="E941" s="12" t="s">
        <v>202</v>
      </c>
      <c r="F941" s="13">
        <f>'БД_УСЛУГИ_РО'!P753+'БД_ЗАПЧАСТИ'!P83</f>
        <v>14700</v>
      </c>
      <c r="G941" s="33" t="str">
        <f>IFERROR(__xludf.DUMMYFUNCTION("MIN(FILTER(F941:F946, F941:F946 &lt;&gt; H941:H946)) &amp; "" - "" &amp; MAX(FILTER(F941:F946, F941:F946 &lt;&gt; H941:H946))"),"7500 - 14700")</f>
        <v>7500 - 14700</v>
      </c>
      <c r="H941" s="101">
        <f>'БД_УСЛУГИ_РО'!P753</f>
        <v>5100</v>
      </c>
      <c r="I941" s="2"/>
      <c r="J941" s="86">
        <f>IFERROR(__xludf.DUMMYFUNCTION("MIN(FILTER(F941:F946, F941:F946 &lt;&gt; H941:H946, F941:F946 &lt;&gt; """"))"),7500.0)</f>
        <v>7500</v>
      </c>
      <c r="K941" s="84">
        <v>14700.0</v>
      </c>
      <c r="L941" s="31">
        <f>IFERROR(VLOOKUP("iPhone 14 Pro Замена аккумулятора", 'РЕМОНТ_ЯБЛОК'!C:D, 2, 0), "Ошибка")</f>
        <v>7500</v>
      </c>
      <c r="M941" s="60"/>
      <c r="N941" s="29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idden="1">
      <c r="A942" s="2"/>
      <c r="B942" s="57" t="s">
        <v>276</v>
      </c>
      <c r="C942" s="11"/>
      <c r="D942" s="11">
        <v>180.0</v>
      </c>
      <c r="E942" s="12" t="s">
        <v>203</v>
      </c>
      <c r="F942" s="13">
        <f>'БД_УСЛУГИ_РО'!P753+'БД_ЗАПЧАСТИ'!P84</f>
        <v>9500</v>
      </c>
      <c r="G942" s="19"/>
      <c r="H942" s="101">
        <f>'БД_УСЛУГИ_РО'!P753</f>
        <v>5100</v>
      </c>
      <c r="I942" s="2"/>
      <c r="J942" s="103"/>
      <c r="K942" s="84">
        <v>9500.0</v>
      </c>
      <c r="L942" s="104"/>
      <c r="M942" s="60"/>
      <c r="N942" s="29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idden="1">
      <c r="A943" s="2"/>
      <c r="B943" s="57" t="s">
        <v>276</v>
      </c>
      <c r="C943" s="11"/>
      <c r="D943" s="11">
        <v>180.0</v>
      </c>
      <c r="E943" s="12" t="s">
        <v>32</v>
      </c>
      <c r="F943" s="13">
        <f>'БД_УСЛУГИ_РО'!P753+'БД_ЗАПЧАСТИ'!P85</f>
        <v>9000</v>
      </c>
      <c r="G943" s="19"/>
      <c r="H943" s="101">
        <f>'БД_УСЛУГИ_РО'!P753</f>
        <v>5100</v>
      </c>
      <c r="I943" s="2"/>
      <c r="J943" s="103"/>
      <c r="K943" s="84">
        <v>9000.0</v>
      </c>
      <c r="L943" s="104"/>
      <c r="M943" s="60"/>
      <c r="N943" s="29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idden="1">
      <c r="A944" s="2"/>
      <c r="B944" s="57" t="s">
        <v>276</v>
      </c>
      <c r="C944" s="11"/>
      <c r="D944" s="11">
        <v>180.0</v>
      </c>
      <c r="E944" s="12" t="s">
        <v>33</v>
      </c>
      <c r="F944" s="13">
        <f>'БД_УСЛУГИ_РО'!P753+'БД_ЗАПЧАСТИ'!P86</f>
        <v>8000</v>
      </c>
      <c r="G944" s="19"/>
      <c r="H944" s="101">
        <f>'БД_УСЛУГИ_РО'!P753</f>
        <v>5100</v>
      </c>
      <c r="I944" s="2"/>
      <c r="J944" s="103"/>
      <c r="K944" s="84">
        <v>8000.0</v>
      </c>
      <c r="L944" s="104"/>
      <c r="M944" s="60"/>
      <c r="N944" s="29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idden="1">
      <c r="A945" s="2"/>
      <c r="B945" s="57" t="s">
        <v>276</v>
      </c>
      <c r="C945" s="11"/>
      <c r="D945" s="11">
        <v>180.0</v>
      </c>
      <c r="E945" s="12" t="s">
        <v>34</v>
      </c>
      <c r="F945" s="13">
        <f>'БД_УСЛУГИ_РО'!P753+'БД_ЗАПЧАСТИ'!P87</f>
        <v>7500</v>
      </c>
      <c r="G945" s="19"/>
      <c r="H945" s="101">
        <f>'БД_УСЛУГИ_РО'!P753</f>
        <v>5100</v>
      </c>
      <c r="I945" s="2"/>
      <c r="J945" s="87"/>
      <c r="K945" s="84">
        <v>7500.0</v>
      </c>
      <c r="L945" s="67"/>
      <c r="M945" s="60"/>
      <c r="N945" s="29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idden="1">
      <c r="A946" s="2"/>
      <c r="B946" s="57" t="s">
        <v>276</v>
      </c>
      <c r="C946" s="11"/>
      <c r="D946" s="11">
        <v>180.0</v>
      </c>
      <c r="E946" s="12" t="s">
        <v>35</v>
      </c>
      <c r="F946" s="13">
        <f>'БД_УСЛУГИ_РО'!P753+'БД_УСЛУГИ_РО'!P754+'БД_ЗАПЧАСТИ'!P87</f>
        <v>11200</v>
      </c>
      <c r="G946" s="28"/>
      <c r="H946" s="101">
        <f>'БД_УСЛУГИ_РО'!P753+'БД_УСЛУГИ_РО'!P754</f>
        <v>8800</v>
      </c>
      <c r="I946" s="2"/>
      <c r="J946" s="83"/>
      <c r="K946" s="84">
        <v>11200.0</v>
      </c>
      <c r="L946" s="61"/>
      <c r="M946" s="60"/>
      <c r="N946" s="29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idden="1">
      <c r="A947" s="2"/>
      <c r="B947" s="57" t="s">
        <v>276</v>
      </c>
      <c r="C947" s="11"/>
      <c r="D947" s="11">
        <v>90.0</v>
      </c>
      <c r="E947" s="12" t="s">
        <v>277</v>
      </c>
      <c r="F947" s="13">
        <f>'БД_УСЛУГИ_РО'!P755+'БД_ЗАПЧАСТИ'!P690</f>
        <v>9200</v>
      </c>
      <c r="G947" s="29"/>
      <c r="H947" s="101">
        <f>'БД_УСЛУГИ_РО'!P755</f>
        <v>5200</v>
      </c>
      <c r="I947" s="2"/>
      <c r="J947" s="83"/>
      <c r="K947" s="84">
        <v>9200.0</v>
      </c>
      <c r="L947" s="61"/>
      <c r="M947" s="60"/>
      <c r="N947" s="29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idden="1">
      <c r="A948" s="2"/>
      <c r="B948" s="57" t="s">
        <v>276</v>
      </c>
      <c r="C948" s="11"/>
      <c r="D948" s="11">
        <v>90.0</v>
      </c>
      <c r="E948" s="12" t="s">
        <v>205</v>
      </c>
      <c r="F948" s="13">
        <f>'БД_УСЛУГИ_РО'!P756+'БД_ЗАПЧАСТИ'!P245</f>
        <v>31900</v>
      </c>
      <c r="G948" s="33" t="str">
        <f>IFERROR(__xludf.DUMMYFUNCTION("MIN(FILTER(F948:F954, F948:F954 &lt;&gt; H948:H954)) &amp; "" - "" &amp; MAX(FILTER(F948:F954, F948:F954 &lt;&gt; H948:H954))"),"20000 - 31900")</f>
        <v>20000 - 31900</v>
      </c>
      <c r="H948" s="101">
        <f>'БД_УСЛУГИ_РО'!P756</f>
        <v>5100</v>
      </c>
      <c r="I948" s="2"/>
      <c r="J948" s="86">
        <f>IFERROR(__xludf.DUMMYFUNCTION("MIN(FILTER(F948:F952, F948:F952 &lt;&gt; H948:H952, F948:F952 &lt;&gt; """"))"),20000.0)</f>
        <v>20000</v>
      </c>
      <c r="K948" s="84">
        <v>31900.0</v>
      </c>
      <c r="L948" s="65">
        <f>IFERROR(VLOOKUP("iPhone 14 Pro Замена дисплея (оригинал)", 'РЕМОНТ_ЯБЛОК'!C:D, 2, 0), "Ошибка")</f>
        <v>20000</v>
      </c>
      <c r="M948" s="60"/>
      <c r="N948" s="29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idden="1">
      <c r="A949" s="2"/>
      <c r="B949" s="57" t="s">
        <v>276</v>
      </c>
      <c r="C949" s="11"/>
      <c r="D949" s="11">
        <v>90.0</v>
      </c>
      <c r="E949" s="12" t="s">
        <v>39</v>
      </c>
      <c r="F949" s="13">
        <f>'БД_УСЛУГИ_РО'!P756+'БД_ЗАПЧАСТИ'!P246</f>
        <v>23900</v>
      </c>
      <c r="G949" s="19"/>
      <c r="H949" s="101">
        <f>'БД_УСЛУГИ_РО'!P756</f>
        <v>5100</v>
      </c>
      <c r="I949" s="2"/>
      <c r="J949" s="103"/>
      <c r="K949" s="84">
        <v>23900.0</v>
      </c>
      <c r="L949" s="104"/>
      <c r="M949" s="60"/>
      <c r="N949" s="29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idden="1">
      <c r="A950" s="2"/>
      <c r="B950" s="57" t="s">
        <v>276</v>
      </c>
      <c r="C950" s="11"/>
      <c r="D950" s="11">
        <v>90.0</v>
      </c>
      <c r="E950" s="12" t="s">
        <v>40</v>
      </c>
      <c r="F950" s="13">
        <f>'БД_УСЛУГИ_РО'!P756+'БД_ЗАПЧАСТИ'!P247</f>
        <v>23000</v>
      </c>
      <c r="G950" s="19"/>
      <c r="H950" s="101">
        <f>'БД_УСЛУГИ_РО'!P756</f>
        <v>5100</v>
      </c>
      <c r="I950" s="2"/>
      <c r="J950" s="103"/>
      <c r="K950" s="84">
        <v>23000.0</v>
      </c>
      <c r="L950" s="104"/>
      <c r="M950" s="60"/>
      <c r="N950" s="29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idden="1">
      <c r="A951" s="2"/>
      <c r="B951" s="57" t="s">
        <v>276</v>
      </c>
      <c r="C951" s="11"/>
      <c r="D951" s="11">
        <v>90.0</v>
      </c>
      <c r="E951" s="12" t="s">
        <v>42</v>
      </c>
      <c r="F951" s="13">
        <f>'БД_УСЛУГИ_РО'!P756+'БД_ЗАПЧАСТИ'!P248</f>
        <v>21000</v>
      </c>
      <c r="G951" s="19"/>
      <c r="H951" s="101">
        <f>'БД_УСЛУГИ_РО'!P756</f>
        <v>5100</v>
      </c>
      <c r="I951" s="2"/>
      <c r="J951" s="103"/>
      <c r="K951" s="84">
        <v>21000.0</v>
      </c>
      <c r="L951" s="104"/>
      <c r="M951" s="60"/>
      <c r="N951" s="29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idden="1">
      <c r="A952" s="2"/>
      <c r="B952" s="57" t="s">
        <v>276</v>
      </c>
      <c r="C952" s="11"/>
      <c r="D952" s="11">
        <v>90.0</v>
      </c>
      <c r="E952" s="12" t="s">
        <v>43</v>
      </c>
      <c r="F952" s="13">
        <f>'БД_УСЛУГИ_РО'!P756+'БД_ЗАПЧАСТИ'!P249</f>
        <v>20000</v>
      </c>
      <c r="G952" s="19"/>
      <c r="H952" s="101">
        <f>'БД_УСЛУГИ_РО'!P756</f>
        <v>5100</v>
      </c>
      <c r="I952" s="2"/>
      <c r="J952" s="87"/>
      <c r="K952" s="84">
        <v>20000.0</v>
      </c>
      <c r="L952" s="67"/>
      <c r="M952" s="60"/>
      <c r="N952" s="29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idden="1">
      <c r="A953" s="2"/>
      <c r="B953" s="57" t="s">
        <v>276</v>
      </c>
      <c r="C953" s="11"/>
      <c r="D953" s="11">
        <v>90.0</v>
      </c>
      <c r="E953" s="12" t="s">
        <v>45</v>
      </c>
      <c r="F953" s="13">
        <f>'БД_УСЛУГИ_РО'!P756</f>
        <v>5100</v>
      </c>
      <c r="G953" s="19"/>
      <c r="H953" s="101">
        <f>'БД_УСЛУГИ_РО'!P756</f>
        <v>5100</v>
      </c>
      <c r="I953" s="2"/>
      <c r="J953" s="92" t="str">
        <f>IFERROR(__xludf.DUMMYFUNCTION("MIN(FILTER(F953:F954, F953:F954 &lt;&gt; H953:H954, F953:F954 &lt;&gt; """"))"),"#N/A")</f>
        <v>#N/A</v>
      </c>
      <c r="K953" s="84">
        <v>5100.0</v>
      </c>
      <c r="L953" s="65">
        <f>IFERROR(VLOOKUP("iPhone 14 Pro Замена дисплея (аналог)", 'РЕМОНТ_ЯБЛОК'!C:D, 2, 0), "Ошибка")</f>
        <v>10000</v>
      </c>
      <c r="M953" s="60"/>
      <c r="N953" s="29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idden="1">
      <c r="A954" s="2"/>
      <c r="B954" s="57" t="s">
        <v>276</v>
      </c>
      <c r="C954" s="11"/>
      <c r="D954" s="11">
        <v>90.0</v>
      </c>
      <c r="E954" s="12" t="s">
        <v>46</v>
      </c>
      <c r="F954" s="13">
        <f>'БД_УСЛУГИ_РО'!P756</f>
        <v>5100</v>
      </c>
      <c r="G954" s="28"/>
      <c r="H954" s="101">
        <f>'БД_УСЛУГИ_РО'!P756</f>
        <v>5100</v>
      </c>
      <c r="I954" s="2"/>
      <c r="J954" s="87"/>
      <c r="K954" s="84">
        <v>5100.0</v>
      </c>
      <c r="L954" s="67"/>
      <c r="M954" s="60"/>
      <c r="N954" s="29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idden="1">
      <c r="A955" s="2"/>
      <c r="B955" s="57" t="s">
        <v>276</v>
      </c>
      <c r="C955" s="11"/>
      <c r="D955" s="11">
        <v>90.0</v>
      </c>
      <c r="E955" s="12" t="s">
        <v>47</v>
      </c>
      <c r="F955" s="13">
        <f>'БД_УСЛУГИ_РО'!P757</f>
        <v>4000</v>
      </c>
      <c r="G955" s="29"/>
      <c r="H955" s="5"/>
      <c r="I955" s="2"/>
      <c r="J955" s="83"/>
      <c r="K955" s="84">
        <v>4000.0</v>
      </c>
      <c r="L955" s="61"/>
      <c r="M955" s="60"/>
      <c r="N955" s="29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idden="1">
      <c r="A956" s="2"/>
      <c r="B956" s="57" t="s">
        <v>276</v>
      </c>
      <c r="C956" s="11"/>
      <c r="D956" s="11">
        <v>90.0</v>
      </c>
      <c r="E956" s="12" t="s">
        <v>278</v>
      </c>
      <c r="F956" s="13">
        <f>'БД_УСЛУГИ_РО'!P758</f>
        <v>13000</v>
      </c>
      <c r="G956" s="29"/>
      <c r="H956" s="5"/>
      <c r="I956" s="2"/>
      <c r="J956" s="85">
        <f t="shared" ref="J956:J957" si="65">F956</f>
        <v>13000</v>
      </c>
      <c r="K956" s="84">
        <v>13000.0</v>
      </c>
      <c r="L956" s="61">
        <f>IFERROR(VLOOKUP("iPhone 14 Pro Переклейка (восстановление) вашего дисплея", 'РЕМОНТ_ЯБЛОК'!C:D, 2, 0), "Ошибка")</f>
        <v>10000</v>
      </c>
      <c r="M956" s="96"/>
      <c r="N956" s="29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idden="1">
      <c r="A957" s="2"/>
      <c r="B957" s="57" t="s">
        <v>276</v>
      </c>
      <c r="C957" s="11"/>
      <c r="D957" s="11">
        <v>90.0</v>
      </c>
      <c r="E957" s="12" t="s">
        <v>279</v>
      </c>
      <c r="F957" s="13">
        <f>'БД_УСЛУГИ_РО'!P759+'БД_ЗАПЧАСТИ'!P777</f>
        <v>12000</v>
      </c>
      <c r="G957" s="29"/>
      <c r="H957" s="101">
        <f>'БД_УСЛУГИ_РО'!P759</f>
        <v>5100</v>
      </c>
      <c r="I957" s="2"/>
      <c r="J957" s="85">
        <f t="shared" si="65"/>
        <v>12000</v>
      </c>
      <c r="K957" s="84">
        <v>12000.0</v>
      </c>
      <c r="L957" s="61">
        <f>IFERROR(VLOOKUP("iPhone 14 Pro Замена основной камеры", 'РЕМОНТ_ЯБЛОК'!C:D, 2, 0), "Ошибка")</f>
        <v>12000</v>
      </c>
      <c r="M957" s="96"/>
      <c r="N957" s="29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idden="1">
      <c r="A958" s="2"/>
      <c r="B958" s="57" t="s">
        <v>276</v>
      </c>
      <c r="C958" s="11"/>
      <c r="D958" s="11">
        <v>90.0</v>
      </c>
      <c r="E958" s="12" t="s">
        <v>280</v>
      </c>
      <c r="F958" s="13">
        <f>'БД_УСЛУГИ_РО'!P760+'БД_ЗАПЧАСТИ'!P821</f>
        <v>8900</v>
      </c>
      <c r="G958" s="29"/>
      <c r="H958" s="101">
        <f>'БД_УСЛУГИ_РО'!P760</f>
        <v>5700</v>
      </c>
      <c r="I958" s="2"/>
      <c r="J958" s="83"/>
      <c r="K958" s="84">
        <v>8900.0</v>
      </c>
      <c r="L958" s="61"/>
      <c r="M958" s="60"/>
      <c r="N958" s="29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idden="1">
      <c r="A959" s="2"/>
      <c r="B959" s="57" t="s">
        <v>276</v>
      </c>
      <c r="C959" s="11"/>
      <c r="D959" s="11">
        <v>180.0</v>
      </c>
      <c r="E959" s="12" t="s">
        <v>52</v>
      </c>
      <c r="F959" s="13">
        <f>'БД_УСЛУГИ_РО'!P761+'БД_ЗАПЧАСТИ'!P563</f>
        <v>4450</v>
      </c>
      <c r="G959" s="29"/>
      <c r="H959" s="101">
        <f>'БД_УСЛУГИ_РО'!P761</f>
        <v>4000</v>
      </c>
      <c r="I959" s="2"/>
      <c r="J959" s="83"/>
      <c r="K959" s="84">
        <v>4450.0</v>
      </c>
      <c r="L959" s="61"/>
      <c r="M959" s="60"/>
      <c r="N959" s="29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idden="1">
      <c r="A960" s="2"/>
      <c r="B960" s="57" t="s">
        <v>276</v>
      </c>
      <c r="C960" s="11"/>
      <c r="D960" s="11">
        <v>90.0</v>
      </c>
      <c r="E960" s="12" t="s">
        <v>53</v>
      </c>
      <c r="F960" s="13">
        <f>'БД_УСЛУГИ_РО'!P762</f>
        <v>7500</v>
      </c>
      <c r="G960" s="29"/>
      <c r="H960" s="5"/>
      <c r="I960" s="2"/>
      <c r="J960" s="92"/>
      <c r="K960" s="93">
        <v>7500.0</v>
      </c>
      <c r="L960" s="65"/>
      <c r="M960" s="94"/>
      <c r="N960" s="33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idden="1">
      <c r="A961" s="2"/>
      <c r="B961" s="57" t="s">
        <v>276</v>
      </c>
      <c r="C961" s="11"/>
      <c r="D961" s="11">
        <v>180.0</v>
      </c>
      <c r="E961" s="12" t="s">
        <v>55</v>
      </c>
      <c r="F961" s="13">
        <f>'БД_УСЛУГИ_РО'!P763+'БД_ЗАПЧАСТИ'!P428</f>
        <v>8150</v>
      </c>
      <c r="G961" s="29"/>
      <c r="H961" s="101">
        <f>'БД_УСЛУГИ_РО'!P763</f>
        <v>7300</v>
      </c>
      <c r="I961" s="2"/>
      <c r="J961" s="85">
        <f t="shared" ref="J961:J962" si="66">F961</f>
        <v>8150</v>
      </c>
      <c r="K961" s="93">
        <v>8150.0</v>
      </c>
      <c r="L961" s="61">
        <f>IFERROR(VLOOKUP("iPhone 14 Pro Замена задней крышки", 'РЕМОНТ_ЯБЛОК'!C:D, 2, 0), "Ошибка")</f>
        <v>8000</v>
      </c>
      <c r="M961" s="105"/>
      <c r="N961" s="33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idden="1">
      <c r="A962" s="2"/>
      <c r="B962" s="57" t="s">
        <v>276</v>
      </c>
      <c r="C962" s="11"/>
      <c r="D962" s="11">
        <v>180.0</v>
      </c>
      <c r="E962" s="12" t="s">
        <v>56</v>
      </c>
      <c r="F962" s="13">
        <f>'БД_УСЛУГИ_РО'!P764</f>
        <v>5300</v>
      </c>
      <c r="G962" s="29"/>
      <c r="H962" s="101">
        <f>'БД_УСЛУГИ_РО'!P764</f>
        <v>5300</v>
      </c>
      <c r="I962" s="2"/>
      <c r="J962" s="85">
        <f t="shared" si="66"/>
        <v>5300</v>
      </c>
      <c r="K962" s="93">
        <v>5300.0</v>
      </c>
      <c r="L962" s="61">
        <f>IFERROR(VLOOKUP("iPhone 14 Pro Замена корпуса", 'РЕМОНТ_ЯБЛОК'!C:D, 2, 0), "Ошибка")</f>
        <v>14000</v>
      </c>
      <c r="M962" s="105"/>
      <c r="N962" s="33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idden="1">
      <c r="A963" s="2"/>
      <c r="B963" s="57" t="s">
        <v>276</v>
      </c>
      <c r="C963" s="11"/>
      <c r="D963" s="11">
        <v>90.0</v>
      </c>
      <c r="E963" s="12" t="s">
        <v>59</v>
      </c>
      <c r="F963" s="13">
        <f>'БД_УСЛУГИ_РО'!P765</f>
        <v>6000</v>
      </c>
      <c r="G963" s="29"/>
      <c r="H963" s="5"/>
      <c r="I963" s="2"/>
      <c r="J963" s="92"/>
      <c r="K963" s="93">
        <v>6000.0</v>
      </c>
      <c r="L963" s="65"/>
      <c r="M963" s="94"/>
      <c r="N963" s="33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idden="1">
      <c r="A964" s="2"/>
      <c r="B964" s="57" t="s">
        <v>276</v>
      </c>
      <c r="C964" s="11"/>
      <c r="D964" s="11">
        <v>90.0</v>
      </c>
      <c r="E964" s="12" t="s">
        <v>281</v>
      </c>
      <c r="F964" s="13">
        <f>'БД_УСЛУГИ_РО'!P766+'БД_ЗАПЧАСТИ'!P906</f>
        <v>6350</v>
      </c>
      <c r="G964" s="29"/>
      <c r="H964" s="101">
        <f>'БД_УСЛУГИ_РО'!P766</f>
        <v>5000</v>
      </c>
      <c r="I964" s="2"/>
      <c r="J964" s="83"/>
      <c r="K964" s="84">
        <v>6350.0</v>
      </c>
      <c r="L964" s="61"/>
      <c r="M964" s="60"/>
      <c r="N964" s="29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idden="1">
      <c r="A965" s="2"/>
      <c r="B965" s="57" t="s">
        <v>276</v>
      </c>
      <c r="C965" s="11"/>
      <c r="D965" s="11">
        <v>90.0</v>
      </c>
      <c r="E965" s="12" t="s">
        <v>282</v>
      </c>
      <c r="F965" s="13">
        <f>'БД_УСЛУГИ_РО'!P767+'БД_ЗАПЧАСТИ'!P866</f>
        <v>6200</v>
      </c>
      <c r="G965" s="29"/>
      <c r="H965" s="101">
        <f>'БД_УСЛУГИ_РО'!P767</f>
        <v>5000</v>
      </c>
      <c r="I965" s="2"/>
      <c r="J965" s="83"/>
      <c r="K965" s="84">
        <v>6200.0</v>
      </c>
      <c r="L965" s="61"/>
      <c r="M965" s="60"/>
      <c r="N965" s="29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idden="1">
      <c r="A966" s="2"/>
      <c r="B966" s="57" t="s">
        <v>276</v>
      </c>
      <c r="C966" s="11"/>
      <c r="D966" s="11">
        <v>90.0</v>
      </c>
      <c r="E966" s="32" t="s">
        <v>62</v>
      </c>
      <c r="F966" s="13">
        <f>'БД_УСЛУГИ_РО'!P768+'БД_ЗАПЧАСТИ'!P690</f>
        <v>9600</v>
      </c>
      <c r="G966" s="29"/>
      <c r="H966" s="101">
        <f>'БД_УСЛУГИ_РО'!P768</f>
        <v>5600</v>
      </c>
      <c r="I966" s="2"/>
      <c r="J966" s="83"/>
      <c r="K966" s="84">
        <v>9600.0</v>
      </c>
      <c r="L966" s="61"/>
      <c r="M966" s="60"/>
      <c r="N966" s="29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idden="1">
      <c r="A967" s="2"/>
      <c r="B967" s="57" t="s">
        <v>276</v>
      </c>
      <c r="C967" s="11"/>
      <c r="D967" s="11">
        <v>90.0</v>
      </c>
      <c r="E967" s="12" t="s">
        <v>63</v>
      </c>
      <c r="F967" s="13">
        <f>'БД_УСЛУГИ_РО'!P769</f>
        <v>5500</v>
      </c>
      <c r="G967" s="29"/>
      <c r="H967" s="5"/>
      <c r="I967" s="2"/>
      <c r="J967" s="83"/>
      <c r="K967" s="84">
        <v>5500.0</v>
      </c>
      <c r="L967" s="61"/>
      <c r="M967" s="60"/>
      <c r="N967" s="29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idden="1">
      <c r="A968" s="2"/>
      <c r="B968" s="57" t="s">
        <v>276</v>
      </c>
      <c r="C968" s="11"/>
      <c r="D968" s="11">
        <v>90.0</v>
      </c>
      <c r="E968" s="12" t="s">
        <v>64</v>
      </c>
      <c r="F968" s="13">
        <f>'БД_УСЛУГИ_РО'!P771</f>
        <v>6500</v>
      </c>
      <c r="G968" s="29"/>
      <c r="H968" s="5"/>
      <c r="I968" s="2"/>
      <c r="J968" s="92"/>
      <c r="K968" s="93">
        <v>6500.0</v>
      </c>
      <c r="L968" s="65"/>
      <c r="M968" s="94"/>
      <c r="N968" s="33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idden="1">
      <c r="A969" s="2"/>
      <c r="B969" s="57" t="s">
        <v>276</v>
      </c>
      <c r="C969" s="11"/>
      <c r="D969" s="11">
        <v>90.0</v>
      </c>
      <c r="E969" s="12" t="s">
        <v>65</v>
      </c>
      <c r="F969" s="13">
        <f>'БД_УСЛУГИ_РО'!P770+'БД_УСЛУГИ_РО'!P772</f>
        <v>15000</v>
      </c>
      <c r="G969" s="29"/>
      <c r="H969" s="5"/>
      <c r="I969" s="2"/>
      <c r="J969" s="92"/>
      <c r="K969" s="93">
        <v>15000.0</v>
      </c>
      <c r="L969" s="65"/>
      <c r="M969" s="94"/>
      <c r="N969" s="33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idden="1">
      <c r="A970" s="2"/>
      <c r="B970" s="69" t="s">
        <v>276</v>
      </c>
      <c r="C970" s="36"/>
      <c r="D970" s="36">
        <v>90.0</v>
      </c>
      <c r="E970" s="70" t="s">
        <v>66</v>
      </c>
      <c r="F970" s="38">
        <f>'БД_УСЛУГИ_РО'!P770+'БД_УСЛУГИ_РО'!P773</f>
        <v>15500</v>
      </c>
      <c r="G970" s="39"/>
      <c r="H970" s="5"/>
      <c r="I970" s="2"/>
      <c r="J970" s="92"/>
      <c r="K970" s="93">
        <v>15500.0</v>
      </c>
      <c r="L970" s="65"/>
      <c r="M970" s="94"/>
      <c r="N970" s="33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idden="1">
      <c r="A971" s="2"/>
      <c r="B971" s="1"/>
      <c r="C971" s="1"/>
      <c r="D971" s="95"/>
      <c r="E971" s="30"/>
      <c r="F971" s="80"/>
      <c r="G971" s="76"/>
      <c r="H971" s="5"/>
      <c r="I971" s="2"/>
      <c r="J971" s="106"/>
      <c r="K971" s="106" t="s">
        <v>22</v>
      </c>
      <c r="L971" s="106"/>
      <c r="M971" s="107"/>
      <c r="N971" s="106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idden="1">
      <c r="A972" s="2"/>
      <c r="B972" s="41" t="s">
        <v>283</v>
      </c>
      <c r="C972" s="42"/>
      <c r="D972" s="42">
        <v>0.0</v>
      </c>
      <c r="E972" s="51" t="s">
        <v>24</v>
      </c>
      <c r="F972" s="44">
        <f>'БД_УСЛУГИ_РО'!P774</f>
        <v>1</v>
      </c>
      <c r="G972" s="78"/>
      <c r="H972" s="5"/>
      <c r="I972" s="2"/>
      <c r="J972" s="81"/>
      <c r="K972" s="82">
        <v>1.0</v>
      </c>
      <c r="L972" s="55"/>
      <c r="M972" s="56"/>
      <c r="N972" s="5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idden="1">
      <c r="A973" s="2"/>
      <c r="B973" s="57" t="s">
        <v>283</v>
      </c>
      <c r="C973" s="11"/>
      <c r="D973" s="11">
        <v>0.0</v>
      </c>
      <c r="E973" s="12" t="s">
        <v>26</v>
      </c>
      <c r="F973" s="13">
        <f>'БД_УСЛУГИ_РО'!P775+'БД_УСЛУГИ_РО'!P776</f>
        <v>1800</v>
      </c>
      <c r="G973" s="29"/>
      <c r="H973" s="5"/>
      <c r="I973" s="2"/>
      <c r="J973" s="83"/>
      <c r="K973" s="84">
        <v>1800.0</v>
      </c>
      <c r="L973" s="61"/>
      <c r="M973" s="60"/>
      <c r="N973" s="29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idden="1">
      <c r="A974" s="2"/>
      <c r="B974" s="57" t="s">
        <v>283</v>
      </c>
      <c r="C974" s="11"/>
      <c r="D974" s="11">
        <v>0.0</v>
      </c>
      <c r="E974" s="32" t="s">
        <v>27</v>
      </c>
      <c r="F974" s="13">
        <f>'БД_УСЛУГИ_РО'!P777</f>
        <v>700</v>
      </c>
      <c r="G974" s="33" t="str">
        <f>MIN(F974:F975) &amp; " - " &amp; MAX(F974:F975)</f>
        <v>700 - 5000</v>
      </c>
      <c r="H974" s="5"/>
      <c r="I974" s="2"/>
      <c r="J974" s="83"/>
      <c r="K974" s="84">
        <v>700.0</v>
      </c>
      <c r="L974" s="61"/>
      <c r="M974" s="60"/>
      <c r="N974" s="29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idden="1">
      <c r="A975" s="2"/>
      <c r="B975" s="57" t="s">
        <v>283</v>
      </c>
      <c r="C975" s="11"/>
      <c r="D975" s="11">
        <v>0.0</v>
      </c>
      <c r="E975" s="32" t="s">
        <v>28</v>
      </c>
      <c r="F975" s="13">
        <f>'БД_УСЛУГИ_РО'!P778</f>
        <v>5000</v>
      </c>
      <c r="G975" s="28"/>
      <c r="H975" s="5"/>
      <c r="I975" s="2"/>
      <c r="J975" s="83"/>
      <c r="K975" s="84">
        <v>5000.0</v>
      </c>
      <c r="L975" s="61"/>
      <c r="M975" s="60"/>
      <c r="N975" s="29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idden="1">
      <c r="A976" s="2"/>
      <c r="B976" s="57" t="s">
        <v>283</v>
      </c>
      <c r="C976" s="11"/>
      <c r="D976" s="11">
        <v>180.0</v>
      </c>
      <c r="E976" s="12" t="s">
        <v>202</v>
      </c>
      <c r="F976" s="13">
        <f>'БД_УСЛУГИ_РО'!P779+'БД_ЗАПЧАСТИ'!P89</f>
        <v>14700</v>
      </c>
      <c r="G976" s="33" t="str">
        <f>IFERROR(__xludf.DUMMYFUNCTION("MIN(FILTER(F976:F981, F976:F981 &lt;&gt; H976:H981)) &amp; "" - "" &amp; MAX(FILTER(F976:F981, F976:F981 &lt;&gt; H976:H981))"),"7500 - 14700")</f>
        <v>7500 - 14700</v>
      </c>
      <c r="H976" s="101">
        <f>'БД_УСЛУГИ_РО'!P779</f>
        <v>5100</v>
      </c>
      <c r="I976" s="2"/>
      <c r="J976" s="86">
        <f>IFERROR(__xludf.DUMMYFUNCTION("MIN(FILTER(F976:F981, F976:F981 &lt;&gt; H976:H981, F976:F981 &lt;&gt; """"))"),7500.0)</f>
        <v>7500</v>
      </c>
      <c r="K976" s="84">
        <v>14700.0</v>
      </c>
      <c r="L976" s="31">
        <f>IFERROR(VLOOKUP("iPhone 14 Pro Max Замена аккумулятора", 'РЕМОНТ_ЯБЛОК'!C:D, 2, 0), "Ошибка")</f>
        <v>7500</v>
      </c>
      <c r="M976" s="60"/>
      <c r="N976" s="29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idden="1">
      <c r="A977" s="2"/>
      <c r="B977" s="57" t="s">
        <v>283</v>
      </c>
      <c r="C977" s="11"/>
      <c r="D977" s="11">
        <v>180.0</v>
      </c>
      <c r="E977" s="12" t="s">
        <v>203</v>
      </c>
      <c r="F977" s="13">
        <f>'БД_УСЛУГИ_РО'!P779+'БД_ЗАПЧАСТИ'!P90</f>
        <v>9600</v>
      </c>
      <c r="G977" s="19"/>
      <c r="H977" s="101">
        <f>'БД_УСЛУГИ_РО'!P779</f>
        <v>5100</v>
      </c>
      <c r="I977" s="2"/>
      <c r="J977" s="103"/>
      <c r="K977" s="84">
        <v>9600.0</v>
      </c>
      <c r="L977" s="104"/>
      <c r="M977" s="60"/>
      <c r="N977" s="29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idden="1">
      <c r="A978" s="2"/>
      <c r="B978" s="57" t="s">
        <v>283</v>
      </c>
      <c r="C978" s="11"/>
      <c r="D978" s="11">
        <v>180.0</v>
      </c>
      <c r="E978" s="12" t="s">
        <v>32</v>
      </c>
      <c r="F978" s="13">
        <f>'БД_УСЛУГИ_РО'!P779+'БД_ЗАПЧАСТИ'!P91</f>
        <v>9000</v>
      </c>
      <c r="G978" s="19"/>
      <c r="H978" s="101">
        <f>'БД_УСЛУГИ_РО'!P779</f>
        <v>5100</v>
      </c>
      <c r="I978" s="2"/>
      <c r="J978" s="103"/>
      <c r="K978" s="84">
        <v>9000.0</v>
      </c>
      <c r="L978" s="104"/>
      <c r="M978" s="60"/>
      <c r="N978" s="29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idden="1">
      <c r="A979" s="2"/>
      <c r="B979" s="57" t="s">
        <v>283</v>
      </c>
      <c r="C979" s="11"/>
      <c r="D979" s="11">
        <v>180.0</v>
      </c>
      <c r="E979" s="12" t="s">
        <v>33</v>
      </c>
      <c r="F979" s="13">
        <f>'БД_УСЛУГИ_РО'!P779+'БД_ЗАПЧАСТИ'!P92</f>
        <v>8000</v>
      </c>
      <c r="G979" s="19"/>
      <c r="H979" s="101">
        <f>'БД_УСЛУГИ_РО'!P779</f>
        <v>5100</v>
      </c>
      <c r="I979" s="2"/>
      <c r="J979" s="103"/>
      <c r="K979" s="84">
        <v>8000.0</v>
      </c>
      <c r="L979" s="104"/>
      <c r="M979" s="60"/>
      <c r="N979" s="29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idden="1">
      <c r="A980" s="2"/>
      <c r="B980" s="57" t="s">
        <v>283</v>
      </c>
      <c r="C980" s="11"/>
      <c r="D980" s="11">
        <v>180.0</v>
      </c>
      <c r="E980" s="12" t="s">
        <v>34</v>
      </c>
      <c r="F980" s="13">
        <f>'БД_УСЛУГИ_РО'!P779+'БД_ЗАПЧАСТИ'!P93</f>
        <v>7500</v>
      </c>
      <c r="G980" s="19"/>
      <c r="H980" s="101">
        <f>'БД_УСЛУГИ_РО'!P779</f>
        <v>5100</v>
      </c>
      <c r="I980" s="2"/>
      <c r="J980" s="87"/>
      <c r="K980" s="84">
        <v>7500.0</v>
      </c>
      <c r="L980" s="67"/>
      <c r="M980" s="60"/>
      <c r="N980" s="29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idden="1">
      <c r="A981" s="2"/>
      <c r="B981" s="57" t="s">
        <v>283</v>
      </c>
      <c r="C981" s="11"/>
      <c r="D981" s="11">
        <v>180.0</v>
      </c>
      <c r="E981" s="12" t="s">
        <v>35</v>
      </c>
      <c r="F981" s="13">
        <f>'БД_УСЛУГИ_РО'!P779+'БД_УСЛУГИ_РО'!P780+'БД_ЗАПЧАСТИ'!P93</f>
        <v>11200</v>
      </c>
      <c r="G981" s="28"/>
      <c r="H981" s="101">
        <f>'БД_УСЛУГИ_РО'!P779+'БД_УСЛУГИ_РО'!P780</f>
        <v>8800</v>
      </c>
      <c r="I981" s="2"/>
      <c r="J981" s="83"/>
      <c r="K981" s="84">
        <v>11200.0</v>
      </c>
      <c r="L981" s="61"/>
      <c r="M981" s="60"/>
      <c r="N981" s="29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idden="1">
      <c r="A982" s="2"/>
      <c r="B982" s="57" t="s">
        <v>283</v>
      </c>
      <c r="C982" s="11"/>
      <c r="D982" s="11">
        <v>90.0</v>
      </c>
      <c r="E982" s="12" t="s">
        <v>284</v>
      </c>
      <c r="F982" s="13">
        <f>'БД_УСЛУГИ_РО'!P781+'БД_ЗАПЧАСТИ'!P694</f>
        <v>9850</v>
      </c>
      <c r="G982" s="29"/>
      <c r="H982" s="101">
        <f>'БД_УСЛУГИ_РО'!P781</f>
        <v>5200</v>
      </c>
      <c r="I982" s="2"/>
      <c r="J982" s="83"/>
      <c r="K982" s="84">
        <v>9850.0</v>
      </c>
      <c r="L982" s="61"/>
      <c r="M982" s="60"/>
      <c r="N982" s="29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idden="1">
      <c r="A983" s="2"/>
      <c r="B983" s="57" t="s">
        <v>283</v>
      </c>
      <c r="C983" s="11"/>
      <c r="D983" s="11">
        <v>90.0</v>
      </c>
      <c r="E983" s="12" t="s">
        <v>205</v>
      </c>
      <c r="F983" s="13">
        <f>'БД_УСЛУГИ_РО'!P782+'БД_ЗАПЧАСТИ'!P250</f>
        <v>36400</v>
      </c>
      <c r="G983" s="33" t="str">
        <f>IFERROR(__xludf.DUMMYFUNCTION("MIN(FILTER(F983:F989, F983:F989 &lt;&gt; H983:H989)) &amp; "" - "" &amp; MAX(FILTER(F983:F989, F983:F989 &lt;&gt; H983:H989))"),"20000 - 36400")</f>
        <v>20000 - 36400</v>
      </c>
      <c r="H983" s="101">
        <f>'БД_УСЛУГИ_РО'!P782</f>
        <v>5100</v>
      </c>
      <c r="I983" s="2"/>
      <c r="J983" s="86">
        <f>IFERROR(__xludf.DUMMYFUNCTION("MIN(FILTER(F983:F987, F983:F987 &lt;&gt; H983:H987, F983:F987 &lt;&gt; """"))"),20000.0)</f>
        <v>20000</v>
      </c>
      <c r="K983" s="84">
        <v>36400.0</v>
      </c>
      <c r="L983" s="65">
        <f>IFERROR(VLOOKUP("iPhone 14 Pro Max Замена дисплея (оригинал)", 'РЕМОНТ_ЯБЛОК'!C:D, 2, 0), "Ошибка")</f>
        <v>20000</v>
      </c>
      <c r="M983" s="60"/>
      <c r="N983" s="29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idden="1">
      <c r="A984" s="2"/>
      <c r="B984" s="57" t="s">
        <v>283</v>
      </c>
      <c r="C984" s="11"/>
      <c r="D984" s="11">
        <v>90.0</v>
      </c>
      <c r="E984" s="12" t="s">
        <v>39</v>
      </c>
      <c r="F984" s="13">
        <f>'БД_УСЛУГИ_РО'!P782+'БД_ЗАПЧАСТИ'!P251</f>
        <v>25900</v>
      </c>
      <c r="G984" s="19"/>
      <c r="H984" s="101">
        <f>'БД_УСЛУГИ_РО'!P782</f>
        <v>5100</v>
      </c>
      <c r="I984" s="2"/>
      <c r="J984" s="103"/>
      <c r="K984" s="84">
        <v>25900.0</v>
      </c>
      <c r="L984" s="104"/>
      <c r="M984" s="60"/>
      <c r="N984" s="29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idden="1">
      <c r="A985" s="2"/>
      <c r="B985" s="57" t="s">
        <v>283</v>
      </c>
      <c r="C985" s="11"/>
      <c r="D985" s="11">
        <v>90.0</v>
      </c>
      <c r="E985" s="12" t="s">
        <v>40</v>
      </c>
      <c r="F985" s="13">
        <f>'БД_УСЛУГИ_РО'!P782+'БД_ЗАПЧАСТИ'!P252</f>
        <v>24400</v>
      </c>
      <c r="G985" s="19"/>
      <c r="H985" s="101">
        <f>'БД_УСЛУГИ_РО'!P782</f>
        <v>5100</v>
      </c>
      <c r="I985" s="2"/>
      <c r="J985" s="103"/>
      <c r="K985" s="84">
        <v>24400.0</v>
      </c>
      <c r="L985" s="104"/>
      <c r="M985" s="60"/>
      <c r="N985" s="29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idden="1">
      <c r="A986" s="2"/>
      <c r="B986" s="57" t="s">
        <v>283</v>
      </c>
      <c r="C986" s="11"/>
      <c r="D986" s="11">
        <v>90.0</v>
      </c>
      <c r="E986" s="12" t="s">
        <v>42</v>
      </c>
      <c r="F986" s="13">
        <f>'БД_УСЛУГИ_РО'!P782+'БД_ЗАПЧАСТИ'!P253</f>
        <v>23900</v>
      </c>
      <c r="G986" s="19"/>
      <c r="H986" s="101">
        <f>'БД_УСЛУГИ_РО'!P782</f>
        <v>5100</v>
      </c>
      <c r="I986" s="2"/>
      <c r="J986" s="103"/>
      <c r="K986" s="84">
        <v>23900.0</v>
      </c>
      <c r="L986" s="104"/>
      <c r="M986" s="60"/>
      <c r="N986" s="29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idden="1">
      <c r="A987" s="2"/>
      <c r="B987" s="57" t="s">
        <v>283</v>
      </c>
      <c r="C987" s="11"/>
      <c r="D987" s="11">
        <v>90.0</v>
      </c>
      <c r="E987" s="12" t="s">
        <v>43</v>
      </c>
      <c r="F987" s="13">
        <f>'БД_УСЛУГИ_РО'!P782+'БД_ЗАПЧАСТИ'!P254</f>
        <v>20000</v>
      </c>
      <c r="G987" s="19"/>
      <c r="H987" s="101">
        <f>'БД_УСЛУГИ_РО'!P782</f>
        <v>5100</v>
      </c>
      <c r="I987" s="2"/>
      <c r="J987" s="87"/>
      <c r="K987" s="84">
        <v>20000.0</v>
      </c>
      <c r="L987" s="67"/>
      <c r="M987" s="60"/>
      <c r="N987" s="29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idden="1">
      <c r="A988" s="2"/>
      <c r="B988" s="57" t="s">
        <v>283</v>
      </c>
      <c r="C988" s="11"/>
      <c r="D988" s="11">
        <v>90.0</v>
      </c>
      <c r="E988" s="12" t="s">
        <v>45</v>
      </c>
      <c r="F988" s="13">
        <f>'БД_УСЛУГИ_РО'!P782</f>
        <v>5100</v>
      </c>
      <c r="G988" s="19"/>
      <c r="H988" s="101">
        <f>'БД_УСЛУГИ_РО'!P782</f>
        <v>5100</v>
      </c>
      <c r="I988" s="2"/>
      <c r="J988" s="92" t="str">
        <f>IFERROR(__xludf.DUMMYFUNCTION("MIN(FILTER(F988:F989, F988:F989 &lt;&gt; H988:H989, F988:F989 &lt;&gt; """"))"),"#N/A")</f>
        <v>#N/A</v>
      </c>
      <c r="K988" s="84">
        <v>5100.0</v>
      </c>
      <c r="L988" s="65">
        <f>IFERROR(VLOOKUP("iPhone 14 Pro Max Замена дисплея (аналог)", 'РЕМОНТ_ЯБЛОК'!C:D, 2, 0), "Ошибка")</f>
        <v>15000</v>
      </c>
      <c r="M988" s="60"/>
      <c r="N988" s="29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idden="1">
      <c r="A989" s="2"/>
      <c r="B989" s="57" t="s">
        <v>283</v>
      </c>
      <c r="C989" s="11"/>
      <c r="D989" s="11">
        <v>90.0</v>
      </c>
      <c r="E989" s="12" t="s">
        <v>46</v>
      </c>
      <c r="F989" s="13">
        <f>'БД_УСЛУГИ_РО'!P782</f>
        <v>5100</v>
      </c>
      <c r="G989" s="28"/>
      <c r="H989" s="101">
        <f>'БД_УСЛУГИ_РО'!P782</f>
        <v>5100</v>
      </c>
      <c r="I989" s="2"/>
      <c r="J989" s="87"/>
      <c r="K989" s="84">
        <v>5100.0</v>
      </c>
      <c r="L989" s="67"/>
      <c r="M989" s="60"/>
      <c r="N989" s="29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idden="1">
      <c r="A990" s="2"/>
      <c r="B990" s="57" t="s">
        <v>283</v>
      </c>
      <c r="C990" s="11"/>
      <c r="D990" s="11">
        <v>90.0</v>
      </c>
      <c r="E990" s="12" t="s">
        <v>47</v>
      </c>
      <c r="F990" s="13">
        <f>'БД_УСЛУГИ_РО'!P783</f>
        <v>4000</v>
      </c>
      <c r="G990" s="29"/>
      <c r="H990" s="5"/>
      <c r="I990" s="2"/>
      <c r="J990" s="83"/>
      <c r="K990" s="84">
        <v>4000.0</v>
      </c>
      <c r="L990" s="61"/>
      <c r="M990" s="60"/>
      <c r="N990" s="29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idden="1">
      <c r="A991" s="2"/>
      <c r="B991" s="57" t="s">
        <v>283</v>
      </c>
      <c r="C991" s="11"/>
      <c r="D991" s="11">
        <v>90.0</v>
      </c>
      <c r="E991" s="12" t="s">
        <v>285</v>
      </c>
      <c r="F991" s="13">
        <f>'БД_УСЛУГИ_РО'!P784</f>
        <v>15000</v>
      </c>
      <c r="G991" s="29"/>
      <c r="H991" s="5"/>
      <c r="I991" s="2"/>
      <c r="J991" s="85">
        <f t="shared" ref="J991:J992" si="67">F991</f>
        <v>15000</v>
      </c>
      <c r="K991" s="84">
        <v>15000.0</v>
      </c>
      <c r="L991" s="61">
        <f>IFERROR(VLOOKUP("iPhone 14 Pro Max Переклейка (восстановление) вашего дисплея", 'РЕМОНТ_ЯБЛОК'!C:D, 2, 0), "Ошибка")</f>
        <v>15000</v>
      </c>
      <c r="M991" s="96"/>
      <c r="N991" s="29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idden="1">
      <c r="A992" s="2"/>
      <c r="B992" s="57" t="s">
        <v>283</v>
      </c>
      <c r="C992" s="11"/>
      <c r="D992" s="11">
        <v>90.0</v>
      </c>
      <c r="E992" s="12" t="s">
        <v>286</v>
      </c>
      <c r="F992" s="13">
        <f>'БД_УСЛУГИ_РО'!P785+'БД_ЗАПЧАСТИ'!P778</f>
        <v>12000</v>
      </c>
      <c r="G992" s="29"/>
      <c r="H992" s="101">
        <f>'БД_УСЛУГИ_РО'!P785</f>
        <v>5100</v>
      </c>
      <c r="I992" s="2"/>
      <c r="J992" s="85">
        <f t="shared" si="67"/>
        <v>12000</v>
      </c>
      <c r="K992" s="84">
        <v>12000.0</v>
      </c>
      <c r="L992" s="61">
        <f>IFERROR(VLOOKUP("iPhone 14 Pro Max Замена основной камеры", 'РЕМОНТ_ЯБЛОК'!C:D, 2, 0), "Ошибка")</f>
        <v>12000</v>
      </c>
      <c r="M992" s="96"/>
      <c r="N992" s="29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idden="1">
      <c r="A993" s="2"/>
      <c r="B993" s="57" t="s">
        <v>283</v>
      </c>
      <c r="C993" s="11"/>
      <c r="D993" s="11">
        <v>90.0</v>
      </c>
      <c r="E993" s="12" t="s">
        <v>287</v>
      </c>
      <c r="F993" s="13">
        <f>'БД_УСЛУГИ_РО'!P786+'БД_ЗАПЧАСТИ'!P822</f>
        <v>9600</v>
      </c>
      <c r="G993" s="29"/>
      <c r="H993" s="101">
        <f>'БД_УСЛУГИ_РО'!P786</f>
        <v>5700</v>
      </c>
      <c r="I993" s="2"/>
      <c r="J993" s="83"/>
      <c r="K993" s="84">
        <v>9600.0</v>
      </c>
      <c r="L993" s="61"/>
      <c r="M993" s="60"/>
      <c r="N993" s="29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idden="1">
      <c r="A994" s="2"/>
      <c r="B994" s="57" t="s">
        <v>283</v>
      </c>
      <c r="C994" s="11"/>
      <c r="D994" s="11">
        <v>180.0</v>
      </c>
      <c r="E994" s="12" t="s">
        <v>52</v>
      </c>
      <c r="F994" s="13">
        <f>'БД_УСЛУГИ_РО'!P787+'БД_ЗАПЧАСТИ'!P563</f>
        <v>4450</v>
      </c>
      <c r="G994" s="29"/>
      <c r="H994" s="101">
        <f>'БД_УСЛУГИ_РО'!P787</f>
        <v>4000</v>
      </c>
      <c r="I994" s="2"/>
      <c r="J994" s="83"/>
      <c r="K994" s="84">
        <v>4450.0</v>
      </c>
      <c r="L994" s="61"/>
      <c r="M994" s="60"/>
      <c r="N994" s="29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idden="1">
      <c r="A995" s="2"/>
      <c r="B995" s="57" t="s">
        <v>283</v>
      </c>
      <c r="C995" s="11"/>
      <c r="D995" s="11">
        <v>90.0</v>
      </c>
      <c r="E995" s="12" t="s">
        <v>53</v>
      </c>
      <c r="F995" s="13">
        <f>'БД_УСЛУГИ_РО'!P788</f>
        <v>7500</v>
      </c>
      <c r="G995" s="29"/>
      <c r="H995" s="5"/>
      <c r="I995" s="2"/>
      <c r="J995" s="92"/>
      <c r="K995" s="93">
        <v>7500.0</v>
      </c>
      <c r="L995" s="65"/>
      <c r="M995" s="94"/>
      <c r="N995" s="33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idden="1">
      <c r="A996" s="2"/>
      <c r="B996" s="57" t="s">
        <v>283</v>
      </c>
      <c r="C996" s="11"/>
      <c r="D996" s="11">
        <v>180.0</v>
      </c>
      <c r="E996" s="12" t="s">
        <v>55</v>
      </c>
      <c r="F996" s="13">
        <f>'БД_УСЛУГИ_РО'!P789+'БД_ЗАПЧАСТИ'!P432</f>
        <v>8200</v>
      </c>
      <c r="G996" s="29"/>
      <c r="H996" s="101">
        <f>'БД_УСЛУГИ_РО'!P789</f>
        <v>7300</v>
      </c>
      <c r="I996" s="2"/>
      <c r="J996" s="85">
        <f t="shared" ref="J996:J997" si="68">F996</f>
        <v>8200</v>
      </c>
      <c r="K996" s="93">
        <v>8200.0</v>
      </c>
      <c r="L996" s="61">
        <f>IFERROR(VLOOKUP("iPhone 14 Pro Max Замена задней крышки", 'РЕМОНТ_ЯБЛОК'!C:D, 2, 0), "Ошибка")</f>
        <v>8000</v>
      </c>
      <c r="M996" s="105"/>
      <c r="N996" s="33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idden="1">
      <c r="A997" s="2"/>
      <c r="B997" s="57" t="s">
        <v>283</v>
      </c>
      <c r="C997" s="11"/>
      <c r="D997" s="11">
        <v>180.0</v>
      </c>
      <c r="E997" s="12" t="s">
        <v>56</v>
      </c>
      <c r="F997" s="13">
        <f>'БД_УСЛУГИ_РО'!P790</f>
        <v>5300</v>
      </c>
      <c r="G997" s="29"/>
      <c r="H997" s="101">
        <f>'БД_УСЛУГИ_РО'!P790</f>
        <v>5300</v>
      </c>
      <c r="I997" s="2"/>
      <c r="J997" s="85">
        <f t="shared" si="68"/>
        <v>5300</v>
      </c>
      <c r="K997" s="93">
        <v>5300.0</v>
      </c>
      <c r="L997" s="61">
        <f>IFERROR(VLOOKUP("iPhone 14 Pro Max Замена корпуса", 'РЕМОНТ_ЯБЛОК'!C:D, 2, 0), "Ошибка")</f>
        <v>16000</v>
      </c>
      <c r="M997" s="105"/>
      <c r="N997" s="33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idden="1">
      <c r="A998" s="2"/>
      <c r="B998" s="57" t="s">
        <v>283</v>
      </c>
      <c r="C998" s="11"/>
      <c r="D998" s="11">
        <v>90.0</v>
      </c>
      <c r="E998" s="12" t="s">
        <v>59</v>
      </c>
      <c r="F998" s="13">
        <f>'БД_УСЛУГИ_РО'!P791</f>
        <v>6000</v>
      </c>
      <c r="G998" s="29"/>
      <c r="H998" s="5"/>
      <c r="I998" s="2"/>
      <c r="J998" s="92"/>
      <c r="K998" s="93">
        <v>6000.0</v>
      </c>
      <c r="L998" s="65"/>
      <c r="M998" s="94"/>
      <c r="N998" s="33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idden="1">
      <c r="A999" s="2"/>
      <c r="B999" s="57" t="s">
        <v>283</v>
      </c>
      <c r="C999" s="11"/>
      <c r="D999" s="11">
        <v>90.0</v>
      </c>
      <c r="E999" s="12" t="s">
        <v>288</v>
      </c>
      <c r="F999" s="13">
        <f>'БД_УСЛУГИ_РО'!P792+'БД_ЗАПЧАСТИ'!P907</f>
        <v>6350</v>
      </c>
      <c r="G999" s="29"/>
      <c r="H999" s="101">
        <f>'БД_УСЛУГИ_РО'!P792</f>
        <v>5000</v>
      </c>
      <c r="I999" s="2"/>
      <c r="J999" s="83"/>
      <c r="K999" s="84">
        <v>6350.0</v>
      </c>
      <c r="L999" s="61"/>
      <c r="M999" s="60"/>
      <c r="N999" s="29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idden="1">
      <c r="A1000" s="2"/>
      <c r="B1000" s="57" t="s">
        <v>283</v>
      </c>
      <c r="C1000" s="11"/>
      <c r="D1000" s="11">
        <v>90.0</v>
      </c>
      <c r="E1000" s="12" t="s">
        <v>289</v>
      </c>
      <c r="F1000" s="13">
        <f>'БД_УСЛУГИ_РО'!P793+'БД_ЗАПЧАСТИ'!P867</f>
        <v>6200</v>
      </c>
      <c r="G1000" s="29"/>
      <c r="H1000" s="101">
        <f>'БД_УСЛУГИ_РО'!P793</f>
        <v>5000</v>
      </c>
      <c r="I1000" s="2"/>
      <c r="J1000" s="83"/>
      <c r="K1000" s="84">
        <v>6200.0</v>
      </c>
      <c r="L1000" s="61"/>
      <c r="M1000" s="60"/>
      <c r="N1000" s="29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idden="1">
      <c r="A1001" s="2"/>
      <c r="B1001" s="57" t="s">
        <v>283</v>
      </c>
      <c r="C1001" s="11"/>
      <c r="D1001" s="11">
        <v>90.0</v>
      </c>
      <c r="E1001" s="32" t="s">
        <v>62</v>
      </c>
      <c r="F1001" s="13">
        <f>'БД_УСЛУГИ_РО'!P794+'БД_ЗАПЧАСТИ'!P694</f>
        <v>10250</v>
      </c>
      <c r="G1001" s="29"/>
      <c r="H1001" s="101">
        <f>'БД_УСЛУГИ_РО'!P794</f>
        <v>5600</v>
      </c>
      <c r="I1001" s="2"/>
      <c r="J1001" s="83"/>
      <c r="K1001" s="84">
        <v>10250.0</v>
      </c>
      <c r="L1001" s="61"/>
      <c r="M1001" s="60"/>
      <c r="N1001" s="29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idden="1">
      <c r="A1002" s="2"/>
      <c r="B1002" s="57" t="s">
        <v>283</v>
      </c>
      <c r="C1002" s="11"/>
      <c r="D1002" s="11">
        <v>90.0</v>
      </c>
      <c r="E1002" s="12" t="s">
        <v>63</v>
      </c>
      <c r="F1002" s="13">
        <f>'БД_УСЛУГИ_РО'!P795</f>
        <v>5500</v>
      </c>
      <c r="G1002" s="29"/>
      <c r="H1002" s="5"/>
      <c r="I1002" s="2"/>
      <c r="J1002" s="83"/>
      <c r="K1002" s="84">
        <v>5500.0</v>
      </c>
      <c r="L1002" s="61"/>
      <c r="M1002" s="60"/>
      <c r="N1002" s="29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idden="1">
      <c r="A1003" s="2"/>
      <c r="B1003" s="57" t="s">
        <v>283</v>
      </c>
      <c r="C1003" s="11"/>
      <c r="D1003" s="11">
        <v>90.0</v>
      </c>
      <c r="E1003" s="12" t="s">
        <v>64</v>
      </c>
      <c r="F1003" s="13">
        <f>'БД_УСЛУГИ_РО'!P797</f>
        <v>6500</v>
      </c>
      <c r="G1003" s="29"/>
      <c r="H1003" s="5"/>
      <c r="I1003" s="2"/>
      <c r="J1003" s="92"/>
      <c r="K1003" s="93">
        <v>6500.0</v>
      </c>
      <c r="L1003" s="65"/>
      <c r="M1003" s="94"/>
      <c r="N1003" s="33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idden="1">
      <c r="A1004" s="2"/>
      <c r="B1004" s="57" t="s">
        <v>283</v>
      </c>
      <c r="C1004" s="11"/>
      <c r="D1004" s="11">
        <v>90.0</v>
      </c>
      <c r="E1004" s="12" t="s">
        <v>65</v>
      </c>
      <c r="F1004" s="13">
        <f>'БД_УСЛУГИ_РО'!P796+'БД_УСЛУГИ_РО'!P798</f>
        <v>15000</v>
      </c>
      <c r="G1004" s="29"/>
      <c r="H1004" s="5"/>
      <c r="I1004" s="2"/>
      <c r="J1004" s="92"/>
      <c r="K1004" s="93">
        <v>15000.0</v>
      </c>
      <c r="L1004" s="65"/>
      <c r="M1004" s="94"/>
      <c r="N1004" s="33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idden="1">
      <c r="A1005" s="2"/>
      <c r="B1005" s="69" t="s">
        <v>283</v>
      </c>
      <c r="C1005" s="36"/>
      <c r="D1005" s="36">
        <v>90.0</v>
      </c>
      <c r="E1005" s="70" t="s">
        <v>66</v>
      </c>
      <c r="F1005" s="38">
        <f>'БД_УСЛУГИ_РО'!P796+'БД_УСЛУГИ_РО'!P799</f>
        <v>15500</v>
      </c>
      <c r="G1005" s="39"/>
      <c r="H1005" s="5"/>
      <c r="I1005" s="2"/>
      <c r="J1005" s="92"/>
      <c r="K1005" s="93">
        <v>15500.0</v>
      </c>
      <c r="L1005" s="65"/>
      <c r="M1005" s="94"/>
      <c r="N1005" s="33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idden="1">
      <c r="A1006" s="2"/>
      <c r="B1006" s="1"/>
      <c r="C1006" s="1"/>
      <c r="D1006" s="95"/>
      <c r="E1006" s="30"/>
      <c r="F1006" s="80"/>
      <c r="G1006" s="76"/>
      <c r="H1006" s="5"/>
      <c r="I1006" s="2"/>
      <c r="J1006" s="106"/>
      <c r="K1006" s="106" t="s">
        <v>22</v>
      </c>
      <c r="L1006" s="106"/>
      <c r="M1006" s="107"/>
      <c r="N1006" s="106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idden="1">
      <c r="A1007" s="2"/>
      <c r="B1007" s="41" t="s">
        <v>290</v>
      </c>
      <c r="C1007" s="42"/>
      <c r="D1007" s="42">
        <v>0.0</v>
      </c>
      <c r="E1007" s="51" t="s">
        <v>24</v>
      </c>
      <c r="F1007" s="44">
        <f>'БД_УСЛУГИ_РО'!P800</f>
        <v>1</v>
      </c>
      <c r="G1007" s="78"/>
      <c r="H1007" s="5"/>
      <c r="I1007" s="2"/>
      <c r="J1007" s="81"/>
      <c r="K1007" s="82">
        <v>1.0</v>
      </c>
      <c r="L1007" s="55"/>
      <c r="M1007" s="56"/>
      <c r="N1007" s="5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idden="1">
      <c r="A1008" s="2"/>
      <c r="B1008" s="57" t="s">
        <v>290</v>
      </c>
      <c r="C1008" s="11"/>
      <c r="D1008" s="11">
        <v>0.0</v>
      </c>
      <c r="E1008" s="12" t="s">
        <v>26</v>
      </c>
      <c r="F1008" s="13">
        <f>'БД_УСЛУГИ_РО'!P801+'БД_УСЛУГИ_РО'!P802</f>
        <v>2100</v>
      </c>
      <c r="G1008" s="29"/>
      <c r="H1008" s="5"/>
      <c r="I1008" s="2"/>
      <c r="J1008" s="83"/>
      <c r="K1008" s="84">
        <v>2100.0</v>
      </c>
      <c r="L1008" s="61"/>
      <c r="M1008" s="60"/>
      <c r="N1008" s="29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idden="1">
      <c r="A1009" s="2"/>
      <c r="B1009" s="57" t="s">
        <v>290</v>
      </c>
      <c r="C1009" s="11"/>
      <c r="D1009" s="11">
        <v>0.0</v>
      </c>
      <c r="E1009" s="32" t="s">
        <v>27</v>
      </c>
      <c r="F1009" s="13">
        <f>'БД_УСЛУГИ_РО'!P803</f>
        <v>700</v>
      </c>
      <c r="G1009" s="33" t="str">
        <f>MIN(F1009:F1010) &amp; " - " &amp; MAX(F1009:F1010)</f>
        <v>700 - 5500</v>
      </c>
      <c r="H1009" s="5"/>
      <c r="I1009" s="2"/>
      <c r="J1009" s="83"/>
      <c r="K1009" s="84">
        <v>700.0</v>
      </c>
      <c r="L1009" s="61"/>
      <c r="M1009" s="60"/>
      <c r="N1009" s="29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idden="1">
      <c r="A1010" s="2"/>
      <c r="B1010" s="57" t="s">
        <v>290</v>
      </c>
      <c r="C1010" s="11"/>
      <c r="D1010" s="11">
        <v>0.0</v>
      </c>
      <c r="E1010" s="32" t="s">
        <v>28</v>
      </c>
      <c r="F1010" s="13">
        <f>'БД_УСЛУГИ_РО'!P804</f>
        <v>5500</v>
      </c>
      <c r="G1010" s="28"/>
      <c r="H1010" s="5"/>
      <c r="I1010" s="2"/>
      <c r="J1010" s="83"/>
      <c r="K1010" s="84">
        <v>5500.0</v>
      </c>
      <c r="L1010" s="61"/>
      <c r="M1010" s="60"/>
      <c r="N1010" s="29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idden="1">
      <c r="A1011" s="2"/>
      <c r="B1011" s="57" t="s">
        <v>290</v>
      </c>
      <c r="C1011" s="11"/>
      <c r="D1011" s="11">
        <v>180.0</v>
      </c>
      <c r="E1011" s="12" t="s">
        <v>202</v>
      </c>
      <c r="F1011" s="13">
        <f>'БД_УСЛУГИ_РО'!P805+'БД_ЗАПЧАСТИ'!P95</f>
        <v>15650</v>
      </c>
      <c r="G1011" s="33" t="str">
        <f>IFERROR(__xludf.DUMMYFUNCTION("MIN(FILTER(F1011:F1016, F1011:F1016 &lt;&gt; H1011:H1016)) &amp; "" - "" &amp; MAX(FILTER(F1011:F1016, F1011:F1016 &lt;&gt; H1011:H1016))"),"9000 - 15650")</f>
        <v>9000 - 15650</v>
      </c>
      <c r="H1011" s="101">
        <f>'БД_УСЛУГИ_РО'!P805</f>
        <v>5800</v>
      </c>
      <c r="I1011" s="2"/>
      <c r="J1011" s="86">
        <f>IFERROR(__xludf.DUMMYFUNCTION("MIN(FILTER(F1011:F1016, F1011:F1016 &lt;&gt; H1011:H1016, F1011:F1016 &lt;&gt; """"))"),9000.0)</f>
        <v>9000</v>
      </c>
      <c r="K1011" s="84">
        <v>15650.0</v>
      </c>
      <c r="L1011" s="31">
        <f>IFERROR(VLOOKUP("iPhone 15 Замена аккумулятора", 'РЕМОНТ_ЯБЛОК'!C:D, 2, 0), "Ошибка")</f>
        <v>9000</v>
      </c>
      <c r="M1011" s="60"/>
      <c r="N1011" s="29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idden="1">
      <c r="A1012" s="2"/>
      <c r="B1012" s="57" t="s">
        <v>290</v>
      </c>
      <c r="C1012" s="11"/>
      <c r="D1012" s="11">
        <v>180.0</v>
      </c>
      <c r="E1012" s="12" t="s">
        <v>203</v>
      </c>
      <c r="F1012" s="13">
        <f>'БД_УСЛУГИ_РО'!P805+'БД_ЗАПЧАСТИ'!P96</f>
        <v>11000</v>
      </c>
      <c r="G1012" s="19"/>
      <c r="H1012" s="101">
        <f>'БД_УСЛУГИ_РО'!P805</f>
        <v>5800</v>
      </c>
      <c r="I1012" s="2"/>
      <c r="J1012" s="103"/>
      <c r="K1012" s="84">
        <v>11000.0</v>
      </c>
      <c r="L1012" s="104"/>
      <c r="M1012" s="60"/>
      <c r="N1012" s="29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idden="1">
      <c r="A1013" s="2"/>
      <c r="B1013" s="57" t="s">
        <v>290</v>
      </c>
      <c r="C1013" s="11"/>
      <c r="D1013" s="11">
        <v>180.0</v>
      </c>
      <c r="E1013" s="12" t="s">
        <v>32</v>
      </c>
      <c r="F1013" s="13">
        <f>'БД_УСЛУГИ_РО'!P805+'БД_ЗАПЧАСТИ'!P97</f>
        <v>10500</v>
      </c>
      <c r="G1013" s="19"/>
      <c r="H1013" s="101">
        <f>'БД_УСЛУГИ_РО'!P805</f>
        <v>5800</v>
      </c>
      <c r="I1013" s="2"/>
      <c r="J1013" s="103"/>
      <c r="K1013" s="84">
        <v>10500.0</v>
      </c>
      <c r="L1013" s="104"/>
      <c r="M1013" s="60"/>
      <c r="N1013" s="29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idden="1">
      <c r="A1014" s="2"/>
      <c r="B1014" s="57" t="s">
        <v>290</v>
      </c>
      <c r="C1014" s="11"/>
      <c r="D1014" s="11">
        <v>180.0</v>
      </c>
      <c r="E1014" s="12" t="s">
        <v>33</v>
      </c>
      <c r="F1014" s="13">
        <f>'БД_УСЛУГИ_РО'!P805+'БД_ЗАПЧАСТИ'!P98</f>
        <v>9500</v>
      </c>
      <c r="G1014" s="19"/>
      <c r="H1014" s="101">
        <f>'БД_УСЛУГИ_РО'!P805</f>
        <v>5800</v>
      </c>
      <c r="I1014" s="2"/>
      <c r="J1014" s="103"/>
      <c r="K1014" s="84">
        <v>9500.0</v>
      </c>
      <c r="L1014" s="104"/>
      <c r="M1014" s="60"/>
      <c r="N1014" s="29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idden="1">
      <c r="A1015" s="2"/>
      <c r="B1015" s="57" t="s">
        <v>290</v>
      </c>
      <c r="C1015" s="11"/>
      <c r="D1015" s="11">
        <v>180.0</v>
      </c>
      <c r="E1015" s="12" t="s">
        <v>34</v>
      </c>
      <c r="F1015" s="13">
        <f>'БД_УСЛУГИ_РО'!P805+'БД_ЗАПЧАСТИ'!P99</f>
        <v>9000</v>
      </c>
      <c r="G1015" s="19"/>
      <c r="H1015" s="101">
        <f>'БД_УСЛУГИ_РО'!P805</f>
        <v>5800</v>
      </c>
      <c r="I1015" s="2"/>
      <c r="J1015" s="87"/>
      <c r="K1015" s="84">
        <v>9000.0</v>
      </c>
      <c r="L1015" s="67"/>
      <c r="M1015" s="60"/>
      <c r="N1015" s="29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idden="1">
      <c r="A1016" s="2"/>
      <c r="B1016" s="57" t="s">
        <v>290</v>
      </c>
      <c r="C1016" s="11"/>
      <c r="D1016" s="11">
        <v>180.0</v>
      </c>
      <c r="E1016" s="12" t="s">
        <v>35</v>
      </c>
      <c r="F1016" s="13">
        <f>'БД_УСЛУГИ_РО'!P805+'БД_УСЛУГИ_РО'!P806+'БД_ЗАПЧАСТИ'!P99</f>
        <v>13200</v>
      </c>
      <c r="G1016" s="28"/>
      <c r="H1016" s="101">
        <f>'БД_УСЛУГИ_РО'!P805+'БД_УСЛУГИ_РО'!P806</f>
        <v>10000</v>
      </c>
      <c r="I1016" s="2"/>
      <c r="J1016" s="83"/>
      <c r="K1016" s="84">
        <v>13200.0</v>
      </c>
      <c r="L1016" s="61"/>
      <c r="M1016" s="60"/>
      <c r="N1016" s="29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idden="1">
      <c r="A1017" s="2"/>
      <c r="B1017" s="57" t="s">
        <v>290</v>
      </c>
      <c r="C1017" s="11"/>
      <c r="D1017" s="11">
        <v>90.0</v>
      </c>
      <c r="E1017" s="12" t="s">
        <v>291</v>
      </c>
      <c r="F1017" s="13">
        <f>'БД_УСЛУГИ_РО'!P806+'БД_ЗАПЧАСТИ'!P698</f>
        <v>7950</v>
      </c>
      <c r="G1017" s="29"/>
      <c r="H1017" s="101">
        <f>'БД_УСЛУГИ_РО'!P806</f>
        <v>4200</v>
      </c>
      <c r="I1017" s="2"/>
      <c r="J1017" s="83"/>
      <c r="K1017" s="84">
        <v>7950.0</v>
      </c>
      <c r="L1017" s="61"/>
      <c r="M1017" s="60"/>
      <c r="N1017" s="29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idden="1">
      <c r="A1018" s="2"/>
      <c r="B1018" s="57" t="s">
        <v>290</v>
      </c>
      <c r="C1018" s="11"/>
      <c r="D1018" s="11">
        <v>90.0</v>
      </c>
      <c r="E1018" s="12" t="s">
        <v>205</v>
      </c>
      <c r="F1018" s="13">
        <f>'БД_УСЛУГИ_РО'!P808+'БД_ЗАПЧАСТИ'!P255</f>
        <v>5800</v>
      </c>
      <c r="G1018" s="33" t="str">
        <f>IFERROR(__xludf.DUMMYFUNCTION("MIN(FILTER(F1018:F1024, F1018:F1024 &lt;&gt; H1018:H1024)) &amp; "" - "" &amp; MAX(FILTER(F1018:F1024, F1018:F1024 &lt;&gt; H1018:H1024))"),"20000 - 22500")</f>
        <v>20000 - 22500</v>
      </c>
      <c r="H1018" s="101">
        <f>'БД_УСЛУГИ_РО'!P808</f>
        <v>5800</v>
      </c>
      <c r="I1018" s="2"/>
      <c r="J1018" s="86">
        <f>IFERROR(__xludf.DUMMYFUNCTION("MIN(FILTER(F1018:F1022, F1018:F1022 &lt;&gt; H1018:H1022, F1018:F1022 &lt;&gt; """"))"),20000.0)</f>
        <v>20000</v>
      </c>
      <c r="K1018" s="84">
        <v>5800.0</v>
      </c>
      <c r="L1018" s="65">
        <f>IFERROR(VLOOKUP("iPhone 15 Замена дисплея (оригинал)", 'РЕМОНТ_ЯБЛОК'!C:D, 2, 0), "Ошибка")</f>
        <v>20000</v>
      </c>
      <c r="M1018" s="60"/>
      <c r="N1018" s="29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idden="1">
      <c r="A1019" s="2"/>
      <c r="B1019" s="57" t="s">
        <v>290</v>
      </c>
      <c r="C1019" s="11"/>
      <c r="D1019" s="11">
        <v>90.0</v>
      </c>
      <c r="E1019" s="12" t="s">
        <v>39</v>
      </c>
      <c r="F1019" s="13">
        <f>'БД_УСЛУГИ_РО'!P808+'БД_ЗАПЧАСТИ'!P256</f>
        <v>22500</v>
      </c>
      <c r="G1019" s="19"/>
      <c r="H1019" s="101">
        <f>'БД_УСЛУГИ_РО'!P808</f>
        <v>5800</v>
      </c>
      <c r="I1019" s="2"/>
      <c r="J1019" s="103"/>
      <c r="K1019" s="84">
        <v>22500.0</v>
      </c>
      <c r="L1019" s="104"/>
      <c r="M1019" s="60"/>
      <c r="N1019" s="29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idden="1">
      <c r="A1020" s="2"/>
      <c r="B1020" s="57" t="s">
        <v>290</v>
      </c>
      <c r="C1020" s="11"/>
      <c r="D1020" s="11">
        <v>90.0</v>
      </c>
      <c r="E1020" s="12" t="s">
        <v>40</v>
      </c>
      <c r="F1020" s="13">
        <f>'БД_УСЛУГИ_РО'!P808+'БД_ЗАПЧАСТИ'!P257</f>
        <v>21000</v>
      </c>
      <c r="G1020" s="19"/>
      <c r="H1020" s="101">
        <f>'БД_УСЛУГИ_РО'!P808</f>
        <v>5800</v>
      </c>
      <c r="I1020" s="2"/>
      <c r="J1020" s="103"/>
      <c r="K1020" s="84">
        <v>21000.0</v>
      </c>
      <c r="L1020" s="104"/>
      <c r="M1020" s="60"/>
      <c r="N1020" s="29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idden="1">
      <c r="A1021" s="2"/>
      <c r="B1021" s="57" t="s">
        <v>290</v>
      </c>
      <c r="C1021" s="11"/>
      <c r="D1021" s="11">
        <v>90.0</v>
      </c>
      <c r="E1021" s="12" t="s">
        <v>42</v>
      </c>
      <c r="F1021" s="13">
        <f>'БД_УСЛУГИ_РО'!P808+'БД_ЗАПЧАСТИ'!P258</f>
        <v>21100</v>
      </c>
      <c r="G1021" s="19"/>
      <c r="H1021" s="101">
        <f>'БД_УСЛУГИ_РО'!P808</f>
        <v>5800</v>
      </c>
      <c r="I1021" s="2"/>
      <c r="J1021" s="103"/>
      <c r="K1021" s="84">
        <v>21100.0</v>
      </c>
      <c r="L1021" s="104"/>
      <c r="M1021" s="60"/>
      <c r="N1021" s="29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idden="1">
      <c r="A1022" s="2"/>
      <c r="B1022" s="57" t="s">
        <v>290</v>
      </c>
      <c r="C1022" s="11"/>
      <c r="D1022" s="11">
        <v>90.0</v>
      </c>
      <c r="E1022" s="12" t="s">
        <v>43</v>
      </c>
      <c r="F1022" s="13">
        <f>'БД_УСЛУГИ_РО'!P808+'БД_ЗАПЧАСТИ'!P259</f>
        <v>20000</v>
      </c>
      <c r="G1022" s="19"/>
      <c r="H1022" s="101">
        <f>'БД_УСЛУГИ_РО'!P808</f>
        <v>5800</v>
      </c>
      <c r="I1022" s="2"/>
      <c r="J1022" s="87"/>
      <c r="K1022" s="84">
        <v>20000.0</v>
      </c>
      <c r="L1022" s="67"/>
      <c r="M1022" s="60"/>
      <c r="N1022" s="29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idden="1">
      <c r="A1023" s="2"/>
      <c r="B1023" s="57" t="s">
        <v>290</v>
      </c>
      <c r="C1023" s="11"/>
      <c r="D1023" s="11">
        <v>90.0</v>
      </c>
      <c r="E1023" s="12" t="s">
        <v>45</v>
      </c>
      <c r="F1023" s="13">
        <f>'БД_УСЛУГИ_РО'!P808</f>
        <v>5800</v>
      </c>
      <c r="G1023" s="19"/>
      <c r="H1023" s="101">
        <f>'БД_УСЛУГИ_РО'!P808</f>
        <v>5800</v>
      </c>
      <c r="I1023" s="2"/>
      <c r="J1023" s="92" t="str">
        <f>IFERROR(__xludf.DUMMYFUNCTION("MIN(FILTER(F1023:F1024, F1023:F1024 &lt;&gt; H1023:H1024, F1023:F1024 &lt;&gt; """"))"),"#N/A")</f>
        <v>#N/A</v>
      </c>
      <c r="K1023" s="84">
        <v>5800.0</v>
      </c>
      <c r="L1023" s="65">
        <f>IFERROR(VLOOKUP("iPhone 15 Замена дисплея (аналог)", 'РЕМОНТ_ЯБЛОК'!C:D, 2, 0), "Ошибка")</f>
        <v>10000</v>
      </c>
      <c r="M1023" s="60"/>
      <c r="N1023" s="29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idden="1">
      <c r="A1024" s="2"/>
      <c r="B1024" s="57" t="s">
        <v>290</v>
      </c>
      <c r="C1024" s="11"/>
      <c r="D1024" s="11">
        <v>90.0</v>
      </c>
      <c r="E1024" s="12" t="s">
        <v>46</v>
      </c>
      <c r="F1024" s="13">
        <f>'БД_УСЛУГИ_РО'!P808</f>
        <v>5800</v>
      </c>
      <c r="G1024" s="28"/>
      <c r="H1024" s="101">
        <f>'БД_УСЛУГИ_РО'!P808</f>
        <v>5800</v>
      </c>
      <c r="I1024" s="2"/>
      <c r="J1024" s="87"/>
      <c r="K1024" s="84">
        <v>5800.0</v>
      </c>
      <c r="L1024" s="67"/>
      <c r="M1024" s="60"/>
      <c r="N1024" s="29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idden="1">
      <c r="A1025" s="2"/>
      <c r="B1025" s="57" t="s">
        <v>290</v>
      </c>
      <c r="C1025" s="11"/>
      <c r="D1025" s="11">
        <v>90.0</v>
      </c>
      <c r="E1025" s="12" t="s">
        <v>47</v>
      </c>
      <c r="F1025" s="13">
        <f>'БД_УСЛУГИ_РО'!P809</f>
        <v>5000</v>
      </c>
      <c r="G1025" s="29"/>
      <c r="H1025" s="5"/>
      <c r="I1025" s="2"/>
      <c r="J1025" s="83"/>
      <c r="K1025" s="84">
        <v>5000.0</v>
      </c>
      <c r="L1025" s="61"/>
      <c r="M1025" s="60"/>
      <c r="N1025" s="29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idden="1">
      <c r="A1026" s="2"/>
      <c r="B1026" s="57" t="s">
        <v>290</v>
      </c>
      <c r="C1026" s="11"/>
      <c r="D1026" s="11">
        <v>90.0</v>
      </c>
      <c r="E1026" s="12" t="s">
        <v>292</v>
      </c>
      <c r="F1026" s="13">
        <f>'БД_УСЛУГИ_РО'!P810</f>
        <v>14000</v>
      </c>
      <c r="G1026" s="29"/>
      <c r="H1026" s="5"/>
      <c r="I1026" s="2"/>
      <c r="J1026" s="85">
        <f t="shared" ref="J1026:J1029" si="69">F1026</f>
        <v>14000</v>
      </c>
      <c r="K1026" s="84">
        <v>14000.0</v>
      </c>
      <c r="L1026" s="61">
        <f>IFERROR(VLOOKUP("iPhone 15 Переклейка (восстановление) вашего дисплея", 'РЕМОНТ_ЯБЛОК'!C:D, 2, 0), "Ошибка")</f>
        <v>10000</v>
      </c>
      <c r="M1026" s="96"/>
      <c r="N1026" s="29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idden="1">
      <c r="A1027" s="2"/>
      <c r="B1027" s="57" t="s">
        <v>290</v>
      </c>
      <c r="C1027" s="11"/>
      <c r="D1027" s="11">
        <v>90.0</v>
      </c>
      <c r="E1027" s="12" t="s">
        <v>293</v>
      </c>
      <c r="F1027" s="13">
        <f>'БД_УСЛУГИ_РО'!P811+'БД_ЗАПЧАСТИ'!P779</f>
        <v>12000</v>
      </c>
      <c r="G1027" s="29"/>
      <c r="H1027" s="101">
        <f>'БД_УСЛУГИ_РО'!P811</f>
        <v>5800</v>
      </c>
      <c r="I1027" s="2"/>
      <c r="J1027" s="85">
        <f t="shared" si="69"/>
        <v>12000</v>
      </c>
      <c r="K1027" s="84">
        <v>12000.0</v>
      </c>
      <c r="L1027" s="61">
        <f>IFERROR(VLOOKUP("iPhone 15 Замена основной камеры", 'РЕМОНТ_ЯБЛОК'!C:D, 2, 0), "Ошибка")</f>
        <v>12000</v>
      </c>
      <c r="M1027" s="96"/>
      <c r="N1027" s="29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idden="1">
      <c r="A1028" s="2"/>
      <c r="B1028" s="57" t="s">
        <v>290</v>
      </c>
      <c r="C1028" s="11"/>
      <c r="D1028" s="11">
        <v>90.0</v>
      </c>
      <c r="E1028" s="12" t="s">
        <v>294</v>
      </c>
      <c r="F1028" s="13">
        <f>'БД_УСЛУГИ_РО'!P812+'БД_ЗАПЧАСТИ'!P823</f>
        <v>9900</v>
      </c>
      <c r="G1028" s="29"/>
      <c r="H1028" s="101">
        <f>'БД_УСЛУГИ_РО'!P812</f>
        <v>6400</v>
      </c>
      <c r="I1028" s="2"/>
      <c r="J1028" s="85">
        <f t="shared" si="69"/>
        <v>9900</v>
      </c>
      <c r="K1028" s="84">
        <v>9900.0</v>
      </c>
      <c r="L1028" s="61">
        <f>IFERROR(VLOOKUP("iPhone 15 Ремонт/замена фронтальной камеры", 'РЕМОНТ_ЯБЛОК'!C:D, 2, 0), "Ошибка")</f>
        <v>10000</v>
      </c>
      <c r="M1028" s="96"/>
      <c r="N1028" s="29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idden="1">
      <c r="A1029" s="2"/>
      <c r="B1029" s="57" t="s">
        <v>290</v>
      </c>
      <c r="C1029" s="11"/>
      <c r="D1029" s="11">
        <v>180.0</v>
      </c>
      <c r="E1029" s="12" t="s">
        <v>52</v>
      </c>
      <c r="F1029" s="13">
        <f>'БД_УСЛУГИ_РО'!P813+'БД_ЗАПЧАСТИ'!P566</f>
        <v>5000</v>
      </c>
      <c r="G1029" s="29"/>
      <c r="H1029" s="101">
        <f>'БД_УСЛУГИ_РО'!P813</f>
        <v>4300</v>
      </c>
      <c r="I1029" s="2"/>
      <c r="J1029" s="85">
        <f t="shared" si="69"/>
        <v>5000</v>
      </c>
      <c r="K1029" s="84">
        <v>5000.0</v>
      </c>
      <c r="L1029" s="61">
        <f>IFERROR(VLOOKUP("iPhone 15 Замена стекла камеры", 'РЕМОНТ_ЯБЛОК'!C:D, 2, 0), "Ошибка")</f>
        <v>5000</v>
      </c>
      <c r="M1029" s="96"/>
      <c r="N1029" s="29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idden="1">
      <c r="A1030" s="2"/>
      <c r="B1030" s="57" t="s">
        <v>290</v>
      </c>
      <c r="C1030" s="11"/>
      <c r="D1030" s="11">
        <v>90.0</v>
      </c>
      <c r="E1030" s="12" t="s">
        <v>53</v>
      </c>
      <c r="F1030" s="13">
        <f>'БД_УСЛУГИ_РО'!P814</f>
        <v>8500</v>
      </c>
      <c r="G1030" s="29"/>
      <c r="H1030" s="5"/>
      <c r="I1030" s="2"/>
      <c r="J1030" s="92"/>
      <c r="K1030" s="93">
        <v>8500.0</v>
      </c>
      <c r="L1030" s="65"/>
      <c r="M1030" s="94"/>
      <c r="N1030" s="33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idden="1">
      <c r="A1031" s="2"/>
      <c r="B1031" s="57" t="s">
        <v>290</v>
      </c>
      <c r="C1031" s="11"/>
      <c r="D1031" s="11">
        <v>180.0</v>
      </c>
      <c r="E1031" s="12" t="s">
        <v>54</v>
      </c>
      <c r="F1031" s="13">
        <f>'БД_УСЛУГИ_РО'!P815+'БД_ЗАПЧАСТИ'!P436</f>
        <v>12000</v>
      </c>
      <c r="G1031" s="33" t="str">
        <f>MIN(F1031:F1032) &amp; " - " &amp; MAX(F1031:F1032)</f>
        <v>8000 - 12000</v>
      </c>
      <c r="H1031" s="101">
        <f>'БД_УСЛУГИ_РО'!P815</f>
        <v>4600</v>
      </c>
      <c r="I1031" s="2"/>
      <c r="J1031" s="92"/>
      <c r="K1031" s="93">
        <v>12000.0</v>
      </c>
      <c r="L1031" s="65"/>
      <c r="M1031" s="94"/>
      <c r="N1031" s="33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idden="1">
      <c r="A1032" s="2"/>
      <c r="B1032" s="57" t="s">
        <v>290</v>
      </c>
      <c r="C1032" s="11"/>
      <c r="D1032" s="11">
        <v>180.0</v>
      </c>
      <c r="E1032" s="12" t="s">
        <v>55</v>
      </c>
      <c r="F1032" s="13">
        <f>'БД_УСЛУГИ_РО'!P815+'БД_ЗАПЧАСТИ'!P441</f>
        <v>8000</v>
      </c>
      <c r="G1032" s="28"/>
      <c r="H1032" s="101">
        <f>'БД_УСЛУГИ_РО'!P815</f>
        <v>4600</v>
      </c>
      <c r="I1032" s="2"/>
      <c r="J1032" s="85">
        <f>F1032</f>
        <v>8000</v>
      </c>
      <c r="K1032" s="93">
        <v>8000.0</v>
      </c>
      <c r="L1032" s="61">
        <f>IFERROR(VLOOKUP("iPhone 15 Замена задней крышки", 'РЕМОНТ_ЯБЛОК'!C:D, 2, 0), "Ошибка")</f>
        <v>8000</v>
      </c>
      <c r="M1032" s="105"/>
      <c r="N1032" s="33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idden="1">
      <c r="A1033" s="2"/>
      <c r="B1033" s="57" t="s">
        <v>290</v>
      </c>
      <c r="C1033" s="11"/>
      <c r="D1033" s="11">
        <v>180.0</v>
      </c>
      <c r="E1033" s="12" t="s">
        <v>56</v>
      </c>
      <c r="F1033" s="13">
        <f>'БД_УСЛУГИ_РО'!P816</f>
        <v>8600</v>
      </c>
      <c r="G1033" s="29"/>
      <c r="H1033" s="101">
        <f>'БД_УСЛУГИ_РО'!P816</f>
        <v>8600</v>
      </c>
      <c r="I1033" s="2"/>
      <c r="J1033" s="92"/>
      <c r="K1033" s="93">
        <v>8600.0</v>
      </c>
      <c r="L1033" s="65"/>
      <c r="M1033" s="94"/>
      <c r="N1033" s="33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idden="1">
      <c r="A1034" s="2"/>
      <c r="B1034" s="57" t="s">
        <v>290</v>
      </c>
      <c r="C1034" s="11"/>
      <c r="D1034" s="11">
        <v>180.0</v>
      </c>
      <c r="E1034" s="12" t="s">
        <v>57</v>
      </c>
      <c r="F1034" s="13">
        <f>'БД_УСЛУГИ_РО'!P817</f>
        <v>6300</v>
      </c>
      <c r="G1034" s="29"/>
      <c r="H1034" s="101">
        <f>'БД_УСЛУГИ_РО'!P817</f>
        <v>6300</v>
      </c>
      <c r="I1034" s="2"/>
      <c r="J1034" s="85">
        <f>F1034</f>
        <v>6300</v>
      </c>
      <c r="K1034" s="84">
        <v>6300.0</v>
      </c>
      <c r="L1034" s="61">
        <f>IFERROR(VLOOKUP("iPhone 15 Замена средней части корпуса", 'РЕМОНТ_ЯБЛОК'!C:D, 2, 0), "Ошибка")</f>
        <v>10000</v>
      </c>
      <c r="M1034" s="96"/>
      <c r="N1034" s="29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idden="1">
      <c r="A1035" s="2"/>
      <c r="B1035" s="57" t="s">
        <v>290</v>
      </c>
      <c r="C1035" s="11"/>
      <c r="D1035" s="11">
        <v>90.0</v>
      </c>
      <c r="E1035" s="12" t="s">
        <v>59</v>
      </c>
      <c r="F1035" s="13">
        <f>'БД_УСЛУГИ_РО'!P818</f>
        <v>7200</v>
      </c>
      <c r="G1035" s="29"/>
      <c r="H1035" s="5"/>
      <c r="I1035" s="2"/>
      <c r="J1035" s="83"/>
      <c r="K1035" s="84">
        <v>7200.0</v>
      </c>
      <c r="L1035" s="61"/>
      <c r="M1035" s="60"/>
      <c r="N1035" s="29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idden="1">
      <c r="A1036" s="2"/>
      <c r="B1036" s="57" t="s">
        <v>290</v>
      </c>
      <c r="C1036" s="11"/>
      <c r="D1036" s="11">
        <v>90.0</v>
      </c>
      <c r="E1036" s="12" t="s">
        <v>295</v>
      </c>
      <c r="F1036" s="13">
        <f>'БД_УСЛУГИ_РО'!P819+'БД_ЗАПЧАСТИ'!P908</f>
        <v>6650</v>
      </c>
      <c r="G1036" s="29"/>
      <c r="H1036" s="101">
        <f>'БД_УСЛУГИ_РО'!P819</f>
        <v>5300</v>
      </c>
      <c r="I1036" s="2"/>
      <c r="J1036" s="83"/>
      <c r="K1036" s="84">
        <v>6650.0</v>
      </c>
      <c r="L1036" s="61"/>
      <c r="M1036" s="60"/>
      <c r="N1036" s="29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idden="1">
      <c r="A1037" s="2"/>
      <c r="B1037" s="57" t="s">
        <v>290</v>
      </c>
      <c r="C1037" s="11"/>
      <c r="D1037" s="11">
        <v>90.0</v>
      </c>
      <c r="E1037" s="12" t="s">
        <v>296</v>
      </c>
      <c r="F1037" s="13">
        <f>'БД_УСЛУГИ_РО'!P820+'БД_ЗАПЧАСТИ'!P868</f>
        <v>6650</v>
      </c>
      <c r="G1037" s="29"/>
      <c r="H1037" s="101">
        <f>'БД_УСЛУГИ_РО'!P820</f>
        <v>5300</v>
      </c>
      <c r="I1037" s="2"/>
      <c r="J1037" s="83"/>
      <c r="K1037" s="84">
        <v>6650.0</v>
      </c>
      <c r="L1037" s="61"/>
      <c r="M1037" s="60"/>
      <c r="N1037" s="29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idden="1">
      <c r="A1038" s="2"/>
      <c r="B1038" s="57" t="s">
        <v>290</v>
      </c>
      <c r="C1038" s="11"/>
      <c r="D1038" s="11">
        <v>90.0</v>
      </c>
      <c r="E1038" s="32" t="s">
        <v>62</v>
      </c>
      <c r="F1038" s="13">
        <f>'БД_УСЛУГИ_РО'!P821+'БД_ЗАПЧАСТИ'!P698</f>
        <v>9650</v>
      </c>
      <c r="G1038" s="29"/>
      <c r="H1038" s="101">
        <f>'БД_УСЛУГИ_РО'!P821</f>
        <v>5900</v>
      </c>
      <c r="I1038" s="2"/>
      <c r="J1038" s="92"/>
      <c r="K1038" s="93">
        <v>9650.0</v>
      </c>
      <c r="L1038" s="65"/>
      <c r="M1038" s="94"/>
      <c r="N1038" s="33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idden="1">
      <c r="A1039" s="2"/>
      <c r="B1039" s="57" t="s">
        <v>290</v>
      </c>
      <c r="C1039" s="11"/>
      <c r="D1039" s="11">
        <v>90.0</v>
      </c>
      <c r="E1039" s="12" t="s">
        <v>63</v>
      </c>
      <c r="F1039" s="13">
        <f>'БД_УСЛУГИ_РО'!P822</f>
        <v>6500</v>
      </c>
      <c r="G1039" s="29"/>
      <c r="H1039" s="5"/>
      <c r="I1039" s="2"/>
      <c r="J1039" s="92"/>
      <c r="K1039" s="93">
        <v>6500.0</v>
      </c>
      <c r="L1039" s="65"/>
      <c r="M1039" s="94"/>
      <c r="N1039" s="33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idden="1">
      <c r="A1040" s="2"/>
      <c r="B1040" s="57" t="s">
        <v>290</v>
      </c>
      <c r="C1040" s="11"/>
      <c r="D1040" s="11">
        <v>90.0</v>
      </c>
      <c r="E1040" s="12" t="s">
        <v>64</v>
      </c>
      <c r="F1040" s="13">
        <f>'БД_УСЛУГИ_РО'!P824</f>
        <v>7700</v>
      </c>
      <c r="G1040" s="29"/>
      <c r="H1040" s="5"/>
      <c r="I1040" s="2"/>
      <c r="J1040" s="92"/>
      <c r="K1040" s="93">
        <v>7700.0</v>
      </c>
      <c r="L1040" s="65"/>
      <c r="M1040" s="94"/>
      <c r="N1040" s="33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idden="1">
      <c r="A1041" s="2"/>
      <c r="B1041" s="57" t="s">
        <v>290</v>
      </c>
      <c r="C1041" s="11"/>
      <c r="D1041" s="11">
        <v>90.0</v>
      </c>
      <c r="E1041" s="12" t="s">
        <v>65</v>
      </c>
      <c r="F1041" s="13">
        <f>'БД_УСЛУГИ_РО'!P823+'БД_УСЛУГИ_РО'!P825</f>
        <v>16700</v>
      </c>
      <c r="G1041" s="29"/>
      <c r="H1041" s="5"/>
      <c r="I1041" s="2"/>
      <c r="J1041" s="92"/>
      <c r="K1041" s="93">
        <v>16700.0</v>
      </c>
      <c r="L1041" s="65"/>
      <c r="M1041" s="94"/>
      <c r="N1041" s="33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idden="1">
      <c r="A1042" s="2"/>
      <c r="B1042" s="69" t="s">
        <v>290</v>
      </c>
      <c r="C1042" s="36"/>
      <c r="D1042" s="36">
        <v>90.0</v>
      </c>
      <c r="E1042" s="70" t="s">
        <v>66</v>
      </c>
      <c r="F1042" s="38">
        <f>'БД_УСЛУГИ_РО'!P823+'БД_УСЛУГИ_РО'!P826</f>
        <v>17200</v>
      </c>
      <c r="G1042" s="39"/>
      <c r="H1042" s="5"/>
      <c r="I1042" s="2"/>
      <c r="J1042" s="91"/>
      <c r="K1042" s="89">
        <v>17200.0</v>
      </c>
      <c r="L1042" s="73"/>
      <c r="M1042" s="74"/>
      <c r="N1042" s="39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idden="1">
      <c r="A1043" s="2"/>
      <c r="B1043" s="1"/>
      <c r="C1043" s="1"/>
      <c r="D1043" s="95"/>
      <c r="E1043" s="30"/>
      <c r="F1043" s="80"/>
      <c r="G1043" s="76"/>
      <c r="H1043" s="5"/>
      <c r="I1043" s="2"/>
      <c r="J1043" s="2"/>
      <c r="K1043" s="2" t="s">
        <v>22</v>
      </c>
      <c r="L1043" s="2"/>
      <c r="M1043" s="3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idden="1">
      <c r="A1044" s="2"/>
      <c r="B1044" s="41" t="s">
        <v>297</v>
      </c>
      <c r="C1044" s="42"/>
      <c r="D1044" s="42">
        <v>0.0</v>
      </c>
      <c r="E1044" s="51" t="s">
        <v>24</v>
      </c>
      <c r="F1044" s="44">
        <f>'БД_УСЛУГИ_РО'!P827</f>
        <v>1</v>
      </c>
      <c r="G1044" s="78"/>
      <c r="H1044" s="5"/>
      <c r="I1044" s="2"/>
      <c r="J1044" s="81"/>
      <c r="K1044" s="82">
        <v>1.0</v>
      </c>
      <c r="L1044" s="55"/>
      <c r="M1044" s="56"/>
      <c r="N1044" s="5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idden="1">
      <c r="A1045" s="2"/>
      <c r="B1045" s="57" t="s">
        <v>297</v>
      </c>
      <c r="C1045" s="11"/>
      <c r="D1045" s="11">
        <v>0.0</v>
      </c>
      <c r="E1045" s="12" t="s">
        <v>26</v>
      </c>
      <c r="F1045" s="13">
        <f>'БД_УСЛУГИ_РО'!P828+'БД_УСЛУГИ_РО'!P829</f>
        <v>2100</v>
      </c>
      <c r="G1045" s="29"/>
      <c r="H1045" s="5"/>
      <c r="I1045" s="2"/>
      <c r="J1045" s="83"/>
      <c r="K1045" s="84">
        <v>2100.0</v>
      </c>
      <c r="L1045" s="61"/>
      <c r="M1045" s="60"/>
      <c r="N1045" s="29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idden="1">
      <c r="A1046" s="2"/>
      <c r="B1046" s="57" t="s">
        <v>297</v>
      </c>
      <c r="C1046" s="11"/>
      <c r="D1046" s="11">
        <v>0.0</v>
      </c>
      <c r="E1046" s="32" t="s">
        <v>27</v>
      </c>
      <c r="F1046" s="13">
        <f>'БД_УСЛУГИ_РО'!P830</f>
        <v>700</v>
      </c>
      <c r="G1046" s="33" t="str">
        <f>MIN(F1046:F1047) &amp; " - " &amp; MAX(F1046:F1047)</f>
        <v>700 - 5500</v>
      </c>
      <c r="H1046" s="5"/>
      <c r="I1046" s="2"/>
      <c r="J1046" s="83"/>
      <c r="K1046" s="84">
        <v>700.0</v>
      </c>
      <c r="L1046" s="61"/>
      <c r="M1046" s="60"/>
      <c r="N1046" s="29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idden="1">
      <c r="A1047" s="2"/>
      <c r="B1047" s="57" t="s">
        <v>297</v>
      </c>
      <c r="C1047" s="11"/>
      <c r="D1047" s="11">
        <v>0.0</v>
      </c>
      <c r="E1047" s="32" t="s">
        <v>28</v>
      </c>
      <c r="F1047" s="13">
        <f>'БД_УСЛУГИ_РО'!P831</f>
        <v>5500</v>
      </c>
      <c r="G1047" s="28"/>
      <c r="H1047" s="5"/>
      <c r="I1047" s="2"/>
      <c r="J1047" s="83"/>
      <c r="K1047" s="84">
        <v>5500.0</v>
      </c>
      <c r="L1047" s="61"/>
      <c r="M1047" s="60"/>
      <c r="N1047" s="29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idden="1">
      <c r="A1048" s="2"/>
      <c r="B1048" s="57" t="s">
        <v>297</v>
      </c>
      <c r="C1048" s="11"/>
      <c r="D1048" s="11">
        <v>180.0</v>
      </c>
      <c r="E1048" s="12" t="s">
        <v>202</v>
      </c>
      <c r="F1048" s="13">
        <f>'БД_УСЛУГИ_РО'!P832+'БД_ЗАПЧАСТИ'!P101</f>
        <v>15650</v>
      </c>
      <c r="G1048" s="33" t="str">
        <f>IFERROR(__xludf.DUMMYFUNCTION("MIN(FILTER(F1048:F1053, F1048:F1053 &lt;&gt; H1048:H1053)) &amp; "" - "" &amp; MAX(FILTER(F1048:F1053, F1048:F1053 &lt;&gt; H1048:H1053))"),"9000 - 15650")</f>
        <v>9000 - 15650</v>
      </c>
      <c r="H1048" s="101">
        <f>'БД_УСЛУГИ_РО'!P832</f>
        <v>5800</v>
      </c>
      <c r="I1048" s="2"/>
      <c r="J1048" s="86">
        <f>IFERROR(__xludf.DUMMYFUNCTION("MIN(FILTER(F1048:F1053, F1048:F1053 &lt;&gt; H1048:H1053, F1048:F1053 &lt;&gt; """"))"),9000.0)</f>
        <v>9000</v>
      </c>
      <c r="K1048" s="84">
        <v>15650.0</v>
      </c>
      <c r="L1048" s="31">
        <f>IFERROR(VLOOKUP("iPhone 15 Plus Замена аккумулятора", 'РЕМОНТ_ЯБЛОК'!C:D, 2, 0), "Ошибка")</f>
        <v>9000</v>
      </c>
      <c r="M1048" s="60"/>
      <c r="N1048" s="29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idden="1">
      <c r="A1049" s="2"/>
      <c r="B1049" s="57" t="s">
        <v>297</v>
      </c>
      <c r="C1049" s="11"/>
      <c r="D1049" s="11">
        <v>180.0</v>
      </c>
      <c r="E1049" s="12" t="s">
        <v>203</v>
      </c>
      <c r="F1049" s="13">
        <f>'БД_УСЛУГИ_РО'!P832+'БД_ЗАПЧАСТИ'!P102</f>
        <v>5800</v>
      </c>
      <c r="G1049" s="19"/>
      <c r="H1049" s="101">
        <f>'БД_УСЛУГИ_РО'!P832</f>
        <v>5800</v>
      </c>
      <c r="I1049" s="2"/>
      <c r="J1049" s="103"/>
      <c r="K1049" s="84">
        <v>5800.0</v>
      </c>
      <c r="L1049" s="104"/>
      <c r="M1049" s="60"/>
      <c r="N1049" s="29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idden="1">
      <c r="A1050" s="2"/>
      <c r="B1050" s="57" t="s">
        <v>297</v>
      </c>
      <c r="C1050" s="11"/>
      <c r="D1050" s="11">
        <v>180.0</v>
      </c>
      <c r="E1050" s="12" t="s">
        <v>32</v>
      </c>
      <c r="F1050" s="13">
        <f>'БД_УСЛУГИ_РО'!P832+'БД_ЗАПЧАСТИ'!P103</f>
        <v>10500</v>
      </c>
      <c r="G1050" s="19"/>
      <c r="H1050" s="101">
        <f>'БД_УСЛУГИ_РО'!P832</f>
        <v>5800</v>
      </c>
      <c r="I1050" s="2"/>
      <c r="J1050" s="103"/>
      <c r="K1050" s="84">
        <v>10500.0</v>
      </c>
      <c r="L1050" s="104"/>
      <c r="M1050" s="60"/>
      <c r="N1050" s="29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idden="1">
      <c r="A1051" s="2"/>
      <c r="B1051" s="57" t="s">
        <v>297</v>
      </c>
      <c r="C1051" s="11"/>
      <c r="D1051" s="11">
        <v>180.0</v>
      </c>
      <c r="E1051" s="12" t="s">
        <v>33</v>
      </c>
      <c r="F1051" s="13">
        <f>'БД_УСЛУГИ_РО'!P832+'БД_ЗАПЧАСТИ'!P104</f>
        <v>9500</v>
      </c>
      <c r="G1051" s="19"/>
      <c r="H1051" s="101">
        <f>'БД_УСЛУГИ_РО'!P832</f>
        <v>5800</v>
      </c>
      <c r="I1051" s="2"/>
      <c r="J1051" s="103"/>
      <c r="K1051" s="84">
        <v>9500.0</v>
      </c>
      <c r="L1051" s="104"/>
      <c r="M1051" s="60"/>
      <c r="N1051" s="29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idden="1">
      <c r="A1052" s="2"/>
      <c r="B1052" s="57" t="s">
        <v>297</v>
      </c>
      <c r="C1052" s="11"/>
      <c r="D1052" s="11">
        <v>180.0</v>
      </c>
      <c r="E1052" s="12" t="s">
        <v>34</v>
      </c>
      <c r="F1052" s="13">
        <f>'БД_УСЛУГИ_РО'!P832+'БД_ЗАПЧАСТИ'!P105</f>
        <v>9000</v>
      </c>
      <c r="G1052" s="19"/>
      <c r="H1052" s="101">
        <f>'БД_УСЛУГИ_РО'!P832</f>
        <v>5800</v>
      </c>
      <c r="I1052" s="2"/>
      <c r="J1052" s="87"/>
      <c r="K1052" s="84">
        <v>9000.0</v>
      </c>
      <c r="L1052" s="67"/>
      <c r="M1052" s="60"/>
      <c r="N1052" s="29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idden="1">
      <c r="A1053" s="2"/>
      <c r="B1053" s="57" t="s">
        <v>297</v>
      </c>
      <c r="C1053" s="11"/>
      <c r="D1053" s="11">
        <v>180.0</v>
      </c>
      <c r="E1053" s="12" t="s">
        <v>35</v>
      </c>
      <c r="F1053" s="13">
        <f>'БД_УСЛУГИ_РО'!P832+'БД_УСЛУГИ_РО'!P833+'БД_ЗАПЧАСТИ'!P105</f>
        <v>13200</v>
      </c>
      <c r="G1053" s="28"/>
      <c r="H1053" s="101">
        <f>'БД_УСЛУГИ_РО'!P832+'БД_УСЛУГИ_РО'!P833</f>
        <v>10000</v>
      </c>
      <c r="I1053" s="2"/>
      <c r="J1053" s="83"/>
      <c r="K1053" s="84">
        <v>13200.0</v>
      </c>
      <c r="L1053" s="61"/>
      <c r="M1053" s="60"/>
      <c r="N1053" s="29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idden="1">
      <c r="A1054" s="2"/>
      <c r="B1054" s="57" t="s">
        <v>297</v>
      </c>
      <c r="C1054" s="11"/>
      <c r="D1054" s="11">
        <v>90.0</v>
      </c>
      <c r="E1054" s="12" t="s">
        <v>298</v>
      </c>
      <c r="F1054" s="13">
        <f>'БД_УСЛУГИ_РО'!P834+'БД_ЗАПЧАСТИ'!P703</f>
        <v>10750</v>
      </c>
      <c r="G1054" s="29"/>
      <c r="H1054" s="101">
        <f>'БД_УСЛУГИ_РО'!P834</f>
        <v>6000</v>
      </c>
      <c r="I1054" s="2"/>
      <c r="J1054" s="83"/>
      <c r="K1054" s="84">
        <v>10750.0</v>
      </c>
      <c r="L1054" s="61"/>
      <c r="M1054" s="60"/>
      <c r="N1054" s="29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idden="1">
      <c r="A1055" s="2"/>
      <c r="B1055" s="57" t="s">
        <v>297</v>
      </c>
      <c r="C1055" s="11"/>
      <c r="D1055" s="11">
        <v>90.0</v>
      </c>
      <c r="E1055" s="12" t="s">
        <v>205</v>
      </c>
      <c r="F1055" s="13">
        <f>'БД_УСЛУГИ_РО'!P835+'БД_ЗАПЧАСТИ'!P260</f>
        <v>5800</v>
      </c>
      <c r="G1055" s="33" t="str">
        <f>IFERROR(__xludf.DUMMYFUNCTION("MIN(FILTER(F1055:F1061, F1055:F1061 &lt;&gt; H1055:H1061)) &amp; "" - "" &amp; MAX(FILTER(F1055:F1061, F1055:F1061 &lt;&gt; H1055:H1061))"),"20600 - 20600")</f>
        <v>20600 - 20600</v>
      </c>
      <c r="H1055" s="101">
        <f>'БД_УСЛУГИ_РО'!P835</f>
        <v>5800</v>
      </c>
      <c r="I1055" s="2"/>
      <c r="J1055" s="86">
        <f>IFERROR(__xludf.DUMMYFUNCTION("MIN(FILTER(F1055:F1059, F1055:F1059 &lt;&gt; H1055:H1059, F1055:F1059 &lt;&gt; """"))"),20600.0)</f>
        <v>20600</v>
      </c>
      <c r="K1055" s="84">
        <v>5800.0</v>
      </c>
      <c r="L1055" s="65">
        <f>IFERROR(VLOOKUP("iPhone 15 Plus Замена дисплея (оригинал)", 'РЕМОНТ_ЯБЛОК'!C:D, 2, 0), "Ошибка")</f>
        <v>20000</v>
      </c>
      <c r="M1055" s="60"/>
      <c r="N1055" s="29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idden="1">
      <c r="A1056" s="2"/>
      <c r="B1056" s="57" t="s">
        <v>297</v>
      </c>
      <c r="C1056" s="11"/>
      <c r="D1056" s="11">
        <v>90.0</v>
      </c>
      <c r="E1056" s="12" t="s">
        <v>39</v>
      </c>
      <c r="F1056" s="13">
        <f>'БД_УСЛУГИ_РО'!P835+'БД_ЗАПЧАСТИ'!P261</f>
        <v>5800</v>
      </c>
      <c r="G1056" s="19"/>
      <c r="H1056" s="101">
        <f>'БД_УСЛУГИ_РО'!P835</f>
        <v>5800</v>
      </c>
      <c r="I1056" s="2"/>
      <c r="J1056" s="103"/>
      <c r="K1056" s="84">
        <v>5800.0</v>
      </c>
      <c r="L1056" s="104"/>
      <c r="M1056" s="60"/>
      <c r="N1056" s="29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idden="1">
      <c r="A1057" s="2"/>
      <c r="B1057" s="57" t="s">
        <v>297</v>
      </c>
      <c r="C1057" s="11"/>
      <c r="D1057" s="11">
        <v>90.0</v>
      </c>
      <c r="E1057" s="12" t="s">
        <v>40</v>
      </c>
      <c r="F1057" s="13">
        <f>'БД_УСЛУГИ_РО'!P835+'БД_ЗАПЧАСТИ'!P262</f>
        <v>20600</v>
      </c>
      <c r="G1057" s="19"/>
      <c r="H1057" s="101">
        <f>'БД_УСЛУГИ_РО'!P835</f>
        <v>5800</v>
      </c>
      <c r="I1057" s="2"/>
      <c r="J1057" s="103"/>
      <c r="K1057" s="84">
        <v>20600.0</v>
      </c>
      <c r="L1057" s="104"/>
      <c r="M1057" s="60"/>
      <c r="N1057" s="29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idden="1">
      <c r="A1058" s="2"/>
      <c r="B1058" s="57" t="s">
        <v>297</v>
      </c>
      <c r="C1058" s="11"/>
      <c r="D1058" s="11">
        <v>90.0</v>
      </c>
      <c r="E1058" s="12" t="s">
        <v>42</v>
      </c>
      <c r="F1058" s="13">
        <f>'БД_УСЛУГИ_РО'!P835+'БД_ЗАПЧАСТИ'!P263</f>
        <v>5800</v>
      </c>
      <c r="G1058" s="19"/>
      <c r="H1058" s="101">
        <f>'БД_УСЛУГИ_РО'!P835</f>
        <v>5800</v>
      </c>
      <c r="I1058" s="2"/>
      <c r="J1058" s="103"/>
      <c r="K1058" s="84">
        <v>5800.0</v>
      </c>
      <c r="L1058" s="104"/>
      <c r="M1058" s="60"/>
      <c r="N1058" s="29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idden="1">
      <c r="A1059" s="2"/>
      <c r="B1059" s="57" t="s">
        <v>297</v>
      </c>
      <c r="C1059" s="11"/>
      <c r="D1059" s="11">
        <v>90.0</v>
      </c>
      <c r="E1059" s="12" t="s">
        <v>43</v>
      </c>
      <c r="F1059" s="13">
        <f>'БД_УСЛУГИ_РО'!P835+'БД_ЗАПЧАСТИ'!P264</f>
        <v>5800</v>
      </c>
      <c r="G1059" s="19"/>
      <c r="H1059" s="101">
        <f>'БД_УСЛУГИ_РО'!P835</f>
        <v>5800</v>
      </c>
      <c r="I1059" s="2"/>
      <c r="J1059" s="87"/>
      <c r="K1059" s="84">
        <v>5800.0</v>
      </c>
      <c r="L1059" s="67"/>
      <c r="M1059" s="60"/>
      <c r="N1059" s="29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idden="1">
      <c r="A1060" s="2"/>
      <c r="B1060" s="57" t="s">
        <v>297</v>
      </c>
      <c r="C1060" s="11"/>
      <c r="D1060" s="11">
        <v>90.0</v>
      </c>
      <c r="E1060" s="12" t="s">
        <v>45</v>
      </c>
      <c r="F1060" s="13">
        <f>'БД_УСЛУГИ_РО'!P835</f>
        <v>5800</v>
      </c>
      <c r="G1060" s="19"/>
      <c r="H1060" s="101">
        <f>'БД_УСЛУГИ_РО'!P835</f>
        <v>5800</v>
      </c>
      <c r="I1060" s="2"/>
      <c r="J1060" s="92" t="str">
        <f>IFERROR(__xludf.DUMMYFUNCTION("MIN(FILTER(F1060:F1061, F1060:F1061 &lt;&gt; H1060:H1061, F1060:F1061 &lt;&gt; """"))"),"#N/A")</f>
        <v>#N/A</v>
      </c>
      <c r="K1060" s="84">
        <v>5800.0</v>
      </c>
      <c r="L1060" s="65">
        <f>IFERROR(VLOOKUP("iPhone 15 Plus Замена дисплея (аналог)", 'РЕМОНТ_ЯБЛОК'!C:D, 2, 0), "Ошибка")</f>
        <v>12000</v>
      </c>
      <c r="M1060" s="60"/>
      <c r="N1060" s="29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idden="1">
      <c r="A1061" s="2"/>
      <c r="B1061" s="57" t="s">
        <v>297</v>
      </c>
      <c r="C1061" s="11"/>
      <c r="D1061" s="11">
        <v>90.0</v>
      </c>
      <c r="E1061" s="12" t="s">
        <v>46</v>
      </c>
      <c r="F1061" s="13">
        <f>'БД_УСЛУГИ_РО'!P835</f>
        <v>5800</v>
      </c>
      <c r="G1061" s="28"/>
      <c r="H1061" s="101">
        <f>'БД_УСЛУГИ_РО'!P835</f>
        <v>5800</v>
      </c>
      <c r="I1061" s="2"/>
      <c r="J1061" s="87"/>
      <c r="K1061" s="84">
        <v>5800.0</v>
      </c>
      <c r="L1061" s="67"/>
      <c r="M1061" s="60"/>
      <c r="N1061" s="29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idden="1">
      <c r="A1062" s="2"/>
      <c r="B1062" s="57" t="s">
        <v>297</v>
      </c>
      <c r="C1062" s="11"/>
      <c r="D1062" s="11">
        <v>90.0</v>
      </c>
      <c r="E1062" s="12" t="s">
        <v>47</v>
      </c>
      <c r="F1062" s="13">
        <f>'БД_УСЛУГИ_РО'!P836</f>
        <v>5000</v>
      </c>
      <c r="G1062" s="29"/>
      <c r="H1062" s="5"/>
      <c r="I1062" s="2"/>
      <c r="J1062" s="83"/>
      <c r="K1062" s="84">
        <v>5000.0</v>
      </c>
      <c r="L1062" s="61"/>
      <c r="M1062" s="60"/>
      <c r="N1062" s="29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idden="1">
      <c r="A1063" s="2"/>
      <c r="B1063" s="57" t="s">
        <v>297</v>
      </c>
      <c r="C1063" s="11"/>
      <c r="D1063" s="11">
        <v>90.0</v>
      </c>
      <c r="E1063" s="12" t="s">
        <v>299</v>
      </c>
      <c r="F1063" s="13">
        <f>'БД_УСЛУГИ_РО'!P837</f>
        <v>18000</v>
      </c>
      <c r="G1063" s="29"/>
      <c r="H1063" s="5"/>
      <c r="I1063" s="2"/>
      <c r="J1063" s="85">
        <f t="shared" ref="J1063:J1066" si="70">F1063</f>
        <v>18000</v>
      </c>
      <c r="K1063" s="84">
        <v>18000.0</v>
      </c>
      <c r="L1063" s="61">
        <f>IFERROR(VLOOKUP("iPhone 15 Plus Переклейка (восстановление) вашего дисплея", 'РЕМОНТ_ЯБЛОК'!C:D, 2, 0), "Ошибка")</f>
        <v>15000</v>
      </c>
      <c r="M1063" s="96"/>
      <c r="N1063" s="29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idden="1">
      <c r="A1064" s="2"/>
      <c r="B1064" s="57" t="s">
        <v>297</v>
      </c>
      <c r="C1064" s="11"/>
      <c r="D1064" s="11">
        <v>90.0</v>
      </c>
      <c r="E1064" s="12" t="s">
        <v>300</v>
      </c>
      <c r="F1064" s="13">
        <f>'БД_УСЛУГИ_РО'!P838+'БД_ЗАПЧАСТИ'!P780</f>
        <v>12000</v>
      </c>
      <c r="G1064" s="29"/>
      <c r="H1064" s="101">
        <f>'БД_УСЛУГИ_РО'!P838</f>
        <v>5800</v>
      </c>
      <c r="I1064" s="2"/>
      <c r="J1064" s="85">
        <f t="shared" si="70"/>
        <v>12000</v>
      </c>
      <c r="K1064" s="84">
        <v>12000.0</v>
      </c>
      <c r="L1064" s="61">
        <f>IFERROR(VLOOKUP("iPhone 15 Plus Замена основной камеры", 'РЕМОНТ_ЯБЛОК'!C:D, 2, 0), "Ошибка")</f>
        <v>12000</v>
      </c>
      <c r="M1064" s="96"/>
      <c r="N1064" s="29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idden="1">
      <c r="A1065" s="2"/>
      <c r="B1065" s="57" t="s">
        <v>297</v>
      </c>
      <c r="C1065" s="11"/>
      <c r="D1065" s="11">
        <v>90.0</v>
      </c>
      <c r="E1065" s="12" t="s">
        <v>301</v>
      </c>
      <c r="F1065" s="13">
        <f>'БД_УСЛУГИ_РО'!P839+'БД_ЗАПЧАСТИ'!P824</f>
        <v>9900</v>
      </c>
      <c r="G1065" s="29"/>
      <c r="H1065" s="101">
        <f>'БД_УСЛУГИ_РО'!P839</f>
        <v>6400</v>
      </c>
      <c r="I1065" s="2"/>
      <c r="J1065" s="85">
        <f t="shared" si="70"/>
        <v>9900</v>
      </c>
      <c r="K1065" s="84">
        <v>9900.0</v>
      </c>
      <c r="L1065" s="61">
        <f>IFERROR(VLOOKUP("iPhone 15 Plus Ремонт/замена фронтальной камеры", 'РЕМОНТ_ЯБЛОК'!C:D, 2, 0), "Ошибка")</f>
        <v>10000</v>
      </c>
      <c r="M1065" s="96"/>
      <c r="N1065" s="29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idden="1">
      <c r="A1066" s="2"/>
      <c r="B1066" s="57" t="s">
        <v>297</v>
      </c>
      <c r="C1066" s="11"/>
      <c r="D1066" s="11">
        <v>180.0</v>
      </c>
      <c r="E1066" s="12" t="s">
        <v>52</v>
      </c>
      <c r="F1066" s="13">
        <f>'БД_УСЛУГИ_РО'!P840+'БД_ЗАПЧАСТИ'!P566</f>
        <v>5000</v>
      </c>
      <c r="G1066" s="29"/>
      <c r="H1066" s="101">
        <f>'БД_УСЛУГИ_РО'!P840</f>
        <v>4300</v>
      </c>
      <c r="I1066" s="2"/>
      <c r="J1066" s="85">
        <f t="shared" si="70"/>
        <v>5000</v>
      </c>
      <c r="K1066" s="84">
        <v>5000.0</v>
      </c>
      <c r="L1066" s="61">
        <f>IFERROR(VLOOKUP("iPhone 15 Plus Замена стекла камеры", 'РЕМОНТ_ЯБЛОК'!C:D, 2, 0), "Ошибка")</f>
        <v>5000</v>
      </c>
      <c r="M1066" s="96"/>
      <c r="N1066" s="29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idden="1">
      <c r="A1067" s="2"/>
      <c r="B1067" s="57" t="s">
        <v>297</v>
      </c>
      <c r="C1067" s="11"/>
      <c r="D1067" s="11">
        <v>90.0</v>
      </c>
      <c r="E1067" s="12" t="s">
        <v>53</v>
      </c>
      <c r="F1067" s="13">
        <f>'БД_УСЛУГИ_РО'!P841</f>
        <v>8500</v>
      </c>
      <c r="G1067" s="29"/>
      <c r="H1067" s="5"/>
      <c r="I1067" s="2"/>
      <c r="J1067" s="92"/>
      <c r="K1067" s="93">
        <v>8500.0</v>
      </c>
      <c r="L1067" s="65"/>
      <c r="M1067" s="94"/>
      <c r="N1067" s="33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idden="1">
      <c r="A1068" s="2"/>
      <c r="B1068" s="57" t="s">
        <v>297</v>
      </c>
      <c r="C1068" s="11"/>
      <c r="D1068" s="11">
        <v>180.0</v>
      </c>
      <c r="E1068" s="12" t="s">
        <v>54</v>
      </c>
      <c r="F1068" s="13">
        <f>'БД_УСЛУГИ_РО'!P842+'БД_ЗАПЧАСТИ'!P446</f>
        <v>4600</v>
      </c>
      <c r="G1068" s="33" t="str">
        <f>MIN(F1068:F1069) &amp; " - " &amp; MAX(F1068:F1069)</f>
        <v>4600 - 8000</v>
      </c>
      <c r="H1068" s="101">
        <f>'БД_УСЛУГИ_РО'!P842</f>
        <v>4600</v>
      </c>
      <c r="I1068" s="2"/>
      <c r="J1068" s="92"/>
      <c r="K1068" s="93">
        <v>4600.0</v>
      </c>
      <c r="L1068" s="65"/>
      <c r="M1068" s="94"/>
      <c r="N1068" s="33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idden="1">
      <c r="A1069" s="2"/>
      <c r="B1069" s="57" t="s">
        <v>297</v>
      </c>
      <c r="C1069" s="11"/>
      <c r="D1069" s="11">
        <v>180.0</v>
      </c>
      <c r="E1069" s="12" t="s">
        <v>55</v>
      </c>
      <c r="F1069" s="13">
        <f>'БД_УСЛУГИ_РО'!P842+'БД_ЗАПЧАСТИ'!P451</f>
        <v>8000</v>
      </c>
      <c r="G1069" s="28"/>
      <c r="H1069" s="101">
        <f>'БД_УСЛУГИ_РО'!P842</f>
        <v>4600</v>
      </c>
      <c r="I1069" s="2"/>
      <c r="J1069" s="85">
        <f>F1069</f>
        <v>8000</v>
      </c>
      <c r="K1069" s="93">
        <v>8000.0</v>
      </c>
      <c r="L1069" s="61">
        <f>IFERROR(VLOOKUP("iPhone 15 Plus Замена задней крышки", 'РЕМОНТ_ЯБЛОК'!C:D, 2, 0), "Ошибка")</f>
        <v>8000</v>
      </c>
      <c r="M1069" s="105"/>
      <c r="N1069" s="33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idden="1">
      <c r="A1070" s="2"/>
      <c r="B1070" s="57" t="s">
        <v>297</v>
      </c>
      <c r="C1070" s="11"/>
      <c r="D1070" s="11">
        <v>180.0</v>
      </c>
      <c r="E1070" s="12" t="s">
        <v>56</v>
      </c>
      <c r="F1070" s="13">
        <f>'БД_УСЛУГИ_РО'!P843</f>
        <v>8600</v>
      </c>
      <c r="G1070" s="29"/>
      <c r="H1070" s="101">
        <f>'БД_УСЛУГИ_РО'!P843</f>
        <v>8600</v>
      </c>
      <c r="I1070" s="2"/>
      <c r="J1070" s="92"/>
      <c r="K1070" s="93">
        <v>8600.0</v>
      </c>
      <c r="L1070" s="65"/>
      <c r="M1070" s="94"/>
      <c r="N1070" s="33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idden="1">
      <c r="A1071" s="2"/>
      <c r="B1071" s="57" t="s">
        <v>297</v>
      </c>
      <c r="C1071" s="11"/>
      <c r="D1071" s="11">
        <v>180.0</v>
      </c>
      <c r="E1071" s="12" t="s">
        <v>57</v>
      </c>
      <c r="F1071" s="13">
        <f>'БД_УСЛУГИ_РО'!P844</f>
        <v>6300</v>
      </c>
      <c r="G1071" s="29"/>
      <c r="H1071" s="101">
        <f>'БД_УСЛУГИ_РО'!P844</f>
        <v>6300</v>
      </c>
      <c r="I1071" s="2"/>
      <c r="J1071" s="85">
        <f>F1071</f>
        <v>6300</v>
      </c>
      <c r="K1071" s="84">
        <v>6300.0</v>
      </c>
      <c r="L1071" s="61">
        <f>IFERROR(VLOOKUP("iPhone 15 Plus Замена средней корпуса", 'РЕМОНТ_ЯБЛОК'!C:D, 2, 0), "Ошибка")</f>
        <v>10000</v>
      </c>
      <c r="M1071" s="96"/>
      <c r="N1071" s="29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idden="1">
      <c r="A1072" s="2"/>
      <c r="B1072" s="57" t="s">
        <v>297</v>
      </c>
      <c r="C1072" s="11"/>
      <c r="D1072" s="11">
        <v>90.0</v>
      </c>
      <c r="E1072" s="12" t="s">
        <v>59</v>
      </c>
      <c r="F1072" s="13">
        <f>'БД_УСЛУГИ_РО'!P845</f>
        <v>7200</v>
      </c>
      <c r="G1072" s="29"/>
      <c r="H1072" s="5"/>
      <c r="I1072" s="2"/>
      <c r="J1072" s="83"/>
      <c r="K1072" s="84">
        <v>7200.0</v>
      </c>
      <c r="L1072" s="61"/>
      <c r="M1072" s="60"/>
      <c r="N1072" s="29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idden="1">
      <c r="A1073" s="2"/>
      <c r="B1073" s="57" t="s">
        <v>297</v>
      </c>
      <c r="C1073" s="11"/>
      <c r="D1073" s="11">
        <v>90.0</v>
      </c>
      <c r="E1073" s="12" t="s">
        <v>302</v>
      </c>
      <c r="F1073" s="13">
        <f>'БД_УСЛУГИ_РО'!P846+'БД_ЗАПЧАСТИ'!P909</f>
        <v>5300</v>
      </c>
      <c r="G1073" s="29"/>
      <c r="H1073" s="101">
        <f>'БД_УСЛУГИ_РО'!P846</f>
        <v>5300</v>
      </c>
      <c r="I1073" s="2"/>
      <c r="J1073" s="83"/>
      <c r="K1073" s="84">
        <v>5300.0</v>
      </c>
      <c r="L1073" s="61"/>
      <c r="M1073" s="60"/>
      <c r="N1073" s="29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idden="1">
      <c r="A1074" s="2"/>
      <c r="B1074" s="57" t="s">
        <v>297</v>
      </c>
      <c r="C1074" s="11"/>
      <c r="D1074" s="11">
        <v>90.0</v>
      </c>
      <c r="E1074" s="12" t="s">
        <v>303</v>
      </c>
      <c r="F1074" s="13">
        <f>'БД_УСЛУГИ_РО'!P847+'БД_ЗАПЧАСТИ'!P869</f>
        <v>6650</v>
      </c>
      <c r="G1074" s="29"/>
      <c r="H1074" s="101">
        <f>'БД_УСЛУГИ_РО'!P847</f>
        <v>5300</v>
      </c>
      <c r="I1074" s="2"/>
      <c r="J1074" s="83"/>
      <c r="K1074" s="84">
        <v>6650.0</v>
      </c>
      <c r="L1074" s="61"/>
      <c r="M1074" s="60"/>
      <c r="N1074" s="29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idden="1">
      <c r="A1075" s="2"/>
      <c r="B1075" s="57" t="s">
        <v>297</v>
      </c>
      <c r="C1075" s="11"/>
      <c r="D1075" s="11">
        <v>90.0</v>
      </c>
      <c r="E1075" s="32" t="s">
        <v>62</v>
      </c>
      <c r="F1075" s="13">
        <f>'БД_УСЛУГИ_РО'!P848+'БД_ЗАПЧАСТИ'!P703</f>
        <v>10650</v>
      </c>
      <c r="G1075" s="29"/>
      <c r="H1075" s="101">
        <f>'БД_УСЛУГИ_РО'!P848</f>
        <v>5900</v>
      </c>
      <c r="I1075" s="2"/>
      <c r="J1075" s="92"/>
      <c r="K1075" s="93">
        <v>10650.0</v>
      </c>
      <c r="L1075" s="65"/>
      <c r="M1075" s="94"/>
      <c r="N1075" s="33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idden="1">
      <c r="A1076" s="2"/>
      <c r="B1076" s="57" t="s">
        <v>297</v>
      </c>
      <c r="C1076" s="11"/>
      <c r="D1076" s="11">
        <v>90.0</v>
      </c>
      <c r="E1076" s="12" t="s">
        <v>63</v>
      </c>
      <c r="F1076" s="13">
        <f>'БД_УСЛУГИ_РО'!P849</f>
        <v>6500</v>
      </c>
      <c r="G1076" s="29"/>
      <c r="H1076" s="5"/>
      <c r="I1076" s="2"/>
      <c r="J1076" s="92"/>
      <c r="K1076" s="93">
        <v>6500.0</v>
      </c>
      <c r="L1076" s="65"/>
      <c r="M1076" s="94"/>
      <c r="N1076" s="33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idden="1">
      <c r="A1077" s="2"/>
      <c r="B1077" s="57" t="s">
        <v>297</v>
      </c>
      <c r="C1077" s="11"/>
      <c r="D1077" s="11">
        <v>90.0</v>
      </c>
      <c r="E1077" s="12" t="s">
        <v>64</v>
      </c>
      <c r="F1077" s="13">
        <f>'БД_УСЛУГИ_РО'!P851</f>
        <v>7700</v>
      </c>
      <c r="G1077" s="29"/>
      <c r="H1077" s="5"/>
      <c r="I1077" s="2"/>
      <c r="J1077" s="92"/>
      <c r="K1077" s="93">
        <v>7700.0</v>
      </c>
      <c r="L1077" s="65"/>
      <c r="M1077" s="94"/>
      <c r="N1077" s="33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idden="1">
      <c r="A1078" s="2"/>
      <c r="B1078" s="57" t="s">
        <v>297</v>
      </c>
      <c r="C1078" s="11"/>
      <c r="D1078" s="11">
        <v>90.0</v>
      </c>
      <c r="E1078" s="12" t="s">
        <v>65</v>
      </c>
      <c r="F1078" s="13">
        <f>'БД_УСЛУГИ_РО'!P850+'БД_УСЛУГИ_РО'!P852</f>
        <v>16700</v>
      </c>
      <c r="G1078" s="29"/>
      <c r="H1078" s="5"/>
      <c r="I1078" s="2"/>
      <c r="J1078" s="92"/>
      <c r="K1078" s="93">
        <v>16700.0</v>
      </c>
      <c r="L1078" s="65"/>
      <c r="M1078" s="94"/>
      <c r="N1078" s="33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idden="1">
      <c r="A1079" s="2"/>
      <c r="B1079" s="69" t="s">
        <v>297</v>
      </c>
      <c r="C1079" s="36"/>
      <c r="D1079" s="36">
        <v>90.0</v>
      </c>
      <c r="E1079" s="70" t="s">
        <v>66</v>
      </c>
      <c r="F1079" s="38">
        <f>'БД_УСЛУГИ_РО'!P850+'БД_УСЛУГИ_РО'!P853</f>
        <v>17200</v>
      </c>
      <c r="G1079" s="39"/>
      <c r="H1079" s="5"/>
      <c r="I1079" s="2"/>
      <c r="J1079" s="91"/>
      <c r="K1079" s="89">
        <v>17200.0</v>
      </c>
      <c r="L1079" s="73"/>
      <c r="M1079" s="74"/>
      <c r="N1079" s="39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idden="1">
      <c r="A1080" s="2"/>
      <c r="B1080" s="1"/>
      <c r="C1080" s="1"/>
      <c r="D1080" s="95"/>
      <c r="E1080" s="30"/>
      <c r="F1080" s="80"/>
      <c r="G1080" s="76"/>
      <c r="H1080" s="5"/>
      <c r="I1080" s="2"/>
      <c r="J1080" s="2"/>
      <c r="K1080" s="2" t="s">
        <v>22</v>
      </c>
      <c r="L1080" s="2"/>
      <c r="M1080" s="3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idden="1">
      <c r="A1081" s="2"/>
      <c r="B1081" s="41" t="s">
        <v>304</v>
      </c>
      <c r="C1081" s="42"/>
      <c r="D1081" s="42">
        <v>0.0</v>
      </c>
      <c r="E1081" s="51" t="s">
        <v>24</v>
      </c>
      <c r="F1081" s="44">
        <f>'БД_УСЛУГИ_РО'!P854</f>
        <v>1</v>
      </c>
      <c r="G1081" s="78"/>
      <c r="H1081" s="5"/>
      <c r="I1081" s="2"/>
      <c r="J1081" s="81"/>
      <c r="K1081" s="82">
        <v>1.0</v>
      </c>
      <c r="L1081" s="55"/>
      <c r="M1081" s="56"/>
      <c r="N1081" s="5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idden="1">
      <c r="A1082" s="2"/>
      <c r="B1082" s="57" t="s">
        <v>304</v>
      </c>
      <c r="C1082" s="11"/>
      <c r="D1082" s="11">
        <v>0.0</v>
      </c>
      <c r="E1082" s="12" t="s">
        <v>26</v>
      </c>
      <c r="F1082" s="13">
        <f>'БД_УСЛУГИ_РО'!P855+'БД_УСЛУГИ_РО'!P856</f>
        <v>2300</v>
      </c>
      <c r="G1082" s="29"/>
      <c r="H1082" s="5"/>
      <c r="I1082" s="2"/>
      <c r="J1082" s="83"/>
      <c r="K1082" s="84">
        <v>2300.0</v>
      </c>
      <c r="L1082" s="61"/>
      <c r="M1082" s="60"/>
      <c r="N1082" s="29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idden="1">
      <c r="A1083" s="2"/>
      <c r="B1083" s="57" t="s">
        <v>304</v>
      </c>
      <c r="C1083" s="11"/>
      <c r="D1083" s="11">
        <v>0.0</v>
      </c>
      <c r="E1083" s="32" t="s">
        <v>27</v>
      </c>
      <c r="F1083" s="13">
        <f>'БД_УСЛУГИ_РО'!P857</f>
        <v>700</v>
      </c>
      <c r="G1083" s="33" t="str">
        <f>MIN(F1083:F1084) &amp; " - " &amp; MAX(F1083:F1084)</f>
        <v>700 - 6000</v>
      </c>
      <c r="H1083" s="5"/>
      <c r="I1083" s="2"/>
      <c r="J1083" s="83"/>
      <c r="K1083" s="84">
        <v>700.0</v>
      </c>
      <c r="L1083" s="61"/>
      <c r="M1083" s="60"/>
      <c r="N1083" s="29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idden="1">
      <c r="A1084" s="2"/>
      <c r="B1084" s="57" t="s">
        <v>304</v>
      </c>
      <c r="C1084" s="11"/>
      <c r="D1084" s="11">
        <v>0.0</v>
      </c>
      <c r="E1084" s="32" t="s">
        <v>28</v>
      </c>
      <c r="F1084" s="13">
        <f>'БД_УСЛУГИ_РО'!P858</f>
        <v>6000</v>
      </c>
      <c r="G1084" s="28"/>
      <c r="H1084" s="5"/>
      <c r="I1084" s="2"/>
      <c r="J1084" s="83"/>
      <c r="K1084" s="84">
        <v>6000.0</v>
      </c>
      <c r="L1084" s="61"/>
      <c r="M1084" s="60"/>
      <c r="N1084" s="29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idden="1">
      <c r="A1085" s="2"/>
      <c r="B1085" s="57" t="s">
        <v>304</v>
      </c>
      <c r="C1085" s="11"/>
      <c r="D1085" s="11">
        <v>180.0</v>
      </c>
      <c r="E1085" s="12" t="s">
        <v>202</v>
      </c>
      <c r="F1085" s="13">
        <f>'БД_УСЛУГИ_РО'!P859+'БД_ЗАПЧАСТИ'!P107</f>
        <v>15950</v>
      </c>
      <c r="G1085" s="33" t="str">
        <f>IFERROR(__xludf.DUMMYFUNCTION("MIN(FILTER(F1085:F1090, F1085:F1090 &lt;&gt; H1085:H1090)) &amp; "" - "" &amp; MAX(FILTER(F1085:F1090, F1085:F1090 &lt;&gt; H1085:H1090))"),"9000 - 15950")</f>
        <v>9000 - 15950</v>
      </c>
      <c r="H1085" s="101">
        <f>'БД_УСЛУГИ_РО'!P859</f>
        <v>6100</v>
      </c>
      <c r="I1085" s="2"/>
      <c r="J1085" s="86">
        <f>IFERROR(__xludf.DUMMYFUNCTION("MIN(FILTER(F1085:F1090, F1085:F1090 &lt;&gt; H1085:H1090, F1085:F1090 &lt;&gt; """"))"),9000.0)</f>
        <v>9000</v>
      </c>
      <c r="K1085" s="84">
        <v>15950.0</v>
      </c>
      <c r="L1085" s="31">
        <f>IFERROR(VLOOKUP("iPhone 15 Pro Замена аккумулятора", 'РЕМОНТ_ЯБЛОК'!C:D, 2, 0), "Ошибка")</f>
        <v>9000</v>
      </c>
      <c r="M1085" s="60"/>
      <c r="N1085" s="29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idden="1">
      <c r="A1086" s="2"/>
      <c r="B1086" s="57" t="s">
        <v>304</v>
      </c>
      <c r="C1086" s="11"/>
      <c r="D1086" s="11">
        <v>180.0</v>
      </c>
      <c r="E1086" s="12" t="s">
        <v>203</v>
      </c>
      <c r="F1086" s="13">
        <f>'БД_УСЛУГИ_РО'!P859+'БД_ЗАПЧАСТИ'!P108</f>
        <v>11000</v>
      </c>
      <c r="G1086" s="19"/>
      <c r="H1086" s="101">
        <f>'БД_УСЛУГИ_РО'!P859</f>
        <v>6100</v>
      </c>
      <c r="I1086" s="2"/>
      <c r="J1086" s="103"/>
      <c r="K1086" s="84">
        <v>11000.0</v>
      </c>
      <c r="L1086" s="104"/>
      <c r="M1086" s="60"/>
      <c r="N1086" s="29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idden="1">
      <c r="A1087" s="2"/>
      <c r="B1087" s="57" t="s">
        <v>304</v>
      </c>
      <c r="C1087" s="11"/>
      <c r="D1087" s="11">
        <v>180.0</v>
      </c>
      <c r="E1087" s="12" t="s">
        <v>32</v>
      </c>
      <c r="F1087" s="13">
        <f>'БД_УСЛУГИ_РО'!P859+'БД_ЗАПЧАСТИ'!P109</f>
        <v>10500</v>
      </c>
      <c r="G1087" s="19"/>
      <c r="H1087" s="101">
        <f>'БД_УСЛУГИ_РО'!P859</f>
        <v>6100</v>
      </c>
      <c r="I1087" s="2"/>
      <c r="J1087" s="103"/>
      <c r="K1087" s="84">
        <v>10500.0</v>
      </c>
      <c r="L1087" s="104"/>
      <c r="M1087" s="60"/>
      <c r="N1087" s="29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idden="1">
      <c r="A1088" s="2"/>
      <c r="B1088" s="57" t="s">
        <v>304</v>
      </c>
      <c r="C1088" s="11"/>
      <c r="D1088" s="11">
        <v>180.0</v>
      </c>
      <c r="E1088" s="12" t="s">
        <v>33</v>
      </c>
      <c r="F1088" s="13">
        <f>'БД_УСЛУГИ_РО'!P859+'БД_ЗАПЧАСТИ'!P110</f>
        <v>9500</v>
      </c>
      <c r="G1088" s="19"/>
      <c r="H1088" s="101">
        <f>'БД_УСЛУГИ_РО'!P859</f>
        <v>6100</v>
      </c>
      <c r="I1088" s="2"/>
      <c r="J1088" s="103"/>
      <c r="K1088" s="84">
        <v>9500.0</v>
      </c>
      <c r="L1088" s="104"/>
      <c r="M1088" s="60"/>
      <c r="N1088" s="29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idden="1">
      <c r="A1089" s="2"/>
      <c r="B1089" s="57" t="s">
        <v>304</v>
      </c>
      <c r="C1089" s="11"/>
      <c r="D1089" s="11">
        <v>180.0</v>
      </c>
      <c r="E1089" s="12" t="s">
        <v>34</v>
      </c>
      <c r="F1089" s="13">
        <f>'БД_УСЛУГИ_РО'!P859+'БД_ЗАПЧАСТИ'!P111</f>
        <v>9000</v>
      </c>
      <c r="G1089" s="19"/>
      <c r="H1089" s="101">
        <f>'БД_УСЛУГИ_РО'!P859</f>
        <v>6100</v>
      </c>
      <c r="I1089" s="2"/>
      <c r="J1089" s="87"/>
      <c r="K1089" s="84">
        <v>9000.0</v>
      </c>
      <c r="L1089" s="67"/>
      <c r="M1089" s="60"/>
      <c r="N1089" s="29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idden="1">
      <c r="A1090" s="2"/>
      <c r="B1090" s="57" t="s">
        <v>304</v>
      </c>
      <c r="C1090" s="11"/>
      <c r="D1090" s="11">
        <v>180.0</v>
      </c>
      <c r="E1090" s="12" t="s">
        <v>35</v>
      </c>
      <c r="F1090" s="13">
        <f>'БД_УСЛУГИ_РО'!P859+'БД_УСЛУГИ_РО'!P860+'БД_ЗАПЧАСТИ'!P111</f>
        <v>13200</v>
      </c>
      <c r="G1090" s="28"/>
      <c r="H1090" s="101">
        <f>'БД_УСЛУГИ_РО'!P859+'БД_УСЛУГИ_РО'!P860</f>
        <v>10300</v>
      </c>
      <c r="I1090" s="2"/>
      <c r="J1090" s="83"/>
      <c r="K1090" s="84">
        <v>13200.0</v>
      </c>
      <c r="L1090" s="61"/>
      <c r="M1090" s="60"/>
      <c r="N1090" s="29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idden="1">
      <c r="A1091" s="2"/>
      <c r="B1091" s="57" t="s">
        <v>304</v>
      </c>
      <c r="C1091" s="11"/>
      <c r="D1091" s="11">
        <v>90.0</v>
      </c>
      <c r="E1091" s="12" t="s">
        <v>305</v>
      </c>
      <c r="F1091" s="13">
        <f>'БД_УСЛУГИ_РО'!P861+'БД_ЗАПЧАСТИ'!P708</f>
        <v>11000</v>
      </c>
      <c r="G1091" s="29"/>
      <c r="H1091" s="101">
        <f>'БД_УСЛУГИ_РО'!P861</f>
        <v>6500</v>
      </c>
      <c r="I1091" s="2"/>
      <c r="J1091" s="83"/>
      <c r="K1091" s="84">
        <v>11000.0</v>
      </c>
      <c r="L1091" s="61"/>
      <c r="M1091" s="60"/>
      <c r="N1091" s="29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idden="1">
      <c r="A1092" s="2"/>
      <c r="B1092" s="57" t="s">
        <v>304</v>
      </c>
      <c r="C1092" s="11"/>
      <c r="D1092" s="11">
        <v>90.0</v>
      </c>
      <c r="E1092" s="12" t="s">
        <v>205</v>
      </c>
      <c r="F1092" s="13">
        <f>'БД_УСЛУГИ_РО'!P862+'БД_ЗАПЧАСТИ'!P265</f>
        <v>32700</v>
      </c>
      <c r="G1092" s="33" t="str">
        <f>IFERROR(__xludf.DUMMYFUNCTION("MIN(FILTER(F1092:F1098, F1092:F1098 &lt;&gt; H1092:H1098)) &amp; "" - "" &amp; MAX(FILTER(F1092:F1098, F1092:F1098 &lt;&gt; H1092:H1098))"),"25000 - 32700")</f>
        <v>25000 - 32700</v>
      </c>
      <c r="H1092" s="101">
        <f>'БД_УСЛУГИ_РО'!P862</f>
        <v>6100</v>
      </c>
      <c r="I1092" s="2"/>
      <c r="J1092" s="86">
        <f>IFERROR(__xludf.DUMMYFUNCTION("MIN(FILTER(F1092:F1096, F1092:F1096 &lt;&gt; H1092:H1096, F1092:F1096 &lt;&gt; """"))"),25000.0)</f>
        <v>25000</v>
      </c>
      <c r="K1092" s="84">
        <v>32700.0</v>
      </c>
      <c r="L1092" s="65">
        <f>IFERROR(VLOOKUP("iPhone 15 Pro Замена дисплея (оригинал)", 'РЕМОНТ_ЯБЛОК'!C:D, 2, 0), "Ошибка")</f>
        <v>25000</v>
      </c>
      <c r="M1092" s="60"/>
      <c r="N1092" s="29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idden="1">
      <c r="A1093" s="2"/>
      <c r="B1093" s="57" t="s">
        <v>304</v>
      </c>
      <c r="C1093" s="11"/>
      <c r="D1093" s="11">
        <v>90.0</v>
      </c>
      <c r="E1093" s="12" t="s">
        <v>39</v>
      </c>
      <c r="F1093" s="13">
        <f>'БД_УСЛУГИ_РО'!P862+'БД_ЗАПЧАСТИ'!P266</f>
        <v>27950</v>
      </c>
      <c r="G1093" s="19"/>
      <c r="H1093" s="101">
        <f>'БД_УСЛУГИ_РО'!P862</f>
        <v>6100</v>
      </c>
      <c r="I1093" s="2"/>
      <c r="J1093" s="103"/>
      <c r="K1093" s="84">
        <v>27950.0</v>
      </c>
      <c r="L1093" s="104"/>
      <c r="M1093" s="60"/>
      <c r="N1093" s="29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idden="1">
      <c r="A1094" s="2"/>
      <c r="B1094" s="57" t="s">
        <v>304</v>
      </c>
      <c r="C1094" s="11"/>
      <c r="D1094" s="11">
        <v>90.0</v>
      </c>
      <c r="E1094" s="12" t="s">
        <v>40</v>
      </c>
      <c r="F1094" s="13">
        <f>'БД_УСЛУГИ_РО'!P862+'БД_ЗАПЧАСТИ'!P267</f>
        <v>26250</v>
      </c>
      <c r="G1094" s="19"/>
      <c r="H1094" s="101">
        <f>'БД_УСЛУГИ_РО'!P862</f>
        <v>6100</v>
      </c>
      <c r="I1094" s="2"/>
      <c r="J1094" s="103"/>
      <c r="K1094" s="84">
        <v>26250.0</v>
      </c>
      <c r="L1094" s="104"/>
      <c r="M1094" s="60"/>
      <c r="N1094" s="29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idden="1">
      <c r="A1095" s="2"/>
      <c r="B1095" s="57" t="s">
        <v>304</v>
      </c>
      <c r="C1095" s="11"/>
      <c r="D1095" s="11">
        <v>90.0</v>
      </c>
      <c r="E1095" s="12" t="s">
        <v>42</v>
      </c>
      <c r="F1095" s="13">
        <f>'БД_УСЛУГИ_РО'!P862+'БД_ЗАПЧАСТИ'!P268</f>
        <v>25900</v>
      </c>
      <c r="G1095" s="19"/>
      <c r="H1095" s="101">
        <f>'БД_УСЛУГИ_РО'!P862</f>
        <v>6100</v>
      </c>
      <c r="I1095" s="2"/>
      <c r="J1095" s="103"/>
      <c r="K1095" s="84">
        <v>25900.0</v>
      </c>
      <c r="L1095" s="104"/>
      <c r="M1095" s="60"/>
      <c r="N1095" s="29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idden="1">
      <c r="A1096" s="2"/>
      <c r="B1096" s="57" t="s">
        <v>304</v>
      </c>
      <c r="C1096" s="11"/>
      <c r="D1096" s="11">
        <v>90.0</v>
      </c>
      <c r="E1096" s="12" t="s">
        <v>43</v>
      </c>
      <c r="F1096" s="13">
        <f>'БД_УСЛУГИ_РО'!P862+'БД_ЗАПЧАСТИ'!P269</f>
        <v>25000</v>
      </c>
      <c r="G1096" s="19"/>
      <c r="H1096" s="101">
        <f>'БД_УСЛУГИ_РО'!P862</f>
        <v>6100</v>
      </c>
      <c r="I1096" s="2"/>
      <c r="J1096" s="87"/>
      <c r="K1096" s="84">
        <v>25000.0</v>
      </c>
      <c r="L1096" s="67"/>
      <c r="M1096" s="60"/>
      <c r="N1096" s="29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idden="1">
      <c r="A1097" s="2"/>
      <c r="B1097" s="57" t="s">
        <v>304</v>
      </c>
      <c r="C1097" s="11"/>
      <c r="D1097" s="11">
        <v>90.0</v>
      </c>
      <c r="E1097" s="12" t="s">
        <v>45</v>
      </c>
      <c r="F1097" s="13">
        <f>'БД_УСЛУГИ_РО'!P862</f>
        <v>6100</v>
      </c>
      <c r="G1097" s="19"/>
      <c r="H1097" s="101">
        <f>'БД_УСЛУГИ_РО'!P862</f>
        <v>6100</v>
      </c>
      <c r="I1097" s="2"/>
      <c r="J1097" s="92" t="str">
        <f>IFERROR(__xludf.DUMMYFUNCTION("MIN(FILTER(F1097:F1098, F1097:F1098 &lt;&gt; H1097:H1098, F1097:F1098 &lt;&gt; """"))"),"#N/A")</f>
        <v>#N/A</v>
      </c>
      <c r="K1097" s="84">
        <v>6100.0</v>
      </c>
      <c r="L1097" s="65">
        <f>IFERROR(VLOOKUP("iPhone 15 Pro Замена дисплея (аналог)", 'РЕМОНТ_ЯБЛОК'!C:D, 2, 0), "Ошибка")</f>
        <v>15000</v>
      </c>
      <c r="M1097" s="60"/>
      <c r="N1097" s="29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idden="1">
      <c r="A1098" s="2"/>
      <c r="B1098" s="57" t="s">
        <v>304</v>
      </c>
      <c r="C1098" s="11"/>
      <c r="D1098" s="11">
        <v>90.0</v>
      </c>
      <c r="E1098" s="12" t="s">
        <v>46</v>
      </c>
      <c r="F1098" s="13">
        <f>'БД_УСЛУГИ_РО'!P862</f>
        <v>6100</v>
      </c>
      <c r="G1098" s="28"/>
      <c r="H1098" s="101">
        <f>'БД_УСЛУГИ_РО'!P862</f>
        <v>6100</v>
      </c>
      <c r="I1098" s="2"/>
      <c r="J1098" s="87"/>
      <c r="K1098" s="84">
        <v>6100.0</v>
      </c>
      <c r="L1098" s="67"/>
      <c r="M1098" s="60"/>
      <c r="N1098" s="29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idden="1">
      <c r="A1099" s="2"/>
      <c r="B1099" s="57" t="s">
        <v>304</v>
      </c>
      <c r="C1099" s="11"/>
      <c r="D1099" s="11">
        <v>90.0</v>
      </c>
      <c r="E1099" s="12" t="s">
        <v>47</v>
      </c>
      <c r="F1099" s="13">
        <f>'БД_УСЛУГИ_РО'!P863</f>
        <v>5000</v>
      </c>
      <c r="G1099" s="29"/>
      <c r="H1099" s="5"/>
      <c r="I1099" s="2"/>
      <c r="J1099" s="83"/>
      <c r="K1099" s="84">
        <v>5000.0</v>
      </c>
      <c r="L1099" s="61"/>
      <c r="M1099" s="60"/>
      <c r="N1099" s="29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idden="1">
      <c r="A1100" s="2"/>
      <c r="B1100" s="57" t="s">
        <v>304</v>
      </c>
      <c r="C1100" s="11"/>
      <c r="D1100" s="11">
        <v>90.0</v>
      </c>
      <c r="E1100" s="12" t="s">
        <v>306</v>
      </c>
      <c r="F1100" s="13">
        <f>'БД_УСЛУГИ_РО'!P864</f>
        <v>18000</v>
      </c>
      <c r="G1100" s="29"/>
      <c r="H1100" s="5"/>
      <c r="I1100" s="2"/>
      <c r="J1100" s="85">
        <f t="shared" ref="J1100:J1103" si="71">F1100</f>
        <v>18000</v>
      </c>
      <c r="K1100" s="84">
        <v>18000.0</v>
      </c>
      <c r="L1100" s="61">
        <f>IFERROR(VLOOKUP("iPhone 15 Pro Переклейка (восстановление) вашего дисплея", 'РЕМОНТ_ЯБЛОК'!C:D, 2, 0), "Ошибка")</f>
        <v>15000</v>
      </c>
      <c r="M1100" s="96"/>
      <c r="N1100" s="29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idden="1">
      <c r="A1101" s="2"/>
      <c r="B1101" s="57" t="s">
        <v>304</v>
      </c>
      <c r="C1101" s="11"/>
      <c r="D1101" s="11">
        <v>90.0</v>
      </c>
      <c r="E1101" s="12" t="s">
        <v>307</v>
      </c>
      <c r="F1101" s="13">
        <f>'БД_УСЛУГИ_РО'!P865+'БД_ЗАПЧАСТИ'!P781</f>
        <v>13900</v>
      </c>
      <c r="G1101" s="29"/>
      <c r="H1101" s="101">
        <f>'БД_УСЛУГИ_РО'!P865</f>
        <v>6100</v>
      </c>
      <c r="I1101" s="2"/>
      <c r="J1101" s="85">
        <f t="shared" si="71"/>
        <v>13900</v>
      </c>
      <c r="K1101" s="84">
        <v>13900.0</v>
      </c>
      <c r="L1101" s="61">
        <f>IFERROR(VLOOKUP("iPhone 15 Pro Замена основной камеры", 'РЕМОНТ_ЯБЛОК'!C:D, 2, 0), "Ошибка")</f>
        <v>14000</v>
      </c>
      <c r="M1101" s="96"/>
      <c r="N1101" s="29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idden="1">
      <c r="A1102" s="2"/>
      <c r="B1102" s="57" t="s">
        <v>304</v>
      </c>
      <c r="C1102" s="11"/>
      <c r="D1102" s="11">
        <v>90.0</v>
      </c>
      <c r="E1102" s="12" t="s">
        <v>308</v>
      </c>
      <c r="F1102" s="13">
        <f>'БД_УСЛУГИ_РО'!P866+'БД_ЗАПЧАСТИ'!P825</f>
        <v>11900</v>
      </c>
      <c r="G1102" s="29"/>
      <c r="H1102" s="101">
        <f>'БД_УСЛУГИ_РО'!P866</f>
        <v>6700</v>
      </c>
      <c r="I1102" s="2"/>
      <c r="J1102" s="85">
        <f t="shared" si="71"/>
        <v>11900</v>
      </c>
      <c r="K1102" s="84">
        <v>11900.0</v>
      </c>
      <c r="L1102" s="61">
        <f>IFERROR(VLOOKUP("iPhone 15 Pro Ремонт/замена фронтальной камеры", 'РЕМОНТ_ЯБЛОК'!C:D, 2, 0), "Ошибка")</f>
        <v>12000</v>
      </c>
      <c r="M1102" s="96"/>
      <c r="N1102" s="29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idden="1">
      <c r="A1103" s="2"/>
      <c r="B1103" s="57" t="s">
        <v>304</v>
      </c>
      <c r="C1103" s="11"/>
      <c r="D1103" s="11">
        <v>180.0</v>
      </c>
      <c r="E1103" s="12" t="s">
        <v>52</v>
      </c>
      <c r="F1103" s="13">
        <f>'БД_УСЛУГИ_РО'!P867+'БД_ЗАПЧАСТИ'!P568</f>
        <v>5500</v>
      </c>
      <c r="G1103" s="29"/>
      <c r="H1103" s="101">
        <f>'БД_УСЛУГИ_РО'!P867</f>
        <v>4700</v>
      </c>
      <c r="I1103" s="2"/>
      <c r="J1103" s="85">
        <f t="shared" si="71"/>
        <v>5500</v>
      </c>
      <c r="K1103" s="84">
        <v>5500.0</v>
      </c>
      <c r="L1103" s="61">
        <f>IFERROR(VLOOKUP("iPhone 15 Pro Замена стекла камеры", 'РЕМОНТ_ЯБЛОК'!C:D, 2, 0), "Ошибка")</f>
        <v>5500</v>
      </c>
      <c r="M1103" s="96"/>
      <c r="N1103" s="29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idden="1">
      <c r="A1104" s="2"/>
      <c r="B1104" s="57" t="s">
        <v>304</v>
      </c>
      <c r="C1104" s="11"/>
      <c r="D1104" s="11">
        <v>90.0</v>
      </c>
      <c r="E1104" s="12" t="s">
        <v>53</v>
      </c>
      <c r="F1104" s="13">
        <f>'БД_УСЛУГИ_РО'!P868</f>
        <v>8500</v>
      </c>
      <c r="G1104" s="29"/>
      <c r="H1104" s="5"/>
      <c r="I1104" s="2"/>
      <c r="J1104" s="92"/>
      <c r="K1104" s="93">
        <v>8500.0</v>
      </c>
      <c r="L1104" s="65"/>
      <c r="M1104" s="94"/>
      <c r="N1104" s="33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idden="1">
      <c r="A1105" s="2"/>
      <c r="B1105" s="57" t="s">
        <v>304</v>
      </c>
      <c r="C1105" s="11"/>
      <c r="D1105" s="11">
        <v>180.0</v>
      </c>
      <c r="E1105" s="12" t="s">
        <v>54</v>
      </c>
      <c r="F1105" s="13">
        <f>'БД_УСЛУГИ_РО'!P869+'БД_ЗАПЧАСТИ'!P456</f>
        <v>13000</v>
      </c>
      <c r="G1105" s="33" t="str">
        <f>MIN(F1105:F1106) &amp; " - " &amp; MAX(F1105:F1106)</f>
        <v>8000 - 13000</v>
      </c>
      <c r="H1105" s="101">
        <f>'БД_УСЛУГИ_РО'!P869</f>
        <v>4700</v>
      </c>
      <c r="I1105" s="2"/>
      <c r="J1105" s="92"/>
      <c r="K1105" s="93">
        <v>13000.0</v>
      </c>
      <c r="L1105" s="65"/>
      <c r="M1105" s="94"/>
      <c r="N1105" s="33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idden="1">
      <c r="A1106" s="2"/>
      <c r="B1106" s="57" t="s">
        <v>304</v>
      </c>
      <c r="C1106" s="11"/>
      <c r="D1106" s="11">
        <v>180.0</v>
      </c>
      <c r="E1106" s="12" t="s">
        <v>55</v>
      </c>
      <c r="F1106" s="13">
        <f>'БД_УСЛУГИ_РО'!P869+'БД_ЗАПЧАСТИ'!P460</f>
        <v>8000</v>
      </c>
      <c r="G1106" s="28"/>
      <c r="H1106" s="101">
        <f>'БД_УСЛУГИ_РО'!P869</f>
        <v>4700</v>
      </c>
      <c r="I1106" s="2"/>
      <c r="J1106" s="85">
        <f>F1106</f>
        <v>8000</v>
      </c>
      <c r="K1106" s="93">
        <v>8000.0</v>
      </c>
      <c r="L1106" s="61">
        <f>IFERROR(VLOOKUP("iPhone 15 Pro Замена задней крышки", 'РЕМОНТ_ЯБЛОК'!C:D, 2, 0), "Ошибка")</f>
        <v>8000</v>
      </c>
      <c r="M1106" s="105"/>
      <c r="N1106" s="33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idden="1">
      <c r="A1107" s="2"/>
      <c r="B1107" s="57" t="s">
        <v>304</v>
      </c>
      <c r="C1107" s="11"/>
      <c r="D1107" s="11">
        <v>180.0</v>
      </c>
      <c r="E1107" s="12" t="s">
        <v>56</v>
      </c>
      <c r="F1107" s="13">
        <f>'БД_УСЛУГИ_РО'!P870</f>
        <v>8650</v>
      </c>
      <c r="G1107" s="29"/>
      <c r="H1107" s="101">
        <f>'БД_УСЛУГИ_РО'!P870</f>
        <v>8650</v>
      </c>
      <c r="I1107" s="2"/>
      <c r="J1107" s="92"/>
      <c r="K1107" s="93">
        <v>8650.0</v>
      </c>
      <c r="L1107" s="65"/>
      <c r="M1107" s="94"/>
      <c r="N1107" s="33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idden="1">
      <c r="A1108" s="2"/>
      <c r="B1108" s="57" t="s">
        <v>304</v>
      </c>
      <c r="C1108" s="11"/>
      <c r="D1108" s="11">
        <v>180.0</v>
      </c>
      <c r="E1108" s="12" t="s">
        <v>57</v>
      </c>
      <c r="F1108" s="13">
        <f>'БД_УСЛУГИ_РО'!P871</f>
        <v>6300</v>
      </c>
      <c r="G1108" s="29"/>
      <c r="H1108" s="101">
        <f>'БД_УСЛУГИ_РО'!P871</f>
        <v>6300</v>
      </c>
      <c r="I1108" s="2"/>
      <c r="J1108" s="85">
        <f>F1108</f>
        <v>6300</v>
      </c>
      <c r="K1108" s="84">
        <v>6300.0</v>
      </c>
      <c r="L1108" s="61">
        <f>IFERROR(VLOOKUP("iPhone 15 Pro Замена средней части корпуса", 'РЕМОНТ_ЯБЛОК'!C:D, 2, 0), "Ошибка")</f>
        <v>12000</v>
      </c>
      <c r="M1108" s="96"/>
      <c r="N1108" s="29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idden="1">
      <c r="A1109" s="2"/>
      <c r="B1109" s="57" t="s">
        <v>304</v>
      </c>
      <c r="C1109" s="11"/>
      <c r="D1109" s="11">
        <v>90.0</v>
      </c>
      <c r="E1109" s="12" t="s">
        <v>59</v>
      </c>
      <c r="F1109" s="13">
        <f>'БД_УСЛУГИ_РО'!P872</f>
        <v>7200</v>
      </c>
      <c r="G1109" s="29"/>
      <c r="H1109" s="5"/>
      <c r="I1109" s="2"/>
      <c r="J1109" s="83"/>
      <c r="K1109" s="84">
        <v>7200.0</v>
      </c>
      <c r="L1109" s="61"/>
      <c r="M1109" s="60"/>
      <c r="N1109" s="29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idden="1">
      <c r="A1110" s="2"/>
      <c r="B1110" s="57" t="s">
        <v>304</v>
      </c>
      <c r="C1110" s="11"/>
      <c r="D1110" s="11">
        <v>90.0</v>
      </c>
      <c r="E1110" s="12" t="s">
        <v>309</v>
      </c>
      <c r="F1110" s="13">
        <f>'БД_УСЛУГИ_РО'!P873+'БД_ЗАПЧАСТИ'!P910</f>
        <v>7350</v>
      </c>
      <c r="G1110" s="29"/>
      <c r="H1110" s="101">
        <f>'БД_УСЛУГИ_РО'!P873</f>
        <v>6000</v>
      </c>
      <c r="I1110" s="2"/>
      <c r="J1110" s="83"/>
      <c r="K1110" s="84">
        <v>7350.0</v>
      </c>
      <c r="L1110" s="61"/>
      <c r="M1110" s="60"/>
      <c r="N1110" s="29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idden="1">
      <c r="A1111" s="2"/>
      <c r="B1111" s="57" t="s">
        <v>304</v>
      </c>
      <c r="C1111" s="11"/>
      <c r="D1111" s="11">
        <v>90.0</v>
      </c>
      <c r="E1111" s="12" t="s">
        <v>310</v>
      </c>
      <c r="F1111" s="13">
        <f>'БД_УСЛУГИ_РО'!P874+'БД_ЗАПЧАСТИ'!P870</f>
        <v>7350</v>
      </c>
      <c r="G1111" s="29"/>
      <c r="H1111" s="101">
        <f>'БД_УСЛУГИ_РО'!P874</f>
        <v>6000</v>
      </c>
      <c r="I1111" s="2"/>
      <c r="J1111" s="83"/>
      <c r="K1111" s="84">
        <v>7350.0</v>
      </c>
      <c r="L1111" s="61"/>
      <c r="M1111" s="60"/>
      <c r="N1111" s="29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idden="1">
      <c r="A1112" s="2"/>
      <c r="B1112" s="57" t="s">
        <v>304</v>
      </c>
      <c r="C1112" s="11"/>
      <c r="D1112" s="11">
        <v>90.0</v>
      </c>
      <c r="E1112" s="32" t="s">
        <v>62</v>
      </c>
      <c r="F1112" s="13">
        <f>'БД_УСЛУГИ_РО'!P875+'БД_ЗАПЧАСТИ'!P708</f>
        <v>11100</v>
      </c>
      <c r="G1112" s="29"/>
      <c r="H1112" s="101">
        <f>'БД_УСЛУГИ_РО'!P875</f>
        <v>6600</v>
      </c>
      <c r="I1112" s="2"/>
      <c r="J1112" s="92"/>
      <c r="K1112" s="93">
        <v>11100.0</v>
      </c>
      <c r="L1112" s="65"/>
      <c r="M1112" s="94"/>
      <c r="N1112" s="33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idden="1">
      <c r="A1113" s="2"/>
      <c r="B1113" s="57" t="s">
        <v>304</v>
      </c>
      <c r="C1113" s="11"/>
      <c r="D1113" s="11">
        <v>90.0</v>
      </c>
      <c r="E1113" s="12" t="s">
        <v>63</v>
      </c>
      <c r="F1113" s="13">
        <f>'БД_УСЛУГИ_РО'!P876</f>
        <v>6500</v>
      </c>
      <c r="G1113" s="29"/>
      <c r="H1113" s="5"/>
      <c r="I1113" s="2"/>
      <c r="J1113" s="92"/>
      <c r="K1113" s="93">
        <v>6500.0</v>
      </c>
      <c r="L1113" s="65"/>
      <c r="M1113" s="94"/>
      <c r="N1113" s="33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idden="1">
      <c r="A1114" s="2"/>
      <c r="B1114" s="57" t="s">
        <v>304</v>
      </c>
      <c r="C1114" s="11"/>
      <c r="D1114" s="11">
        <v>90.0</v>
      </c>
      <c r="E1114" s="12" t="s">
        <v>64</v>
      </c>
      <c r="F1114" s="13">
        <f>'БД_УСЛУГИ_РО'!P878</f>
        <v>7700</v>
      </c>
      <c r="G1114" s="29"/>
      <c r="H1114" s="5"/>
      <c r="I1114" s="2"/>
      <c r="J1114" s="92"/>
      <c r="K1114" s="93">
        <v>7700.0</v>
      </c>
      <c r="L1114" s="65"/>
      <c r="M1114" s="94"/>
      <c r="N1114" s="33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idden="1">
      <c r="A1115" s="2"/>
      <c r="B1115" s="57" t="s">
        <v>304</v>
      </c>
      <c r="C1115" s="11"/>
      <c r="D1115" s="11">
        <v>90.0</v>
      </c>
      <c r="E1115" s="12" t="s">
        <v>65</v>
      </c>
      <c r="F1115" s="13">
        <f>'БД_УСЛУГИ_РО'!P877+'БД_УСЛУГИ_РО'!P879</f>
        <v>17200</v>
      </c>
      <c r="G1115" s="29"/>
      <c r="H1115" s="5"/>
      <c r="I1115" s="2"/>
      <c r="J1115" s="92"/>
      <c r="K1115" s="93">
        <v>17200.0</v>
      </c>
      <c r="L1115" s="65"/>
      <c r="M1115" s="94"/>
      <c r="N1115" s="33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idden="1">
      <c r="A1116" s="2"/>
      <c r="B1116" s="69" t="s">
        <v>304</v>
      </c>
      <c r="C1116" s="36"/>
      <c r="D1116" s="36">
        <v>90.0</v>
      </c>
      <c r="E1116" s="70" t="s">
        <v>66</v>
      </c>
      <c r="F1116" s="38">
        <f>'БД_УСЛУГИ_РО'!P877+'БД_УСЛУГИ_РО'!P880</f>
        <v>17700</v>
      </c>
      <c r="G1116" s="39"/>
      <c r="H1116" s="5"/>
      <c r="I1116" s="2"/>
      <c r="J1116" s="91"/>
      <c r="K1116" s="89">
        <v>17700.0</v>
      </c>
      <c r="L1116" s="73"/>
      <c r="M1116" s="74"/>
      <c r="N1116" s="39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idden="1">
      <c r="A1117" s="2"/>
      <c r="B1117" s="1"/>
      <c r="C1117" s="1"/>
      <c r="D1117" s="95"/>
      <c r="E1117" s="30"/>
      <c r="F1117" s="80"/>
      <c r="G1117" s="76"/>
      <c r="H1117" s="5"/>
      <c r="I1117" s="2"/>
      <c r="J1117" s="2"/>
      <c r="K1117" s="2" t="s">
        <v>22</v>
      </c>
      <c r="L1117" s="2"/>
      <c r="M1117" s="3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idden="1">
      <c r="A1118" s="2"/>
      <c r="B1118" s="41" t="s">
        <v>311</v>
      </c>
      <c r="C1118" s="42"/>
      <c r="D1118" s="42">
        <v>0.0</v>
      </c>
      <c r="E1118" s="51" t="s">
        <v>24</v>
      </c>
      <c r="F1118" s="44">
        <f>'БД_УСЛУГИ_РО'!P881</f>
        <v>1</v>
      </c>
      <c r="G1118" s="78"/>
      <c r="H1118" s="5"/>
      <c r="I1118" s="2"/>
      <c r="J1118" s="81"/>
      <c r="K1118" s="82">
        <v>1.0</v>
      </c>
      <c r="L1118" s="55"/>
      <c r="M1118" s="56"/>
      <c r="N1118" s="5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idden="1">
      <c r="A1119" s="2"/>
      <c r="B1119" s="57" t="s">
        <v>311</v>
      </c>
      <c r="C1119" s="11"/>
      <c r="D1119" s="11">
        <v>0.0</v>
      </c>
      <c r="E1119" s="12" t="s">
        <v>26</v>
      </c>
      <c r="F1119" s="13">
        <f>'БД_УСЛУГИ_РО'!P882+'БД_УСЛУГИ_РО'!P883</f>
        <v>2300</v>
      </c>
      <c r="G1119" s="29"/>
      <c r="H1119" s="5"/>
      <c r="I1119" s="2"/>
      <c r="J1119" s="83"/>
      <c r="K1119" s="84">
        <v>2300.0</v>
      </c>
      <c r="L1119" s="61"/>
      <c r="M1119" s="60"/>
      <c r="N1119" s="29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idden="1">
      <c r="A1120" s="2"/>
      <c r="B1120" s="57" t="s">
        <v>311</v>
      </c>
      <c r="C1120" s="11"/>
      <c r="D1120" s="11">
        <v>0.0</v>
      </c>
      <c r="E1120" s="32" t="s">
        <v>27</v>
      </c>
      <c r="F1120" s="13">
        <f>'БД_УСЛУГИ_РО'!P884</f>
        <v>700</v>
      </c>
      <c r="G1120" s="33" t="str">
        <f>MIN(F1120:F1121) &amp; " - " &amp; MAX(F1120:F1121)</f>
        <v>700 - 6000</v>
      </c>
      <c r="H1120" s="5"/>
      <c r="I1120" s="2"/>
      <c r="J1120" s="83"/>
      <c r="K1120" s="84">
        <v>700.0</v>
      </c>
      <c r="L1120" s="61"/>
      <c r="M1120" s="60"/>
      <c r="N1120" s="29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idden="1">
      <c r="A1121" s="2"/>
      <c r="B1121" s="57" t="s">
        <v>311</v>
      </c>
      <c r="C1121" s="11"/>
      <c r="D1121" s="11">
        <v>0.0</v>
      </c>
      <c r="E1121" s="32" t="s">
        <v>28</v>
      </c>
      <c r="F1121" s="13">
        <f>'БД_УСЛУГИ_РО'!P885</f>
        <v>6000</v>
      </c>
      <c r="G1121" s="28"/>
      <c r="H1121" s="5"/>
      <c r="I1121" s="2"/>
      <c r="J1121" s="83"/>
      <c r="K1121" s="84">
        <v>6000.0</v>
      </c>
      <c r="L1121" s="61"/>
      <c r="M1121" s="60"/>
      <c r="N1121" s="29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idden="1">
      <c r="A1122" s="2"/>
      <c r="B1122" s="57" t="s">
        <v>311</v>
      </c>
      <c r="C1122" s="11"/>
      <c r="D1122" s="11">
        <v>180.0</v>
      </c>
      <c r="E1122" s="12" t="s">
        <v>202</v>
      </c>
      <c r="F1122" s="13">
        <f>'БД_УСЛУГИ_РО'!P886+'БД_ЗАПЧАСТИ'!P113</f>
        <v>15950</v>
      </c>
      <c r="G1122" s="33" t="str">
        <f>IFERROR(__xludf.DUMMYFUNCTION("MIN(FILTER(F1122:F1127, F1122:F1127 &lt;&gt; H1122:H1127)) &amp; "" - "" &amp; MAX(FILTER(F1122:F1127, F1122:F1127 &lt;&gt; H1122:H1127))"),"10000 - 15950")</f>
        <v>10000 - 15950</v>
      </c>
      <c r="H1122" s="101">
        <f>'БД_УСЛУГИ_РО'!P886</f>
        <v>6100</v>
      </c>
      <c r="I1122" s="2"/>
      <c r="J1122" s="86">
        <f>IFERROR(__xludf.DUMMYFUNCTION("MIN(FILTER(F1122:F1127, F1122:F1127 &lt;&gt; H1122:H1127, F1122:F1127 &lt;&gt; """"))"),10000.0)</f>
        <v>10000</v>
      </c>
      <c r="K1122" s="84">
        <v>15950.0</v>
      </c>
      <c r="L1122" s="31">
        <f>IFERROR(VLOOKUP("iPhone 15 Pro Max Замена аккумулятора", 'РЕМОНТ_ЯБЛОК'!C:D, 2, 0), "Ошибка")</f>
        <v>10000</v>
      </c>
      <c r="M1122" s="60"/>
      <c r="N1122" s="29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idden="1">
      <c r="A1123" s="2"/>
      <c r="B1123" s="57" t="s">
        <v>311</v>
      </c>
      <c r="C1123" s="11"/>
      <c r="D1123" s="11">
        <v>180.0</v>
      </c>
      <c r="E1123" s="12" t="s">
        <v>203</v>
      </c>
      <c r="F1123" s="13">
        <f>'БД_УСЛУГИ_РО'!P886+'БД_ЗАПЧАСТИ'!P114</f>
        <v>12000</v>
      </c>
      <c r="G1123" s="19"/>
      <c r="H1123" s="101">
        <f>'БД_УСЛУГИ_РО'!P886</f>
        <v>6100</v>
      </c>
      <c r="I1123" s="2"/>
      <c r="J1123" s="103"/>
      <c r="K1123" s="84">
        <v>12000.0</v>
      </c>
      <c r="L1123" s="104"/>
      <c r="M1123" s="60"/>
      <c r="N1123" s="29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idden="1">
      <c r="A1124" s="2"/>
      <c r="B1124" s="57" t="s">
        <v>311</v>
      </c>
      <c r="C1124" s="11"/>
      <c r="D1124" s="11">
        <v>180.0</v>
      </c>
      <c r="E1124" s="12" t="s">
        <v>32</v>
      </c>
      <c r="F1124" s="13">
        <f>'БД_УСЛУГИ_РО'!P886+'БД_ЗАПЧАСТИ'!P115</f>
        <v>11500</v>
      </c>
      <c r="G1124" s="19"/>
      <c r="H1124" s="101">
        <f>'БД_УСЛУГИ_РО'!P886</f>
        <v>6100</v>
      </c>
      <c r="I1124" s="2"/>
      <c r="J1124" s="103"/>
      <c r="K1124" s="84">
        <v>11500.0</v>
      </c>
      <c r="L1124" s="104"/>
      <c r="M1124" s="60"/>
      <c r="N1124" s="29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idden="1">
      <c r="A1125" s="2"/>
      <c r="B1125" s="57" t="s">
        <v>311</v>
      </c>
      <c r="C1125" s="11"/>
      <c r="D1125" s="11">
        <v>180.0</v>
      </c>
      <c r="E1125" s="12" t="s">
        <v>33</v>
      </c>
      <c r="F1125" s="13">
        <f>'БД_УСЛУГИ_РО'!P886+'БД_ЗАПЧАСТИ'!P116</f>
        <v>10500</v>
      </c>
      <c r="G1125" s="19"/>
      <c r="H1125" s="101">
        <f>'БД_УСЛУГИ_РО'!P886</f>
        <v>6100</v>
      </c>
      <c r="I1125" s="2"/>
      <c r="J1125" s="103"/>
      <c r="K1125" s="84">
        <v>10500.0</v>
      </c>
      <c r="L1125" s="104"/>
      <c r="M1125" s="60"/>
      <c r="N1125" s="29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idden="1">
      <c r="A1126" s="2"/>
      <c r="B1126" s="57" t="s">
        <v>311</v>
      </c>
      <c r="C1126" s="11"/>
      <c r="D1126" s="11">
        <v>180.0</v>
      </c>
      <c r="E1126" s="12" t="s">
        <v>34</v>
      </c>
      <c r="F1126" s="13">
        <f>'БД_УСЛУГИ_РО'!P886+'БД_ЗАПЧАСТИ'!P117</f>
        <v>10000</v>
      </c>
      <c r="G1126" s="19"/>
      <c r="H1126" s="101">
        <f>'БД_УСЛУГИ_РО'!P886</f>
        <v>6100</v>
      </c>
      <c r="I1126" s="2"/>
      <c r="J1126" s="87"/>
      <c r="K1126" s="84">
        <v>10000.0</v>
      </c>
      <c r="L1126" s="67"/>
      <c r="M1126" s="60"/>
      <c r="N1126" s="29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idden="1">
      <c r="A1127" s="2"/>
      <c r="B1127" s="57" t="s">
        <v>311</v>
      </c>
      <c r="C1127" s="11"/>
      <c r="D1127" s="11">
        <v>180.0</v>
      </c>
      <c r="E1127" s="12" t="s">
        <v>35</v>
      </c>
      <c r="F1127" s="13">
        <f>'БД_УСЛУГИ_РО'!P886+'БД_УСЛУГИ_РО'!P887+'БД_ЗАПЧАСТИ'!P117</f>
        <v>14200</v>
      </c>
      <c r="G1127" s="28"/>
      <c r="H1127" s="101">
        <f>'БД_УСЛУГИ_РО'!P886+'БД_УСЛУГИ_РО'!P887</f>
        <v>10300</v>
      </c>
      <c r="I1127" s="2"/>
      <c r="J1127" s="83"/>
      <c r="K1127" s="84">
        <v>14200.0</v>
      </c>
      <c r="L1127" s="61"/>
      <c r="M1127" s="60"/>
      <c r="N1127" s="29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idden="1">
      <c r="A1128" s="2"/>
      <c r="B1128" s="57" t="s">
        <v>311</v>
      </c>
      <c r="C1128" s="11"/>
      <c r="D1128" s="11">
        <v>90.0</v>
      </c>
      <c r="E1128" s="12" t="s">
        <v>312</v>
      </c>
      <c r="F1128" s="13">
        <f>'БД_УСЛУГИ_РО'!P888+'БД_ЗАПЧАСТИ'!P712</f>
        <v>11500</v>
      </c>
      <c r="G1128" s="29"/>
      <c r="H1128" s="101">
        <f>'БД_УСЛУГИ_РО'!P888</f>
        <v>6500</v>
      </c>
      <c r="I1128" s="2"/>
      <c r="J1128" s="83"/>
      <c r="K1128" s="84">
        <v>11500.0</v>
      </c>
      <c r="L1128" s="61"/>
      <c r="M1128" s="60"/>
      <c r="N1128" s="29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idden="1">
      <c r="A1129" s="2"/>
      <c r="B1129" s="57" t="s">
        <v>311</v>
      </c>
      <c r="C1129" s="11"/>
      <c r="D1129" s="11">
        <v>90.0</v>
      </c>
      <c r="E1129" s="12" t="s">
        <v>205</v>
      </c>
      <c r="F1129" s="13">
        <f>'БД_УСЛУГИ_РО'!P889+'БД_ЗАПЧАСТИ'!P270</f>
        <v>36500</v>
      </c>
      <c r="G1129" s="33" t="str">
        <f>IFERROR(__xludf.DUMMYFUNCTION("MIN(FILTER(F1129:F1135, F1129:F1135 &lt;&gt; H1129:H1135)) &amp; "" - "" &amp; MAX(FILTER(F1129:F1135, F1129:F1135 &lt;&gt; H1129:H1135))"),"25000 - 36500")</f>
        <v>25000 - 36500</v>
      </c>
      <c r="H1129" s="101">
        <f>'БД_УСЛУГИ_РО'!P889</f>
        <v>6100</v>
      </c>
      <c r="I1129" s="2"/>
      <c r="J1129" s="86">
        <f>IFERROR(__xludf.DUMMYFUNCTION("MIN(FILTER(F1129:F1133, F1129:F1133 &lt;&gt; H1129:H1133, F1129:F1133 &lt;&gt; """"))"),25000.0)</f>
        <v>25000</v>
      </c>
      <c r="K1129" s="84">
        <v>36500.0</v>
      </c>
      <c r="L1129" s="65">
        <f>IFERROR(VLOOKUP("iPhone 15 Pro Max Замена дисплея (оригинал)", 'РЕМОНТ_ЯБЛОК'!C:D, 2, 0), "Ошибка")</f>
        <v>25000</v>
      </c>
      <c r="M1129" s="60"/>
      <c r="N1129" s="29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idden="1">
      <c r="A1130" s="2"/>
      <c r="B1130" s="57" t="s">
        <v>311</v>
      </c>
      <c r="C1130" s="11"/>
      <c r="D1130" s="11">
        <v>90.0</v>
      </c>
      <c r="E1130" s="12" t="s">
        <v>39</v>
      </c>
      <c r="F1130" s="13">
        <f>'БД_УСЛУГИ_РО'!P889+'БД_ЗАПЧАСТИ'!P271</f>
        <v>31000</v>
      </c>
      <c r="G1130" s="19"/>
      <c r="H1130" s="101">
        <f>'БД_УСЛУГИ_РО'!P889</f>
        <v>6100</v>
      </c>
      <c r="I1130" s="2"/>
      <c r="J1130" s="103"/>
      <c r="K1130" s="84">
        <v>31000.0</v>
      </c>
      <c r="L1130" s="104"/>
      <c r="M1130" s="60"/>
      <c r="N1130" s="29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idden="1">
      <c r="A1131" s="2"/>
      <c r="B1131" s="57" t="s">
        <v>311</v>
      </c>
      <c r="C1131" s="11"/>
      <c r="D1131" s="11">
        <v>90.0</v>
      </c>
      <c r="E1131" s="12" t="s">
        <v>40</v>
      </c>
      <c r="F1131" s="13">
        <f>'БД_УСЛУГИ_РО'!P889+'БД_ЗАПЧАСТИ'!P272</f>
        <v>29500</v>
      </c>
      <c r="G1131" s="19"/>
      <c r="H1131" s="101">
        <f>'БД_УСЛУГИ_РО'!P889</f>
        <v>6100</v>
      </c>
      <c r="I1131" s="2"/>
      <c r="J1131" s="103"/>
      <c r="K1131" s="84">
        <v>29500.0</v>
      </c>
      <c r="L1131" s="104"/>
      <c r="M1131" s="60"/>
      <c r="N1131" s="29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idden="1">
      <c r="A1132" s="2"/>
      <c r="B1132" s="57" t="s">
        <v>311</v>
      </c>
      <c r="C1132" s="11"/>
      <c r="D1132" s="11">
        <v>90.0</v>
      </c>
      <c r="E1132" s="12" t="s">
        <v>42</v>
      </c>
      <c r="F1132" s="13">
        <f>'БД_УСЛУГИ_РО'!P889+'БД_ЗАПЧАСТИ'!P273</f>
        <v>28600</v>
      </c>
      <c r="G1132" s="19"/>
      <c r="H1132" s="101">
        <f>'БД_УСЛУГИ_РО'!P889</f>
        <v>6100</v>
      </c>
      <c r="I1132" s="2"/>
      <c r="J1132" s="103"/>
      <c r="K1132" s="84">
        <v>28600.0</v>
      </c>
      <c r="L1132" s="104"/>
      <c r="M1132" s="60"/>
      <c r="N1132" s="29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idden="1">
      <c r="A1133" s="2"/>
      <c r="B1133" s="57" t="s">
        <v>311</v>
      </c>
      <c r="C1133" s="11"/>
      <c r="D1133" s="11">
        <v>90.0</v>
      </c>
      <c r="E1133" s="12" t="s">
        <v>43</v>
      </c>
      <c r="F1133" s="13">
        <f>'БД_УСЛУГИ_РО'!P889+'БД_ЗАПЧАСТИ'!P274</f>
        <v>25000</v>
      </c>
      <c r="G1133" s="19"/>
      <c r="H1133" s="101">
        <f>'БД_УСЛУГИ_РО'!P889</f>
        <v>6100</v>
      </c>
      <c r="I1133" s="2"/>
      <c r="J1133" s="87"/>
      <c r="K1133" s="84">
        <v>25000.0</v>
      </c>
      <c r="L1133" s="67"/>
      <c r="M1133" s="60"/>
      <c r="N1133" s="29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idden="1">
      <c r="A1134" s="2"/>
      <c r="B1134" s="57" t="s">
        <v>311</v>
      </c>
      <c r="C1134" s="11"/>
      <c r="D1134" s="11">
        <v>90.0</v>
      </c>
      <c r="E1134" s="12" t="s">
        <v>45</v>
      </c>
      <c r="F1134" s="13">
        <f>'БД_УСЛУГИ_РО'!P889</f>
        <v>6100</v>
      </c>
      <c r="G1134" s="19"/>
      <c r="H1134" s="101">
        <f>'БД_УСЛУГИ_РО'!P889</f>
        <v>6100</v>
      </c>
      <c r="I1134" s="2"/>
      <c r="J1134" s="92" t="str">
        <f>IFERROR(__xludf.DUMMYFUNCTION("MIN(FILTER(F1134:F1135, F1134:F1135 &lt;&gt; H1134:H1135, F1134:F1135 &lt;&gt; """"))"),"#N/A")</f>
        <v>#N/A</v>
      </c>
      <c r="K1134" s="84">
        <v>6100.0</v>
      </c>
      <c r="L1134" s="65">
        <f>IFERROR(VLOOKUP("iPhone 15 Pro Max Замена дисплея (аналог)", 'РЕМОНТ_ЯБЛОК'!C:D, 2, 0), "Ошибка")</f>
        <v>20000</v>
      </c>
      <c r="M1134" s="60"/>
      <c r="N1134" s="29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idden="1">
      <c r="A1135" s="2"/>
      <c r="B1135" s="57" t="s">
        <v>311</v>
      </c>
      <c r="C1135" s="11"/>
      <c r="D1135" s="11">
        <v>90.0</v>
      </c>
      <c r="E1135" s="12" t="s">
        <v>46</v>
      </c>
      <c r="F1135" s="13">
        <f>'БД_УСЛУГИ_РО'!P889</f>
        <v>6100</v>
      </c>
      <c r="G1135" s="28"/>
      <c r="H1135" s="101">
        <f>'БД_УСЛУГИ_РО'!P889</f>
        <v>6100</v>
      </c>
      <c r="I1135" s="2"/>
      <c r="J1135" s="87"/>
      <c r="K1135" s="84">
        <v>6100.0</v>
      </c>
      <c r="L1135" s="67"/>
      <c r="M1135" s="60"/>
      <c r="N1135" s="29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idden="1">
      <c r="A1136" s="2"/>
      <c r="B1136" s="57" t="s">
        <v>311</v>
      </c>
      <c r="C1136" s="11"/>
      <c r="D1136" s="11">
        <v>90.0</v>
      </c>
      <c r="E1136" s="12" t="s">
        <v>47</v>
      </c>
      <c r="F1136" s="13">
        <f>'БД_УСЛУГИ_РО'!P890</f>
        <v>5000</v>
      </c>
      <c r="G1136" s="29"/>
      <c r="H1136" s="5"/>
      <c r="I1136" s="2"/>
      <c r="J1136" s="83"/>
      <c r="K1136" s="84">
        <v>5000.0</v>
      </c>
      <c r="L1136" s="61"/>
      <c r="M1136" s="60"/>
      <c r="N1136" s="29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idden="1">
      <c r="A1137" s="2"/>
      <c r="B1137" s="57" t="s">
        <v>311</v>
      </c>
      <c r="C1137" s="11"/>
      <c r="D1137" s="11">
        <v>90.0</v>
      </c>
      <c r="E1137" s="12" t="s">
        <v>313</v>
      </c>
      <c r="F1137" s="13">
        <f>'БД_УСЛУГИ_РО'!P891</f>
        <v>20000</v>
      </c>
      <c r="G1137" s="29"/>
      <c r="H1137" s="5"/>
      <c r="I1137" s="2"/>
      <c r="J1137" s="85">
        <f t="shared" ref="J1137:J1140" si="72">F1137</f>
        <v>20000</v>
      </c>
      <c r="K1137" s="84">
        <v>20000.0</v>
      </c>
      <c r="L1137" s="61">
        <f>IFERROR(VLOOKUP("iPhone 15 Pro Max Переклейка (восстановление) вашего дисплея", 'РЕМОНТ_ЯБЛОК'!C:D, 2, 0), "Ошибка")</f>
        <v>15000</v>
      </c>
      <c r="M1137" s="96"/>
      <c r="N1137" s="29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idden="1">
      <c r="A1138" s="2"/>
      <c r="B1138" s="57" t="s">
        <v>311</v>
      </c>
      <c r="C1138" s="11"/>
      <c r="D1138" s="11">
        <v>90.0</v>
      </c>
      <c r="E1138" s="12" t="s">
        <v>314</v>
      </c>
      <c r="F1138" s="13">
        <f>'БД_УСЛУГИ_РО'!P892+'БД_ЗАПЧАСТИ'!P782</f>
        <v>14100</v>
      </c>
      <c r="G1138" s="29"/>
      <c r="H1138" s="101">
        <f>'БД_УСЛУГИ_РО'!P892</f>
        <v>6100</v>
      </c>
      <c r="I1138" s="2"/>
      <c r="J1138" s="85">
        <f t="shared" si="72"/>
        <v>14100</v>
      </c>
      <c r="K1138" s="84">
        <v>14100.0</v>
      </c>
      <c r="L1138" s="61">
        <f>IFERROR(VLOOKUP("iPhone 15 Pro Max Замена основной камеры", 'РЕМОНТ_ЯБЛОК'!C:D, 2, 0), "Ошибка")</f>
        <v>14000</v>
      </c>
      <c r="M1138" s="96"/>
      <c r="N1138" s="29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idden="1">
      <c r="A1139" s="2"/>
      <c r="B1139" s="57" t="s">
        <v>311</v>
      </c>
      <c r="C1139" s="11"/>
      <c r="D1139" s="11">
        <v>90.0</v>
      </c>
      <c r="E1139" s="12" t="s">
        <v>315</v>
      </c>
      <c r="F1139" s="13">
        <f>'БД_УСЛУГИ_РО'!P893+'БД_ЗАПЧАСТИ'!P826</f>
        <v>11900</v>
      </c>
      <c r="G1139" s="29"/>
      <c r="H1139" s="101">
        <f>'БД_УСЛУГИ_РО'!P893</f>
        <v>6700</v>
      </c>
      <c r="I1139" s="2"/>
      <c r="J1139" s="85">
        <f t="shared" si="72"/>
        <v>11900</v>
      </c>
      <c r="K1139" s="84">
        <v>11900.0</v>
      </c>
      <c r="L1139" s="61">
        <f>IFERROR(VLOOKUP("iPhone 15 Pro Max Ремонт/замена фронтальной камеры", 'РЕМОНТ_ЯБЛОК'!C:D, 2, 0), "Ошибка")</f>
        <v>12000</v>
      </c>
      <c r="M1139" s="96"/>
      <c r="N1139" s="29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idden="1">
      <c r="A1140" s="2"/>
      <c r="B1140" s="57" t="s">
        <v>311</v>
      </c>
      <c r="C1140" s="11"/>
      <c r="D1140" s="11">
        <v>180.0</v>
      </c>
      <c r="E1140" s="12" t="s">
        <v>52</v>
      </c>
      <c r="F1140" s="13">
        <f>'БД_УСЛУГИ_РО'!P894+'БД_ЗАПЧАСТИ'!P568</f>
        <v>5500</v>
      </c>
      <c r="G1140" s="29"/>
      <c r="H1140" s="101">
        <f>'БД_УСЛУГИ_РО'!P894</f>
        <v>4700</v>
      </c>
      <c r="I1140" s="2"/>
      <c r="J1140" s="85">
        <f t="shared" si="72"/>
        <v>5500</v>
      </c>
      <c r="K1140" s="84">
        <v>5500.0</v>
      </c>
      <c r="L1140" s="61">
        <f>IFERROR(VLOOKUP("iPhone 15 Pro Max Замена стекла камеры", 'РЕМОНТ_ЯБЛОК'!C:D, 2, 0), "Ошибка")</f>
        <v>5500</v>
      </c>
      <c r="M1140" s="96"/>
      <c r="N1140" s="29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idden="1">
      <c r="A1141" s="2"/>
      <c r="B1141" s="57" t="s">
        <v>311</v>
      </c>
      <c r="C1141" s="11"/>
      <c r="D1141" s="11">
        <v>90.0</v>
      </c>
      <c r="E1141" s="12" t="s">
        <v>53</v>
      </c>
      <c r="F1141" s="13">
        <f>'БД_УСЛУГИ_РО'!P895</f>
        <v>8500</v>
      </c>
      <c r="G1141" s="29"/>
      <c r="H1141" s="5"/>
      <c r="I1141" s="2"/>
      <c r="J1141" s="92"/>
      <c r="K1141" s="93">
        <v>8500.0</v>
      </c>
      <c r="L1141" s="65"/>
      <c r="M1141" s="94"/>
      <c r="N1141" s="33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idden="1">
      <c r="A1142" s="2"/>
      <c r="B1142" s="57" t="s">
        <v>311</v>
      </c>
      <c r="C1142" s="11"/>
      <c r="D1142" s="11">
        <v>180.0</v>
      </c>
      <c r="E1142" s="12" t="s">
        <v>54</v>
      </c>
      <c r="F1142" s="13">
        <f>'БД_УСЛУГИ_РО'!P896+'БД_ЗАПЧАСТИ'!P464</f>
        <v>14000</v>
      </c>
      <c r="G1142" s="33" t="str">
        <f>MIN(F1142:F1143) &amp; " - " &amp; MAX(F1142:F1143)</f>
        <v>8000 - 14000</v>
      </c>
      <c r="H1142" s="101">
        <f>'БД_УСЛУГИ_РО'!P896</f>
        <v>4700</v>
      </c>
      <c r="I1142" s="2"/>
      <c r="J1142" s="92"/>
      <c r="K1142" s="93">
        <v>14000.0</v>
      </c>
      <c r="L1142" s="65"/>
      <c r="M1142" s="94"/>
      <c r="N1142" s="33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idden="1">
      <c r="A1143" s="2"/>
      <c r="B1143" s="57" t="s">
        <v>311</v>
      </c>
      <c r="C1143" s="11"/>
      <c r="D1143" s="11">
        <v>180.0</v>
      </c>
      <c r="E1143" s="12" t="s">
        <v>55</v>
      </c>
      <c r="F1143" s="13">
        <f>'БД_УСЛУГИ_РО'!P896+'БД_ЗАПЧАСТИ'!P468</f>
        <v>8000</v>
      </c>
      <c r="G1143" s="28"/>
      <c r="H1143" s="101">
        <f>'БД_УСЛУГИ_РО'!P896</f>
        <v>4700</v>
      </c>
      <c r="I1143" s="2"/>
      <c r="J1143" s="85">
        <f>F1143</f>
        <v>8000</v>
      </c>
      <c r="K1143" s="93">
        <v>8000.0</v>
      </c>
      <c r="L1143" s="61">
        <f>IFERROR(VLOOKUP("iPhone 15 Pro Max Замена задней крышки", 'РЕМОНТ_ЯБЛОК'!C:D, 2, 0), "Ошибка")</f>
        <v>8000</v>
      </c>
      <c r="M1143" s="105"/>
      <c r="N1143" s="33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idden="1">
      <c r="A1144" s="2"/>
      <c r="B1144" s="57" t="s">
        <v>311</v>
      </c>
      <c r="C1144" s="11"/>
      <c r="D1144" s="11">
        <v>180.0</v>
      </c>
      <c r="E1144" s="12" t="s">
        <v>56</v>
      </c>
      <c r="F1144" s="13">
        <f>'БД_УСЛУГИ_РО'!P897</f>
        <v>8650</v>
      </c>
      <c r="G1144" s="29"/>
      <c r="H1144" s="101">
        <f>'БД_УСЛУГИ_РО'!P897</f>
        <v>8650</v>
      </c>
      <c r="I1144" s="2"/>
      <c r="J1144" s="92"/>
      <c r="K1144" s="93">
        <v>8650.0</v>
      </c>
      <c r="L1144" s="65"/>
      <c r="M1144" s="94"/>
      <c r="N1144" s="33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idden="1">
      <c r="A1145" s="2"/>
      <c r="B1145" s="57" t="s">
        <v>311</v>
      </c>
      <c r="C1145" s="11"/>
      <c r="D1145" s="11">
        <v>180.0</v>
      </c>
      <c r="E1145" s="12" t="s">
        <v>57</v>
      </c>
      <c r="F1145" s="13">
        <f>'БД_УСЛУГИ_РО'!P898</f>
        <v>6300</v>
      </c>
      <c r="G1145" s="29"/>
      <c r="H1145" s="101">
        <f>'БД_УСЛУГИ_РО'!P898</f>
        <v>6300</v>
      </c>
      <c r="I1145" s="2"/>
      <c r="J1145" s="85">
        <f>F1145</f>
        <v>6300</v>
      </c>
      <c r="K1145" s="84">
        <v>6300.0</v>
      </c>
      <c r="L1145" s="61">
        <f>IFERROR(VLOOKUP("iPhone 15 Pro Max Замена средней части корпуса", 'РЕМОНТ_ЯБЛОК'!C:D, 2, 0), "Ошибка")</f>
        <v>12000</v>
      </c>
      <c r="M1145" s="96"/>
      <c r="N1145" s="29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idden="1">
      <c r="A1146" s="2"/>
      <c r="B1146" s="57" t="s">
        <v>311</v>
      </c>
      <c r="C1146" s="11"/>
      <c r="D1146" s="11">
        <v>90.0</v>
      </c>
      <c r="E1146" s="12" t="s">
        <v>59</v>
      </c>
      <c r="F1146" s="13">
        <f>'БД_УСЛУГИ_РО'!P899</f>
        <v>7200</v>
      </c>
      <c r="G1146" s="29"/>
      <c r="H1146" s="5"/>
      <c r="I1146" s="2"/>
      <c r="J1146" s="83"/>
      <c r="K1146" s="84">
        <v>7200.0</v>
      </c>
      <c r="L1146" s="61"/>
      <c r="M1146" s="60"/>
      <c r="N1146" s="29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idden="1">
      <c r="A1147" s="2"/>
      <c r="B1147" s="57" t="s">
        <v>311</v>
      </c>
      <c r="C1147" s="11"/>
      <c r="D1147" s="11">
        <v>90.0</v>
      </c>
      <c r="E1147" s="12" t="s">
        <v>316</v>
      </c>
      <c r="F1147" s="13">
        <f>'БД_УСЛУГИ_РО'!P900+'БД_ЗАПЧАСТИ'!P911</f>
        <v>7350</v>
      </c>
      <c r="G1147" s="29"/>
      <c r="H1147" s="101">
        <f>'БД_УСЛУГИ_РО'!P900</f>
        <v>6000</v>
      </c>
      <c r="I1147" s="2"/>
      <c r="J1147" s="83"/>
      <c r="K1147" s="84">
        <v>7350.0</v>
      </c>
      <c r="L1147" s="61"/>
      <c r="M1147" s="60"/>
      <c r="N1147" s="29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idden="1">
      <c r="A1148" s="2"/>
      <c r="B1148" s="57" t="s">
        <v>311</v>
      </c>
      <c r="C1148" s="11"/>
      <c r="D1148" s="11">
        <v>90.0</v>
      </c>
      <c r="E1148" s="12" t="s">
        <v>317</v>
      </c>
      <c r="F1148" s="13">
        <f>'БД_УСЛУГИ_РО'!P901+'БД_ЗАПЧАСТИ'!P871</f>
        <v>7350</v>
      </c>
      <c r="G1148" s="29"/>
      <c r="H1148" s="101">
        <f>'БД_УСЛУГИ_РО'!P901</f>
        <v>6000</v>
      </c>
      <c r="I1148" s="2"/>
      <c r="J1148" s="83"/>
      <c r="K1148" s="84">
        <v>7350.0</v>
      </c>
      <c r="L1148" s="61"/>
      <c r="M1148" s="60"/>
      <c r="N1148" s="29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idden="1">
      <c r="A1149" s="2"/>
      <c r="B1149" s="57" t="s">
        <v>311</v>
      </c>
      <c r="C1149" s="11"/>
      <c r="D1149" s="11">
        <v>90.0</v>
      </c>
      <c r="E1149" s="32" t="s">
        <v>62</v>
      </c>
      <c r="F1149" s="13">
        <f>'БД_УСЛУГИ_РО'!P902+'БД_ЗАПЧАСТИ'!P712</f>
        <v>11600</v>
      </c>
      <c r="G1149" s="29"/>
      <c r="H1149" s="101">
        <f>'БД_УСЛУГИ_РО'!P902</f>
        <v>6600</v>
      </c>
      <c r="I1149" s="2"/>
      <c r="J1149" s="92"/>
      <c r="K1149" s="93">
        <v>11600.0</v>
      </c>
      <c r="L1149" s="65"/>
      <c r="M1149" s="94"/>
      <c r="N1149" s="33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idden="1">
      <c r="A1150" s="2"/>
      <c r="B1150" s="57" t="s">
        <v>311</v>
      </c>
      <c r="C1150" s="11"/>
      <c r="D1150" s="11">
        <v>90.0</v>
      </c>
      <c r="E1150" s="12" t="s">
        <v>63</v>
      </c>
      <c r="F1150" s="13">
        <f>'БД_УСЛУГИ_РО'!P903</f>
        <v>6500</v>
      </c>
      <c r="G1150" s="29"/>
      <c r="H1150" s="5"/>
      <c r="I1150" s="2"/>
      <c r="J1150" s="92"/>
      <c r="K1150" s="93">
        <v>6500.0</v>
      </c>
      <c r="L1150" s="65"/>
      <c r="M1150" s="94"/>
      <c r="N1150" s="33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idden="1">
      <c r="A1151" s="2"/>
      <c r="B1151" s="57" t="s">
        <v>311</v>
      </c>
      <c r="C1151" s="11"/>
      <c r="D1151" s="11">
        <v>90.0</v>
      </c>
      <c r="E1151" s="12" t="s">
        <v>64</v>
      </c>
      <c r="F1151" s="13">
        <f>'БД_УСЛУГИ_РО'!P905</f>
        <v>7700</v>
      </c>
      <c r="G1151" s="29"/>
      <c r="H1151" s="5"/>
      <c r="I1151" s="2"/>
      <c r="J1151" s="92"/>
      <c r="K1151" s="93">
        <v>7700.0</v>
      </c>
      <c r="L1151" s="65"/>
      <c r="M1151" s="94"/>
      <c r="N1151" s="33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idden="1">
      <c r="A1152" s="2"/>
      <c r="B1152" s="57" t="s">
        <v>311</v>
      </c>
      <c r="C1152" s="11"/>
      <c r="D1152" s="11">
        <v>90.0</v>
      </c>
      <c r="E1152" s="12" t="s">
        <v>65</v>
      </c>
      <c r="F1152" s="13">
        <f>'БД_УСЛУГИ_РО'!P904+'БД_УСЛУГИ_РО'!P906</f>
        <v>17200</v>
      </c>
      <c r="G1152" s="29"/>
      <c r="H1152" s="5"/>
      <c r="I1152" s="2"/>
      <c r="J1152" s="92"/>
      <c r="K1152" s="93">
        <v>17200.0</v>
      </c>
      <c r="L1152" s="65"/>
      <c r="M1152" s="94"/>
      <c r="N1152" s="33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idden="1">
      <c r="A1153" s="2"/>
      <c r="B1153" s="69" t="s">
        <v>311</v>
      </c>
      <c r="C1153" s="36"/>
      <c r="D1153" s="36">
        <v>90.0</v>
      </c>
      <c r="E1153" s="70" t="s">
        <v>66</v>
      </c>
      <c r="F1153" s="38">
        <f>'БД_УСЛУГИ_РО'!P904+'БД_УСЛУГИ_РО'!P907</f>
        <v>17700</v>
      </c>
      <c r="G1153" s="39"/>
      <c r="H1153" s="5"/>
      <c r="I1153" s="2"/>
      <c r="J1153" s="91"/>
      <c r="K1153" s="89">
        <v>17700.0</v>
      </c>
      <c r="L1153" s="73"/>
      <c r="M1153" s="74"/>
      <c r="N1153" s="39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idden="1">
      <c r="A1154" s="2"/>
      <c r="B1154" s="1"/>
      <c r="C1154" s="1"/>
      <c r="D1154" s="95"/>
      <c r="E1154" s="30"/>
      <c r="F1154" s="80"/>
      <c r="G1154" s="76"/>
      <c r="H1154" s="5"/>
      <c r="I1154" s="2"/>
      <c r="J1154" s="2"/>
      <c r="K1154" s="2" t="s">
        <v>22</v>
      </c>
      <c r="L1154" s="2"/>
      <c r="M1154" s="3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idden="1">
      <c r="A1155" s="2"/>
      <c r="B1155" s="41" t="s">
        <v>318</v>
      </c>
      <c r="C1155" s="42"/>
      <c r="D1155" s="42">
        <v>0.0</v>
      </c>
      <c r="E1155" s="51" t="s">
        <v>24</v>
      </c>
      <c r="F1155" s="44">
        <f>'БД_УСЛУГИ_РО'!P908</f>
        <v>1</v>
      </c>
      <c r="G1155" s="78"/>
      <c r="H1155" s="5"/>
      <c r="I1155" s="2"/>
      <c r="J1155" s="81"/>
      <c r="K1155" s="82">
        <v>1.0</v>
      </c>
      <c r="L1155" s="55"/>
      <c r="M1155" s="56"/>
      <c r="N1155" s="5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idden="1">
      <c r="A1156" s="2"/>
      <c r="B1156" s="57" t="s">
        <v>318</v>
      </c>
      <c r="C1156" s="11"/>
      <c r="D1156" s="11">
        <v>0.0</v>
      </c>
      <c r="E1156" s="12" t="s">
        <v>26</v>
      </c>
      <c r="F1156" s="13">
        <f>'БД_УСЛУГИ_РО'!P909+'БД_УСЛУГИ_РО'!P910</f>
        <v>2900</v>
      </c>
      <c r="G1156" s="29"/>
      <c r="H1156" s="5"/>
      <c r="I1156" s="2"/>
      <c r="J1156" s="83"/>
      <c r="K1156" s="84">
        <v>2900.0</v>
      </c>
      <c r="L1156" s="61"/>
      <c r="M1156" s="60"/>
      <c r="N1156" s="29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idden="1">
      <c r="A1157" s="2"/>
      <c r="B1157" s="57" t="s">
        <v>318</v>
      </c>
      <c r="C1157" s="11"/>
      <c r="D1157" s="11">
        <v>0.0</v>
      </c>
      <c r="E1157" s="32" t="s">
        <v>27</v>
      </c>
      <c r="F1157" s="13">
        <f>'БД_УСЛУГИ_РО'!P911</f>
        <v>700</v>
      </c>
      <c r="G1157" s="33" t="str">
        <f>MIN(F1157:F1158) &amp; " - " &amp; MAX(F1157:F1158)</f>
        <v>700 - 6700</v>
      </c>
      <c r="H1157" s="5"/>
      <c r="I1157" s="2"/>
      <c r="J1157" s="83"/>
      <c r="K1157" s="84">
        <v>700.0</v>
      </c>
      <c r="L1157" s="61"/>
      <c r="M1157" s="60"/>
      <c r="N1157" s="29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idden="1">
      <c r="A1158" s="2"/>
      <c r="B1158" s="57" t="s">
        <v>318</v>
      </c>
      <c r="C1158" s="11"/>
      <c r="D1158" s="11">
        <v>0.0</v>
      </c>
      <c r="E1158" s="32" t="s">
        <v>28</v>
      </c>
      <c r="F1158" s="13">
        <f>'БД_УСЛУГИ_РО'!P912</f>
        <v>6700</v>
      </c>
      <c r="G1158" s="28"/>
      <c r="H1158" s="5"/>
      <c r="I1158" s="2"/>
      <c r="J1158" s="83"/>
      <c r="K1158" s="84">
        <v>6700.0</v>
      </c>
      <c r="L1158" s="61"/>
      <c r="M1158" s="60"/>
      <c r="N1158" s="29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idden="1">
      <c r="A1159" s="2"/>
      <c r="B1159" s="57" t="s">
        <v>318</v>
      </c>
      <c r="C1159" s="11"/>
      <c r="D1159" s="11">
        <v>180.0</v>
      </c>
      <c r="E1159" s="12" t="s">
        <v>202</v>
      </c>
      <c r="F1159" s="13">
        <f>'БД_УСЛУГИ_РО'!P913+'БД_ЗАПЧАСТИ'!P119</f>
        <v>19200</v>
      </c>
      <c r="G1159" s="33" t="str">
        <f>IFERROR(__xludf.DUMMYFUNCTION("MIN(FILTER(F1159:F1164, F1159:F1164 &lt;&gt; H1159:H1164)) &amp; "" - "" &amp; MAX(FILTER(F1159:F1164, F1159:F1164 &lt;&gt; H1159:H1164))"),"12000 - 19200")</f>
        <v>12000 - 19200</v>
      </c>
      <c r="H1159" s="101">
        <f>'БД_УСЛУГИ_РО'!P913</f>
        <v>7800</v>
      </c>
      <c r="I1159" s="2"/>
      <c r="J1159" s="86">
        <f>IFERROR(__xludf.DUMMYFUNCTION("MIN(FILTER(F1159:F1164, F1159:F1164 &lt;&gt; H1159:H1164, F1159:F1164 &lt;&gt; """"))"),12000.0)</f>
        <v>12000</v>
      </c>
      <c r="K1159" s="84">
        <v>19200.0</v>
      </c>
      <c r="L1159" s="31">
        <f>IFERROR(VLOOKUP("iPhone 16 Замена аккумулятора", 'РЕМОНТ_ЯБЛОК'!C:D, 2, 0), "Ошибка")</f>
        <v>12000</v>
      </c>
      <c r="M1159" s="60"/>
      <c r="N1159" s="29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idden="1">
      <c r="A1160" s="2"/>
      <c r="B1160" s="57" t="s">
        <v>318</v>
      </c>
      <c r="C1160" s="11"/>
      <c r="D1160" s="11">
        <v>180.0</v>
      </c>
      <c r="E1160" s="12" t="s">
        <v>203</v>
      </c>
      <c r="F1160" s="13">
        <f>'БД_УСЛУГИ_РО'!P913+'БД_ЗАПЧАСТИ'!P120</f>
        <v>14000</v>
      </c>
      <c r="G1160" s="19"/>
      <c r="H1160" s="101">
        <f>'БД_УСЛУГИ_РО'!P913</f>
        <v>7800</v>
      </c>
      <c r="I1160" s="2"/>
      <c r="J1160" s="103"/>
      <c r="K1160" s="84">
        <v>14000.0</v>
      </c>
      <c r="L1160" s="104"/>
      <c r="M1160" s="60"/>
      <c r="N1160" s="29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idden="1">
      <c r="A1161" s="2"/>
      <c r="B1161" s="57" t="s">
        <v>318</v>
      </c>
      <c r="C1161" s="11"/>
      <c r="D1161" s="11">
        <v>180.0</v>
      </c>
      <c r="E1161" s="12" t="s">
        <v>32</v>
      </c>
      <c r="F1161" s="13">
        <f>'БД_УСЛУГИ_РО'!P913+'БД_ЗАПЧАСТИ'!P121</f>
        <v>7800</v>
      </c>
      <c r="G1161" s="19"/>
      <c r="H1161" s="101">
        <f>'БД_УСЛУГИ_РО'!P913</f>
        <v>7800</v>
      </c>
      <c r="I1161" s="2"/>
      <c r="J1161" s="103"/>
      <c r="K1161" s="84">
        <v>7800.0</v>
      </c>
      <c r="L1161" s="104"/>
      <c r="M1161" s="60"/>
      <c r="N1161" s="29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idden="1">
      <c r="A1162" s="2"/>
      <c r="B1162" s="57" t="s">
        <v>318</v>
      </c>
      <c r="C1162" s="11"/>
      <c r="D1162" s="11">
        <v>180.0</v>
      </c>
      <c r="E1162" s="12" t="s">
        <v>33</v>
      </c>
      <c r="F1162" s="13">
        <f>'БД_УСЛУГИ_РО'!P913+'БД_ЗАПЧАСТИ'!P122</f>
        <v>7800</v>
      </c>
      <c r="G1162" s="19"/>
      <c r="H1162" s="101">
        <f>'БД_УСЛУГИ_РО'!P913</f>
        <v>7800</v>
      </c>
      <c r="I1162" s="2"/>
      <c r="J1162" s="103"/>
      <c r="K1162" s="84">
        <v>7800.0</v>
      </c>
      <c r="L1162" s="104"/>
      <c r="M1162" s="60"/>
      <c r="N1162" s="29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idden="1">
      <c r="A1163" s="2"/>
      <c r="B1163" s="57" t="s">
        <v>318</v>
      </c>
      <c r="C1163" s="11"/>
      <c r="D1163" s="11">
        <v>180.0</v>
      </c>
      <c r="E1163" s="12" t="s">
        <v>34</v>
      </c>
      <c r="F1163" s="13">
        <f>'БД_УСЛУГИ_РО'!P913+'БД_ЗАПЧАСТИ'!P123</f>
        <v>12000</v>
      </c>
      <c r="G1163" s="19"/>
      <c r="H1163" s="101">
        <f>'БД_УСЛУГИ_РО'!P913</f>
        <v>7800</v>
      </c>
      <c r="I1163" s="2"/>
      <c r="J1163" s="87"/>
      <c r="K1163" s="84">
        <v>12000.0</v>
      </c>
      <c r="L1163" s="67"/>
      <c r="M1163" s="60"/>
      <c r="N1163" s="29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idden="1">
      <c r="A1164" s="2"/>
      <c r="B1164" s="57" t="s">
        <v>318</v>
      </c>
      <c r="C1164" s="11"/>
      <c r="D1164" s="11">
        <v>180.0</v>
      </c>
      <c r="E1164" s="12" t="s">
        <v>35</v>
      </c>
      <c r="F1164" s="13"/>
      <c r="G1164" s="28"/>
      <c r="H1164" s="5"/>
      <c r="I1164" s="2"/>
      <c r="J1164" s="83"/>
      <c r="K1164" s="84" t="s">
        <v>22</v>
      </c>
      <c r="L1164" s="61"/>
      <c r="M1164" s="60"/>
      <c r="N1164" s="29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idden="1">
      <c r="A1165" s="2"/>
      <c r="B1165" s="57" t="s">
        <v>318</v>
      </c>
      <c r="C1165" s="11"/>
      <c r="D1165" s="11">
        <v>90.0</v>
      </c>
      <c r="E1165" s="12" t="s">
        <v>319</v>
      </c>
      <c r="F1165" s="13">
        <f>'БД_УСЛУГИ_РО'!P915+'БД_ЗАПЧАСТИ'!P716</f>
        <v>12500</v>
      </c>
      <c r="G1165" s="29"/>
      <c r="H1165" s="101">
        <f>'БД_УСЛУГИ_РО'!P915</f>
        <v>7500</v>
      </c>
      <c r="I1165" s="2"/>
      <c r="J1165" s="83"/>
      <c r="K1165" s="84">
        <v>12500.0</v>
      </c>
      <c r="L1165" s="61"/>
      <c r="M1165" s="60"/>
      <c r="N1165" s="29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idden="1">
      <c r="A1166" s="2"/>
      <c r="B1166" s="57" t="s">
        <v>318</v>
      </c>
      <c r="C1166" s="11"/>
      <c r="D1166" s="11">
        <v>90.0</v>
      </c>
      <c r="E1166" s="12" t="s">
        <v>205</v>
      </c>
      <c r="F1166" s="13">
        <f>'БД_УСЛУГИ_РО'!P916+'БД_ЗАПЧАСТИ'!P275</f>
        <v>7000</v>
      </c>
      <c r="G1166" s="33" t="str">
        <f>IFERROR(__xludf.DUMMYFUNCTION("MIN(FILTER(F1166:F1172, F1166:F1172 &lt;&gt; H1166:H1172)) &amp; "" - "" &amp; MAX(FILTER(F1166:F1172, F1166:F1172 &lt;&gt; H1166:H1172))"),"22350 - 23300")</f>
        <v>22350 - 23300</v>
      </c>
      <c r="H1166" s="101">
        <f>'БД_УСЛУГИ_РО'!P916</f>
        <v>7000</v>
      </c>
      <c r="I1166" s="2"/>
      <c r="J1166" s="86">
        <f>IFERROR(__xludf.DUMMYFUNCTION("MIN(FILTER(F1166:F1170, F1166:F1170 &lt;&gt; H1166:H1170, F1166:F1170 &lt;&gt; """"))"),22350.0)</f>
        <v>22350</v>
      </c>
      <c r="K1166" s="84">
        <v>7000.0</v>
      </c>
      <c r="L1166" s="65">
        <f>IFERROR(VLOOKUP("iPhone 16 Замена дисплея (оригинал)", 'РЕМОНТ_ЯБЛОК'!C:D, 2, 0), "Ошибка")</f>
        <v>20000</v>
      </c>
      <c r="M1166" s="60"/>
      <c r="N1166" s="29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idden="1">
      <c r="A1167" s="2"/>
      <c r="B1167" s="57" t="s">
        <v>318</v>
      </c>
      <c r="C1167" s="11"/>
      <c r="D1167" s="11">
        <v>90.0</v>
      </c>
      <c r="E1167" s="12" t="s">
        <v>39</v>
      </c>
      <c r="F1167" s="13">
        <f>'БД_УСЛУГИ_РО'!P916+'БД_ЗАПЧАСТИ'!P276</f>
        <v>23300</v>
      </c>
      <c r="G1167" s="19"/>
      <c r="H1167" s="101">
        <f>'БД_УСЛУГИ_РО'!P916</f>
        <v>7000</v>
      </c>
      <c r="I1167" s="2"/>
      <c r="J1167" s="103"/>
      <c r="K1167" s="84">
        <v>23300.0</v>
      </c>
      <c r="L1167" s="104"/>
      <c r="M1167" s="60"/>
      <c r="N1167" s="29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idden="1">
      <c r="A1168" s="2"/>
      <c r="B1168" s="57" t="s">
        <v>318</v>
      </c>
      <c r="C1168" s="11"/>
      <c r="D1168" s="11">
        <v>90.0</v>
      </c>
      <c r="E1168" s="12" t="s">
        <v>40</v>
      </c>
      <c r="F1168" s="13">
        <f>'БД_УСЛУГИ_РО'!P916+'БД_ЗАПЧАСТИ'!P277</f>
        <v>22600</v>
      </c>
      <c r="G1168" s="19"/>
      <c r="H1168" s="101">
        <f>'БД_УСЛУГИ_РО'!P916</f>
        <v>7000</v>
      </c>
      <c r="I1168" s="2"/>
      <c r="J1168" s="103"/>
      <c r="K1168" s="84">
        <v>22600.0</v>
      </c>
      <c r="L1168" s="104"/>
      <c r="M1168" s="60"/>
      <c r="N1168" s="29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idden="1">
      <c r="A1169" s="2"/>
      <c r="B1169" s="57" t="s">
        <v>318</v>
      </c>
      <c r="C1169" s="11"/>
      <c r="D1169" s="11">
        <v>90.0</v>
      </c>
      <c r="E1169" s="12" t="s">
        <v>42</v>
      </c>
      <c r="F1169" s="13">
        <f>'БД_УСЛУГИ_РО'!P916+'БД_ЗАПЧАСТИ'!P278</f>
        <v>22800</v>
      </c>
      <c r="G1169" s="19"/>
      <c r="H1169" s="101">
        <f>'БД_УСЛУГИ_РО'!P916</f>
        <v>7000</v>
      </c>
      <c r="I1169" s="2"/>
      <c r="J1169" s="103"/>
      <c r="K1169" s="84">
        <v>22800.0</v>
      </c>
      <c r="L1169" s="104"/>
      <c r="M1169" s="60"/>
      <c r="N1169" s="29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idden="1">
      <c r="A1170" s="2"/>
      <c r="B1170" s="57" t="s">
        <v>318</v>
      </c>
      <c r="C1170" s="11"/>
      <c r="D1170" s="11">
        <v>90.0</v>
      </c>
      <c r="E1170" s="12" t="s">
        <v>43</v>
      </c>
      <c r="F1170" s="13">
        <f>'БД_УСЛУГИ_РО'!P916+'БД_ЗАПЧАСТИ'!P279</f>
        <v>22350</v>
      </c>
      <c r="G1170" s="19"/>
      <c r="H1170" s="101">
        <f>'БД_УСЛУГИ_РО'!P916</f>
        <v>7000</v>
      </c>
      <c r="I1170" s="2"/>
      <c r="J1170" s="87"/>
      <c r="K1170" s="84">
        <v>22350.0</v>
      </c>
      <c r="L1170" s="67"/>
      <c r="M1170" s="60"/>
      <c r="N1170" s="29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idden="1">
      <c r="A1171" s="2"/>
      <c r="B1171" s="57" t="s">
        <v>318</v>
      </c>
      <c r="C1171" s="11"/>
      <c r="D1171" s="11">
        <v>90.0</v>
      </c>
      <c r="E1171" s="12" t="s">
        <v>45</v>
      </c>
      <c r="F1171" s="13">
        <f>'БД_УСЛУГИ_РО'!P916</f>
        <v>7000</v>
      </c>
      <c r="G1171" s="19"/>
      <c r="H1171" s="101">
        <f>'БД_УСЛУГИ_РО'!P916</f>
        <v>7000</v>
      </c>
      <c r="I1171" s="2"/>
      <c r="J1171" s="92" t="str">
        <f>IFERROR(__xludf.DUMMYFUNCTION("MIN(FILTER(F1171:F1172, F1171:F1172 &lt;&gt; H1171:H1172, F1171:F1172 &lt;&gt; """"))"),"#N/A")</f>
        <v>#N/A</v>
      </c>
      <c r="K1171" s="84">
        <v>7000.0</v>
      </c>
      <c r="L1171" s="65">
        <f>IFERROR(VLOOKUP("iPhone 16 Замена дисплея (аналог)", 'РЕМОНТ_ЯБЛОК'!C:D, 2, 0), "Ошибка")</f>
        <v>15000</v>
      </c>
      <c r="M1171" s="60"/>
      <c r="N1171" s="29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idden="1">
      <c r="A1172" s="2"/>
      <c r="B1172" s="57" t="s">
        <v>318</v>
      </c>
      <c r="C1172" s="11"/>
      <c r="D1172" s="11">
        <v>90.0</v>
      </c>
      <c r="E1172" s="12" t="s">
        <v>46</v>
      </c>
      <c r="F1172" s="13">
        <f>'БД_УСЛУГИ_РО'!P916</f>
        <v>7000</v>
      </c>
      <c r="G1172" s="28"/>
      <c r="H1172" s="101">
        <f>'БД_УСЛУГИ_РО'!P916</f>
        <v>7000</v>
      </c>
      <c r="I1172" s="2"/>
      <c r="J1172" s="87"/>
      <c r="K1172" s="84">
        <v>7000.0</v>
      </c>
      <c r="L1172" s="67"/>
      <c r="M1172" s="60"/>
      <c r="N1172" s="29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idden="1">
      <c r="A1173" s="2"/>
      <c r="B1173" s="57" t="s">
        <v>318</v>
      </c>
      <c r="C1173" s="11"/>
      <c r="D1173" s="11">
        <v>90.0</v>
      </c>
      <c r="E1173" s="12" t="s">
        <v>47</v>
      </c>
      <c r="F1173" s="13">
        <f>'БД_УСЛУГИ_РО'!P917</f>
        <v>6300</v>
      </c>
      <c r="G1173" s="29"/>
      <c r="H1173" s="5"/>
      <c r="I1173" s="2"/>
      <c r="J1173" s="83"/>
      <c r="K1173" s="84">
        <v>6300.0</v>
      </c>
      <c r="L1173" s="61"/>
      <c r="M1173" s="60"/>
      <c r="N1173" s="29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idden="1">
      <c r="A1174" s="2"/>
      <c r="B1174" s="57" t="s">
        <v>318</v>
      </c>
      <c r="C1174" s="11"/>
      <c r="D1174" s="11">
        <v>90.0</v>
      </c>
      <c r="E1174" s="12" t="s">
        <v>320</v>
      </c>
      <c r="F1174" s="13">
        <f>'БД_УСЛУГИ_РО'!P918</f>
        <v>20000</v>
      </c>
      <c r="G1174" s="29"/>
      <c r="H1174" s="5"/>
      <c r="I1174" s="2"/>
      <c r="J1174" s="85">
        <f t="shared" ref="J1174:J1177" si="73">F1174</f>
        <v>20000</v>
      </c>
      <c r="K1174" s="84">
        <v>20000.0</v>
      </c>
      <c r="L1174" s="61">
        <f>IFERROR(VLOOKUP("iPhone 16 Переклейка (восстановление) вашего дисплея", 'РЕМОНТ_ЯБЛОК'!C:D, 2, 0), "Ошибка")</f>
        <v>20000</v>
      </c>
      <c r="M1174" s="96"/>
      <c r="N1174" s="29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idden="1">
      <c r="A1175" s="2"/>
      <c r="B1175" s="57" t="s">
        <v>318</v>
      </c>
      <c r="C1175" s="11"/>
      <c r="D1175" s="11">
        <v>90.0</v>
      </c>
      <c r="E1175" s="12" t="s">
        <v>321</v>
      </c>
      <c r="F1175" s="13">
        <f>'БД_УСЛУГИ_РО'!P919+'БД_ЗАПЧАСТИ'!P783</f>
        <v>14200</v>
      </c>
      <c r="G1175" s="29"/>
      <c r="H1175" s="101">
        <f>'БД_УСЛУГИ_РО'!P919</f>
        <v>7000</v>
      </c>
      <c r="I1175" s="2"/>
      <c r="J1175" s="85">
        <f t="shared" si="73"/>
        <v>14200</v>
      </c>
      <c r="K1175" s="84">
        <v>14200.0</v>
      </c>
      <c r="L1175" s="61">
        <f>IFERROR(VLOOKUP("iPhone 16 Замена основной камеры", 'РЕМОНТ_ЯБЛОК'!C:D, 2, 0), "Ошибка")</f>
        <v>14000</v>
      </c>
      <c r="M1175" s="96"/>
      <c r="N1175" s="29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idden="1">
      <c r="A1176" s="2"/>
      <c r="B1176" s="57" t="s">
        <v>318</v>
      </c>
      <c r="C1176" s="11"/>
      <c r="D1176" s="11">
        <v>90.0</v>
      </c>
      <c r="E1176" s="12" t="s">
        <v>322</v>
      </c>
      <c r="F1176" s="13">
        <f>'БД_УСЛУГИ_РО'!P920+'БД_ЗАПЧАСТИ'!P827</f>
        <v>10900</v>
      </c>
      <c r="G1176" s="29"/>
      <c r="H1176" s="101">
        <f>'БД_УСЛУГИ_РО'!P920</f>
        <v>7600</v>
      </c>
      <c r="I1176" s="2"/>
      <c r="J1176" s="85">
        <f t="shared" si="73"/>
        <v>10900</v>
      </c>
      <c r="K1176" s="84">
        <v>10900.0</v>
      </c>
      <c r="L1176" s="61">
        <f>IFERROR(VLOOKUP("iPhone 16 Ремонт/замена фронтальной камеры", 'РЕМОНТ_ЯБЛОК'!C:D, 2, 0), "Ошибка")</f>
        <v>10000</v>
      </c>
      <c r="M1176" s="96"/>
      <c r="N1176" s="29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idden="1">
      <c r="A1177" s="2"/>
      <c r="B1177" s="57" t="s">
        <v>318</v>
      </c>
      <c r="C1177" s="11"/>
      <c r="D1177" s="11">
        <v>180.0</v>
      </c>
      <c r="E1177" s="12" t="s">
        <v>52</v>
      </c>
      <c r="F1177" s="13">
        <f>'БД_УСЛУГИ_РО'!P921+'БД_ЗАПЧАСТИ'!P571</f>
        <v>6550</v>
      </c>
      <c r="G1177" s="29"/>
      <c r="H1177" s="101">
        <f>'БД_УСЛУГИ_РО'!P921</f>
        <v>4300</v>
      </c>
      <c r="I1177" s="2"/>
      <c r="J1177" s="85">
        <f t="shared" si="73"/>
        <v>6550</v>
      </c>
      <c r="K1177" s="84">
        <v>6550.0</v>
      </c>
      <c r="L1177" s="61">
        <f>IFERROR(VLOOKUP("iPhone 16 Замена стекла камеры", 'РЕМОНТ_ЯБЛОК'!C:D, 2, 0), "Ошибка")</f>
        <v>6500</v>
      </c>
      <c r="M1177" s="96"/>
      <c r="N1177" s="29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idden="1">
      <c r="A1178" s="2"/>
      <c r="B1178" s="57" t="s">
        <v>318</v>
      </c>
      <c r="C1178" s="11"/>
      <c r="D1178" s="11">
        <v>90.0</v>
      </c>
      <c r="E1178" s="12" t="s">
        <v>53</v>
      </c>
      <c r="F1178" s="13">
        <f>'БД_УСЛУГИ_РО'!P922</f>
        <v>9700</v>
      </c>
      <c r="G1178" s="29"/>
      <c r="H1178" s="5"/>
      <c r="I1178" s="2"/>
      <c r="J1178" s="92"/>
      <c r="K1178" s="93">
        <v>9700.0</v>
      </c>
      <c r="L1178" s="65"/>
      <c r="M1178" s="94"/>
      <c r="N1178" s="33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idden="1">
      <c r="A1179" s="2"/>
      <c r="B1179" s="57" t="s">
        <v>318</v>
      </c>
      <c r="C1179" s="11"/>
      <c r="D1179" s="11">
        <v>180.0</v>
      </c>
      <c r="E1179" s="12" t="s">
        <v>54</v>
      </c>
      <c r="F1179" s="13">
        <f>'БД_УСЛУГИ_РО'!P923+'БД_ЗАПЧАСТИ'!P472</f>
        <v>12000</v>
      </c>
      <c r="G1179" s="33" t="str">
        <f>MIN(F1179:F1180) &amp; " - " &amp; MAX(F1179:F1180)</f>
        <v>8000 - 12000</v>
      </c>
      <c r="H1179" s="101">
        <f>'БД_УСЛУГИ_РО'!P923</f>
        <v>4900</v>
      </c>
      <c r="I1179" s="2"/>
      <c r="J1179" s="92"/>
      <c r="K1179" s="93">
        <v>12000.0</v>
      </c>
      <c r="L1179" s="65"/>
      <c r="M1179" s="94"/>
      <c r="N1179" s="33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idden="1">
      <c r="A1180" s="2"/>
      <c r="B1180" s="57" t="s">
        <v>318</v>
      </c>
      <c r="C1180" s="11"/>
      <c r="D1180" s="11">
        <v>180.0</v>
      </c>
      <c r="E1180" s="12" t="s">
        <v>55</v>
      </c>
      <c r="F1180" s="13">
        <f>'БД_УСЛУГИ_РО'!P923+'БД_ЗАПЧАСТИ'!P477</f>
        <v>8000</v>
      </c>
      <c r="G1180" s="28"/>
      <c r="H1180" s="101">
        <f>'БД_УСЛУГИ_РО'!P923</f>
        <v>4900</v>
      </c>
      <c r="I1180" s="2"/>
      <c r="J1180" s="85">
        <f>F1180</f>
        <v>8000</v>
      </c>
      <c r="K1180" s="93">
        <v>8000.0</v>
      </c>
      <c r="L1180" s="61">
        <f>IFERROR(VLOOKUP("iPhone 16 Замена задней крышки", 'РЕМОНТ_ЯБЛОК'!C:D, 2, 0), "Ошибка")</f>
        <v>8000</v>
      </c>
      <c r="M1180" s="105"/>
      <c r="N1180" s="33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idden="1">
      <c r="A1181" s="2"/>
      <c r="B1181" s="57" t="s">
        <v>318</v>
      </c>
      <c r="C1181" s="11"/>
      <c r="D1181" s="11">
        <v>180.0</v>
      </c>
      <c r="E1181" s="12" t="s">
        <v>56</v>
      </c>
      <c r="F1181" s="13">
        <f>'БД_УСЛУГИ_РО'!P924</f>
        <v>11450</v>
      </c>
      <c r="G1181" s="29"/>
      <c r="H1181" s="101">
        <f>'БД_УСЛУГИ_РО'!P924</f>
        <v>11450</v>
      </c>
      <c r="I1181" s="2"/>
      <c r="J1181" s="92"/>
      <c r="K1181" s="93">
        <v>11450.0</v>
      </c>
      <c r="L1181" s="65"/>
      <c r="M1181" s="94"/>
      <c r="N1181" s="33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idden="1">
      <c r="A1182" s="2"/>
      <c r="B1182" s="57" t="s">
        <v>318</v>
      </c>
      <c r="C1182" s="11"/>
      <c r="D1182" s="11">
        <v>180.0</v>
      </c>
      <c r="E1182" s="12" t="s">
        <v>57</v>
      </c>
      <c r="F1182" s="13">
        <f>'БД_УСЛУГИ_РО'!P925</f>
        <v>9000</v>
      </c>
      <c r="G1182" s="29"/>
      <c r="H1182" s="101">
        <f>'БД_УСЛУГИ_РО'!P925</f>
        <v>9000</v>
      </c>
      <c r="I1182" s="2"/>
      <c r="J1182" s="85">
        <f>F1182</f>
        <v>9000</v>
      </c>
      <c r="K1182" s="84">
        <v>9000.0</v>
      </c>
      <c r="L1182" s="61">
        <f>IFERROR(VLOOKUP("iPhone 16 Замена средней части корпуса", 'РЕМОНТ_ЯБЛОК'!C:D, 2, 0), "Ошибка")</f>
        <v>12000</v>
      </c>
      <c r="M1182" s="96"/>
      <c r="N1182" s="29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idden="1">
      <c r="A1183" s="2"/>
      <c r="B1183" s="57" t="s">
        <v>318</v>
      </c>
      <c r="C1183" s="11"/>
      <c r="D1183" s="11">
        <v>90.0</v>
      </c>
      <c r="E1183" s="12" t="s">
        <v>59</v>
      </c>
      <c r="F1183" s="13">
        <f>'БД_УСЛУГИ_РО'!P926</f>
        <v>8500</v>
      </c>
      <c r="G1183" s="29"/>
      <c r="H1183" s="5"/>
      <c r="I1183" s="2"/>
      <c r="J1183" s="83"/>
      <c r="K1183" s="84">
        <v>8500.0</v>
      </c>
      <c r="L1183" s="61"/>
      <c r="M1183" s="60"/>
      <c r="N1183" s="29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idden="1">
      <c r="A1184" s="2"/>
      <c r="B1184" s="57" t="s">
        <v>318</v>
      </c>
      <c r="C1184" s="11"/>
      <c r="D1184" s="11">
        <v>90.0</v>
      </c>
      <c r="E1184" s="12" t="s">
        <v>323</v>
      </c>
      <c r="F1184" s="13">
        <f>'БД_УСЛУГИ_РО'!P927+'БД_ЗАПЧАСТИ'!P912</f>
        <v>6600</v>
      </c>
      <c r="G1184" s="29"/>
      <c r="H1184" s="101">
        <f>'БД_УСЛУГИ_РО'!P927</f>
        <v>6600</v>
      </c>
      <c r="I1184" s="2"/>
      <c r="J1184" s="83"/>
      <c r="K1184" s="84">
        <v>6600.0</v>
      </c>
      <c r="L1184" s="61"/>
      <c r="M1184" s="60"/>
      <c r="N1184" s="29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idden="1">
      <c r="A1185" s="2"/>
      <c r="B1185" s="57" t="s">
        <v>318</v>
      </c>
      <c r="C1185" s="11"/>
      <c r="D1185" s="11">
        <v>90.0</v>
      </c>
      <c r="E1185" s="12" t="s">
        <v>324</v>
      </c>
      <c r="F1185" s="13">
        <f>'БД_УСЛУГИ_РО'!P928+'БД_ЗАПЧАСТИ'!P872</f>
        <v>9850</v>
      </c>
      <c r="G1185" s="29"/>
      <c r="H1185" s="101">
        <f>'БД_УСЛУГИ_РО'!P928</f>
        <v>6600</v>
      </c>
      <c r="I1185" s="2"/>
      <c r="J1185" s="83"/>
      <c r="K1185" s="84">
        <v>9850.0</v>
      </c>
      <c r="L1185" s="61"/>
      <c r="M1185" s="60"/>
      <c r="N1185" s="29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idden="1">
      <c r="A1186" s="2"/>
      <c r="B1186" s="57" t="s">
        <v>318</v>
      </c>
      <c r="C1186" s="11"/>
      <c r="D1186" s="11">
        <v>90.0</v>
      </c>
      <c r="E1186" s="32" t="s">
        <v>62</v>
      </c>
      <c r="F1186" s="13">
        <f>'БД_УСЛУГИ_РО'!P929+'БД_ЗАПЧАСТИ'!P716</f>
        <v>12200</v>
      </c>
      <c r="G1186" s="29"/>
      <c r="H1186" s="101">
        <f>'БД_УСЛУГИ_РО'!P929</f>
        <v>7200</v>
      </c>
      <c r="I1186" s="2"/>
      <c r="J1186" s="92"/>
      <c r="K1186" s="93">
        <v>12200.0</v>
      </c>
      <c r="L1186" s="65"/>
      <c r="M1186" s="94"/>
      <c r="N1186" s="33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idden="1">
      <c r="A1187" s="2"/>
      <c r="B1187" s="57" t="s">
        <v>318</v>
      </c>
      <c r="C1187" s="11"/>
      <c r="D1187" s="11">
        <v>90.0</v>
      </c>
      <c r="E1187" s="12" t="s">
        <v>63</v>
      </c>
      <c r="F1187" s="13">
        <f>'БД_УСЛУГИ_РО'!P930</f>
        <v>7700</v>
      </c>
      <c r="G1187" s="29"/>
      <c r="H1187" s="5"/>
      <c r="I1187" s="2"/>
      <c r="J1187" s="92"/>
      <c r="K1187" s="93">
        <v>7700.0</v>
      </c>
      <c r="L1187" s="65"/>
      <c r="M1187" s="94"/>
      <c r="N1187" s="33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idden="1">
      <c r="A1188" s="2"/>
      <c r="B1188" s="57" t="s">
        <v>318</v>
      </c>
      <c r="C1188" s="11"/>
      <c r="D1188" s="11">
        <v>90.0</v>
      </c>
      <c r="E1188" s="12" t="s">
        <v>64</v>
      </c>
      <c r="F1188" s="13">
        <f>'БД_УСЛУГИ_РО'!P932</f>
        <v>9000</v>
      </c>
      <c r="G1188" s="29"/>
      <c r="H1188" s="5"/>
      <c r="I1188" s="2"/>
      <c r="J1188" s="92"/>
      <c r="K1188" s="93">
        <v>9000.0</v>
      </c>
      <c r="L1188" s="65"/>
      <c r="M1188" s="94"/>
      <c r="N1188" s="33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idden="1">
      <c r="A1189" s="2"/>
      <c r="B1189" s="57" t="s">
        <v>318</v>
      </c>
      <c r="C1189" s="11"/>
      <c r="D1189" s="11">
        <v>90.0</v>
      </c>
      <c r="E1189" s="12" t="s">
        <v>65</v>
      </c>
      <c r="F1189" s="13">
        <f>'БД_УСЛУГИ_РО'!P931+'БД_УСЛУГИ_РО'!P933</f>
        <v>19200</v>
      </c>
      <c r="G1189" s="29"/>
      <c r="H1189" s="5"/>
      <c r="I1189" s="2"/>
      <c r="J1189" s="92"/>
      <c r="K1189" s="93">
        <v>19200.0</v>
      </c>
      <c r="L1189" s="65"/>
      <c r="M1189" s="94"/>
      <c r="N1189" s="33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idden="1">
      <c r="A1190" s="2"/>
      <c r="B1190" s="69" t="s">
        <v>318</v>
      </c>
      <c r="C1190" s="36"/>
      <c r="D1190" s="36">
        <v>90.0</v>
      </c>
      <c r="E1190" s="70" t="s">
        <v>66</v>
      </c>
      <c r="F1190" s="38">
        <f>'БД_УСЛУГИ_РО'!P931+'БД_УСЛУГИ_РО'!P934</f>
        <v>19700</v>
      </c>
      <c r="G1190" s="39"/>
      <c r="H1190" s="5"/>
      <c r="I1190" s="2"/>
      <c r="J1190" s="91"/>
      <c r="K1190" s="89">
        <v>19700.0</v>
      </c>
      <c r="L1190" s="73"/>
      <c r="M1190" s="74"/>
      <c r="N1190" s="39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idden="1">
      <c r="A1191" s="2"/>
      <c r="B1191" s="1"/>
      <c r="C1191" s="1"/>
      <c r="D1191" s="95"/>
      <c r="E1191" s="30"/>
      <c r="F1191" s="80"/>
      <c r="G1191" s="76"/>
      <c r="H1191" s="5"/>
      <c r="I1191" s="2"/>
      <c r="J1191" s="2"/>
      <c r="K1191" s="2" t="s">
        <v>22</v>
      </c>
      <c r="L1191" s="2"/>
      <c r="M1191" s="3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idden="1">
      <c r="A1192" s="2"/>
      <c r="B1192" s="41" t="s">
        <v>325</v>
      </c>
      <c r="C1192" s="42"/>
      <c r="D1192" s="42">
        <v>0.0</v>
      </c>
      <c r="E1192" s="51" t="s">
        <v>24</v>
      </c>
      <c r="F1192" s="44">
        <f>'БД_УСЛУГИ_РО'!P935</f>
        <v>1</v>
      </c>
      <c r="G1192" s="78"/>
      <c r="H1192" s="5"/>
      <c r="I1192" s="2"/>
      <c r="J1192" s="81"/>
      <c r="K1192" s="82">
        <v>1.0</v>
      </c>
      <c r="L1192" s="55"/>
      <c r="M1192" s="56"/>
      <c r="N1192" s="5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idden="1">
      <c r="A1193" s="2"/>
      <c r="B1193" s="57" t="s">
        <v>325</v>
      </c>
      <c r="C1193" s="11"/>
      <c r="D1193" s="11">
        <v>0.0</v>
      </c>
      <c r="E1193" s="12" t="s">
        <v>26</v>
      </c>
      <c r="F1193" s="13">
        <f>'БД_УСЛУГИ_РО'!P936+'БД_УСЛУГИ_РО'!P937</f>
        <v>2900</v>
      </c>
      <c r="G1193" s="29"/>
      <c r="H1193" s="5"/>
      <c r="I1193" s="2"/>
      <c r="J1193" s="83"/>
      <c r="K1193" s="84">
        <v>2900.0</v>
      </c>
      <c r="L1193" s="61"/>
      <c r="M1193" s="60"/>
      <c r="N1193" s="29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idden="1">
      <c r="A1194" s="2"/>
      <c r="B1194" s="57" t="s">
        <v>325</v>
      </c>
      <c r="C1194" s="11"/>
      <c r="D1194" s="11">
        <v>0.0</v>
      </c>
      <c r="E1194" s="32" t="s">
        <v>27</v>
      </c>
      <c r="F1194" s="13">
        <f>'БД_УСЛУГИ_РО'!P938</f>
        <v>700</v>
      </c>
      <c r="G1194" s="33" t="str">
        <f>MIN(F1194:F1195) &amp; " - " &amp; MAX(F1194:F1195)</f>
        <v>700 - 6700</v>
      </c>
      <c r="H1194" s="5"/>
      <c r="I1194" s="2"/>
      <c r="J1194" s="83"/>
      <c r="K1194" s="84">
        <v>700.0</v>
      </c>
      <c r="L1194" s="61"/>
      <c r="M1194" s="60"/>
      <c r="N1194" s="29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idden="1">
      <c r="A1195" s="2"/>
      <c r="B1195" s="57" t="s">
        <v>325</v>
      </c>
      <c r="C1195" s="11"/>
      <c r="D1195" s="11">
        <v>0.0</v>
      </c>
      <c r="E1195" s="32" t="s">
        <v>28</v>
      </c>
      <c r="F1195" s="13">
        <f>'БД_УСЛУГИ_РО'!P939</f>
        <v>6700</v>
      </c>
      <c r="G1195" s="28"/>
      <c r="H1195" s="5"/>
      <c r="I1195" s="2"/>
      <c r="J1195" s="83"/>
      <c r="K1195" s="84">
        <v>6700.0</v>
      </c>
      <c r="L1195" s="61"/>
      <c r="M1195" s="60"/>
      <c r="N1195" s="29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idden="1">
      <c r="A1196" s="2"/>
      <c r="B1196" s="57" t="s">
        <v>325</v>
      </c>
      <c r="C1196" s="11"/>
      <c r="D1196" s="11">
        <v>180.0</v>
      </c>
      <c r="E1196" s="12" t="s">
        <v>202</v>
      </c>
      <c r="F1196" s="13">
        <f>'БД_УСЛУГИ_РО'!P940+'БД_ЗАПЧАСТИ'!P125</f>
        <v>7800</v>
      </c>
      <c r="G1196" s="33" t="str">
        <f>IFERROR(__xludf.DUMMYFUNCTION("MIN(FILTER(F1196:F1201, F1196:F1201 &lt;&gt; H1196:H1201)) &amp; "" - "" &amp; MAX(FILTER(F1196:F1201, F1196:F1201 &lt;&gt; H1196:H1201))"),"#N/A")</f>
        <v>#N/A</v>
      </c>
      <c r="H1196" s="101">
        <f>'БД_УСЛУГИ_РО'!P940</f>
        <v>7800</v>
      </c>
      <c r="I1196" s="2"/>
      <c r="J1196" s="92" t="str">
        <f>IFERROR(__xludf.DUMMYFUNCTION("MIN(FILTER(F1196:F1201, F1196:F1201 &lt;&gt; H1196:H1201, F1196:F1201 &lt;&gt; """"))"),"#N/A")</f>
        <v>#N/A</v>
      </c>
      <c r="K1196" s="84">
        <v>7800.0</v>
      </c>
      <c r="L1196" s="31"/>
      <c r="M1196" s="60"/>
      <c r="N1196" s="29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idden="1">
      <c r="A1197" s="2"/>
      <c r="B1197" s="57" t="s">
        <v>325</v>
      </c>
      <c r="C1197" s="11"/>
      <c r="D1197" s="11">
        <v>180.0</v>
      </c>
      <c r="E1197" s="12" t="s">
        <v>203</v>
      </c>
      <c r="F1197" s="13">
        <f>'БД_УСЛУГИ_РО'!P940+'БД_ЗАПЧАСТИ'!P126</f>
        <v>7800</v>
      </c>
      <c r="G1197" s="19"/>
      <c r="H1197" s="101">
        <f>'БД_УСЛУГИ_РО'!P940</f>
        <v>7800</v>
      </c>
      <c r="I1197" s="2"/>
      <c r="J1197" s="103"/>
      <c r="K1197" s="84">
        <v>7800.0</v>
      </c>
      <c r="L1197" s="104"/>
      <c r="M1197" s="60"/>
      <c r="N1197" s="29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idden="1">
      <c r="A1198" s="2"/>
      <c r="B1198" s="57" t="s">
        <v>325</v>
      </c>
      <c r="C1198" s="11"/>
      <c r="D1198" s="11">
        <v>180.0</v>
      </c>
      <c r="E1198" s="12" t="s">
        <v>32</v>
      </c>
      <c r="F1198" s="13">
        <f>'БД_УСЛУГИ_РО'!P940+'БД_ЗАПЧАСТИ'!P1761</f>
        <v>7800</v>
      </c>
      <c r="G1198" s="19"/>
      <c r="H1198" s="101">
        <f>'БД_УСЛУГИ_РО'!P940</f>
        <v>7800</v>
      </c>
      <c r="I1198" s="2"/>
      <c r="J1198" s="103"/>
      <c r="K1198" s="84">
        <v>7800.0</v>
      </c>
      <c r="L1198" s="104"/>
      <c r="M1198" s="60"/>
      <c r="N1198" s="29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idden="1">
      <c r="A1199" s="2"/>
      <c r="B1199" s="57" t="s">
        <v>325</v>
      </c>
      <c r="C1199" s="11"/>
      <c r="D1199" s="11">
        <v>180.0</v>
      </c>
      <c r="E1199" s="12" t="s">
        <v>33</v>
      </c>
      <c r="F1199" s="13">
        <f>'БД_УСЛУГИ_РО'!P940+'БД_ЗАПЧАСТИ'!P128</f>
        <v>7800</v>
      </c>
      <c r="G1199" s="19"/>
      <c r="H1199" s="101">
        <f>'БД_УСЛУГИ_РО'!P940</f>
        <v>7800</v>
      </c>
      <c r="I1199" s="2"/>
      <c r="J1199" s="103"/>
      <c r="K1199" s="84">
        <v>7800.0</v>
      </c>
      <c r="L1199" s="104"/>
      <c r="M1199" s="60"/>
      <c r="N1199" s="29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idden="1">
      <c r="A1200" s="2"/>
      <c r="B1200" s="57" t="s">
        <v>325</v>
      </c>
      <c r="C1200" s="11"/>
      <c r="D1200" s="11">
        <v>180.0</v>
      </c>
      <c r="E1200" s="12" t="s">
        <v>34</v>
      </c>
      <c r="F1200" s="13">
        <f>'БД_УСЛУГИ_РО'!P940+'БД_ЗАПЧАСТИ'!P129</f>
        <v>7800</v>
      </c>
      <c r="G1200" s="19"/>
      <c r="H1200" s="101">
        <f>'БД_УСЛУГИ_РО'!P940</f>
        <v>7800</v>
      </c>
      <c r="I1200" s="2"/>
      <c r="J1200" s="87"/>
      <c r="K1200" s="84">
        <v>7800.0</v>
      </c>
      <c r="L1200" s="67"/>
      <c r="M1200" s="60"/>
      <c r="N1200" s="29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idden="1">
      <c r="A1201" s="2"/>
      <c r="B1201" s="57" t="s">
        <v>325</v>
      </c>
      <c r="C1201" s="11"/>
      <c r="D1201" s="11">
        <v>180.0</v>
      </c>
      <c r="E1201" s="12" t="s">
        <v>35</v>
      </c>
      <c r="F1201" s="13"/>
      <c r="G1201" s="28"/>
      <c r="H1201" s="5"/>
      <c r="I1201" s="2"/>
      <c r="J1201" s="83"/>
      <c r="K1201" s="84" t="s">
        <v>22</v>
      </c>
      <c r="L1201" s="61"/>
      <c r="M1201" s="60"/>
      <c r="N1201" s="29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idden="1">
      <c r="A1202" s="2"/>
      <c r="B1202" s="57" t="s">
        <v>325</v>
      </c>
      <c r="C1202" s="11"/>
      <c r="D1202" s="11">
        <v>90.0</v>
      </c>
      <c r="E1202" s="12" t="s">
        <v>326</v>
      </c>
      <c r="F1202" s="13">
        <f>'БД_УСЛУГИ_РО'!P942+'БД_ЗАПЧАСТИ'!P721</f>
        <v>7500</v>
      </c>
      <c r="G1202" s="29"/>
      <c r="H1202" s="101">
        <f>'БД_УСЛУГИ_РО'!P942</f>
        <v>7500</v>
      </c>
      <c r="I1202" s="2"/>
      <c r="J1202" s="83"/>
      <c r="K1202" s="84">
        <v>7500.0</v>
      </c>
      <c r="L1202" s="61"/>
      <c r="M1202" s="60"/>
      <c r="N1202" s="29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idden="1">
      <c r="A1203" s="2"/>
      <c r="B1203" s="57" t="s">
        <v>325</v>
      </c>
      <c r="C1203" s="11"/>
      <c r="D1203" s="11">
        <v>90.0</v>
      </c>
      <c r="E1203" s="12" t="s">
        <v>205</v>
      </c>
      <c r="F1203" s="13">
        <f>'БД_УСЛУГИ_РО'!P943+'БД_ЗАПЧАСТИ'!P280</f>
        <v>7000</v>
      </c>
      <c r="G1203" s="33" t="str">
        <f>IFERROR(__xludf.DUMMYFUNCTION("MIN(FILTER(F1203:F1209, F1203:F1209 &lt;&gt; H1203:H1209)) &amp; "" - "" &amp; MAX(FILTER(F1203:F1209, F1203:F1209 &lt;&gt; H1203:H1209))"),"17000 - 17000")</f>
        <v>17000 - 17000</v>
      </c>
      <c r="H1203" s="101">
        <f>'БД_УСЛУГИ_РО'!P943</f>
        <v>7000</v>
      </c>
      <c r="I1203" s="2"/>
      <c r="J1203" s="86">
        <f>IFERROR(__xludf.DUMMYFUNCTION("MIN(FILTER(F1203:F1207, F1203:F1207 &lt;&gt; H1203:H1207, F1203:F1207 &lt;&gt; """"))"),17000.0)</f>
        <v>17000</v>
      </c>
      <c r="K1203" s="84">
        <v>7000.0</v>
      </c>
      <c r="L1203" s="65"/>
      <c r="M1203" s="60"/>
      <c r="N1203" s="29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idden="1">
      <c r="A1204" s="2"/>
      <c r="B1204" s="57" t="s">
        <v>325</v>
      </c>
      <c r="C1204" s="11"/>
      <c r="D1204" s="11">
        <v>90.0</v>
      </c>
      <c r="E1204" s="12" t="s">
        <v>39</v>
      </c>
      <c r="F1204" s="13">
        <f>'БД_УСЛУГИ_РО'!P943+'БД_ЗАПЧАСТИ'!P281</f>
        <v>7000</v>
      </c>
      <c r="G1204" s="19"/>
      <c r="H1204" s="101">
        <f>'БД_УСЛУГИ_РО'!P943</f>
        <v>7000</v>
      </c>
      <c r="I1204" s="2"/>
      <c r="J1204" s="103"/>
      <c r="K1204" s="84">
        <v>7000.0</v>
      </c>
      <c r="L1204" s="104"/>
      <c r="M1204" s="60"/>
      <c r="N1204" s="29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idden="1">
      <c r="A1205" s="2"/>
      <c r="B1205" s="57" t="s">
        <v>325</v>
      </c>
      <c r="C1205" s="11"/>
      <c r="D1205" s="11">
        <v>90.0</v>
      </c>
      <c r="E1205" s="12" t="s">
        <v>40</v>
      </c>
      <c r="F1205" s="13">
        <f>'БД_УСЛУГИ_РО'!P943+'БД_ЗАПЧАСТИ'!P282</f>
        <v>17000</v>
      </c>
      <c r="G1205" s="19"/>
      <c r="H1205" s="101">
        <f>'БД_УСЛУГИ_РО'!P943</f>
        <v>7000</v>
      </c>
      <c r="I1205" s="2"/>
      <c r="J1205" s="103"/>
      <c r="K1205" s="84">
        <v>17000.0</v>
      </c>
      <c r="L1205" s="104"/>
      <c r="M1205" s="60"/>
      <c r="N1205" s="29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idden="1">
      <c r="A1206" s="2"/>
      <c r="B1206" s="57" t="s">
        <v>325</v>
      </c>
      <c r="C1206" s="11"/>
      <c r="D1206" s="11">
        <v>90.0</v>
      </c>
      <c r="E1206" s="12" t="s">
        <v>42</v>
      </c>
      <c r="F1206" s="13">
        <f>'БД_УСЛУГИ_РО'!P943+'БД_ЗАПЧАСТИ'!P283</f>
        <v>7000</v>
      </c>
      <c r="G1206" s="19"/>
      <c r="H1206" s="101">
        <f>'БД_УСЛУГИ_РО'!P943</f>
        <v>7000</v>
      </c>
      <c r="I1206" s="2"/>
      <c r="J1206" s="103"/>
      <c r="K1206" s="84">
        <v>7000.0</v>
      </c>
      <c r="L1206" s="104"/>
      <c r="M1206" s="60"/>
      <c r="N1206" s="29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idden="1">
      <c r="A1207" s="2"/>
      <c r="B1207" s="57" t="s">
        <v>325</v>
      </c>
      <c r="C1207" s="11"/>
      <c r="D1207" s="11">
        <v>90.0</v>
      </c>
      <c r="E1207" s="12" t="s">
        <v>43</v>
      </c>
      <c r="F1207" s="13">
        <f>'БД_УСЛУГИ_РО'!P943+'БД_ЗАПЧАСТИ'!P284</f>
        <v>7000</v>
      </c>
      <c r="G1207" s="19"/>
      <c r="H1207" s="101">
        <f>'БД_УСЛУГИ_РО'!P943</f>
        <v>7000</v>
      </c>
      <c r="I1207" s="2"/>
      <c r="J1207" s="87"/>
      <c r="K1207" s="84">
        <v>7000.0</v>
      </c>
      <c r="L1207" s="67"/>
      <c r="M1207" s="60"/>
      <c r="N1207" s="29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idden="1">
      <c r="A1208" s="2"/>
      <c r="B1208" s="57" t="s">
        <v>325</v>
      </c>
      <c r="C1208" s="11"/>
      <c r="D1208" s="11">
        <v>90.0</v>
      </c>
      <c r="E1208" s="12" t="s">
        <v>45</v>
      </c>
      <c r="F1208" s="13">
        <f>'БД_УСЛУГИ_РО'!P943</f>
        <v>7000</v>
      </c>
      <c r="G1208" s="19"/>
      <c r="H1208" s="101">
        <f>'БД_УСЛУГИ_РО'!P943</f>
        <v>7000</v>
      </c>
      <c r="I1208" s="2"/>
      <c r="J1208" s="92" t="str">
        <f>IFERROR(__xludf.DUMMYFUNCTION("MIN(FILTER(F1208:F1209, F1208:F1209 &lt;&gt; H1208:H1209, F1208:F1209 &lt;&gt; """"))"),"#N/A")</f>
        <v>#N/A</v>
      </c>
      <c r="K1208" s="84">
        <v>7000.0</v>
      </c>
      <c r="L1208" s="65"/>
      <c r="M1208" s="60"/>
      <c r="N1208" s="29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idden="1">
      <c r="A1209" s="2"/>
      <c r="B1209" s="57" t="s">
        <v>325</v>
      </c>
      <c r="C1209" s="11"/>
      <c r="D1209" s="11">
        <v>90.0</v>
      </c>
      <c r="E1209" s="12" t="s">
        <v>46</v>
      </c>
      <c r="F1209" s="13">
        <f>'БД_УСЛУГИ_РО'!P943</f>
        <v>7000</v>
      </c>
      <c r="G1209" s="28"/>
      <c r="H1209" s="101">
        <f>'БД_УСЛУГИ_РО'!P943</f>
        <v>7000</v>
      </c>
      <c r="I1209" s="2"/>
      <c r="J1209" s="87"/>
      <c r="K1209" s="84">
        <v>7000.0</v>
      </c>
      <c r="L1209" s="67"/>
      <c r="M1209" s="60"/>
      <c r="N1209" s="29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idden="1">
      <c r="A1210" s="2"/>
      <c r="B1210" s="57" t="s">
        <v>325</v>
      </c>
      <c r="C1210" s="11"/>
      <c r="D1210" s="11">
        <v>90.0</v>
      </c>
      <c r="E1210" s="12" t="s">
        <v>47</v>
      </c>
      <c r="F1210" s="13">
        <f>'БД_УСЛУГИ_РО'!P944</f>
        <v>6300</v>
      </c>
      <c r="G1210" s="29"/>
      <c r="H1210" s="5"/>
      <c r="I1210" s="2"/>
      <c r="J1210" s="85">
        <f>F1210</f>
        <v>6300</v>
      </c>
      <c r="K1210" s="84">
        <v>6300.0</v>
      </c>
      <c r="L1210" s="61"/>
      <c r="M1210" s="60"/>
      <c r="N1210" s="29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idden="1">
      <c r="A1211" s="2"/>
      <c r="B1211" s="57" t="s">
        <v>325</v>
      </c>
      <c r="C1211" s="11"/>
      <c r="D1211" s="11">
        <v>90.0</v>
      </c>
      <c r="E1211" s="12" t="s">
        <v>327</v>
      </c>
      <c r="F1211" s="13">
        <f>'БД_УСЛУГИ_РО'!P945</f>
        <v>1</v>
      </c>
      <c r="G1211" s="29"/>
      <c r="H1211" s="5"/>
      <c r="I1211" s="2"/>
      <c r="J1211" s="83"/>
      <c r="K1211" s="84">
        <v>1.0</v>
      </c>
      <c r="L1211" s="61"/>
      <c r="M1211" s="96"/>
      <c r="N1211" s="29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idden="1">
      <c r="A1212" s="2"/>
      <c r="B1212" s="57" t="s">
        <v>325</v>
      </c>
      <c r="C1212" s="11"/>
      <c r="D1212" s="11">
        <v>90.0</v>
      </c>
      <c r="E1212" s="12" t="s">
        <v>328</v>
      </c>
      <c r="F1212" s="13">
        <f>'БД_УСЛУГИ_РО'!P946</f>
        <v>7000</v>
      </c>
      <c r="G1212" s="29"/>
      <c r="H1212" s="101">
        <f>'БД_УСЛУГИ_РО'!P946</f>
        <v>7000</v>
      </c>
      <c r="I1212" s="2"/>
      <c r="J1212" s="83"/>
      <c r="K1212" s="84">
        <v>7000.0</v>
      </c>
      <c r="L1212" s="61"/>
      <c r="M1212" s="96"/>
      <c r="N1212" s="29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idden="1">
      <c r="A1213" s="2"/>
      <c r="B1213" s="57" t="s">
        <v>325</v>
      </c>
      <c r="C1213" s="11"/>
      <c r="D1213" s="11">
        <v>90.0</v>
      </c>
      <c r="E1213" s="12" t="s">
        <v>329</v>
      </c>
      <c r="F1213" s="13">
        <f>'БД_УСЛУГИ_РО'!P947+'БД_ЗАПЧАСТИ'!P828</f>
        <v>7600</v>
      </c>
      <c r="G1213" s="29"/>
      <c r="H1213" s="101">
        <f>'БД_УСЛУГИ_РО'!P947</f>
        <v>7600</v>
      </c>
      <c r="I1213" s="2"/>
      <c r="J1213" s="83"/>
      <c r="K1213" s="84">
        <v>7600.0</v>
      </c>
      <c r="L1213" s="61"/>
      <c r="M1213" s="96"/>
      <c r="N1213" s="29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idden="1">
      <c r="A1214" s="2"/>
      <c r="B1214" s="57" t="s">
        <v>325</v>
      </c>
      <c r="C1214" s="11"/>
      <c r="D1214" s="11">
        <v>180.0</v>
      </c>
      <c r="E1214" s="12" t="s">
        <v>52</v>
      </c>
      <c r="F1214" s="13">
        <f>'БД_УСЛУГИ_РО'!P948+'БД_ЗАПЧАСТИ'!P573</f>
        <v>4300</v>
      </c>
      <c r="G1214" s="29"/>
      <c r="H1214" s="101">
        <f>'БД_УСЛУГИ_РО'!P948</f>
        <v>4300</v>
      </c>
      <c r="I1214" s="2"/>
      <c r="J1214" s="83"/>
      <c r="K1214" s="84">
        <v>4300.0</v>
      </c>
      <c r="L1214" s="61"/>
      <c r="M1214" s="96"/>
      <c r="N1214" s="29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idden="1">
      <c r="A1215" s="2"/>
      <c r="B1215" s="57" t="s">
        <v>325</v>
      </c>
      <c r="C1215" s="11"/>
      <c r="D1215" s="11">
        <v>90.0</v>
      </c>
      <c r="E1215" s="12" t="s">
        <v>53</v>
      </c>
      <c r="F1215" s="13">
        <f>'БД_УСЛУГИ_РО'!P949</f>
        <v>9700</v>
      </c>
      <c r="G1215" s="29"/>
      <c r="H1215" s="5"/>
      <c r="I1215" s="2"/>
      <c r="J1215" s="92"/>
      <c r="K1215" s="93">
        <v>9700.0</v>
      </c>
      <c r="L1215" s="65"/>
      <c r="M1215" s="94"/>
      <c r="N1215" s="33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idden="1">
      <c r="A1216" s="2"/>
      <c r="B1216" s="57" t="s">
        <v>325</v>
      </c>
      <c r="C1216" s="11"/>
      <c r="D1216" s="11">
        <v>180.0</v>
      </c>
      <c r="E1216" s="12" t="s">
        <v>54</v>
      </c>
      <c r="F1216" s="13">
        <f>'БД_УСЛУГИ_РО'!P950+'БД_ЗАПЧАСТИ'!P482</f>
        <v>4900</v>
      </c>
      <c r="G1216" s="33" t="str">
        <f>MIN(F1216:F1217) &amp; " - " &amp; MAX(F1216:F1217)</f>
        <v>4900 - 4900</v>
      </c>
      <c r="H1216" s="101">
        <f>'БД_УСЛУГИ_РО'!P950</f>
        <v>4900</v>
      </c>
      <c r="I1216" s="2"/>
      <c r="J1216" s="92"/>
      <c r="K1216" s="93">
        <v>4900.0</v>
      </c>
      <c r="L1216" s="65"/>
      <c r="M1216" s="94"/>
      <c r="N1216" s="33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idden="1">
      <c r="A1217" s="2"/>
      <c r="B1217" s="57" t="s">
        <v>325</v>
      </c>
      <c r="C1217" s="11"/>
      <c r="D1217" s="11">
        <v>180.0</v>
      </c>
      <c r="E1217" s="12" t="s">
        <v>55</v>
      </c>
      <c r="F1217" s="13">
        <f>'БД_УСЛУГИ_РО'!P950+'БД_ЗАПЧАСТИ'!P484</f>
        <v>4900</v>
      </c>
      <c r="G1217" s="28"/>
      <c r="H1217" s="101">
        <f>'БД_УСЛУГИ_РО'!P950</f>
        <v>4900</v>
      </c>
      <c r="I1217" s="2"/>
      <c r="J1217" s="92"/>
      <c r="K1217" s="93">
        <v>4900.0</v>
      </c>
      <c r="L1217" s="65"/>
      <c r="M1217" s="105"/>
      <c r="N1217" s="33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idden="1">
      <c r="A1218" s="2"/>
      <c r="B1218" s="57" t="s">
        <v>325</v>
      </c>
      <c r="C1218" s="11"/>
      <c r="D1218" s="11">
        <v>180.0</v>
      </c>
      <c r="E1218" s="12" t="s">
        <v>56</v>
      </c>
      <c r="F1218" s="13">
        <f>'БД_УСЛУГИ_РО'!P951</f>
        <v>11450</v>
      </c>
      <c r="G1218" s="29"/>
      <c r="H1218" s="101">
        <f>'БД_УСЛУГИ_РО'!P951</f>
        <v>11450</v>
      </c>
      <c r="I1218" s="2"/>
      <c r="J1218" s="92"/>
      <c r="K1218" s="93">
        <v>11450.0</v>
      </c>
      <c r="L1218" s="65"/>
      <c r="M1218" s="94"/>
      <c r="N1218" s="33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idden="1">
      <c r="A1219" s="2"/>
      <c r="B1219" s="57" t="s">
        <v>325</v>
      </c>
      <c r="C1219" s="11"/>
      <c r="D1219" s="11">
        <v>180.0</v>
      </c>
      <c r="E1219" s="12" t="s">
        <v>57</v>
      </c>
      <c r="F1219" s="13">
        <f>'БД_УСЛУГИ_РО'!P952</f>
        <v>9000</v>
      </c>
      <c r="G1219" s="29"/>
      <c r="H1219" s="101">
        <f>'БД_УСЛУГИ_РО'!P952</f>
        <v>9000</v>
      </c>
      <c r="I1219" s="2"/>
      <c r="J1219" s="83"/>
      <c r="K1219" s="84">
        <v>9000.0</v>
      </c>
      <c r="L1219" s="61"/>
      <c r="M1219" s="96"/>
      <c r="N1219" s="29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idden="1">
      <c r="A1220" s="2"/>
      <c r="B1220" s="57" t="s">
        <v>325</v>
      </c>
      <c r="C1220" s="11"/>
      <c r="D1220" s="11">
        <v>90.0</v>
      </c>
      <c r="E1220" s="12" t="s">
        <v>59</v>
      </c>
      <c r="F1220" s="13">
        <f>'БД_УСЛУГИ_РО'!P953</f>
        <v>8500</v>
      </c>
      <c r="G1220" s="29"/>
      <c r="H1220" s="5"/>
      <c r="I1220" s="2"/>
      <c r="J1220" s="83"/>
      <c r="K1220" s="84">
        <v>8500.0</v>
      </c>
      <c r="L1220" s="61"/>
      <c r="M1220" s="60"/>
      <c r="N1220" s="29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idden="1">
      <c r="A1221" s="2"/>
      <c r="B1221" s="57" t="s">
        <v>325</v>
      </c>
      <c r="C1221" s="11"/>
      <c r="D1221" s="11">
        <v>90.0</v>
      </c>
      <c r="E1221" s="12" t="s">
        <v>330</v>
      </c>
      <c r="F1221" s="13">
        <f>'БД_УСЛУГИ_РО'!P954+'БД_ЗАПЧАСТИ'!P913</f>
        <v>6600</v>
      </c>
      <c r="G1221" s="29"/>
      <c r="H1221" s="101">
        <f>'БД_УСЛУГИ_РО'!P954</f>
        <v>6600</v>
      </c>
      <c r="I1221" s="2"/>
      <c r="J1221" s="83"/>
      <c r="K1221" s="84">
        <v>6600.0</v>
      </c>
      <c r="L1221" s="61"/>
      <c r="M1221" s="60"/>
      <c r="N1221" s="29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idden="1">
      <c r="A1222" s="2"/>
      <c r="B1222" s="57" t="s">
        <v>325</v>
      </c>
      <c r="C1222" s="11"/>
      <c r="D1222" s="11">
        <v>90.0</v>
      </c>
      <c r="E1222" s="12" t="s">
        <v>331</v>
      </c>
      <c r="F1222" s="13">
        <f>'БД_УСЛУГИ_РО'!P955+'БД_ЗАПЧАСТИ'!P873</f>
        <v>6600</v>
      </c>
      <c r="G1222" s="29"/>
      <c r="H1222" s="101">
        <f>'БД_УСЛУГИ_РО'!P955</f>
        <v>6600</v>
      </c>
      <c r="I1222" s="2"/>
      <c r="J1222" s="83"/>
      <c r="K1222" s="84">
        <v>6600.0</v>
      </c>
      <c r="L1222" s="61"/>
      <c r="M1222" s="60"/>
      <c r="N1222" s="29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idden="1">
      <c r="A1223" s="2"/>
      <c r="B1223" s="57" t="s">
        <v>325</v>
      </c>
      <c r="C1223" s="11"/>
      <c r="D1223" s="11">
        <v>90.0</v>
      </c>
      <c r="E1223" s="32" t="s">
        <v>62</v>
      </c>
      <c r="F1223" s="13">
        <f>'БД_УСЛУГИ_РО'!P956+'БД_ЗАПЧАСТИ'!P721</f>
        <v>7200</v>
      </c>
      <c r="G1223" s="29"/>
      <c r="H1223" s="101">
        <f>'БД_УСЛУГИ_РО'!P956</f>
        <v>7200</v>
      </c>
      <c r="I1223" s="2"/>
      <c r="J1223" s="92"/>
      <c r="K1223" s="93">
        <v>7200.0</v>
      </c>
      <c r="L1223" s="65"/>
      <c r="M1223" s="94"/>
      <c r="N1223" s="33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idden="1">
      <c r="A1224" s="2"/>
      <c r="B1224" s="57" t="s">
        <v>325</v>
      </c>
      <c r="C1224" s="11"/>
      <c r="D1224" s="11">
        <v>90.0</v>
      </c>
      <c r="E1224" s="12" t="s">
        <v>63</v>
      </c>
      <c r="F1224" s="13">
        <f>'БД_УСЛУГИ_РО'!P957</f>
        <v>7700</v>
      </c>
      <c r="G1224" s="29"/>
      <c r="H1224" s="5"/>
      <c r="I1224" s="2"/>
      <c r="J1224" s="92"/>
      <c r="K1224" s="93">
        <v>7700.0</v>
      </c>
      <c r="L1224" s="65"/>
      <c r="M1224" s="94"/>
      <c r="N1224" s="33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idden="1">
      <c r="A1225" s="2"/>
      <c r="B1225" s="57" t="s">
        <v>325</v>
      </c>
      <c r="C1225" s="11"/>
      <c r="D1225" s="11">
        <v>90.0</v>
      </c>
      <c r="E1225" s="12" t="s">
        <v>64</v>
      </c>
      <c r="F1225" s="13">
        <f>'БД_УСЛУГИ_РО'!P959</f>
        <v>9000</v>
      </c>
      <c r="G1225" s="29"/>
      <c r="H1225" s="5"/>
      <c r="I1225" s="2"/>
      <c r="J1225" s="92"/>
      <c r="K1225" s="93">
        <v>9000.0</v>
      </c>
      <c r="L1225" s="65"/>
      <c r="M1225" s="94"/>
      <c r="N1225" s="33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idden="1">
      <c r="A1226" s="2"/>
      <c r="B1226" s="57" t="s">
        <v>325</v>
      </c>
      <c r="C1226" s="11"/>
      <c r="D1226" s="11">
        <v>90.0</v>
      </c>
      <c r="E1226" s="12" t="s">
        <v>65</v>
      </c>
      <c r="F1226" s="13">
        <f>'БД_УСЛУГИ_РО'!P958+'БД_УСЛУГИ_РО'!P960</f>
        <v>19200</v>
      </c>
      <c r="G1226" s="29"/>
      <c r="H1226" s="5"/>
      <c r="I1226" s="2"/>
      <c r="J1226" s="92"/>
      <c r="K1226" s="93">
        <v>19200.0</v>
      </c>
      <c r="L1226" s="65"/>
      <c r="M1226" s="94"/>
      <c r="N1226" s="33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idden="1">
      <c r="A1227" s="2"/>
      <c r="B1227" s="69" t="s">
        <v>325</v>
      </c>
      <c r="C1227" s="36"/>
      <c r="D1227" s="36">
        <v>90.0</v>
      </c>
      <c r="E1227" s="70" t="s">
        <v>66</v>
      </c>
      <c r="F1227" s="38">
        <f>'БД_УСЛУГИ_РО'!P958+'БД_УСЛУГИ_РО'!P961</f>
        <v>19700</v>
      </c>
      <c r="G1227" s="39"/>
      <c r="H1227" s="5"/>
      <c r="I1227" s="2"/>
      <c r="J1227" s="91"/>
      <c r="K1227" s="89">
        <v>19700.0</v>
      </c>
      <c r="L1227" s="73"/>
      <c r="M1227" s="74"/>
      <c r="N1227" s="39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idden="1">
      <c r="A1228" s="2"/>
      <c r="B1228" s="1"/>
      <c r="C1228" s="1"/>
      <c r="D1228" s="95"/>
      <c r="E1228" s="30"/>
      <c r="F1228" s="80"/>
      <c r="G1228" s="76"/>
      <c r="H1228" s="5"/>
      <c r="I1228" s="2"/>
      <c r="J1228" s="2"/>
      <c r="K1228" s="2" t="s">
        <v>22</v>
      </c>
      <c r="L1228" s="2"/>
      <c r="M1228" s="3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idden="1">
      <c r="A1229" s="2"/>
      <c r="B1229" s="41" t="s">
        <v>332</v>
      </c>
      <c r="C1229" s="42"/>
      <c r="D1229" s="42">
        <v>0.0</v>
      </c>
      <c r="E1229" s="51" t="s">
        <v>24</v>
      </c>
      <c r="F1229" s="44">
        <f>'БД_УСЛУГИ_РО'!P962</f>
        <v>1</v>
      </c>
      <c r="G1229" s="78"/>
      <c r="H1229" s="5"/>
      <c r="I1229" s="2"/>
      <c r="J1229" s="81"/>
      <c r="K1229" s="82">
        <v>1.0</v>
      </c>
      <c r="L1229" s="55"/>
      <c r="M1229" s="56"/>
      <c r="N1229" s="5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idden="1">
      <c r="A1230" s="2"/>
      <c r="B1230" s="57" t="s">
        <v>332</v>
      </c>
      <c r="C1230" s="11"/>
      <c r="D1230" s="11">
        <v>0.0</v>
      </c>
      <c r="E1230" s="12" t="s">
        <v>26</v>
      </c>
      <c r="F1230" s="13">
        <f>'БД_УСЛУГИ_РО'!P963+'БД_УСЛУГИ_РО'!P964</f>
        <v>2900</v>
      </c>
      <c r="G1230" s="29"/>
      <c r="H1230" s="5"/>
      <c r="I1230" s="2"/>
      <c r="J1230" s="83"/>
      <c r="K1230" s="84">
        <v>2900.0</v>
      </c>
      <c r="L1230" s="61"/>
      <c r="M1230" s="60"/>
      <c r="N1230" s="29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idden="1">
      <c r="A1231" s="2"/>
      <c r="B1231" s="57" t="s">
        <v>332</v>
      </c>
      <c r="C1231" s="11"/>
      <c r="D1231" s="11">
        <v>0.0</v>
      </c>
      <c r="E1231" s="32" t="s">
        <v>27</v>
      </c>
      <c r="F1231" s="13">
        <f>'БД_УСЛУГИ_РО'!P965</f>
        <v>700</v>
      </c>
      <c r="G1231" s="33" t="str">
        <f>MIN(F1231:F1232) &amp; " - " &amp; MAX(F1231:F1232)</f>
        <v>700 - 6700</v>
      </c>
      <c r="H1231" s="5"/>
      <c r="I1231" s="2"/>
      <c r="J1231" s="83"/>
      <c r="K1231" s="84">
        <v>700.0</v>
      </c>
      <c r="L1231" s="61"/>
      <c r="M1231" s="60"/>
      <c r="N1231" s="29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idden="1">
      <c r="A1232" s="2"/>
      <c r="B1232" s="57" t="s">
        <v>332</v>
      </c>
      <c r="C1232" s="11"/>
      <c r="D1232" s="11">
        <v>0.0</v>
      </c>
      <c r="E1232" s="32" t="s">
        <v>28</v>
      </c>
      <c r="F1232" s="13">
        <f>'БД_УСЛУГИ_РО'!P966</f>
        <v>6700</v>
      </c>
      <c r="G1232" s="28"/>
      <c r="H1232" s="5"/>
      <c r="I1232" s="2"/>
      <c r="J1232" s="83"/>
      <c r="K1232" s="84">
        <v>6700.0</v>
      </c>
      <c r="L1232" s="61"/>
      <c r="M1232" s="60"/>
      <c r="N1232" s="29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idden="1">
      <c r="A1233" s="2"/>
      <c r="B1233" s="57" t="s">
        <v>332</v>
      </c>
      <c r="C1233" s="11"/>
      <c r="D1233" s="11">
        <v>180.0</v>
      </c>
      <c r="E1233" s="12" t="s">
        <v>202</v>
      </c>
      <c r="F1233" s="13">
        <f>'БД_УСЛУГИ_РО'!P967+'БД_ЗАПЧАСТИ'!P131</f>
        <v>19800</v>
      </c>
      <c r="G1233" s="33" t="str">
        <f>IFERROR(__xludf.DUMMYFUNCTION("MIN(FILTER(F1233:F1238, F1233:F1238 &lt;&gt; H1233:H1238)) &amp; "" - "" &amp; MAX(FILTER(F1233:F1238, F1233:F1238 &lt;&gt; H1233:H1238))"),"12000 - 19800")</f>
        <v>12000 - 19800</v>
      </c>
      <c r="H1233" s="101">
        <f>'БД_УСЛУГИ_РО'!P967</f>
        <v>7800</v>
      </c>
      <c r="I1233" s="2"/>
      <c r="J1233" s="86">
        <f>IFERROR(__xludf.DUMMYFUNCTION("MIN(FILTER(F1233:F1238, F1233:F1238 &lt;&gt; H1233:H1238, F1233:F1238 &lt;&gt; """"))"),12000.0)</f>
        <v>12000</v>
      </c>
      <c r="K1233" s="84">
        <v>19800.0</v>
      </c>
      <c r="L1233" s="31">
        <f>IFERROR(VLOOKUP("iPhone 16 Plus Замена аккумулятора", 'РЕМОНТ_ЯБЛОК'!C:D, 2, 0), "Ошибка")</f>
        <v>12000</v>
      </c>
      <c r="M1233" s="60"/>
      <c r="N1233" s="29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idden="1">
      <c r="A1234" s="2"/>
      <c r="B1234" s="57" t="s">
        <v>332</v>
      </c>
      <c r="C1234" s="11"/>
      <c r="D1234" s="11">
        <v>180.0</v>
      </c>
      <c r="E1234" s="12" t="s">
        <v>203</v>
      </c>
      <c r="F1234" s="13">
        <f>'БД_УСЛУГИ_РО'!P967+'БД_ЗАПЧАСТИ'!P132</f>
        <v>7800</v>
      </c>
      <c r="G1234" s="19"/>
      <c r="H1234" s="101">
        <f>'БД_УСЛУГИ_РО'!P967</f>
        <v>7800</v>
      </c>
      <c r="I1234" s="2"/>
      <c r="J1234" s="103"/>
      <c r="K1234" s="84">
        <v>7800.0</v>
      </c>
      <c r="L1234" s="104"/>
      <c r="M1234" s="60"/>
      <c r="N1234" s="29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idden="1">
      <c r="A1235" s="2"/>
      <c r="B1235" s="57" t="s">
        <v>332</v>
      </c>
      <c r="C1235" s="11"/>
      <c r="D1235" s="11">
        <v>180.0</v>
      </c>
      <c r="E1235" s="12" t="s">
        <v>32</v>
      </c>
      <c r="F1235" s="13">
        <f>'БД_УСЛУГИ_РО'!P967+'БД_ЗАПЧАСТИ'!P133</f>
        <v>7800</v>
      </c>
      <c r="G1235" s="19"/>
      <c r="H1235" s="101">
        <f>'БД_УСЛУГИ_РО'!P967</f>
        <v>7800</v>
      </c>
      <c r="I1235" s="2"/>
      <c r="J1235" s="103"/>
      <c r="K1235" s="84">
        <v>7800.0</v>
      </c>
      <c r="L1235" s="104"/>
      <c r="M1235" s="60"/>
      <c r="N1235" s="29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idden="1">
      <c r="A1236" s="2"/>
      <c r="B1236" s="57" t="s">
        <v>332</v>
      </c>
      <c r="C1236" s="11"/>
      <c r="D1236" s="11">
        <v>180.0</v>
      </c>
      <c r="E1236" s="12" t="s">
        <v>33</v>
      </c>
      <c r="F1236" s="13">
        <f>'БД_УСЛУГИ_РО'!P967+'БД_ЗАПЧАСТИ'!P134</f>
        <v>7800</v>
      </c>
      <c r="G1236" s="19"/>
      <c r="H1236" s="101">
        <f>'БД_УСЛУГИ_РО'!P967</f>
        <v>7800</v>
      </c>
      <c r="I1236" s="2"/>
      <c r="J1236" s="103"/>
      <c r="K1236" s="84">
        <v>7800.0</v>
      </c>
      <c r="L1236" s="104"/>
      <c r="M1236" s="60"/>
      <c r="N1236" s="29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idden="1">
      <c r="A1237" s="2"/>
      <c r="B1237" s="57" t="s">
        <v>332</v>
      </c>
      <c r="C1237" s="11"/>
      <c r="D1237" s="11">
        <v>180.0</v>
      </c>
      <c r="E1237" s="12" t="s">
        <v>34</v>
      </c>
      <c r="F1237" s="13">
        <f>'БД_УСЛУГИ_РО'!P967+'БД_ЗАПЧАСТИ'!P135</f>
        <v>12000</v>
      </c>
      <c r="G1237" s="19"/>
      <c r="H1237" s="101">
        <f>'БД_УСЛУГИ_РО'!P967</f>
        <v>7800</v>
      </c>
      <c r="I1237" s="2"/>
      <c r="J1237" s="87"/>
      <c r="K1237" s="84">
        <v>12000.0</v>
      </c>
      <c r="L1237" s="67"/>
      <c r="M1237" s="60"/>
      <c r="N1237" s="29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idden="1">
      <c r="A1238" s="2"/>
      <c r="B1238" s="57" t="s">
        <v>332</v>
      </c>
      <c r="C1238" s="11"/>
      <c r="D1238" s="11">
        <v>180.0</v>
      </c>
      <c r="E1238" s="12" t="s">
        <v>35</v>
      </c>
      <c r="F1238" s="13"/>
      <c r="G1238" s="28"/>
      <c r="H1238" s="5"/>
      <c r="I1238" s="2"/>
      <c r="J1238" s="83"/>
      <c r="K1238" s="84" t="s">
        <v>22</v>
      </c>
      <c r="L1238" s="61"/>
      <c r="M1238" s="60"/>
      <c r="N1238" s="29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idden="1">
      <c r="A1239" s="2"/>
      <c r="B1239" s="57" t="s">
        <v>332</v>
      </c>
      <c r="C1239" s="11"/>
      <c r="D1239" s="11">
        <v>90.0</v>
      </c>
      <c r="E1239" s="12" t="s">
        <v>333</v>
      </c>
      <c r="F1239" s="13">
        <f>'БД_УСЛУГИ_РО'!P969+'БД_ЗАПЧАСТИ'!P723</f>
        <v>13250</v>
      </c>
      <c r="G1239" s="29"/>
      <c r="H1239" s="101">
        <f>'БД_УСЛУГИ_РО'!P969</f>
        <v>7500</v>
      </c>
      <c r="I1239" s="2"/>
      <c r="J1239" s="83"/>
      <c r="K1239" s="84">
        <v>13250.0</v>
      </c>
      <c r="L1239" s="61"/>
      <c r="M1239" s="60"/>
      <c r="N1239" s="29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idden="1">
      <c r="A1240" s="2"/>
      <c r="B1240" s="57" t="s">
        <v>332</v>
      </c>
      <c r="C1240" s="11"/>
      <c r="D1240" s="11">
        <v>90.0</v>
      </c>
      <c r="E1240" s="12" t="s">
        <v>205</v>
      </c>
      <c r="F1240" s="13">
        <f>'БД_УСЛУГИ_РО'!P970+'БД_ЗАПЧАСТИ'!P285</f>
        <v>7000</v>
      </c>
      <c r="G1240" s="33" t="str">
        <f>IFERROR(__xludf.DUMMYFUNCTION("MIN(FILTER(F1240:F1246, F1240:F1246 &lt;&gt; H1240:H1246)) &amp; "" - "" &amp; MAX(FILTER(F1240:F1246, F1240:F1246 &lt;&gt; H1240:H1246))"),"26600 - 26600")</f>
        <v>26600 - 26600</v>
      </c>
      <c r="H1240" s="101">
        <f>'БД_УСЛУГИ_РО'!P970</f>
        <v>7000</v>
      </c>
      <c r="I1240" s="2"/>
      <c r="J1240" s="86">
        <f>IFERROR(__xludf.DUMMYFUNCTION("MIN(FILTER(F1240:F1244, F1240:F1244 &lt;&gt; H1240:H1244, F1240:F1244 &lt;&gt; """"))"),26600.0)</f>
        <v>26600</v>
      </c>
      <c r="K1240" s="84">
        <v>7000.0</v>
      </c>
      <c r="L1240" s="65">
        <f>IFERROR(VLOOKUP("iPhone 16 Plus Замена дисплея (оригинал)", 'РЕМОНТ_ЯБЛОК'!C:D, 2, 0), "Ошибка")</f>
        <v>22000</v>
      </c>
      <c r="M1240" s="60"/>
      <c r="N1240" s="29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idden="1">
      <c r="A1241" s="2"/>
      <c r="B1241" s="57" t="s">
        <v>332</v>
      </c>
      <c r="C1241" s="11"/>
      <c r="D1241" s="11">
        <v>90.0</v>
      </c>
      <c r="E1241" s="12" t="s">
        <v>39</v>
      </c>
      <c r="F1241" s="13">
        <f>'БД_УСЛУГИ_РО'!P970+'БД_ЗАПЧАСТИ'!P286</f>
        <v>7000</v>
      </c>
      <c r="G1241" s="19"/>
      <c r="H1241" s="101">
        <f>'БД_УСЛУГИ_РО'!P970</f>
        <v>7000</v>
      </c>
      <c r="I1241" s="2"/>
      <c r="J1241" s="103"/>
      <c r="K1241" s="84">
        <v>7000.0</v>
      </c>
      <c r="L1241" s="104"/>
      <c r="M1241" s="60"/>
      <c r="N1241" s="29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idden="1">
      <c r="A1242" s="2"/>
      <c r="B1242" s="57" t="s">
        <v>332</v>
      </c>
      <c r="C1242" s="11"/>
      <c r="D1242" s="11">
        <v>90.0</v>
      </c>
      <c r="E1242" s="12" t="s">
        <v>40</v>
      </c>
      <c r="F1242" s="13">
        <f>'БД_УСЛУГИ_РО'!P970+'БД_ЗАПЧАСТИ'!P287</f>
        <v>26600</v>
      </c>
      <c r="G1242" s="19"/>
      <c r="H1242" s="101">
        <f>'БД_УСЛУГИ_РО'!P970</f>
        <v>7000</v>
      </c>
      <c r="I1242" s="2"/>
      <c r="J1242" s="103"/>
      <c r="K1242" s="84">
        <v>26600.0</v>
      </c>
      <c r="L1242" s="104"/>
      <c r="M1242" s="60"/>
      <c r="N1242" s="29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idden="1">
      <c r="A1243" s="2"/>
      <c r="B1243" s="57" t="s">
        <v>332</v>
      </c>
      <c r="C1243" s="11"/>
      <c r="D1243" s="11">
        <v>90.0</v>
      </c>
      <c r="E1243" s="12" t="s">
        <v>42</v>
      </c>
      <c r="F1243" s="13">
        <f>'БД_УСЛУГИ_РО'!P970+'БД_ЗАПЧАСТИ'!P288</f>
        <v>7000</v>
      </c>
      <c r="G1243" s="19"/>
      <c r="H1243" s="101">
        <f>'БД_УСЛУГИ_РО'!P970</f>
        <v>7000</v>
      </c>
      <c r="I1243" s="2"/>
      <c r="J1243" s="103"/>
      <c r="K1243" s="84">
        <v>7000.0</v>
      </c>
      <c r="L1243" s="104"/>
      <c r="M1243" s="60"/>
      <c r="N1243" s="29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idden="1">
      <c r="A1244" s="2"/>
      <c r="B1244" s="57" t="s">
        <v>332</v>
      </c>
      <c r="C1244" s="11"/>
      <c r="D1244" s="11">
        <v>90.0</v>
      </c>
      <c r="E1244" s="12" t="s">
        <v>43</v>
      </c>
      <c r="F1244" s="13">
        <f>'БД_УСЛУГИ_РО'!P970+'БД_ЗАПЧАСТИ'!P289</f>
        <v>7000</v>
      </c>
      <c r="G1244" s="19"/>
      <c r="H1244" s="101">
        <f>'БД_УСЛУГИ_РО'!P970</f>
        <v>7000</v>
      </c>
      <c r="I1244" s="2"/>
      <c r="J1244" s="87"/>
      <c r="K1244" s="84">
        <v>7000.0</v>
      </c>
      <c r="L1244" s="67"/>
      <c r="M1244" s="60"/>
      <c r="N1244" s="29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idden="1">
      <c r="A1245" s="2"/>
      <c r="B1245" s="57" t="s">
        <v>332</v>
      </c>
      <c r="C1245" s="11"/>
      <c r="D1245" s="11">
        <v>90.0</v>
      </c>
      <c r="E1245" s="12" t="s">
        <v>45</v>
      </c>
      <c r="F1245" s="13">
        <f>'БД_УСЛУГИ_РО'!P970</f>
        <v>7000</v>
      </c>
      <c r="G1245" s="19"/>
      <c r="H1245" s="101">
        <f>'БД_УСЛУГИ_РО'!P970</f>
        <v>7000</v>
      </c>
      <c r="I1245" s="2"/>
      <c r="J1245" s="92" t="str">
        <f>IFERROR(__xludf.DUMMYFUNCTION("MIN(FILTER(F1245:F1246, F1245:F1246 &lt;&gt; H1245:H1246, F1245:F1246 &lt;&gt; """"))"),"#N/A")</f>
        <v>#N/A</v>
      </c>
      <c r="K1245" s="84">
        <v>7000.0</v>
      </c>
      <c r="L1245" s="65">
        <f>IFERROR(VLOOKUP("iPhone 16 Plus Замена дисплея (аналог)", 'РЕМОНТ_ЯБЛОК'!C:D, 2, 0), "Ошибка")</f>
        <v>15000</v>
      </c>
      <c r="M1245" s="60"/>
      <c r="N1245" s="29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idden="1">
      <c r="A1246" s="2"/>
      <c r="B1246" s="57" t="s">
        <v>332</v>
      </c>
      <c r="C1246" s="11"/>
      <c r="D1246" s="11">
        <v>90.0</v>
      </c>
      <c r="E1246" s="12" t="s">
        <v>46</v>
      </c>
      <c r="F1246" s="13">
        <f>'БД_УСЛУГИ_РО'!P970</f>
        <v>7000</v>
      </c>
      <c r="G1246" s="28"/>
      <c r="H1246" s="101">
        <f>'БД_УСЛУГИ_РО'!P970</f>
        <v>7000</v>
      </c>
      <c r="I1246" s="2"/>
      <c r="J1246" s="87"/>
      <c r="K1246" s="84">
        <v>7000.0</v>
      </c>
      <c r="L1246" s="67"/>
      <c r="M1246" s="60"/>
      <c r="N1246" s="29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idden="1">
      <c r="A1247" s="2"/>
      <c r="B1247" s="57" t="s">
        <v>332</v>
      </c>
      <c r="C1247" s="11"/>
      <c r="D1247" s="11">
        <v>90.0</v>
      </c>
      <c r="E1247" s="12" t="s">
        <v>47</v>
      </c>
      <c r="F1247" s="13">
        <f>'БД_УСЛУГИ_РО'!P971</f>
        <v>6300</v>
      </c>
      <c r="G1247" s="29"/>
      <c r="H1247" s="5"/>
      <c r="I1247" s="2"/>
      <c r="J1247" s="83"/>
      <c r="K1247" s="84">
        <v>6300.0</v>
      </c>
      <c r="L1247" s="61"/>
      <c r="M1247" s="60"/>
      <c r="N1247" s="29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idden="1">
      <c r="A1248" s="2"/>
      <c r="B1248" s="57" t="s">
        <v>332</v>
      </c>
      <c r="C1248" s="11"/>
      <c r="D1248" s="11">
        <v>90.0</v>
      </c>
      <c r="E1248" s="12" t="s">
        <v>334</v>
      </c>
      <c r="F1248" s="13">
        <f>'БД_УСЛУГИ_РО'!P972</f>
        <v>20000</v>
      </c>
      <c r="G1248" s="29"/>
      <c r="H1248" s="5"/>
      <c r="I1248" s="2"/>
      <c r="J1248" s="85">
        <f t="shared" ref="J1248:J1251" si="74">F1248</f>
        <v>20000</v>
      </c>
      <c r="K1248" s="84">
        <v>20000.0</v>
      </c>
      <c r="L1248" s="61">
        <f>IFERROR(VLOOKUP("iPhone 16 Plus Переклейка (восстановление) вашего дисплея", 'РЕМОНТ_ЯБЛОК'!C:D, 2, 0), "Ошибка")</f>
        <v>20000</v>
      </c>
      <c r="M1248" s="96"/>
      <c r="N1248" s="29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idden="1">
      <c r="A1249" s="2"/>
      <c r="B1249" s="57" t="s">
        <v>332</v>
      </c>
      <c r="C1249" s="11"/>
      <c r="D1249" s="11">
        <v>90.0</v>
      </c>
      <c r="E1249" s="12" t="s">
        <v>335</v>
      </c>
      <c r="F1249" s="13">
        <f>'БД_УСЛУГИ_РО'!P973+'БД_ЗАПЧАСТИ'!P785</f>
        <v>14100</v>
      </c>
      <c r="G1249" s="29"/>
      <c r="H1249" s="101">
        <f>'БД_УСЛУГИ_РО'!P973</f>
        <v>7000</v>
      </c>
      <c r="I1249" s="2"/>
      <c r="J1249" s="85">
        <f t="shared" si="74"/>
        <v>14100</v>
      </c>
      <c r="K1249" s="84">
        <v>14100.0</v>
      </c>
      <c r="L1249" s="61">
        <f>IFERROR(VLOOKUP("iPhone 16 Plus Замена основной камеры", 'РЕМОНТ_ЯБЛОК'!C:D, 2, 0), "Ошибка")</f>
        <v>14000</v>
      </c>
      <c r="M1249" s="96"/>
      <c r="N1249" s="29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idden="1">
      <c r="A1250" s="2"/>
      <c r="B1250" s="57" t="s">
        <v>332</v>
      </c>
      <c r="C1250" s="11"/>
      <c r="D1250" s="11">
        <v>90.0</v>
      </c>
      <c r="E1250" s="12" t="s">
        <v>336</v>
      </c>
      <c r="F1250" s="13">
        <f>'БД_УСЛУГИ_РО'!P974+'БД_ЗАПЧАСТИ'!P829</f>
        <v>11500</v>
      </c>
      <c r="G1250" s="29"/>
      <c r="H1250" s="101">
        <f>'БД_УСЛУГИ_РО'!P974</f>
        <v>7600</v>
      </c>
      <c r="I1250" s="2"/>
      <c r="J1250" s="85">
        <f t="shared" si="74"/>
        <v>11500</v>
      </c>
      <c r="K1250" s="84">
        <v>11500.0</v>
      </c>
      <c r="L1250" s="61">
        <f>IFERROR(VLOOKUP("iPhone 16 Plus Ремонт/замена фронтальной камеры", 'РЕМОНТ_ЯБЛОК'!C:D, 2, 0), "Ошибка")</f>
        <v>10000</v>
      </c>
      <c r="M1250" s="96"/>
      <c r="N1250" s="29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idden="1">
      <c r="A1251" s="2"/>
      <c r="B1251" s="57" t="s">
        <v>332</v>
      </c>
      <c r="C1251" s="11"/>
      <c r="D1251" s="11">
        <v>180.0</v>
      </c>
      <c r="E1251" s="12" t="s">
        <v>52</v>
      </c>
      <c r="F1251" s="13">
        <f>'БД_УСЛУГИ_РО'!P975+'БД_ЗАПЧАСТИ'!P571</f>
        <v>6550</v>
      </c>
      <c r="G1251" s="29"/>
      <c r="H1251" s="101">
        <f>'БД_УСЛУГИ_РО'!P975</f>
        <v>4300</v>
      </c>
      <c r="I1251" s="2"/>
      <c r="J1251" s="85">
        <f t="shared" si="74"/>
        <v>6550</v>
      </c>
      <c r="K1251" s="84">
        <v>6550.0</v>
      </c>
      <c r="L1251" s="61">
        <f>IFERROR(VLOOKUP("iPhone 16 Plus Замена стекла камеры", 'РЕМОНТ_ЯБЛОК'!C:D, 2, 0), "Ошибка")</f>
        <v>6500</v>
      </c>
      <c r="M1251" s="96"/>
      <c r="N1251" s="29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idden="1">
      <c r="A1252" s="2"/>
      <c r="B1252" s="57" t="s">
        <v>332</v>
      </c>
      <c r="C1252" s="11"/>
      <c r="D1252" s="11">
        <v>90.0</v>
      </c>
      <c r="E1252" s="12" t="s">
        <v>53</v>
      </c>
      <c r="F1252" s="13">
        <f>'БД_УСЛУГИ_РО'!P976</f>
        <v>9700</v>
      </c>
      <c r="G1252" s="29"/>
      <c r="H1252" s="5"/>
      <c r="I1252" s="2"/>
      <c r="J1252" s="92"/>
      <c r="K1252" s="93">
        <v>9700.0</v>
      </c>
      <c r="L1252" s="65"/>
      <c r="M1252" s="94"/>
      <c r="N1252" s="33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idden="1">
      <c r="A1253" s="2"/>
      <c r="B1253" s="57" t="s">
        <v>332</v>
      </c>
      <c r="C1253" s="11"/>
      <c r="D1253" s="11">
        <v>180.0</v>
      </c>
      <c r="E1253" s="12" t="s">
        <v>54</v>
      </c>
      <c r="F1253" s="13">
        <f>'БД_УСЛУГИ_РО'!P977+'БД_ЗАПЧАСТИ'!P486</f>
        <v>4900</v>
      </c>
      <c r="G1253" s="33" t="str">
        <f>MIN(F1253:F1254) &amp; " - " &amp; MAX(F1253:F1254)</f>
        <v>4900 - 8000</v>
      </c>
      <c r="H1253" s="101">
        <f>'БД_УСЛУГИ_РО'!P977</f>
        <v>4900</v>
      </c>
      <c r="I1253" s="2"/>
      <c r="J1253" s="92"/>
      <c r="K1253" s="93">
        <v>4900.0</v>
      </c>
      <c r="L1253" s="65"/>
      <c r="M1253" s="94"/>
      <c r="N1253" s="33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idden="1">
      <c r="A1254" s="2"/>
      <c r="B1254" s="57" t="s">
        <v>332</v>
      </c>
      <c r="C1254" s="11"/>
      <c r="D1254" s="11">
        <v>180.0</v>
      </c>
      <c r="E1254" s="12" t="s">
        <v>55</v>
      </c>
      <c r="F1254" s="13">
        <f>'БД_УСЛУГИ_РО'!P977+'БД_ЗАПЧАСТИ'!P491</f>
        <v>8000</v>
      </c>
      <c r="G1254" s="28"/>
      <c r="H1254" s="101">
        <f>'БД_УСЛУГИ_РО'!P977</f>
        <v>4900</v>
      </c>
      <c r="I1254" s="2"/>
      <c r="J1254" s="85">
        <f>F1254</f>
        <v>8000</v>
      </c>
      <c r="K1254" s="93">
        <v>8000.0</v>
      </c>
      <c r="L1254" s="61">
        <f>IFERROR(VLOOKUP("iPhone 16 Plus Замена задней крышки", 'РЕМОНТ_ЯБЛОК'!C:D, 2, 0), "Ошибка")</f>
        <v>8000</v>
      </c>
      <c r="M1254" s="105"/>
      <c r="N1254" s="33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idden="1">
      <c r="A1255" s="2"/>
      <c r="B1255" s="57" t="s">
        <v>332</v>
      </c>
      <c r="C1255" s="11"/>
      <c r="D1255" s="11">
        <v>180.0</v>
      </c>
      <c r="E1255" s="12" t="s">
        <v>56</v>
      </c>
      <c r="F1255" s="13">
        <f>'БД_УСЛУГИ_РО'!P978</f>
        <v>11450</v>
      </c>
      <c r="G1255" s="29"/>
      <c r="H1255" s="101">
        <f>'БД_УСЛУГИ_РО'!P978</f>
        <v>11450</v>
      </c>
      <c r="I1255" s="2"/>
      <c r="J1255" s="92"/>
      <c r="K1255" s="93">
        <v>11450.0</v>
      </c>
      <c r="L1255" s="65"/>
      <c r="M1255" s="94"/>
      <c r="N1255" s="33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idden="1">
      <c r="A1256" s="2"/>
      <c r="B1256" s="57" t="s">
        <v>332</v>
      </c>
      <c r="C1256" s="11"/>
      <c r="D1256" s="11">
        <v>180.0</v>
      </c>
      <c r="E1256" s="12" t="s">
        <v>57</v>
      </c>
      <c r="F1256" s="13">
        <f>'БД_УСЛУГИ_РО'!P979</f>
        <v>9000</v>
      </c>
      <c r="G1256" s="29"/>
      <c r="H1256" s="101">
        <f>'БД_УСЛУГИ_РО'!P979</f>
        <v>9000</v>
      </c>
      <c r="I1256" s="2"/>
      <c r="J1256" s="85">
        <f>F1256</f>
        <v>9000</v>
      </c>
      <c r="K1256" s="84">
        <v>9000.0</v>
      </c>
      <c r="L1256" s="61">
        <f>IFERROR(VLOOKUP("iPhone 16 Plus Замена средней корпуса", 'РЕМОНТ_ЯБЛОК'!C:D, 2, 0), "Ошибка")</f>
        <v>12000</v>
      </c>
      <c r="M1256" s="96"/>
      <c r="N1256" s="29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idden="1">
      <c r="A1257" s="2"/>
      <c r="B1257" s="57" t="s">
        <v>332</v>
      </c>
      <c r="C1257" s="11"/>
      <c r="D1257" s="11">
        <v>90.0</v>
      </c>
      <c r="E1257" s="12" t="s">
        <v>59</v>
      </c>
      <c r="F1257" s="13">
        <f>'БД_УСЛУГИ_РО'!P980</f>
        <v>8500</v>
      </c>
      <c r="G1257" s="29"/>
      <c r="H1257" s="5"/>
      <c r="I1257" s="2"/>
      <c r="J1257" s="83"/>
      <c r="K1257" s="84">
        <v>8500.0</v>
      </c>
      <c r="L1257" s="61"/>
      <c r="M1257" s="60"/>
      <c r="N1257" s="29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idden="1">
      <c r="A1258" s="2"/>
      <c r="B1258" s="57" t="s">
        <v>332</v>
      </c>
      <c r="C1258" s="11"/>
      <c r="D1258" s="11">
        <v>90.0</v>
      </c>
      <c r="E1258" s="12" t="s">
        <v>337</v>
      </c>
      <c r="F1258" s="13">
        <f>'БД_УСЛУГИ_РО'!P981+'БД_ЗАПЧАСТИ'!P914</f>
        <v>6600</v>
      </c>
      <c r="G1258" s="29"/>
      <c r="H1258" s="101">
        <f>'БД_УСЛУГИ_РО'!P981</f>
        <v>6600</v>
      </c>
      <c r="I1258" s="2"/>
      <c r="J1258" s="83"/>
      <c r="K1258" s="84">
        <v>6600.0</v>
      </c>
      <c r="L1258" s="61"/>
      <c r="M1258" s="60"/>
      <c r="N1258" s="29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idden="1">
      <c r="A1259" s="2"/>
      <c r="B1259" s="57" t="s">
        <v>332</v>
      </c>
      <c r="C1259" s="11"/>
      <c r="D1259" s="11">
        <v>90.0</v>
      </c>
      <c r="E1259" s="12" t="s">
        <v>338</v>
      </c>
      <c r="F1259" s="13">
        <f>'БД_УСЛУГИ_РО'!P982+'БД_ЗАПЧАСТИ'!P874</f>
        <v>10000</v>
      </c>
      <c r="G1259" s="29"/>
      <c r="H1259" s="101">
        <f>'БД_УСЛУГИ_РО'!P982</f>
        <v>6600</v>
      </c>
      <c r="I1259" s="2"/>
      <c r="J1259" s="83"/>
      <c r="K1259" s="84">
        <v>10000.0</v>
      </c>
      <c r="L1259" s="61"/>
      <c r="M1259" s="60"/>
      <c r="N1259" s="29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idden="1">
      <c r="A1260" s="2"/>
      <c r="B1260" s="57" t="s">
        <v>332</v>
      </c>
      <c r="C1260" s="11"/>
      <c r="D1260" s="11">
        <v>90.0</v>
      </c>
      <c r="E1260" s="32" t="s">
        <v>62</v>
      </c>
      <c r="F1260" s="13">
        <f>'БД_УСЛУГИ_РО'!P983+'БД_ЗАПЧАСТИ'!P723</f>
        <v>12950</v>
      </c>
      <c r="G1260" s="29"/>
      <c r="H1260" s="101">
        <f>'БД_УСЛУГИ_РО'!P983</f>
        <v>7200</v>
      </c>
      <c r="I1260" s="2"/>
      <c r="J1260" s="92"/>
      <c r="K1260" s="93">
        <v>12950.0</v>
      </c>
      <c r="L1260" s="65"/>
      <c r="M1260" s="94"/>
      <c r="N1260" s="33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idden="1">
      <c r="A1261" s="2"/>
      <c r="B1261" s="57" t="s">
        <v>332</v>
      </c>
      <c r="C1261" s="11"/>
      <c r="D1261" s="11">
        <v>90.0</v>
      </c>
      <c r="E1261" s="12" t="s">
        <v>63</v>
      </c>
      <c r="F1261" s="13">
        <f>'БД_УСЛУГИ_РО'!P984</f>
        <v>7700</v>
      </c>
      <c r="G1261" s="29"/>
      <c r="H1261" s="5"/>
      <c r="I1261" s="2"/>
      <c r="J1261" s="92"/>
      <c r="K1261" s="93">
        <v>7700.0</v>
      </c>
      <c r="L1261" s="65"/>
      <c r="M1261" s="94"/>
      <c r="N1261" s="33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idden="1">
      <c r="A1262" s="2"/>
      <c r="B1262" s="57" t="s">
        <v>332</v>
      </c>
      <c r="C1262" s="11"/>
      <c r="D1262" s="11">
        <v>90.0</v>
      </c>
      <c r="E1262" s="12" t="s">
        <v>64</v>
      </c>
      <c r="F1262" s="13">
        <f>'БД_УСЛУГИ_РО'!P986</f>
        <v>9000</v>
      </c>
      <c r="G1262" s="29"/>
      <c r="H1262" s="5"/>
      <c r="I1262" s="2"/>
      <c r="J1262" s="92"/>
      <c r="K1262" s="93">
        <v>9000.0</v>
      </c>
      <c r="L1262" s="65"/>
      <c r="M1262" s="94"/>
      <c r="N1262" s="33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idden="1">
      <c r="A1263" s="2"/>
      <c r="B1263" s="57" t="s">
        <v>332</v>
      </c>
      <c r="C1263" s="11"/>
      <c r="D1263" s="11">
        <v>90.0</v>
      </c>
      <c r="E1263" s="12" t="s">
        <v>65</v>
      </c>
      <c r="F1263" s="13">
        <f>'БД_УСЛУГИ_РО'!P985+'БД_УСЛУГИ_РО'!P987</f>
        <v>19200</v>
      </c>
      <c r="G1263" s="29"/>
      <c r="H1263" s="5"/>
      <c r="I1263" s="2"/>
      <c r="J1263" s="92"/>
      <c r="K1263" s="93">
        <v>19200.0</v>
      </c>
      <c r="L1263" s="65"/>
      <c r="M1263" s="94"/>
      <c r="N1263" s="33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idden="1">
      <c r="A1264" s="2"/>
      <c r="B1264" s="69" t="s">
        <v>332</v>
      </c>
      <c r="C1264" s="36"/>
      <c r="D1264" s="36">
        <v>90.0</v>
      </c>
      <c r="E1264" s="70" t="s">
        <v>66</v>
      </c>
      <c r="F1264" s="38">
        <f>'БД_УСЛУГИ_РО'!P985+'БД_УСЛУГИ_РО'!P988</f>
        <v>19700</v>
      </c>
      <c r="G1264" s="39"/>
      <c r="H1264" s="5"/>
      <c r="I1264" s="2"/>
      <c r="J1264" s="91"/>
      <c r="K1264" s="89">
        <v>19700.0</v>
      </c>
      <c r="L1264" s="73"/>
      <c r="M1264" s="74"/>
      <c r="N1264" s="39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idden="1">
      <c r="A1265" s="2"/>
      <c r="B1265" s="1"/>
      <c r="C1265" s="1"/>
      <c r="D1265" s="95"/>
      <c r="E1265" s="30"/>
      <c r="F1265" s="80"/>
      <c r="G1265" s="76"/>
      <c r="H1265" s="5"/>
      <c r="I1265" s="2"/>
      <c r="J1265" s="2"/>
      <c r="K1265" s="2" t="s">
        <v>22</v>
      </c>
      <c r="L1265" s="2"/>
      <c r="M1265" s="3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idden="1">
      <c r="A1266" s="2"/>
      <c r="B1266" s="41" t="s">
        <v>339</v>
      </c>
      <c r="C1266" s="42"/>
      <c r="D1266" s="42">
        <v>0.0</v>
      </c>
      <c r="E1266" s="51" t="s">
        <v>24</v>
      </c>
      <c r="F1266" s="44">
        <f>'БД_УСЛУГИ_РО'!P989</f>
        <v>1</v>
      </c>
      <c r="G1266" s="78"/>
      <c r="H1266" s="5"/>
      <c r="I1266" s="2"/>
      <c r="J1266" s="81"/>
      <c r="K1266" s="82">
        <v>1.0</v>
      </c>
      <c r="L1266" s="55"/>
      <c r="M1266" s="56"/>
      <c r="N1266" s="5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idden="1">
      <c r="A1267" s="2"/>
      <c r="B1267" s="57" t="s">
        <v>339</v>
      </c>
      <c r="C1267" s="11"/>
      <c r="D1267" s="11">
        <v>0.0</v>
      </c>
      <c r="E1267" s="12" t="s">
        <v>26</v>
      </c>
      <c r="F1267" s="13">
        <f>'БД_УСЛУГИ_РО'!P990+'БД_УСЛУГИ_РО'!P991</f>
        <v>3100</v>
      </c>
      <c r="G1267" s="29"/>
      <c r="H1267" s="5"/>
      <c r="I1267" s="2"/>
      <c r="J1267" s="83"/>
      <c r="K1267" s="84">
        <v>3100.0</v>
      </c>
      <c r="L1267" s="61"/>
      <c r="M1267" s="60"/>
      <c r="N1267" s="29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idden="1">
      <c r="A1268" s="2"/>
      <c r="B1268" s="57" t="s">
        <v>339</v>
      </c>
      <c r="C1268" s="11"/>
      <c r="D1268" s="11">
        <v>0.0</v>
      </c>
      <c r="E1268" s="32" t="s">
        <v>27</v>
      </c>
      <c r="F1268" s="13">
        <f>'БД_УСЛУГИ_РО'!P992</f>
        <v>700</v>
      </c>
      <c r="G1268" s="33" t="str">
        <f>MIN(F1268:F1269) &amp; " - " &amp; MAX(F1268:F1269)</f>
        <v>700 - 7200</v>
      </c>
      <c r="H1268" s="5"/>
      <c r="I1268" s="2"/>
      <c r="J1268" s="83"/>
      <c r="K1268" s="84">
        <v>700.0</v>
      </c>
      <c r="L1268" s="61"/>
      <c r="M1268" s="60"/>
      <c r="N1268" s="29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idden="1">
      <c r="A1269" s="2"/>
      <c r="B1269" s="57" t="s">
        <v>339</v>
      </c>
      <c r="C1269" s="11"/>
      <c r="D1269" s="11">
        <v>0.0</v>
      </c>
      <c r="E1269" s="32" t="s">
        <v>28</v>
      </c>
      <c r="F1269" s="13">
        <f>'БД_УСЛУГИ_РО'!P993</f>
        <v>7200</v>
      </c>
      <c r="G1269" s="28"/>
      <c r="H1269" s="5"/>
      <c r="I1269" s="2"/>
      <c r="J1269" s="83"/>
      <c r="K1269" s="84">
        <v>7200.0</v>
      </c>
      <c r="L1269" s="61"/>
      <c r="M1269" s="60"/>
      <c r="N1269" s="29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idden="1">
      <c r="A1270" s="2"/>
      <c r="B1270" s="57" t="s">
        <v>339</v>
      </c>
      <c r="C1270" s="11"/>
      <c r="D1270" s="11">
        <v>180.0</v>
      </c>
      <c r="E1270" s="12" t="s">
        <v>202</v>
      </c>
      <c r="F1270" s="13">
        <f>'БД_УСЛУГИ_РО'!P994+'БД_ЗАПЧАСТИ'!P137</f>
        <v>20700</v>
      </c>
      <c r="G1270" s="33" t="str">
        <f>IFERROR(__xludf.DUMMYFUNCTION("MIN(FILTER(F1270:F1275, F1270:F1275 &lt;&gt; H1270:H1275)) &amp; "" - "" &amp; MAX(FILTER(F1270:F1275, F1270:F1275 &lt;&gt; H1270:H1275))"),"12000 - 20700")</f>
        <v>12000 - 20700</v>
      </c>
      <c r="H1270" s="101">
        <f>'БД_УСЛУГИ_РО'!P994</f>
        <v>8100</v>
      </c>
      <c r="I1270" s="2"/>
      <c r="J1270" s="86">
        <f>IFERROR(__xludf.DUMMYFUNCTION("MIN(FILTER(F1270:F1275, F1270:F1275 &lt;&gt; H1270:H1275, F1270:F1275 &lt;&gt; """"))"),12000.0)</f>
        <v>12000</v>
      </c>
      <c r="K1270" s="84">
        <v>20700.0</v>
      </c>
      <c r="L1270" s="31">
        <f>IFERROR(VLOOKUP("iPhone 16 Pro Замена аккумулятора", 'РЕМОНТ_ЯБЛОК'!C:D, 2, 0), "Ошибка")</f>
        <v>12000</v>
      </c>
      <c r="M1270" s="60"/>
      <c r="N1270" s="29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idden="1">
      <c r="A1271" s="2"/>
      <c r="B1271" s="57" t="s">
        <v>339</v>
      </c>
      <c r="C1271" s="11"/>
      <c r="D1271" s="11">
        <v>180.0</v>
      </c>
      <c r="E1271" s="12" t="s">
        <v>203</v>
      </c>
      <c r="F1271" s="13">
        <f>'БД_УСЛУГИ_РО'!P994+'БД_ЗАПЧАСТИ'!P138</f>
        <v>14000</v>
      </c>
      <c r="G1271" s="19"/>
      <c r="H1271" s="101">
        <f>'БД_УСЛУГИ_РО'!P994</f>
        <v>8100</v>
      </c>
      <c r="I1271" s="2"/>
      <c r="J1271" s="103"/>
      <c r="K1271" s="84">
        <v>14000.0</v>
      </c>
      <c r="L1271" s="104"/>
      <c r="M1271" s="60"/>
      <c r="N1271" s="29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idden="1">
      <c r="A1272" s="2"/>
      <c r="B1272" s="57" t="s">
        <v>339</v>
      </c>
      <c r="C1272" s="11"/>
      <c r="D1272" s="11">
        <v>180.0</v>
      </c>
      <c r="E1272" s="12" t="s">
        <v>32</v>
      </c>
      <c r="F1272" s="13">
        <f>'БД_УСЛУГИ_РО'!P994+'БД_ЗАПЧАСТИ'!P139</f>
        <v>8100</v>
      </c>
      <c r="G1272" s="19"/>
      <c r="H1272" s="101">
        <f>'БД_УСЛУГИ_РО'!P994</f>
        <v>8100</v>
      </c>
      <c r="I1272" s="2"/>
      <c r="J1272" s="103"/>
      <c r="K1272" s="84">
        <v>8100.0</v>
      </c>
      <c r="L1272" s="104"/>
      <c r="M1272" s="60"/>
      <c r="N1272" s="29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idden="1">
      <c r="A1273" s="2"/>
      <c r="B1273" s="57" t="s">
        <v>339</v>
      </c>
      <c r="C1273" s="11"/>
      <c r="D1273" s="11">
        <v>180.0</v>
      </c>
      <c r="E1273" s="12" t="s">
        <v>33</v>
      </c>
      <c r="F1273" s="13">
        <f>'БД_УСЛУГИ_РО'!P994+'БД_ЗАПЧАСТИ'!P140</f>
        <v>8100</v>
      </c>
      <c r="G1273" s="19"/>
      <c r="H1273" s="101">
        <f>'БД_УСЛУГИ_РО'!P994</f>
        <v>8100</v>
      </c>
      <c r="I1273" s="2"/>
      <c r="J1273" s="103"/>
      <c r="K1273" s="84">
        <v>8100.0</v>
      </c>
      <c r="L1273" s="104"/>
      <c r="M1273" s="60"/>
      <c r="N1273" s="29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idden="1">
      <c r="A1274" s="2"/>
      <c r="B1274" s="57" t="s">
        <v>339</v>
      </c>
      <c r="C1274" s="11"/>
      <c r="D1274" s="11">
        <v>180.0</v>
      </c>
      <c r="E1274" s="12" t="s">
        <v>34</v>
      </c>
      <c r="F1274" s="13">
        <f>'БД_УСЛУГИ_РО'!P994+'БД_ЗАПЧАСТИ'!P141</f>
        <v>12000</v>
      </c>
      <c r="G1274" s="19"/>
      <c r="H1274" s="101">
        <f>'БД_УСЛУГИ_РО'!P994</f>
        <v>8100</v>
      </c>
      <c r="I1274" s="2"/>
      <c r="J1274" s="87"/>
      <c r="K1274" s="84">
        <v>12000.0</v>
      </c>
      <c r="L1274" s="67"/>
      <c r="M1274" s="60"/>
      <c r="N1274" s="29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idden="1">
      <c r="A1275" s="2"/>
      <c r="B1275" s="57" t="s">
        <v>339</v>
      </c>
      <c r="C1275" s="11"/>
      <c r="D1275" s="11">
        <v>180.0</v>
      </c>
      <c r="E1275" s="12" t="s">
        <v>35</v>
      </c>
      <c r="F1275" s="13"/>
      <c r="G1275" s="28"/>
      <c r="H1275" s="5"/>
      <c r="I1275" s="2"/>
      <c r="J1275" s="83"/>
      <c r="K1275" s="84" t="s">
        <v>22</v>
      </c>
      <c r="L1275" s="61"/>
      <c r="M1275" s="60"/>
      <c r="N1275" s="29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idden="1">
      <c r="A1276" s="2"/>
      <c r="B1276" s="57" t="s">
        <v>339</v>
      </c>
      <c r="C1276" s="11"/>
      <c r="D1276" s="11">
        <v>90.0</v>
      </c>
      <c r="E1276" s="12" t="s">
        <v>340</v>
      </c>
      <c r="F1276" s="13">
        <f>'БД_УСЛУГИ_РО'!P996+'БД_ЗАПЧАСТИ'!P728</f>
        <v>13000</v>
      </c>
      <c r="G1276" s="29"/>
      <c r="H1276" s="101">
        <f>'БД_УСЛУГИ_РО'!P996</f>
        <v>8000</v>
      </c>
      <c r="I1276" s="2"/>
      <c r="J1276" s="83"/>
      <c r="K1276" s="84">
        <v>13000.0</v>
      </c>
      <c r="L1276" s="61"/>
      <c r="M1276" s="60"/>
      <c r="N1276" s="29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idden="1">
      <c r="A1277" s="2"/>
      <c r="B1277" s="57" t="s">
        <v>339</v>
      </c>
      <c r="C1277" s="11"/>
      <c r="D1277" s="11">
        <v>90.0</v>
      </c>
      <c r="E1277" s="12" t="s">
        <v>205</v>
      </c>
      <c r="F1277" s="13">
        <f>'БД_УСЛУГИ_РО'!P997+'БД_ЗАПЧАСТИ'!P290</f>
        <v>34650</v>
      </c>
      <c r="G1277" s="33" t="str">
        <f>IFERROR(__xludf.DUMMYFUNCTION("MIN(FILTER(F1277:F1283, F1277:F1283 &lt;&gt; H1277:H1283)) &amp; "" - "" &amp; MAX(FILTER(F1277:F1283, F1277:F1283 &lt;&gt; H1277:H1283))"),"30000 - 34650")</f>
        <v>30000 - 34650</v>
      </c>
      <c r="H1277" s="101">
        <f>'БД_УСЛУГИ_РО'!P997</f>
        <v>7300</v>
      </c>
      <c r="I1277" s="2"/>
      <c r="J1277" s="86">
        <f>IFERROR(__xludf.DUMMYFUNCTION("MIN(FILTER(F1277:F1281, F1277:F1281 &lt;&gt; H1277:H1281, F1277:F1281 &lt;&gt; """"))"),30000.0)</f>
        <v>30000</v>
      </c>
      <c r="K1277" s="84">
        <v>34650.0</v>
      </c>
      <c r="L1277" s="65">
        <f>IFERROR(VLOOKUP("iPhone 16 Pro Замена дисплея (оригинал)", 'РЕМОНТ_ЯБЛОК'!C:D, 2, 0), "Ошибка")</f>
        <v>30000</v>
      </c>
      <c r="M1277" s="60"/>
      <c r="N1277" s="29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idden="1">
      <c r="A1278" s="2"/>
      <c r="B1278" s="57" t="s">
        <v>339</v>
      </c>
      <c r="C1278" s="11"/>
      <c r="D1278" s="11">
        <v>90.0</v>
      </c>
      <c r="E1278" s="12" t="s">
        <v>39</v>
      </c>
      <c r="F1278" s="13">
        <f>'БД_УСЛУГИ_РО'!P997+'БД_ЗАПЧАСТИ'!P291</f>
        <v>31600</v>
      </c>
      <c r="G1278" s="19"/>
      <c r="H1278" s="101">
        <f>'БД_УСЛУГИ_РО'!P997</f>
        <v>7300</v>
      </c>
      <c r="I1278" s="2"/>
      <c r="J1278" s="103"/>
      <c r="K1278" s="84">
        <v>31600.0</v>
      </c>
      <c r="L1278" s="104"/>
      <c r="M1278" s="60"/>
      <c r="N1278" s="29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idden="1">
      <c r="A1279" s="2"/>
      <c r="B1279" s="57" t="s">
        <v>339</v>
      </c>
      <c r="C1279" s="11"/>
      <c r="D1279" s="11">
        <v>90.0</v>
      </c>
      <c r="E1279" s="12" t="s">
        <v>40</v>
      </c>
      <c r="F1279" s="13">
        <f>'БД_УСЛУГИ_РО'!P997+'БД_ЗАПЧАСТИ'!P292</f>
        <v>30500</v>
      </c>
      <c r="G1279" s="19"/>
      <c r="H1279" s="101">
        <f>'БД_УСЛУГИ_РО'!P997</f>
        <v>7300</v>
      </c>
      <c r="I1279" s="2"/>
      <c r="J1279" s="103"/>
      <c r="K1279" s="84">
        <v>30500.0</v>
      </c>
      <c r="L1279" s="104"/>
      <c r="M1279" s="60"/>
      <c r="N1279" s="29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idden="1">
      <c r="A1280" s="2"/>
      <c r="B1280" s="57" t="s">
        <v>339</v>
      </c>
      <c r="C1280" s="11"/>
      <c r="D1280" s="11">
        <v>90.0</v>
      </c>
      <c r="E1280" s="12" t="s">
        <v>42</v>
      </c>
      <c r="F1280" s="13">
        <f>'БД_УСЛУГИ_РО'!P997+'БД_ЗАПЧАСТИ'!P293</f>
        <v>30800</v>
      </c>
      <c r="G1280" s="19"/>
      <c r="H1280" s="101">
        <f>'БД_УСЛУГИ_РО'!P997</f>
        <v>7300</v>
      </c>
      <c r="I1280" s="2"/>
      <c r="J1280" s="103"/>
      <c r="K1280" s="84">
        <v>30800.0</v>
      </c>
      <c r="L1280" s="104"/>
      <c r="M1280" s="60"/>
      <c r="N1280" s="29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idden="1">
      <c r="A1281" s="2"/>
      <c r="B1281" s="57" t="s">
        <v>339</v>
      </c>
      <c r="C1281" s="11"/>
      <c r="D1281" s="11">
        <v>90.0</v>
      </c>
      <c r="E1281" s="12" t="s">
        <v>43</v>
      </c>
      <c r="F1281" s="13">
        <f>'БД_УСЛУГИ_РО'!P997+'БД_ЗАПЧАСТИ'!P294</f>
        <v>30000</v>
      </c>
      <c r="G1281" s="19"/>
      <c r="H1281" s="101">
        <f>'БД_УСЛУГИ_РО'!P997</f>
        <v>7300</v>
      </c>
      <c r="I1281" s="2"/>
      <c r="J1281" s="87"/>
      <c r="K1281" s="84">
        <v>30000.0</v>
      </c>
      <c r="L1281" s="67"/>
      <c r="M1281" s="60"/>
      <c r="N1281" s="29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idden="1">
      <c r="A1282" s="2"/>
      <c r="B1282" s="57" t="s">
        <v>339</v>
      </c>
      <c r="C1282" s="11"/>
      <c r="D1282" s="11">
        <v>90.0</v>
      </c>
      <c r="E1282" s="12" t="s">
        <v>45</v>
      </c>
      <c r="F1282" s="13">
        <f>'БД_УСЛУГИ_РО'!P997</f>
        <v>7300</v>
      </c>
      <c r="G1282" s="19"/>
      <c r="H1282" s="101">
        <f>'БД_УСЛУГИ_РО'!P997</f>
        <v>7300</v>
      </c>
      <c r="I1282" s="2"/>
      <c r="J1282" s="92" t="str">
        <f>IFERROR(__xludf.DUMMYFUNCTION("MIN(FILTER(F1282:F1283, F1282:F1283 &lt;&gt; H1282:H1283, F1282:F1283 &lt;&gt; """"))"),"#N/A")</f>
        <v>#N/A</v>
      </c>
      <c r="K1282" s="84">
        <v>7300.0</v>
      </c>
      <c r="L1282" s="65">
        <f>IFERROR(VLOOKUP("iPhone 16 Pro Замена дисплея (аналог)", 'РЕМОНТ_ЯБЛОК'!C:D, 2, 0), "Ошибка")</f>
        <v>15000</v>
      </c>
      <c r="M1282" s="60"/>
      <c r="N1282" s="29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idden="1">
      <c r="A1283" s="2"/>
      <c r="B1283" s="57" t="s">
        <v>339</v>
      </c>
      <c r="C1283" s="11"/>
      <c r="D1283" s="11">
        <v>90.0</v>
      </c>
      <c r="E1283" s="12" t="s">
        <v>46</v>
      </c>
      <c r="F1283" s="13">
        <f>'БД_УСЛУГИ_РО'!P997</f>
        <v>7300</v>
      </c>
      <c r="G1283" s="28"/>
      <c r="H1283" s="101">
        <f>'БД_УСЛУГИ_РО'!P997</f>
        <v>7300</v>
      </c>
      <c r="I1283" s="2"/>
      <c r="J1283" s="87"/>
      <c r="K1283" s="84">
        <v>7300.0</v>
      </c>
      <c r="L1283" s="67"/>
      <c r="M1283" s="60"/>
      <c r="N1283" s="29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idden="1">
      <c r="A1284" s="2"/>
      <c r="B1284" s="57" t="s">
        <v>339</v>
      </c>
      <c r="C1284" s="11"/>
      <c r="D1284" s="11">
        <v>90.0</v>
      </c>
      <c r="E1284" s="12" t="s">
        <v>47</v>
      </c>
      <c r="F1284" s="13">
        <f>'БД_УСЛУГИ_РО'!P998</f>
        <v>6300</v>
      </c>
      <c r="G1284" s="29"/>
      <c r="H1284" s="5"/>
      <c r="I1284" s="2"/>
      <c r="J1284" s="83"/>
      <c r="K1284" s="84">
        <v>6300.0</v>
      </c>
      <c r="L1284" s="61"/>
      <c r="M1284" s="60"/>
      <c r="N1284" s="29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idden="1">
      <c r="A1285" s="2"/>
      <c r="B1285" s="57" t="s">
        <v>339</v>
      </c>
      <c r="C1285" s="11"/>
      <c r="D1285" s="11">
        <v>90.0</v>
      </c>
      <c r="E1285" s="12" t="s">
        <v>341</v>
      </c>
      <c r="F1285" s="13">
        <f>'БД_УСЛУГИ_РО'!P999</f>
        <v>25000</v>
      </c>
      <c r="G1285" s="29"/>
      <c r="H1285" s="5"/>
      <c r="I1285" s="2"/>
      <c r="J1285" s="85">
        <f t="shared" ref="J1285:J1288" si="75">F1285</f>
        <v>25000</v>
      </c>
      <c r="K1285" s="84">
        <v>25000.0</v>
      </c>
      <c r="L1285" s="61">
        <f>IFERROR(VLOOKUP("iPhone 16 Pro Переклейка (восстановление) вашего дисплея", 'РЕМОНТ_ЯБЛОК'!C:D, 2, 0), "Ошибка")</f>
        <v>20000</v>
      </c>
      <c r="M1285" s="96"/>
      <c r="N1285" s="29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idden="1">
      <c r="A1286" s="2"/>
      <c r="B1286" s="57" t="s">
        <v>339</v>
      </c>
      <c r="C1286" s="11"/>
      <c r="D1286" s="11">
        <v>90.0</v>
      </c>
      <c r="E1286" s="12" t="s">
        <v>342</v>
      </c>
      <c r="F1286" s="13">
        <f>'БД_УСЛУГИ_РО'!P1000+'БД_ЗАПЧАСТИ'!P786</f>
        <v>15900</v>
      </c>
      <c r="G1286" s="29"/>
      <c r="H1286" s="101">
        <f>'БД_УСЛУГИ_РО'!P1000</f>
        <v>7300</v>
      </c>
      <c r="I1286" s="2"/>
      <c r="J1286" s="85">
        <f t="shared" si="75"/>
        <v>15900</v>
      </c>
      <c r="K1286" s="84">
        <v>15900.0</v>
      </c>
      <c r="L1286" s="61">
        <f>IFERROR(VLOOKUP("iPhone 16 Pro Замена основной камеры", 'РЕМОНТ_ЯБЛОК'!C:D, 2, 0), "Ошибка")</f>
        <v>16000</v>
      </c>
      <c r="M1286" s="96"/>
      <c r="N1286" s="29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idden="1">
      <c r="A1287" s="2"/>
      <c r="B1287" s="57" t="s">
        <v>339</v>
      </c>
      <c r="C1287" s="11"/>
      <c r="D1287" s="11">
        <v>90.0</v>
      </c>
      <c r="E1287" s="12" t="s">
        <v>343</v>
      </c>
      <c r="F1287" s="13">
        <f>'БД_УСЛУГИ_РО'!P1001+'БД_ЗАПЧАСТИ'!P830</f>
        <v>12000</v>
      </c>
      <c r="G1287" s="29"/>
      <c r="H1287" s="101">
        <f>'БД_УСЛУГИ_РО'!P1001</f>
        <v>7900</v>
      </c>
      <c r="I1287" s="2"/>
      <c r="J1287" s="85">
        <f t="shared" si="75"/>
        <v>12000</v>
      </c>
      <c r="K1287" s="84">
        <v>12000.0</v>
      </c>
      <c r="L1287" s="61">
        <f>IFERROR(VLOOKUP("iPhone 16 Pro Ремонт/замена фронтальной камеры", 'РЕМОНТ_ЯБЛОК'!C:D, 2, 0), "Ошибка")</f>
        <v>12000</v>
      </c>
      <c r="M1287" s="96"/>
      <c r="N1287" s="29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idden="1">
      <c r="A1288" s="2"/>
      <c r="B1288" s="57" t="s">
        <v>339</v>
      </c>
      <c r="C1288" s="11"/>
      <c r="D1288" s="11">
        <v>180.0</v>
      </c>
      <c r="E1288" s="12" t="s">
        <v>52</v>
      </c>
      <c r="F1288" s="13">
        <f>'БД_УСЛУГИ_РО'!P1002+'БД_ЗАПЧАСТИ'!P574</f>
        <v>6500</v>
      </c>
      <c r="G1288" s="29"/>
      <c r="H1288" s="101">
        <f>'БД_УСЛУГИ_РО'!P1002</f>
        <v>4700</v>
      </c>
      <c r="I1288" s="2"/>
      <c r="J1288" s="85">
        <f t="shared" si="75"/>
        <v>6500</v>
      </c>
      <c r="K1288" s="84">
        <v>6500.0</v>
      </c>
      <c r="L1288" s="61">
        <f>IFERROR(VLOOKUP("iPhone 16 Pro Замена стекла камеры", 'РЕМОНТ_ЯБЛОК'!C:D, 2, 0), "Ошибка")</f>
        <v>6500</v>
      </c>
      <c r="M1288" s="96"/>
      <c r="N1288" s="29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idden="1">
      <c r="A1289" s="2"/>
      <c r="B1289" s="57" t="s">
        <v>339</v>
      </c>
      <c r="C1289" s="11"/>
      <c r="D1289" s="11">
        <v>90.0</v>
      </c>
      <c r="E1289" s="12" t="s">
        <v>53</v>
      </c>
      <c r="F1289" s="13">
        <f>'БД_УСЛУГИ_РО'!P1003</f>
        <v>9700</v>
      </c>
      <c r="G1289" s="29"/>
      <c r="H1289" s="5"/>
      <c r="I1289" s="2"/>
      <c r="J1289" s="92"/>
      <c r="K1289" s="93">
        <v>9700.0</v>
      </c>
      <c r="L1289" s="65"/>
      <c r="M1289" s="94"/>
      <c r="N1289" s="33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idden="1">
      <c r="A1290" s="2"/>
      <c r="B1290" s="57" t="s">
        <v>339</v>
      </c>
      <c r="C1290" s="11"/>
      <c r="D1290" s="11">
        <v>180.0</v>
      </c>
      <c r="E1290" s="12" t="s">
        <v>54</v>
      </c>
      <c r="F1290" s="13">
        <f>'БД_УСЛУГИ_РО'!P1004+'БД_ЗАПЧАСТИ'!P496</f>
        <v>13000</v>
      </c>
      <c r="G1290" s="33" t="str">
        <f>MIN(F1290:F1291) &amp; " - " &amp; MAX(F1290:F1291)</f>
        <v>8000 - 13000</v>
      </c>
      <c r="H1290" s="101">
        <f>'БД_УСЛУГИ_РО'!P1004</f>
        <v>5200</v>
      </c>
      <c r="I1290" s="2"/>
      <c r="J1290" s="92"/>
      <c r="K1290" s="93">
        <v>13000.0</v>
      </c>
      <c r="L1290" s="65"/>
      <c r="M1290" s="94"/>
      <c r="N1290" s="33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idden="1">
      <c r="A1291" s="2"/>
      <c r="B1291" s="57" t="s">
        <v>339</v>
      </c>
      <c r="C1291" s="11"/>
      <c r="D1291" s="11">
        <v>180.0</v>
      </c>
      <c r="E1291" s="12" t="s">
        <v>55</v>
      </c>
      <c r="F1291" s="13">
        <f>'БД_УСЛУГИ_РО'!P1004+'БД_ЗАПЧАСТИ'!P500</f>
        <v>8000</v>
      </c>
      <c r="G1291" s="28"/>
      <c r="H1291" s="101">
        <f>'БД_УСЛУГИ_РО'!P1004</f>
        <v>5200</v>
      </c>
      <c r="I1291" s="2"/>
      <c r="J1291" s="85">
        <f>F1291</f>
        <v>8000</v>
      </c>
      <c r="K1291" s="93">
        <v>8000.0</v>
      </c>
      <c r="L1291" s="61">
        <f>IFERROR(VLOOKUP("iPhone 16 Pro Замена задней крышки", 'РЕМОНТ_ЯБЛОК'!C:D, 2, 0), "Ошибка")</f>
        <v>8000</v>
      </c>
      <c r="M1291" s="105"/>
      <c r="N1291" s="33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idden="1">
      <c r="A1292" s="2"/>
      <c r="B1292" s="57" t="s">
        <v>339</v>
      </c>
      <c r="C1292" s="11"/>
      <c r="D1292" s="11">
        <v>180.0</v>
      </c>
      <c r="E1292" s="12" t="s">
        <v>56</v>
      </c>
      <c r="F1292" s="13">
        <f>'БД_УСЛУГИ_РО'!P1005</f>
        <v>12100</v>
      </c>
      <c r="G1292" s="29"/>
      <c r="H1292" s="101">
        <f>'БД_УСЛУГИ_РО'!P1005</f>
        <v>12100</v>
      </c>
      <c r="I1292" s="2"/>
      <c r="J1292" s="92"/>
      <c r="K1292" s="93">
        <v>12100.0</v>
      </c>
      <c r="L1292" s="65"/>
      <c r="M1292" s="94"/>
      <c r="N1292" s="33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idden="1">
      <c r="A1293" s="2"/>
      <c r="B1293" s="57" t="s">
        <v>339</v>
      </c>
      <c r="C1293" s="11"/>
      <c r="D1293" s="11">
        <v>180.0</v>
      </c>
      <c r="E1293" s="12" t="s">
        <v>57</v>
      </c>
      <c r="F1293" s="13">
        <f>'БД_УСЛУГИ_РО'!P1006</f>
        <v>9500</v>
      </c>
      <c r="G1293" s="29"/>
      <c r="H1293" s="101">
        <f>'БД_УСЛУГИ_РО'!P1006</f>
        <v>9500</v>
      </c>
      <c r="I1293" s="2"/>
      <c r="J1293" s="85">
        <f>F1293</f>
        <v>9500</v>
      </c>
      <c r="K1293" s="84">
        <v>9500.0</v>
      </c>
      <c r="L1293" s="61">
        <f>IFERROR(VLOOKUP("iPhone 16 Pro Замена средней части корпуса", 'РЕМОНТ_ЯБЛОК'!C:D, 2, 0), "Ошибка")</f>
        <v>14000</v>
      </c>
      <c r="M1293" s="96"/>
      <c r="N1293" s="29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idden="1">
      <c r="A1294" s="2"/>
      <c r="B1294" s="57" t="s">
        <v>339</v>
      </c>
      <c r="C1294" s="11"/>
      <c r="D1294" s="11">
        <v>90.0</v>
      </c>
      <c r="E1294" s="12" t="s">
        <v>59</v>
      </c>
      <c r="F1294" s="13">
        <f>'БД_УСЛУГИ_РО'!P1007</f>
        <v>8500</v>
      </c>
      <c r="G1294" s="29"/>
      <c r="H1294" s="5"/>
      <c r="I1294" s="2"/>
      <c r="J1294" s="83"/>
      <c r="K1294" s="84">
        <v>8500.0</v>
      </c>
      <c r="L1294" s="61"/>
      <c r="M1294" s="60"/>
      <c r="N1294" s="29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idden="1">
      <c r="A1295" s="2"/>
      <c r="B1295" s="57" t="s">
        <v>339</v>
      </c>
      <c r="C1295" s="11"/>
      <c r="D1295" s="11">
        <v>90.0</v>
      </c>
      <c r="E1295" s="12" t="s">
        <v>344</v>
      </c>
      <c r="F1295" s="13">
        <f>'БД_УСЛУГИ_РО'!P1008+'БД_ЗАПЧАСТИ'!P915</f>
        <v>7300</v>
      </c>
      <c r="G1295" s="29"/>
      <c r="H1295" s="101">
        <f>'БД_УСЛУГИ_РО'!P1008</f>
        <v>7300</v>
      </c>
      <c r="I1295" s="2"/>
      <c r="J1295" s="83"/>
      <c r="K1295" s="84">
        <v>7300.0</v>
      </c>
      <c r="L1295" s="61"/>
      <c r="M1295" s="60"/>
      <c r="N1295" s="29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idden="1">
      <c r="A1296" s="2"/>
      <c r="B1296" s="57" t="s">
        <v>339</v>
      </c>
      <c r="C1296" s="11"/>
      <c r="D1296" s="11">
        <v>90.0</v>
      </c>
      <c r="E1296" s="12" t="s">
        <v>345</v>
      </c>
      <c r="F1296" s="13">
        <f>'БД_УСЛУГИ_РО'!P1009+'БД_ЗАПЧАСТИ'!P875</f>
        <v>10500</v>
      </c>
      <c r="G1296" s="29"/>
      <c r="H1296" s="101">
        <f>'БД_УСЛУГИ_РО'!P1009</f>
        <v>7300</v>
      </c>
      <c r="I1296" s="2"/>
      <c r="J1296" s="83"/>
      <c r="K1296" s="84">
        <v>10500.0</v>
      </c>
      <c r="L1296" s="61"/>
      <c r="M1296" s="60"/>
      <c r="N1296" s="29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idden="1">
      <c r="A1297" s="2"/>
      <c r="B1297" s="57" t="s">
        <v>339</v>
      </c>
      <c r="C1297" s="11"/>
      <c r="D1297" s="11">
        <v>90.0</v>
      </c>
      <c r="E1297" s="32" t="s">
        <v>62</v>
      </c>
      <c r="F1297" s="13">
        <f>'БД_УСЛУГИ_РО'!P1010+'БД_ЗАПЧАСТИ'!P728</f>
        <v>12900</v>
      </c>
      <c r="G1297" s="29"/>
      <c r="H1297" s="101">
        <f>'БД_УСЛУГИ_РО'!P1010</f>
        <v>7900</v>
      </c>
      <c r="I1297" s="2"/>
      <c r="J1297" s="92"/>
      <c r="K1297" s="93">
        <v>12900.0</v>
      </c>
      <c r="L1297" s="65"/>
      <c r="M1297" s="94"/>
      <c r="N1297" s="33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idden="1">
      <c r="A1298" s="2"/>
      <c r="B1298" s="57" t="s">
        <v>339</v>
      </c>
      <c r="C1298" s="11"/>
      <c r="D1298" s="11">
        <v>90.0</v>
      </c>
      <c r="E1298" s="12" t="s">
        <v>63</v>
      </c>
      <c r="F1298" s="13">
        <f>'БД_УСЛУГИ_РО'!P1011</f>
        <v>7700</v>
      </c>
      <c r="G1298" s="29"/>
      <c r="H1298" s="5"/>
      <c r="I1298" s="2"/>
      <c r="J1298" s="92"/>
      <c r="K1298" s="93">
        <v>7700.0</v>
      </c>
      <c r="L1298" s="65"/>
      <c r="M1298" s="94"/>
      <c r="N1298" s="33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idden="1">
      <c r="A1299" s="2"/>
      <c r="B1299" s="57" t="s">
        <v>339</v>
      </c>
      <c r="C1299" s="11"/>
      <c r="D1299" s="11">
        <v>90.0</v>
      </c>
      <c r="E1299" s="12" t="s">
        <v>64</v>
      </c>
      <c r="F1299" s="13">
        <f>'БД_УСЛУГИ_РО'!P1013</f>
        <v>9000</v>
      </c>
      <c r="G1299" s="29"/>
      <c r="H1299" s="5"/>
      <c r="I1299" s="2"/>
      <c r="J1299" s="92"/>
      <c r="K1299" s="93">
        <v>9000.0</v>
      </c>
      <c r="L1299" s="65"/>
      <c r="M1299" s="94"/>
      <c r="N1299" s="33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idden="1">
      <c r="A1300" s="2"/>
      <c r="B1300" s="57" t="s">
        <v>339</v>
      </c>
      <c r="C1300" s="11"/>
      <c r="D1300" s="11">
        <v>90.0</v>
      </c>
      <c r="E1300" s="12" t="s">
        <v>65</v>
      </c>
      <c r="F1300" s="13">
        <f>'БД_УСЛУГИ_РО'!P1012+'БД_УСЛУГИ_РО'!P1014</f>
        <v>19700</v>
      </c>
      <c r="G1300" s="29"/>
      <c r="H1300" s="5"/>
      <c r="I1300" s="2"/>
      <c r="J1300" s="92"/>
      <c r="K1300" s="93">
        <v>19700.0</v>
      </c>
      <c r="L1300" s="65"/>
      <c r="M1300" s="94"/>
      <c r="N1300" s="33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idden="1">
      <c r="A1301" s="2"/>
      <c r="B1301" s="69" t="s">
        <v>339</v>
      </c>
      <c r="C1301" s="36"/>
      <c r="D1301" s="36">
        <v>90.0</v>
      </c>
      <c r="E1301" s="70" t="s">
        <v>66</v>
      </c>
      <c r="F1301" s="38">
        <f>'БД_УСЛУГИ_РО'!P1012+'БД_УСЛУГИ_РО'!P1015</f>
        <v>20200</v>
      </c>
      <c r="G1301" s="39"/>
      <c r="H1301" s="5"/>
      <c r="I1301" s="2"/>
      <c r="J1301" s="91"/>
      <c r="K1301" s="89">
        <v>20200.0</v>
      </c>
      <c r="L1301" s="73"/>
      <c r="M1301" s="74"/>
      <c r="N1301" s="39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idden="1">
      <c r="A1302" s="2"/>
      <c r="B1302" s="1"/>
      <c r="C1302" s="1"/>
      <c r="D1302" s="95"/>
      <c r="E1302" s="30"/>
      <c r="F1302" s="80"/>
      <c r="G1302" s="76"/>
      <c r="H1302" s="5"/>
      <c r="I1302" s="2"/>
      <c r="J1302" s="2"/>
      <c r="K1302" s="2" t="s">
        <v>22</v>
      </c>
      <c r="L1302" s="2"/>
      <c r="M1302" s="3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idden="1">
      <c r="A1303" s="2"/>
      <c r="B1303" s="41" t="s">
        <v>346</v>
      </c>
      <c r="C1303" s="42"/>
      <c r="D1303" s="42">
        <v>0.0</v>
      </c>
      <c r="E1303" s="51" t="s">
        <v>24</v>
      </c>
      <c r="F1303" s="44">
        <f>'БД_УСЛУГИ_РО'!P1016</f>
        <v>1</v>
      </c>
      <c r="G1303" s="78"/>
      <c r="H1303" s="5"/>
      <c r="I1303" s="2"/>
      <c r="J1303" s="81"/>
      <c r="K1303" s="82">
        <v>1.0</v>
      </c>
      <c r="L1303" s="55"/>
      <c r="M1303" s="56"/>
      <c r="N1303" s="5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idden="1">
      <c r="A1304" s="2"/>
      <c r="B1304" s="57" t="s">
        <v>346</v>
      </c>
      <c r="C1304" s="11"/>
      <c r="D1304" s="11">
        <v>0.0</v>
      </c>
      <c r="E1304" s="12" t="s">
        <v>26</v>
      </c>
      <c r="F1304" s="13">
        <f>'БД_УСЛУГИ_РО'!P1017+'БД_УСЛУГИ_РО'!P1018</f>
        <v>3100</v>
      </c>
      <c r="G1304" s="29"/>
      <c r="H1304" s="5"/>
      <c r="I1304" s="2"/>
      <c r="J1304" s="83"/>
      <c r="K1304" s="84">
        <v>3100.0</v>
      </c>
      <c r="L1304" s="61"/>
      <c r="M1304" s="60"/>
      <c r="N1304" s="29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idden="1">
      <c r="A1305" s="2"/>
      <c r="B1305" s="57" t="s">
        <v>346</v>
      </c>
      <c r="C1305" s="11"/>
      <c r="D1305" s="11">
        <v>0.0</v>
      </c>
      <c r="E1305" s="32" t="s">
        <v>27</v>
      </c>
      <c r="F1305" s="13">
        <f>'БД_УСЛУГИ_РО'!P1019</f>
        <v>700</v>
      </c>
      <c r="G1305" s="33" t="str">
        <f>MIN(F1305:F1306) &amp; " - " &amp; MAX(F1305:F1306)</f>
        <v>700 - 7200</v>
      </c>
      <c r="H1305" s="5"/>
      <c r="I1305" s="2"/>
      <c r="J1305" s="83"/>
      <c r="K1305" s="84">
        <v>700.0</v>
      </c>
      <c r="L1305" s="61"/>
      <c r="M1305" s="60"/>
      <c r="N1305" s="29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idden="1">
      <c r="A1306" s="2"/>
      <c r="B1306" s="57" t="s">
        <v>346</v>
      </c>
      <c r="C1306" s="11"/>
      <c r="D1306" s="11">
        <v>0.0</v>
      </c>
      <c r="E1306" s="32" t="s">
        <v>28</v>
      </c>
      <c r="F1306" s="13">
        <f>'БД_УСЛУГИ_РО'!P1020</f>
        <v>7200</v>
      </c>
      <c r="G1306" s="28"/>
      <c r="H1306" s="5"/>
      <c r="I1306" s="2"/>
      <c r="J1306" s="83"/>
      <c r="K1306" s="84">
        <v>7200.0</v>
      </c>
      <c r="L1306" s="61"/>
      <c r="M1306" s="60"/>
      <c r="N1306" s="29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idden="1">
      <c r="A1307" s="2"/>
      <c r="B1307" s="57" t="s">
        <v>346</v>
      </c>
      <c r="C1307" s="11"/>
      <c r="D1307" s="11">
        <v>180.0</v>
      </c>
      <c r="E1307" s="12" t="s">
        <v>202</v>
      </c>
      <c r="F1307" s="13">
        <f>'БД_УСЛУГИ_РО'!P1021+'БД_ЗАПЧАСТИ'!P143</f>
        <v>20700</v>
      </c>
      <c r="G1307" s="33" t="str">
        <f>IFERROR(__xludf.DUMMYFUNCTION("MIN(FILTER(F1307:F1312, F1307:F1312 &lt;&gt; H1307:H1312)) &amp; "" - "" &amp; MAX(FILTER(F1307:F1312, F1307:F1312 &lt;&gt; H1307:H1312))"),"12000 - 20700")</f>
        <v>12000 - 20700</v>
      </c>
      <c r="H1307" s="101">
        <f>'БД_УСЛУГИ_РО'!P1021</f>
        <v>8100</v>
      </c>
      <c r="I1307" s="2"/>
      <c r="J1307" s="86">
        <f>IFERROR(__xludf.DUMMYFUNCTION("MIN(FILTER(F1307:F1312, F1307:F1312 &lt;&gt; H1307:H1312, F1307:F1312 &lt;&gt; """"))"),12000.0)</f>
        <v>12000</v>
      </c>
      <c r="K1307" s="84">
        <v>20700.0</v>
      </c>
      <c r="L1307" s="31">
        <f>IFERROR(VLOOKUP("iPhone 16 Pro Max Замена аккумулятора", 'РЕМОНТ_ЯБЛОК'!C:D, 2, 0), "Ошибка")</f>
        <v>12000</v>
      </c>
      <c r="M1307" s="60"/>
      <c r="N1307" s="29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idden="1">
      <c r="A1308" s="2"/>
      <c r="B1308" s="57" t="s">
        <v>346</v>
      </c>
      <c r="C1308" s="11"/>
      <c r="D1308" s="11">
        <v>180.0</v>
      </c>
      <c r="E1308" s="12" t="s">
        <v>203</v>
      </c>
      <c r="F1308" s="13">
        <f>'БД_УСЛУГИ_РО'!P1021+'БД_ЗАПЧАСТИ'!P144</f>
        <v>14000</v>
      </c>
      <c r="G1308" s="19"/>
      <c r="H1308" s="101">
        <f>'БД_УСЛУГИ_РО'!P1021</f>
        <v>8100</v>
      </c>
      <c r="I1308" s="2"/>
      <c r="J1308" s="103"/>
      <c r="K1308" s="84">
        <v>14000.0</v>
      </c>
      <c r="L1308" s="104"/>
      <c r="M1308" s="60"/>
      <c r="N1308" s="29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idden="1">
      <c r="A1309" s="2"/>
      <c r="B1309" s="57" t="s">
        <v>346</v>
      </c>
      <c r="C1309" s="11"/>
      <c r="D1309" s="11">
        <v>180.0</v>
      </c>
      <c r="E1309" s="12" t="s">
        <v>32</v>
      </c>
      <c r="F1309" s="13">
        <f>'БД_УСЛУГИ_РО'!P1021+'БД_ЗАПЧАСТИ'!P145</f>
        <v>8100</v>
      </c>
      <c r="G1309" s="19"/>
      <c r="H1309" s="101">
        <f>'БД_УСЛУГИ_РО'!P1021</f>
        <v>8100</v>
      </c>
      <c r="I1309" s="2"/>
      <c r="J1309" s="103"/>
      <c r="K1309" s="84">
        <v>8100.0</v>
      </c>
      <c r="L1309" s="104"/>
      <c r="M1309" s="60"/>
      <c r="N1309" s="29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idden="1">
      <c r="A1310" s="2"/>
      <c r="B1310" s="57" t="s">
        <v>346</v>
      </c>
      <c r="C1310" s="11"/>
      <c r="D1310" s="11">
        <v>180.0</v>
      </c>
      <c r="E1310" s="12" t="s">
        <v>33</v>
      </c>
      <c r="F1310" s="13">
        <f>'БД_УСЛУГИ_РО'!P1021+'БД_ЗАПЧАСТИ'!P146</f>
        <v>8100</v>
      </c>
      <c r="G1310" s="19"/>
      <c r="H1310" s="101">
        <f>'БД_УСЛУГИ_РО'!P1021</f>
        <v>8100</v>
      </c>
      <c r="I1310" s="2"/>
      <c r="J1310" s="103"/>
      <c r="K1310" s="84">
        <v>8100.0</v>
      </c>
      <c r="L1310" s="104"/>
      <c r="M1310" s="60"/>
      <c r="N1310" s="29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idden="1">
      <c r="A1311" s="2"/>
      <c r="B1311" s="57" t="s">
        <v>346</v>
      </c>
      <c r="C1311" s="11"/>
      <c r="D1311" s="11">
        <v>180.0</v>
      </c>
      <c r="E1311" s="12" t="s">
        <v>34</v>
      </c>
      <c r="F1311" s="13">
        <f>'БД_УСЛУГИ_РО'!P1021+'БД_ЗАПЧАСТИ'!P147</f>
        <v>12000</v>
      </c>
      <c r="G1311" s="19"/>
      <c r="H1311" s="101">
        <f>'БД_УСЛУГИ_РО'!P1021</f>
        <v>8100</v>
      </c>
      <c r="I1311" s="2"/>
      <c r="J1311" s="87"/>
      <c r="K1311" s="84">
        <v>12000.0</v>
      </c>
      <c r="L1311" s="67"/>
      <c r="M1311" s="60"/>
      <c r="N1311" s="29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idden="1">
      <c r="A1312" s="2"/>
      <c r="B1312" s="57" t="s">
        <v>346</v>
      </c>
      <c r="C1312" s="11"/>
      <c r="D1312" s="11">
        <v>180.0</v>
      </c>
      <c r="E1312" s="12" t="s">
        <v>35</v>
      </c>
      <c r="F1312" s="13"/>
      <c r="G1312" s="28"/>
      <c r="H1312" s="5"/>
      <c r="I1312" s="2"/>
      <c r="J1312" s="83"/>
      <c r="K1312" s="84" t="s">
        <v>22</v>
      </c>
      <c r="L1312" s="61"/>
      <c r="M1312" s="60"/>
      <c r="N1312" s="29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idden="1">
      <c r="A1313" s="2"/>
      <c r="B1313" s="57" t="s">
        <v>346</v>
      </c>
      <c r="C1313" s="11"/>
      <c r="D1313" s="11">
        <v>90.0</v>
      </c>
      <c r="E1313" s="12" t="s">
        <v>347</v>
      </c>
      <c r="F1313" s="13">
        <f>'БД_УСЛУГИ_РО'!P1023+'БД_ЗАПЧАСТИ'!P732</f>
        <v>13750</v>
      </c>
      <c r="G1313" s="29"/>
      <c r="H1313" s="101">
        <f>'БД_УСЛУГИ_РО'!P1023</f>
        <v>8000</v>
      </c>
      <c r="I1313" s="2"/>
      <c r="J1313" s="83"/>
      <c r="K1313" s="84">
        <v>13750.0</v>
      </c>
      <c r="L1313" s="61"/>
      <c r="M1313" s="60"/>
      <c r="N1313" s="29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idden="1">
      <c r="A1314" s="2"/>
      <c r="B1314" s="57" t="s">
        <v>346</v>
      </c>
      <c r="C1314" s="11"/>
      <c r="D1314" s="11">
        <v>90.0</v>
      </c>
      <c r="E1314" s="12" t="s">
        <v>205</v>
      </c>
      <c r="F1314" s="13">
        <f>'БД_УСЛУГИ_РО'!P1024+'БД_ЗАПЧАСТИ'!P295</f>
        <v>41900</v>
      </c>
      <c r="G1314" s="33" t="str">
        <f>IFERROR(__xludf.DUMMYFUNCTION("MIN(FILTER(F1314:F1320, F1314:F1320 &lt;&gt; H1314:H1320)) &amp; "" - "" &amp; MAX(FILTER(F1314:F1320, F1314:F1320 &lt;&gt; H1314:H1320))"),"35000 - 41900")</f>
        <v>35000 - 41900</v>
      </c>
      <c r="H1314" s="101">
        <f>'БД_УСЛУГИ_РО'!P1024</f>
        <v>7300</v>
      </c>
      <c r="I1314" s="2"/>
      <c r="J1314" s="86">
        <f>IFERROR(__xludf.DUMMYFUNCTION("MIN(FILTER(F1314:F1318, F1314:F1318 &lt;&gt; H1314:H1318, F1314:F1318 &lt;&gt; """"))"),35000.0)</f>
        <v>35000</v>
      </c>
      <c r="K1314" s="84">
        <v>41900.0</v>
      </c>
      <c r="L1314" s="65">
        <f>IFERROR(VLOOKUP("iPhone 16 Pro Max Замена дисплея (оригинал)", 'РЕМОНТ_ЯБЛОК'!C:D, 2, 0), "Ошибка")</f>
        <v>35000</v>
      </c>
      <c r="M1314" s="60"/>
      <c r="N1314" s="29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idden="1">
      <c r="A1315" s="2"/>
      <c r="B1315" s="57" t="s">
        <v>346</v>
      </c>
      <c r="C1315" s="11"/>
      <c r="D1315" s="11">
        <v>90.0</v>
      </c>
      <c r="E1315" s="12" t="s">
        <v>39</v>
      </c>
      <c r="F1315" s="13">
        <f>'БД_УСЛУГИ_РО'!P1024+'БД_ЗАПЧАСТИ'!P296</f>
        <v>39500</v>
      </c>
      <c r="G1315" s="19"/>
      <c r="H1315" s="101">
        <f>'БД_УСЛУГИ_РО'!P1024</f>
        <v>7300</v>
      </c>
      <c r="I1315" s="2"/>
      <c r="J1315" s="103"/>
      <c r="K1315" s="84">
        <v>39500.0</v>
      </c>
      <c r="L1315" s="104"/>
      <c r="M1315" s="60"/>
      <c r="N1315" s="29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idden="1">
      <c r="A1316" s="2"/>
      <c r="B1316" s="57" t="s">
        <v>346</v>
      </c>
      <c r="C1316" s="11"/>
      <c r="D1316" s="11">
        <v>90.0</v>
      </c>
      <c r="E1316" s="12" t="s">
        <v>40</v>
      </c>
      <c r="F1316" s="13">
        <f>'БД_УСЛУГИ_РО'!P1024+'БД_ЗАПЧАСТИ'!P297</f>
        <v>36500</v>
      </c>
      <c r="G1316" s="19"/>
      <c r="H1316" s="101">
        <f>'БД_УСЛУГИ_РО'!P1024</f>
        <v>7300</v>
      </c>
      <c r="I1316" s="2"/>
      <c r="J1316" s="103"/>
      <c r="K1316" s="84">
        <v>36500.0</v>
      </c>
      <c r="L1316" s="104"/>
      <c r="M1316" s="60"/>
      <c r="N1316" s="29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idden="1">
      <c r="A1317" s="2"/>
      <c r="B1317" s="57" t="s">
        <v>346</v>
      </c>
      <c r="C1317" s="11"/>
      <c r="D1317" s="11">
        <v>90.0</v>
      </c>
      <c r="E1317" s="12" t="s">
        <v>42</v>
      </c>
      <c r="F1317" s="13">
        <f>'БД_УСЛУГИ_РО'!P1024+'БД_ЗАПЧАСТИ'!P298</f>
        <v>35300</v>
      </c>
      <c r="G1317" s="19"/>
      <c r="H1317" s="101">
        <f>'БД_УСЛУГИ_РО'!P1024</f>
        <v>7300</v>
      </c>
      <c r="I1317" s="2"/>
      <c r="J1317" s="103"/>
      <c r="K1317" s="84">
        <v>35300.0</v>
      </c>
      <c r="L1317" s="104"/>
      <c r="M1317" s="60"/>
      <c r="N1317" s="29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idden="1">
      <c r="A1318" s="2"/>
      <c r="B1318" s="57" t="s">
        <v>346</v>
      </c>
      <c r="C1318" s="11"/>
      <c r="D1318" s="11">
        <v>90.0</v>
      </c>
      <c r="E1318" s="12" t="s">
        <v>43</v>
      </c>
      <c r="F1318" s="13">
        <f>'БД_УСЛУГИ_РО'!P1024+'БД_ЗАПЧАСТИ'!P299</f>
        <v>35000</v>
      </c>
      <c r="G1318" s="19"/>
      <c r="H1318" s="101">
        <f>'БД_УСЛУГИ_РО'!P1024</f>
        <v>7300</v>
      </c>
      <c r="I1318" s="2"/>
      <c r="J1318" s="87"/>
      <c r="K1318" s="84">
        <v>35000.0</v>
      </c>
      <c r="L1318" s="67"/>
      <c r="M1318" s="60"/>
      <c r="N1318" s="29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idden="1">
      <c r="A1319" s="2"/>
      <c r="B1319" s="57" t="s">
        <v>346</v>
      </c>
      <c r="C1319" s="11"/>
      <c r="D1319" s="11">
        <v>90.0</v>
      </c>
      <c r="E1319" s="12" t="s">
        <v>45</v>
      </c>
      <c r="F1319" s="13">
        <f>'БД_УСЛУГИ_РО'!P1024</f>
        <v>7300</v>
      </c>
      <c r="G1319" s="19"/>
      <c r="H1319" s="101">
        <f>'БД_УСЛУГИ_РО'!P1024</f>
        <v>7300</v>
      </c>
      <c r="I1319" s="2"/>
      <c r="J1319" s="92" t="str">
        <f>IFERROR(__xludf.DUMMYFUNCTION("MIN(FILTER(F1319:F1320, F1319:F1320 &lt;&gt; H1319:H1320, F1319:F1320 &lt;&gt; """"))"),"#N/A")</f>
        <v>#N/A</v>
      </c>
      <c r="K1319" s="84">
        <v>7300.0</v>
      </c>
      <c r="L1319" s="65">
        <f>IFERROR(VLOOKUP("iPhone 16 Pro Max Замена дисплея (аналог)", 'РЕМОНТ_ЯБЛОК'!C:D, 2, 0), "Ошибка")</f>
        <v>15000</v>
      </c>
      <c r="M1319" s="60"/>
      <c r="N1319" s="29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idden="1">
      <c r="A1320" s="2"/>
      <c r="B1320" s="57" t="s">
        <v>346</v>
      </c>
      <c r="C1320" s="11"/>
      <c r="D1320" s="11">
        <v>90.0</v>
      </c>
      <c r="E1320" s="12" t="s">
        <v>46</v>
      </c>
      <c r="F1320" s="13">
        <f>'БД_УСЛУГИ_РО'!P1024</f>
        <v>7300</v>
      </c>
      <c r="G1320" s="28"/>
      <c r="H1320" s="101">
        <f>'БД_УСЛУГИ_РО'!P1024</f>
        <v>7300</v>
      </c>
      <c r="I1320" s="2"/>
      <c r="J1320" s="87"/>
      <c r="K1320" s="84">
        <v>7300.0</v>
      </c>
      <c r="L1320" s="67"/>
      <c r="M1320" s="60"/>
      <c r="N1320" s="29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idden="1">
      <c r="A1321" s="2"/>
      <c r="B1321" s="57" t="s">
        <v>346</v>
      </c>
      <c r="C1321" s="11"/>
      <c r="D1321" s="11">
        <v>90.0</v>
      </c>
      <c r="E1321" s="12" t="s">
        <v>47</v>
      </c>
      <c r="F1321" s="13">
        <f>'БД_УСЛУГИ_РО'!P1025</f>
        <v>6300</v>
      </c>
      <c r="G1321" s="29"/>
      <c r="H1321" s="5"/>
      <c r="I1321" s="2"/>
      <c r="J1321" s="83"/>
      <c r="K1321" s="84">
        <v>6300.0</v>
      </c>
      <c r="L1321" s="61"/>
      <c r="M1321" s="60"/>
      <c r="N1321" s="29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idden="1">
      <c r="A1322" s="2"/>
      <c r="B1322" s="57" t="s">
        <v>346</v>
      </c>
      <c r="C1322" s="11"/>
      <c r="D1322" s="11">
        <v>90.0</v>
      </c>
      <c r="E1322" s="12" t="s">
        <v>348</v>
      </c>
      <c r="F1322" s="13">
        <f>'БД_УСЛУГИ_РО'!P1026</f>
        <v>26000</v>
      </c>
      <c r="G1322" s="29"/>
      <c r="H1322" s="5"/>
      <c r="I1322" s="2"/>
      <c r="J1322" s="85">
        <f t="shared" ref="J1322:J1325" si="76">F1322</f>
        <v>26000</v>
      </c>
      <c r="K1322" s="84">
        <v>26000.0</v>
      </c>
      <c r="L1322" s="61">
        <f>IFERROR(VLOOKUP("iPhone 16 Pro Max Переклейка (восстановление) вашего дисплея", 'РЕМОНТ_ЯБЛОК'!C:D, 2, 0), "Ошибка")</f>
        <v>20000</v>
      </c>
      <c r="M1322" s="96"/>
      <c r="N1322" s="29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idden="1">
      <c r="A1323" s="2"/>
      <c r="B1323" s="57" t="s">
        <v>346</v>
      </c>
      <c r="C1323" s="11"/>
      <c r="D1323" s="11">
        <v>90.0</v>
      </c>
      <c r="E1323" s="12" t="s">
        <v>349</v>
      </c>
      <c r="F1323" s="13">
        <f>'БД_УСЛУГИ_РО'!P1027+'БД_ЗАПЧАСТИ'!P787</f>
        <v>16100</v>
      </c>
      <c r="G1323" s="29"/>
      <c r="H1323" s="101">
        <f>'БД_УСЛУГИ_РО'!P1027</f>
        <v>7300</v>
      </c>
      <c r="I1323" s="2"/>
      <c r="J1323" s="85">
        <f t="shared" si="76"/>
        <v>16100</v>
      </c>
      <c r="K1323" s="84">
        <v>16100.0</v>
      </c>
      <c r="L1323" s="61">
        <f>IFERROR(VLOOKUP("iPhone 16 Pro Max Замена основной камеры", 'РЕМОНТ_ЯБЛОК'!C:D, 2, 0), "Ошибка")</f>
        <v>16000</v>
      </c>
      <c r="M1323" s="96"/>
      <c r="N1323" s="29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idden="1">
      <c r="A1324" s="2"/>
      <c r="B1324" s="57" t="s">
        <v>346</v>
      </c>
      <c r="C1324" s="11"/>
      <c r="D1324" s="11">
        <v>90.0</v>
      </c>
      <c r="E1324" s="12" t="s">
        <v>350</v>
      </c>
      <c r="F1324" s="13">
        <f>'БД_УСЛУГИ_РО'!P1028+'БД_ЗАПЧАСТИ'!P831</f>
        <v>12000</v>
      </c>
      <c r="G1324" s="29"/>
      <c r="H1324" s="101">
        <f>'БД_УСЛУГИ_РО'!P1028</f>
        <v>7900</v>
      </c>
      <c r="I1324" s="2"/>
      <c r="J1324" s="85">
        <f t="shared" si="76"/>
        <v>12000</v>
      </c>
      <c r="K1324" s="84">
        <v>12000.0</v>
      </c>
      <c r="L1324" s="61">
        <f>IFERROR(VLOOKUP("iPhone 16 Pro Max Ремонт/замена фронтальной камеры", 'РЕМОНТ_ЯБЛОК'!C:D, 2, 0), "Ошибка")</f>
        <v>12000</v>
      </c>
      <c r="M1324" s="96"/>
      <c r="N1324" s="29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idden="1">
      <c r="A1325" s="2"/>
      <c r="B1325" s="57" t="s">
        <v>346</v>
      </c>
      <c r="C1325" s="11"/>
      <c r="D1325" s="11">
        <v>180.0</v>
      </c>
      <c r="E1325" s="12" t="s">
        <v>52</v>
      </c>
      <c r="F1325" s="13">
        <f>'БД_УСЛУГИ_РО'!P1029+'БД_ЗАПЧАСТИ'!P574</f>
        <v>6500</v>
      </c>
      <c r="G1325" s="29"/>
      <c r="H1325" s="101">
        <f>'БД_УСЛУГИ_РО'!P1029</f>
        <v>4700</v>
      </c>
      <c r="I1325" s="2"/>
      <c r="J1325" s="85">
        <f t="shared" si="76"/>
        <v>6500</v>
      </c>
      <c r="K1325" s="84">
        <v>6500.0</v>
      </c>
      <c r="L1325" s="61">
        <f>IFERROR(VLOOKUP("iPhone 16 Pro Max Замена стекла камеры", 'РЕМОНТ_ЯБЛОК'!C:D, 2, 0), "Ошибка")</f>
        <v>6500</v>
      </c>
      <c r="M1325" s="96"/>
      <c r="N1325" s="29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idden="1">
      <c r="A1326" s="2"/>
      <c r="B1326" s="57" t="s">
        <v>346</v>
      </c>
      <c r="C1326" s="11"/>
      <c r="D1326" s="11">
        <v>90.0</v>
      </c>
      <c r="E1326" s="12" t="s">
        <v>53</v>
      </c>
      <c r="F1326" s="13">
        <f>'БД_УСЛУГИ_РО'!P1030</f>
        <v>9700</v>
      </c>
      <c r="G1326" s="29"/>
      <c r="H1326" s="5"/>
      <c r="I1326" s="2"/>
      <c r="J1326" s="92"/>
      <c r="K1326" s="93">
        <v>9700.0</v>
      </c>
      <c r="L1326" s="65"/>
      <c r="M1326" s="94"/>
      <c r="N1326" s="33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idden="1">
      <c r="A1327" s="2"/>
      <c r="B1327" s="57" t="s">
        <v>346</v>
      </c>
      <c r="C1327" s="11"/>
      <c r="D1327" s="11">
        <v>180.0</v>
      </c>
      <c r="E1327" s="12" t="s">
        <v>54</v>
      </c>
      <c r="F1327" s="13">
        <f>'БД_УСЛУГИ_РО'!P1031+'БД_ЗАПЧАСТИ'!P504</f>
        <v>14000</v>
      </c>
      <c r="G1327" s="33" t="str">
        <f>MIN(F1327:F1328) &amp; " - " &amp; MAX(F1327:F1328)</f>
        <v>8000 - 14000</v>
      </c>
      <c r="H1327" s="101">
        <f>'БД_УСЛУГИ_РО'!P1031</f>
        <v>5200</v>
      </c>
      <c r="I1327" s="2"/>
      <c r="J1327" s="92"/>
      <c r="K1327" s="93">
        <v>14000.0</v>
      </c>
      <c r="L1327" s="65"/>
      <c r="M1327" s="94"/>
      <c r="N1327" s="33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idden="1">
      <c r="A1328" s="2"/>
      <c r="B1328" s="57" t="s">
        <v>346</v>
      </c>
      <c r="C1328" s="11"/>
      <c r="D1328" s="11">
        <v>180.0</v>
      </c>
      <c r="E1328" s="12" t="s">
        <v>55</v>
      </c>
      <c r="F1328" s="13">
        <f>'БД_УСЛУГИ_РО'!P1031+'БД_ЗАПЧАСТИ'!P508</f>
        <v>8000</v>
      </c>
      <c r="G1328" s="28"/>
      <c r="H1328" s="101">
        <f>'БД_УСЛУГИ_РО'!P1031</f>
        <v>5200</v>
      </c>
      <c r="I1328" s="2"/>
      <c r="J1328" s="85">
        <f>F1328</f>
        <v>8000</v>
      </c>
      <c r="K1328" s="93">
        <v>8000.0</v>
      </c>
      <c r="L1328" s="61">
        <f>IFERROR(VLOOKUP("iPhone 16 Pro Max Замена задней крышки", 'РЕМОНТ_ЯБЛОК'!C:D, 2, 0), "Ошибка")</f>
        <v>8000</v>
      </c>
      <c r="M1328" s="105"/>
      <c r="N1328" s="33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idden="1">
      <c r="A1329" s="2"/>
      <c r="B1329" s="57" t="s">
        <v>346</v>
      </c>
      <c r="C1329" s="11"/>
      <c r="D1329" s="11">
        <v>180.0</v>
      </c>
      <c r="E1329" s="12" t="s">
        <v>56</v>
      </c>
      <c r="F1329" s="13">
        <f>'БД_УСЛУГИ_РО'!P1032</f>
        <v>12100</v>
      </c>
      <c r="G1329" s="29"/>
      <c r="H1329" s="101">
        <f>'БД_УСЛУГИ_РО'!P1032</f>
        <v>12100</v>
      </c>
      <c r="I1329" s="2"/>
      <c r="J1329" s="92"/>
      <c r="K1329" s="93">
        <v>12100.0</v>
      </c>
      <c r="L1329" s="65"/>
      <c r="M1329" s="94"/>
      <c r="N1329" s="33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idden="1">
      <c r="A1330" s="2"/>
      <c r="B1330" s="57" t="s">
        <v>346</v>
      </c>
      <c r="C1330" s="11"/>
      <c r="D1330" s="11">
        <v>180.0</v>
      </c>
      <c r="E1330" s="12" t="s">
        <v>57</v>
      </c>
      <c r="F1330" s="13">
        <f>'БД_УСЛУГИ_РО'!P1033</f>
        <v>9500</v>
      </c>
      <c r="G1330" s="29"/>
      <c r="H1330" s="101">
        <f>'БД_УСЛУГИ_РО'!P1033</f>
        <v>9500</v>
      </c>
      <c r="I1330" s="2"/>
      <c r="J1330" s="85">
        <f>F1330</f>
        <v>9500</v>
      </c>
      <c r="K1330" s="84">
        <v>9500.0</v>
      </c>
      <c r="L1330" s="61">
        <f>IFERROR(VLOOKUP("iPhone 16 Pro Max Замена средней части корпуса", 'РЕМОНТ_ЯБЛОК'!C:D, 2, 0), "Ошибка")</f>
        <v>14000</v>
      </c>
      <c r="M1330" s="96"/>
      <c r="N1330" s="29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idden="1">
      <c r="A1331" s="2"/>
      <c r="B1331" s="57" t="s">
        <v>346</v>
      </c>
      <c r="C1331" s="11"/>
      <c r="D1331" s="11">
        <v>90.0</v>
      </c>
      <c r="E1331" s="12" t="s">
        <v>59</v>
      </c>
      <c r="F1331" s="13">
        <f>'БД_УСЛУГИ_РО'!P1034</f>
        <v>8500</v>
      </c>
      <c r="G1331" s="29"/>
      <c r="H1331" s="5"/>
      <c r="I1331" s="2"/>
      <c r="J1331" s="83"/>
      <c r="K1331" s="84">
        <v>8500.0</v>
      </c>
      <c r="L1331" s="61"/>
      <c r="M1331" s="60"/>
      <c r="N1331" s="29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idden="1">
      <c r="A1332" s="2"/>
      <c r="B1332" s="57" t="s">
        <v>346</v>
      </c>
      <c r="C1332" s="11"/>
      <c r="D1332" s="11">
        <v>90.0</v>
      </c>
      <c r="E1332" s="12" t="s">
        <v>351</v>
      </c>
      <c r="F1332" s="13">
        <f>'БД_УСЛУГИ_РО'!P1035+'БД_ЗАПЧАСТИ'!P916</f>
        <v>7300</v>
      </c>
      <c r="G1332" s="29"/>
      <c r="H1332" s="101">
        <f>'БД_УСЛУГИ_РО'!P1035</f>
        <v>7300</v>
      </c>
      <c r="I1332" s="2"/>
      <c r="J1332" s="83"/>
      <c r="K1332" s="84">
        <v>7300.0</v>
      </c>
      <c r="L1332" s="61"/>
      <c r="M1332" s="60"/>
      <c r="N1332" s="29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idden="1">
      <c r="A1333" s="2"/>
      <c r="B1333" s="57" t="s">
        <v>346</v>
      </c>
      <c r="C1333" s="11"/>
      <c r="D1333" s="11">
        <v>90.0</v>
      </c>
      <c r="E1333" s="12" t="s">
        <v>352</v>
      </c>
      <c r="F1333" s="13">
        <f>'БД_УСЛУГИ_РО'!P1036+'БД_ЗАПЧАСТИ'!P876</f>
        <v>10900</v>
      </c>
      <c r="G1333" s="29"/>
      <c r="H1333" s="101">
        <f>'БД_УСЛУГИ_РО'!P1036</f>
        <v>7300</v>
      </c>
      <c r="I1333" s="2"/>
      <c r="J1333" s="83"/>
      <c r="K1333" s="84">
        <v>10900.0</v>
      </c>
      <c r="L1333" s="61"/>
      <c r="M1333" s="60"/>
      <c r="N1333" s="29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idden="1">
      <c r="A1334" s="2"/>
      <c r="B1334" s="57" t="s">
        <v>346</v>
      </c>
      <c r="C1334" s="11"/>
      <c r="D1334" s="11">
        <v>90.0</v>
      </c>
      <c r="E1334" s="32" t="s">
        <v>62</v>
      </c>
      <c r="F1334" s="13">
        <f>'БД_УСЛУГИ_РО'!P1037+'БД_ЗАПЧАСТИ'!P732</f>
        <v>13650</v>
      </c>
      <c r="G1334" s="29"/>
      <c r="H1334" s="101">
        <f>'БД_УСЛУГИ_РО'!P1037</f>
        <v>7900</v>
      </c>
      <c r="I1334" s="2"/>
      <c r="J1334" s="92"/>
      <c r="K1334" s="93">
        <v>13650.0</v>
      </c>
      <c r="L1334" s="65"/>
      <c r="M1334" s="94"/>
      <c r="N1334" s="33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idden="1">
      <c r="A1335" s="2"/>
      <c r="B1335" s="57" t="s">
        <v>346</v>
      </c>
      <c r="C1335" s="11"/>
      <c r="D1335" s="11">
        <v>90.0</v>
      </c>
      <c r="E1335" s="12" t="s">
        <v>63</v>
      </c>
      <c r="F1335" s="13">
        <f>'БД_УСЛУГИ_РО'!P1038</f>
        <v>7700</v>
      </c>
      <c r="G1335" s="29"/>
      <c r="H1335" s="5"/>
      <c r="I1335" s="2"/>
      <c r="J1335" s="92"/>
      <c r="K1335" s="93">
        <v>7700.0</v>
      </c>
      <c r="L1335" s="65"/>
      <c r="M1335" s="94"/>
      <c r="N1335" s="33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idden="1">
      <c r="A1336" s="2"/>
      <c r="B1336" s="57" t="s">
        <v>346</v>
      </c>
      <c r="C1336" s="11"/>
      <c r="D1336" s="11">
        <v>90.0</v>
      </c>
      <c r="E1336" s="12" t="s">
        <v>64</v>
      </c>
      <c r="F1336" s="13">
        <f>'БД_УСЛУГИ_РО'!P1040</f>
        <v>9000</v>
      </c>
      <c r="G1336" s="29"/>
      <c r="H1336" s="5"/>
      <c r="I1336" s="2"/>
      <c r="J1336" s="92"/>
      <c r="K1336" s="93">
        <v>9000.0</v>
      </c>
      <c r="L1336" s="65"/>
      <c r="M1336" s="94"/>
      <c r="N1336" s="33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idden="1">
      <c r="A1337" s="2"/>
      <c r="B1337" s="57" t="s">
        <v>346</v>
      </c>
      <c r="C1337" s="11"/>
      <c r="D1337" s="11">
        <v>90.0</v>
      </c>
      <c r="E1337" s="12" t="s">
        <v>65</v>
      </c>
      <c r="F1337" s="13">
        <f>'БД_УСЛУГИ_РО'!P1039+'БД_УСЛУГИ_РО'!P1041</f>
        <v>19700</v>
      </c>
      <c r="G1337" s="29"/>
      <c r="H1337" s="5"/>
      <c r="I1337" s="2"/>
      <c r="J1337" s="92"/>
      <c r="K1337" s="93">
        <v>19700.0</v>
      </c>
      <c r="L1337" s="65"/>
      <c r="M1337" s="94"/>
      <c r="N1337" s="33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idden="1">
      <c r="A1338" s="2"/>
      <c r="B1338" s="69" t="s">
        <v>346</v>
      </c>
      <c r="C1338" s="36"/>
      <c r="D1338" s="36">
        <v>90.0</v>
      </c>
      <c r="E1338" s="70" t="s">
        <v>66</v>
      </c>
      <c r="F1338" s="38">
        <f>'БД_УСЛУГИ_РО'!P1039+'БД_УСЛУГИ_РО'!P1042</f>
        <v>20200</v>
      </c>
      <c r="G1338" s="39"/>
      <c r="H1338" s="5"/>
      <c r="I1338" s="2"/>
      <c r="J1338" s="91"/>
      <c r="K1338" s="89">
        <v>20200.0</v>
      </c>
      <c r="L1338" s="73"/>
      <c r="M1338" s="74"/>
      <c r="N1338" s="39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idden="1">
      <c r="A1339" s="2"/>
      <c r="B1339" s="1"/>
      <c r="C1339" s="1"/>
      <c r="D1339" s="95"/>
      <c r="E1339" s="30"/>
      <c r="F1339" s="80"/>
      <c r="G1339" s="76"/>
      <c r="H1339" s="5"/>
      <c r="I1339" s="2"/>
      <c r="J1339" s="2"/>
      <c r="K1339" s="2" t="s">
        <v>22</v>
      </c>
      <c r="L1339" s="2"/>
      <c r="M1339" s="3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idden="1">
      <c r="A1340" s="2"/>
      <c r="B1340" s="41" t="s">
        <v>353</v>
      </c>
      <c r="C1340" s="42"/>
      <c r="D1340" s="42">
        <v>0.0</v>
      </c>
      <c r="E1340" s="51" t="s">
        <v>24</v>
      </c>
      <c r="F1340" s="44">
        <f>'БД_УСЛУГИ_РО'!P1043</f>
        <v>1</v>
      </c>
      <c r="G1340" s="78"/>
      <c r="H1340" s="5"/>
      <c r="I1340" s="2"/>
      <c r="J1340" s="81"/>
      <c r="K1340" s="82">
        <v>1.0</v>
      </c>
      <c r="L1340" s="55"/>
      <c r="M1340" s="56"/>
      <c r="N1340" s="5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idden="1">
      <c r="A1341" s="2"/>
      <c r="B1341" s="57" t="s">
        <v>353</v>
      </c>
      <c r="C1341" s="11"/>
      <c r="D1341" s="11">
        <v>0.0</v>
      </c>
      <c r="E1341" s="12" t="s">
        <v>26</v>
      </c>
      <c r="F1341" s="13">
        <f>'БД_УСЛУГИ_РО'!P1044+'БД_УСЛУГИ_РО'!P1045</f>
        <v>3800</v>
      </c>
      <c r="G1341" s="29"/>
      <c r="H1341" s="5"/>
      <c r="I1341" s="2"/>
      <c r="J1341" s="83"/>
      <c r="K1341" s="84">
        <v>3800.0</v>
      </c>
      <c r="L1341" s="61"/>
      <c r="M1341" s="60"/>
      <c r="N1341" s="29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idden="1">
      <c r="A1342" s="2"/>
      <c r="B1342" s="57" t="s">
        <v>353</v>
      </c>
      <c r="C1342" s="11"/>
      <c r="D1342" s="11">
        <v>0.0</v>
      </c>
      <c r="E1342" s="32" t="s">
        <v>27</v>
      </c>
      <c r="F1342" s="13">
        <f>'БД_УСЛУГИ_РО'!P1046</f>
        <v>700</v>
      </c>
      <c r="G1342" s="33" t="str">
        <f>MIN(F1342:F1343) &amp; " - " &amp; MAX(F1342:F1343)</f>
        <v>700 - 7800</v>
      </c>
      <c r="H1342" s="5"/>
      <c r="I1342" s="2"/>
      <c r="J1342" s="83"/>
      <c r="K1342" s="84">
        <v>700.0</v>
      </c>
      <c r="L1342" s="61"/>
      <c r="M1342" s="60"/>
      <c r="N1342" s="29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idden="1">
      <c r="A1343" s="2"/>
      <c r="B1343" s="57" t="s">
        <v>353</v>
      </c>
      <c r="C1343" s="11"/>
      <c r="D1343" s="11">
        <v>0.0</v>
      </c>
      <c r="E1343" s="32" t="s">
        <v>28</v>
      </c>
      <c r="F1343" s="13">
        <f>'БД_УСЛУГИ_РО'!P1047</f>
        <v>7800</v>
      </c>
      <c r="G1343" s="28"/>
      <c r="H1343" s="5"/>
      <c r="I1343" s="2"/>
      <c r="J1343" s="83"/>
      <c r="K1343" s="84">
        <v>7800.0</v>
      </c>
      <c r="L1343" s="61"/>
      <c r="M1343" s="60"/>
      <c r="N1343" s="29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idden="1">
      <c r="A1344" s="2"/>
      <c r="B1344" s="57" t="s">
        <v>353</v>
      </c>
      <c r="C1344" s="11"/>
      <c r="D1344" s="11">
        <v>180.0</v>
      </c>
      <c r="E1344" s="12" t="s">
        <v>202</v>
      </c>
      <c r="F1344" s="13">
        <f>'БД_УСЛУГИ_РО'!P1048</f>
        <v>9800</v>
      </c>
      <c r="G1344" s="33" t="str">
        <f>IFERROR(__xludf.DUMMYFUNCTION("MIN(FILTER(F1344:F1349, F1344:F1349 &lt;&gt; H1344:H1349)) &amp; "" - "" &amp; MAX(FILTER(F1344:F1349, F1344:F1349 &lt;&gt; H1344:H1349))"),"#N/A")</f>
        <v>#N/A</v>
      </c>
      <c r="H1344" s="101">
        <f>'БД_УСЛУГИ_РО'!P1048</f>
        <v>9800</v>
      </c>
      <c r="I1344" s="2"/>
      <c r="J1344" s="92" t="str">
        <f>IFERROR(__xludf.DUMMYFUNCTION("MIN(FILTER(F1344:F1349, F1344:F1349 &lt;&gt; H1344:H1349, F1344:F1349 &lt;&gt; """"))"),"#N/A")</f>
        <v>#N/A</v>
      </c>
      <c r="K1344" s="84">
        <v>9800.0</v>
      </c>
      <c r="L1344" s="31"/>
      <c r="M1344" s="60"/>
      <c r="N1344" s="29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idden="1">
      <c r="A1345" s="2"/>
      <c r="B1345" s="57" t="s">
        <v>353</v>
      </c>
      <c r="C1345" s="11"/>
      <c r="D1345" s="11">
        <v>180.0</v>
      </c>
      <c r="E1345" s="12" t="s">
        <v>203</v>
      </c>
      <c r="F1345" s="13">
        <f>'БД_УСЛУГИ_РО'!P1048</f>
        <v>9800</v>
      </c>
      <c r="G1345" s="19"/>
      <c r="H1345" s="101">
        <f>'БД_УСЛУГИ_РО'!P1048</f>
        <v>9800</v>
      </c>
      <c r="I1345" s="2"/>
      <c r="J1345" s="103"/>
      <c r="K1345" s="84">
        <v>9800.0</v>
      </c>
      <c r="L1345" s="104"/>
      <c r="M1345" s="60"/>
      <c r="N1345" s="29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idden="1">
      <c r="A1346" s="2"/>
      <c r="B1346" s="57" t="s">
        <v>353</v>
      </c>
      <c r="C1346" s="11"/>
      <c r="D1346" s="11">
        <v>180.0</v>
      </c>
      <c r="E1346" s="12" t="s">
        <v>32</v>
      </c>
      <c r="F1346" s="13">
        <f>'БД_УСЛУГИ_РО'!P1048</f>
        <v>9800</v>
      </c>
      <c r="G1346" s="19"/>
      <c r="H1346" s="101">
        <f>'БД_УСЛУГИ_РО'!P1048</f>
        <v>9800</v>
      </c>
      <c r="I1346" s="2"/>
      <c r="J1346" s="103"/>
      <c r="K1346" s="84">
        <v>9800.0</v>
      </c>
      <c r="L1346" s="104"/>
      <c r="M1346" s="60"/>
      <c r="N1346" s="29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idden="1">
      <c r="A1347" s="2"/>
      <c r="B1347" s="57" t="s">
        <v>353</v>
      </c>
      <c r="C1347" s="11"/>
      <c r="D1347" s="11">
        <v>180.0</v>
      </c>
      <c r="E1347" s="12" t="s">
        <v>33</v>
      </c>
      <c r="F1347" s="13">
        <f>'БД_УСЛУГИ_РО'!P1048</f>
        <v>9800</v>
      </c>
      <c r="G1347" s="19"/>
      <c r="H1347" s="101">
        <f>'БД_УСЛУГИ_РО'!P1048</f>
        <v>9800</v>
      </c>
      <c r="I1347" s="2"/>
      <c r="J1347" s="103"/>
      <c r="K1347" s="84">
        <v>9800.0</v>
      </c>
      <c r="L1347" s="104"/>
      <c r="M1347" s="60"/>
      <c r="N1347" s="29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idden="1">
      <c r="A1348" s="2"/>
      <c r="B1348" s="57" t="s">
        <v>353</v>
      </c>
      <c r="C1348" s="11"/>
      <c r="D1348" s="11">
        <v>180.0</v>
      </c>
      <c r="E1348" s="12" t="s">
        <v>34</v>
      </c>
      <c r="F1348" s="13">
        <f>'БД_УСЛУГИ_РО'!P1048</f>
        <v>9800</v>
      </c>
      <c r="G1348" s="19"/>
      <c r="H1348" s="101">
        <f>'БД_УСЛУГИ_РО'!P1048</f>
        <v>9800</v>
      </c>
      <c r="I1348" s="2"/>
      <c r="J1348" s="87"/>
      <c r="K1348" s="84">
        <v>9800.0</v>
      </c>
      <c r="L1348" s="67"/>
      <c r="M1348" s="60"/>
      <c r="N1348" s="29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idden="1">
      <c r="A1349" s="2"/>
      <c r="B1349" s="57" t="s">
        <v>353</v>
      </c>
      <c r="C1349" s="11"/>
      <c r="D1349" s="11">
        <v>180.0</v>
      </c>
      <c r="E1349" s="12" t="s">
        <v>35</v>
      </c>
      <c r="F1349" s="13"/>
      <c r="G1349" s="28"/>
      <c r="H1349" s="5"/>
      <c r="I1349" s="2"/>
      <c r="J1349" s="83"/>
      <c r="K1349" s="84" t="s">
        <v>22</v>
      </c>
      <c r="L1349" s="61"/>
      <c r="M1349" s="60"/>
      <c r="N1349" s="29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idden="1">
      <c r="A1350" s="2"/>
      <c r="B1350" s="57" t="s">
        <v>353</v>
      </c>
      <c r="C1350" s="11"/>
      <c r="D1350" s="11">
        <v>90.0</v>
      </c>
      <c r="E1350" s="12" t="s">
        <v>354</v>
      </c>
      <c r="F1350" s="13">
        <f>'БД_УСЛУГИ_РО'!P1050+'БД_ЗАПЧАСТИ'!P736</f>
        <v>15250</v>
      </c>
      <c r="G1350" s="29"/>
      <c r="H1350" s="101">
        <f>'БД_УСЛУГИ_РО'!P1050</f>
        <v>10300</v>
      </c>
      <c r="I1350" s="2"/>
      <c r="J1350" s="83"/>
      <c r="K1350" s="84">
        <v>15250.0</v>
      </c>
      <c r="L1350" s="61"/>
      <c r="M1350" s="60"/>
      <c r="N1350" s="29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idden="1">
      <c r="A1351" s="2"/>
      <c r="B1351" s="57" t="s">
        <v>353</v>
      </c>
      <c r="C1351" s="11"/>
      <c r="D1351" s="11">
        <v>90.0</v>
      </c>
      <c r="E1351" s="12" t="s">
        <v>205</v>
      </c>
      <c r="F1351" s="13">
        <f>'БД_УСЛУГИ_РО'!P1051+'БД_ЗАПЧАСТИ'!P300</f>
        <v>42900</v>
      </c>
      <c r="G1351" s="33" t="str">
        <f>IFERROR(__xludf.DUMMYFUNCTION("MIN(FILTER(F1351:F1357, F1351:F1357 &lt;&gt; H1351:H1357)) &amp; "" - "" &amp; MAX(FILTER(F1351:F1357, F1351:F1357 &lt;&gt; H1351:H1357))"),"38700 - 42900")</f>
        <v>38700 - 42900</v>
      </c>
      <c r="H1351" s="101">
        <f>'БД_УСЛУГИ_РО'!P1051</f>
        <v>8100</v>
      </c>
      <c r="I1351" s="2"/>
      <c r="J1351" s="86">
        <f>IFERROR(__xludf.DUMMYFUNCTION("MIN(FILTER(F1351:F1355, F1351:F1355 &lt;&gt; H1351:H1355, F1351:F1355 &lt;&gt; """"))"),38700.0)</f>
        <v>38700</v>
      </c>
      <c r="K1351" s="84">
        <v>42900.0</v>
      </c>
      <c r="L1351" s="65"/>
      <c r="M1351" s="60"/>
      <c r="N1351" s="29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idden="1">
      <c r="A1352" s="2"/>
      <c r="B1352" s="57" t="s">
        <v>353</v>
      </c>
      <c r="C1352" s="11"/>
      <c r="D1352" s="11">
        <v>90.0</v>
      </c>
      <c r="E1352" s="12" t="s">
        <v>39</v>
      </c>
      <c r="F1352" s="13">
        <f>'БД_УСЛУГИ_РО'!P1051+'БД_ЗАПЧАСТИ'!P301</f>
        <v>40500</v>
      </c>
      <c r="G1352" s="19"/>
      <c r="H1352" s="101">
        <f>'БД_УСЛУГИ_РО'!P1051</f>
        <v>8100</v>
      </c>
      <c r="I1352" s="2"/>
      <c r="J1352" s="103"/>
      <c r="K1352" s="84">
        <v>40500.0</v>
      </c>
      <c r="L1352" s="104"/>
      <c r="M1352" s="60"/>
      <c r="N1352" s="29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idden="1">
      <c r="A1353" s="2"/>
      <c r="B1353" s="57" t="s">
        <v>353</v>
      </c>
      <c r="C1353" s="11"/>
      <c r="D1353" s="11">
        <v>90.0</v>
      </c>
      <c r="E1353" s="12" t="s">
        <v>40</v>
      </c>
      <c r="F1353" s="13">
        <f>'БД_УСЛУГИ_РО'!P1051+'БД_ЗАПЧАСТИ'!P302</f>
        <v>38700</v>
      </c>
      <c r="G1353" s="19"/>
      <c r="H1353" s="101">
        <f>'БД_УСЛУГИ_РО'!P1051</f>
        <v>8100</v>
      </c>
      <c r="I1353" s="2"/>
      <c r="J1353" s="103"/>
      <c r="K1353" s="84">
        <v>38700.0</v>
      </c>
      <c r="L1353" s="104"/>
      <c r="M1353" s="60"/>
      <c r="N1353" s="29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idden="1">
      <c r="A1354" s="2"/>
      <c r="B1354" s="57" t="s">
        <v>353</v>
      </c>
      <c r="C1354" s="11"/>
      <c r="D1354" s="11">
        <v>90.0</v>
      </c>
      <c r="E1354" s="12" t="s">
        <v>42</v>
      </c>
      <c r="F1354" s="13">
        <f>'БД_УСЛУГИ_РО'!P1051+'БД_ЗАПЧАСТИ'!P303+'БД_ЗАПЧАСТИ'!P303</f>
        <v>8100</v>
      </c>
      <c r="G1354" s="19"/>
      <c r="H1354" s="101">
        <f>'БД_УСЛУГИ_РО'!P1051</f>
        <v>8100</v>
      </c>
      <c r="I1354" s="2"/>
      <c r="J1354" s="103"/>
      <c r="K1354" s="84">
        <v>8100.0</v>
      </c>
      <c r="L1354" s="104"/>
      <c r="M1354" s="60"/>
      <c r="N1354" s="29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idden="1">
      <c r="A1355" s="2"/>
      <c r="B1355" s="57" t="s">
        <v>353</v>
      </c>
      <c r="C1355" s="11"/>
      <c r="D1355" s="11">
        <v>90.0</v>
      </c>
      <c r="E1355" s="12" t="s">
        <v>43</v>
      </c>
      <c r="F1355" s="13">
        <f>'БД_УСЛУГИ_РО'!P1051+'БД_ЗАПЧАСТИ'!P304</f>
        <v>8100</v>
      </c>
      <c r="G1355" s="19"/>
      <c r="H1355" s="101">
        <f>'БД_УСЛУГИ_РО'!P1051</f>
        <v>8100</v>
      </c>
      <c r="I1355" s="2"/>
      <c r="J1355" s="87"/>
      <c r="K1355" s="84">
        <v>8100.0</v>
      </c>
      <c r="L1355" s="67"/>
      <c r="M1355" s="60"/>
      <c r="N1355" s="29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idden="1">
      <c r="A1356" s="2"/>
      <c r="B1356" s="57" t="s">
        <v>353</v>
      </c>
      <c r="C1356" s="11"/>
      <c r="D1356" s="11">
        <v>90.0</v>
      </c>
      <c r="E1356" s="12" t="s">
        <v>45</v>
      </c>
      <c r="F1356" s="13">
        <f>'БД_УСЛУГИ_РО'!P1051</f>
        <v>8100</v>
      </c>
      <c r="G1356" s="19"/>
      <c r="H1356" s="101">
        <f>'БД_УСЛУГИ_РО'!P1051</f>
        <v>8100</v>
      </c>
      <c r="I1356" s="2"/>
      <c r="J1356" s="92" t="str">
        <f>IFERROR(__xludf.DUMMYFUNCTION("MIN(FILTER(F1356:F1357, F1356:F1357 &lt;&gt; H1356:H1357, F1356:F1357 &lt;&gt; """"))"),"#N/A")</f>
        <v>#N/A</v>
      </c>
      <c r="K1356" s="84">
        <v>8100.0</v>
      </c>
      <c r="L1356" s="65"/>
      <c r="M1356" s="60"/>
      <c r="N1356" s="29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idden="1">
      <c r="A1357" s="2"/>
      <c r="B1357" s="57" t="s">
        <v>353</v>
      </c>
      <c r="C1357" s="11"/>
      <c r="D1357" s="11">
        <v>90.0</v>
      </c>
      <c r="E1357" s="12" t="s">
        <v>46</v>
      </c>
      <c r="F1357" s="13">
        <f>'БД_УСЛУГИ_РО'!P1051</f>
        <v>8100</v>
      </c>
      <c r="G1357" s="28"/>
      <c r="H1357" s="101">
        <f>'БД_УСЛУГИ_РО'!P1051</f>
        <v>8100</v>
      </c>
      <c r="I1357" s="2"/>
      <c r="J1357" s="87"/>
      <c r="K1357" s="84">
        <v>8100.0</v>
      </c>
      <c r="L1357" s="67"/>
      <c r="M1357" s="60"/>
      <c r="N1357" s="29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idden="1">
      <c r="A1358" s="2"/>
      <c r="B1358" s="57" t="s">
        <v>353</v>
      </c>
      <c r="C1358" s="11"/>
      <c r="D1358" s="11">
        <v>90.0</v>
      </c>
      <c r="E1358" s="12" t="s">
        <v>47</v>
      </c>
      <c r="F1358" s="13">
        <f>'БД_УСЛУГИ_РО'!P1052</f>
        <v>7700</v>
      </c>
      <c r="G1358" s="29"/>
      <c r="H1358" s="5"/>
      <c r="I1358" s="2"/>
      <c r="J1358" s="83"/>
      <c r="K1358" s="84">
        <v>7700.0</v>
      </c>
      <c r="L1358" s="61"/>
      <c r="M1358" s="60"/>
      <c r="N1358" s="29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idden="1">
      <c r="A1359" s="2"/>
      <c r="B1359" s="57" t="s">
        <v>353</v>
      </c>
      <c r="C1359" s="11"/>
      <c r="D1359" s="11">
        <v>90.0</v>
      </c>
      <c r="E1359" s="12" t="s">
        <v>355</v>
      </c>
      <c r="F1359" s="13">
        <f>'БД_УСЛУГИ_РО'!P1053</f>
        <v>1</v>
      </c>
      <c r="G1359" s="29"/>
      <c r="H1359" s="5"/>
      <c r="I1359" s="2"/>
      <c r="J1359" s="83"/>
      <c r="K1359" s="84">
        <v>1.0</v>
      </c>
      <c r="L1359" s="61"/>
      <c r="M1359" s="60"/>
      <c r="N1359" s="29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idden="1">
      <c r="A1360" s="2"/>
      <c r="B1360" s="57" t="s">
        <v>353</v>
      </c>
      <c r="C1360" s="11"/>
      <c r="D1360" s="11">
        <v>90.0</v>
      </c>
      <c r="E1360" s="12" t="s">
        <v>356</v>
      </c>
      <c r="F1360" s="13">
        <f>'БД_УСЛУГИ_РО'!P1054+'БД_ЗАПЧАСТИ'!P788</f>
        <v>16200</v>
      </c>
      <c r="G1360" s="29"/>
      <c r="H1360" s="101">
        <f>'БД_УСЛУГИ_РО'!P1054</f>
        <v>8100</v>
      </c>
      <c r="I1360" s="2"/>
      <c r="J1360" s="83"/>
      <c r="K1360" s="84">
        <v>16200.0</v>
      </c>
      <c r="L1360" s="61"/>
      <c r="M1360" s="60"/>
      <c r="N1360" s="29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idden="1">
      <c r="A1361" s="2"/>
      <c r="B1361" s="57" t="s">
        <v>353</v>
      </c>
      <c r="C1361" s="11"/>
      <c r="D1361" s="11">
        <v>90.0</v>
      </c>
      <c r="E1361" s="12" t="s">
        <v>357</v>
      </c>
      <c r="F1361" s="13">
        <f>'БД_УСЛУГИ_РО'!P1055+'БД_ЗАПЧАСТИ'!P832</f>
        <v>16000</v>
      </c>
      <c r="G1361" s="29"/>
      <c r="H1361" s="101">
        <f>'БД_УСЛУГИ_РО'!P1055</f>
        <v>8700</v>
      </c>
      <c r="I1361" s="2"/>
      <c r="J1361" s="83"/>
      <c r="K1361" s="84">
        <v>16000.0</v>
      </c>
      <c r="L1361" s="61"/>
      <c r="M1361" s="60"/>
      <c r="N1361" s="29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idden="1">
      <c r="A1362" s="2"/>
      <c r="B1362" s="57" t="s">
        <v>353</v>
      </c>
      <c r="C1362" s="11"/>
      <c r="D1362" s="11">
        <v>180.0</v>
      </c>
      <c r="E1362" s="12" t="s">
        <v>52</v>
      </c>
      <c r="F1362" s="13">
        <f>'БД_УСЛУГИ_РО'!P1056+'БД_ЗАПЧАСТИ'!P577</f>
        <v>7700</v>
      </c>
      <c r="G1362" s="29"/>
      <c r="H1362" s="101">
        <f>'БД_УСЛУГИ_РО'!P1056</f>
        <v>5700</v>
      </c>
      <c r="I1362" s="2"/>
      <c r="J1362" s="83"/>
      <c r="K1362" s="84">
        <v>7700.0</v>
      </c>
      <c r="L1362" s="61"/>
      <c r="M1362" s="60"/>
      <c r="N1362" s="29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idden="1">
      <c r="A1363" s="2"/>
      <c r="B1363" s="57" t="s">
        <v>353</v>
      </c>
      <c r="C1363" s="11"/>
      <c r="D1363" s="11">
        <v>90.0</v>
      </c>
      <c r="E1363" s="12" t="s">
        <v>53</v>
      </c>
      <c r="F1363" s="13">
        <f>'БД_УСЛУГИ_РО'!P1057</f>
        <v>10800</v>
      </c>
      <c r="G1363" s="29"/>
      <c r="H1363" s="5"/>
      <c r="I1363" s="2"/>
      <c r="J1363" s="92"/>
      <c r="K1363" s="93">
        <v>10800.0</v>
      </c>
      <c r="L1363" s="65"/>
      <c r="M1363" s="94"/>
      <c r="N1363" s="33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idden="1">
      <c r="A1364" s="2"/>
      <c r="B1364" s="57" t="s">
        <v>353</v>
      </c>
      <c r="C1364" s="11"/>
      <c r="D1364" s="11">
        <v>180.0</v>
      </c>
      <c r="E1364" s="12" t="s">
        <v>54</v>
      </c>
      <c r="F1364" s="13">
        <f>'БД_УСЛУГИ_РО'!P1058+'БД_ЗАПЧАСТИ'!P512</f>
        <v>16000</v>
      </c>
      <c r="G1364" s="33" t="str">
        <f>MIN(F1364:F1365) &amp; " - " &amp; MAX(F1364:F1365)</f>
        <v>10000 - 16000</v>
      </c>
      <c r="H1364" s="101">
        <f>'БД_УСЛУГИ_РО'!P1058</f>
        <v>7000</v>
      </c>
      <c r="I1364" s="2"/>
      <c r="J1364" s="92"/>
      <c r="K1364" s="93">
        <v>16000.0</v>
      </c>
      <c r="L1364" s="65"/>
      <c r="M1364" s="94"/>
      <c r="N1364" s="33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idden="1">
      <c r="A1365" s="2"/>
      <c r="B1365" s="57" t="s">
        <v>353</v>
      </c>
      <c r="C1365" s="11"/>
      <c r="D1365" s="11">
        <v>180.0</v>
      </c>
      <c r="E1365" s="12" t="s">
        <v>55</v>
      </c>
      <c r="F1365" s="13">
        <f>'БД_УСЛУГИ_РО'!P1058+'БД_ЗАПЧАСТИ'!P517</f>
        <v>10000</v>
      </c>
      <c r="G1365" s="28"/>
      <c r="H1365" s="101">
        <f>'БД_УСЛУГИ_РО'!P1058</f>
        <v>7000</v>
      </c>
      <c r="I1365" s="2"/>
      <c r="J1365" s="92"/>
      <c r="K1365" s="93">
        <v>10000.0</v>
      </c>
      <c r="L1365" s="65"/>
      <c r="M1365" s="94"/>
      <c r="N1365" s="33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idden="1">
      <c r="A1366" s="2"/>
      <c r="B1366" s="57" t="s">
        <v>353</v>
      </c>
      <c r="C1366" s="11"/>
      <c r="D1366" s="11">
        <v>180.0</v>
      </c>
      <c r="E1366" s="12" t="s">
        <v>56</v>
      </c>
      <c r="F1366" s="13">
        <f>'БД_УСЛУГИ_РО'!P1059</f>
        <v>13100</v>
      </c>
      <c r="G1366" s="29"/>
      <c r="H1366" s="101">
        <f>'БД_УСЛУГИ_РО'!P1059</f>
        <v>13100</v>
      </c>
      <c r="I1366" s="2"/>
      <c r="J1366" s="92"/>
      <c r="K1366" s="93">
        <v>13100.0</v>
      </c>
      <c r="L1366" s="65"/>
      <c r="M1366" s="94"/>
      <c r="N1366" s="33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idden="1">
      <c r="A1367" s="2"/>
      <c r="B1367" s="57" t="s">
        <v>353</v>
      </c>
      <c r="C1367" s="11"/>
      <c r="D1367" s="11">
        <v>180.0</v>
      </c>
      <c r="E1367" s="12" t="s">
        <v>57</v>
      </c>
      <c r="F1367" s="13">
        <f>'БД_УСЛУГИ_РО'!P1060</f>
        <v>9600</v>
      </c>
      <c r="G1367" s="29"/>
      <c r="H1367" s="101">
        <f>'БД_УСЛУГИ_РО'!P1060</f>
        <v>9600</v>
      </c>
      <c r="I1367" s="2"/>
      <c r="J1367" s="83"/>
      <c r="K1367" s="84">
        <v>9600.0</v>
      </c>
      <c r="L1367" s="61"/>
      <c r="M1367" s="60"/>
      <c r="N1367" s="29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idden="1">
      <c r="A1368" s="2"/>
      <c r="B1368" s="57" t="s">
        <v>353</v>
      </c>
      <c r="C1368" s="11"/>
      <c r="D1368" s="11">
        <v>90.0</v>
      </c>
      <c r="E1368" s="12" t="s">
        <v>59</v>
      </c>
      <c r="F1368" s="13">
        <f>'БД_УСЛУГИ_РО'!P1061</f>
        <v>9800</v>
      </c>
      <c r="G1368" s="29"/>
      <c r="H1368" s="5"/>
      <c r="I1368" s="2"/>
      <c r="J1368" s="83"/>
      <c r="K1368" s="84">
        <v>9800.0</v>
      </c>
      <c r="L1368" s="61"/>
      <c r="M1368" s="60"/>
      <c r="N1368" s="29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idden="1">
      <c r="A1369" s="2"/>
      <c r="B1369" s="57" t="s">
        <v>353</v>
      </c>
      <c r="C1369" s="11"/>
      <c r="D1369" s="11">
        <v>90.0</v>
      </c>
      <c r="E1369" s="12" t="s">
        <v>358</v>
      </c>
      <c r="F1369" s="13">
        <f>'БД_УСЛУГИ_РО'!P1062+'БД_ЗАПЧАСТИ'!P917</f>
        <v>8000</v>
      </c>
      <c r="G1369" s="29"/>
      <c r="H1369" s="101">
        <f>'БД_УСЛУГИ_РО'!P1062</f>
        <v>8000</v>
      </c>
      <c r="I1369" s="2"/>
      <c r="J1369" s="83"/>
      <c r="K1369" s="84">
        <v>8000.0</v>
      </c>
      <c r="L1369" s="61"/>
      <c r="M1369" s="60"/>
      <c r="N1369" s="29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idden="1">
      <c r="A1370" s="2"/>
      <c r="B1370" s="57" t="s">
        <v>353</v>
      </c>
      <c r="C1370" s="11"/>
      <c r="D1370" s="11">
        <v>90.0</v>
      </c>
      <c r="E1370" s="12" t="s">
        <v>359</v>
      </c>
      <c r="F1370" s="13">
        <f>'БД_УСЛУГИ_РО'!P1063+'БД_ЗАПЧАСТИ'!P877</f>
        <v>8000</v>
      </c>
      <c r="G1370" s="29"/>
      <c r="H1370" s="101">
        <f>'БД_УСЛУГИ_РО'!P1063</f>
        <v>8000</v>
      </c>
      <c r="I1370" s="2"/>
      <c r="J1370" s="83"/>
      <c r="K1370" s="84">
        <v>8000.0</v>
      </c>
      <c r="L1370" s="61"/>
      <c r="M1370" s="60"/>
      <c r="N1370" s="29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idden="1">
      <c r="A1371" s="2"/>
      <c r="B1371" s="57" t="s">
        <v>353</v>
      </c>
      <c r="C1371" s="11"/>
      <c r="D1371" s="11">
        <v>90.0</v>
      </c>
      <c r="E1371" s="32" t="s">
        <v>62</v>
      </c>
      <c r="F1371" s="13">
        <f>'БД_УСЛУГИ_РО'!P1064+'БД_ЗАПЧАСТИ'!P736</f>
        <v>13550</v>
      </c>
      <c r="G1371" s="29"/>
      <c r="H1371" s="101">
        <f>'БД_УСЛУГИ_РО'!P1064</f>
        <v>8600</v>
      </c>
      <c r="I1371" s="2"/>
      <c r="J1371" s="92"/>
      <c r="K1371" s="93">
        <v>13550.0</v>
      </c>
      <c r="L1371" s="65"/>
      <c r="M1371" s="94"/>
      <c r="N1371" s="33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idden="1">
      <c r="A1372" s="2"/>
      <c r="B1372" s="57" t="s">
        <v>353</v>
      </c>
      <c r="C1372" s="11"/>
      <c r="D1372" s="11">
        <v>90.0</v>
      </c>
      <c r="E1372" s="12" t="s">
        <v>63</v>
      </c>
      <c r="F1372" s="13">
        <f>'БД_УСЛУГИ_РО'!P1065</f>
        <v>8800</v>
      </c>
      <c r="G1372" s="29"/>
      <c r="H1372" s="5"/>
      <c r="I1372" s="2"/>
      <c r="J1372" s="92"/>
      <c r="K1372" s="93">
        <v>8800.0</v>
      </c>
      <c r="L1372" s="65"/>
      <c r="M1372" s="94"/>
      <c r="N1372" s="33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idden="1">
      <c r="A1373" s="2"/>
      <c r="B1373" s="57" t="s">
        <v>353</v>
      </c>
      <c r="C1373" s="11"/>
      <c r="D1373" s="11">
        <v>90.0</v>
      </c>
      <c r="E1373" s="12" t="s">
        <v>64</v>
      </c>
      <c r="F1373" s="13">
        <f>'БД_УСЛУГИ_РО'!P1067</f>
        <v>10300</v>
      </c>
      <c r="G1373" s="29"/>
      <c r="H1373" s="5"/>
      <c r="I1373" s="2"/>
      <c r="J1373" s="92"/>
      <c r="K1373" s="93">
        <v>10300.0</v>
      </c>
      <c r="L1373" s="65"/>
      <c r="M1373" s="94"/>
      <c r="N1373" s="33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idden="1">
      <c r="A1374" s="2"/>
      <c r="B1374" s="57" t="s">
        <v>353</v>
      </c>
      <c r="C1374" s="11"/>
      <c r="D1374" s="11">
        <v>90.0</v>
      </c>
      <c r="E1374" s="12" t="s">
        <v>65</v>
      </c>
      <c r="F1374" s="13">
        <f>'БД_УСЛУГИ_РО'!P1066+'БД_УСЛУГИ_РО'!P1068</f>
        <v>21600</v>
      </c>
      <c r="G1374" s="29"/>
      <c r="H1374" s="5"/>
      <c r="I1374" s="2"/>
      <c r="J1374" s="92"/>
      <c r="K1374" s="93">
        <v>21600.0</v>
      </c>
      <c r="L1374" s="65"/>
      <c r="M1374" s="94"/>
      <c r="N1374" s="33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idden="1">
      <c r="A1375" s="2"/>
      <c r="B1375" s="69" t="s">
        <v>353</v>
      </c>
      <c r="C1375" s="36"/>
      <c r="D1375" s="36">
        <v>90.0</v>
      </c>
      <c r="E1375" s="70" t="s">
        <v>66</v>
      </c>
      <c r="F1375" s="38">
        <f>'БД_УСЛУГИ_РО'!P1066+'БД_УСЛУГИ_РО'!P1069</f>
        <v>22100</v>
      </c>
      <c r="G1375" s="39"/>
      <c r="H1375" s="5"/>
      <c r="I1375" s="2"/>
      <c r="J1375" s="91"/>
      <c r="K1375" s="89">
        <v>22100.0</v>
      </c>
      <c r="L1375" s="73"/>
      <c r="M1375" s="74"/>
      <c r="N1375" s="39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idden="1">
      <c r="A1376" s="2"/>
      <c r="B1376" s="1"/>
      <c r="C1376" s="1"/>
      <c r="D1376" s="95"/>
      <c r="E1376" s="30"/>
      <c r="F1376" s="80"/>
      <c r="G1376" s="76"/>
      <c r="H1376" s="5"/>
      <c r="I1376" s="2"/>
      <c r="J1376" s="2"/>
      <c r="K1376" s="2" t="s">
        <v>22</v>
      </c>
      <c r="L1376" s="2"/>
      <c r="M1376" s="3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idden="1">
      <c r="A1377" s="2"/>
      <c r="B1377" s="41" t="s">
        <v>360</v>
      </c>
      <c r="C1377" s="42"/>
      <c r="D1377" s="42">
        <v>0.0</v>
      </c>
      <c r="E1377" s="51" t="s">
        <v>24</v>
      </c>
      <c r="F1377" s="44">
        <f>'БД_УСЛУГИ_РО'!P1070</f>
        <v>1</v>
      </c>
      <c r="G1377" s="78"/>
      <c r="H1377" s="5"/>
      <c r="I1377" s="2"/>
      <c r="J1377" s="81"/>
      <c r="K1377" s="82">
        <v>1.0</v>
      </c>
      <c r="L1377" s="55"/>
      <c r="M1377" s="56"/>
      <c r="N1377" s="5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idden="1">
      <c r="A1378" s="2"/>
      <c r="B1378" s="57" t="s">
        <v>360</v>
      </c>
      <c r="C1378" s="11"/>
      <c r="D1378" s="11">
        <v>0.0</v>
      </c>
      <c r="E1378" s="12" t="s">
        <v>26</v>
      </c>
      <c r="F1378" s="13">
        <f>'БД_УСЛУГИ_РО'!P1071+'БД_УСЛУГИ_РО'!P1072</f>
        <v>3800</v>
      </c>
      <c r="G1378" s="29"/>
      <c r="H1378" s="5"/>
      <c r="I1378" s="2"/>
      <c r="J1378" s="83"/>
      <c r="K1378" s="84">
        <v>3800.0</v>
      </c>
      <c r="L1378" s="61"/>
      <c r="M1378" s="60"/>
      <c r="N1378" s="29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idden="1">
      <c r="A1379" s="2"/>
      <c r="B1379" s="57" t="s">
        <v>360</v>
      </c>
      <c r="C1379" s="11"/>
      <c r="D1379" s="11">
        <v>0.0</v>
      </c>
      <c r="E1379" s="32" t="s">
        <v>27</v>
      </c>
      <c r="F1379" s="13">
        <f>'БД_УСЛУГИ_РО'!P1073</f>
        <v>700</v>
      </c>
      <c r="G1379" s="33" t="str">
        <f>MIN(F1379:F1380) &amp; " - " &amp; MAX(F1379:F1380)</f>
        <v>700 - 7800</v>
      </c>
      <c r="H1379" s="5"/>
      <c r="I1379" s="2"/>
      <c r="J1379" s="83"/>
      <c r="K1379" s="84">
        <v>700.0</v>
      </c>
      <c r="L1379" s="61"/>
      <c r="M1379" s="60"/>
      <c r="N1379" s="29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idden="1">
      <c r="A1380" s="2"/>
      <c r="B1380" s="57" t="s">
        <v>360</v>
      </c>
      <c r="C1380" s="11"/>
      <c r="D1380" s="11">
        <v>0.0</v>
      </c>
      <c r="E1380" s="32" t="s">
        <v>28</v>
      </c>
      <c r="F1380" s="13">
        <f>'БД_УСЛУГИ_РО'!P1074</f>
        <v>7800</v>
      </c>
      <c r="G1380" s="28"/>
      <c r="H1380" s="5"/>
      <c r="I1380" s="2"/>
      <c r="J1380" s="83"/>
      <c r="K1380" s="84">
        <v>7800.0</v>
      </c>
      <c r="L1380" s="61"/>
      <c r="M1380" s="60"/>
      <c r="N1380" s="29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idden="1">
      <c r="A1381" s="2"/>
      <c r="B1381" s="57" t="s">
        <v>360</v>
      </c>
      <c r="C1381" s="11"/>
      <c r="D1381" s="11">
        <v>180.0</v>
      </c>
      <c r="E1381" s="12" t="s">
        <v>202</v>
      </c>
      <c r="F1381" s="13">
        <f>'БД_УСЛУГИ_РО'!P1075</f>
        <v>9800</v>
      </c>
      <c r="G1381" s="33" t="str">
        <f>IFERROR(__xludf.DUMMYFUNCTION("MIN(FILTER(F1381:F1386, F1381:F1386 &lt;&gt; H1381:H1386)) &amp; "" - "" &amp; MAX(FILTER(F1381:F1386, F1381:F1386 &lt;&gt; H1381:H1386))"),"#N/A")</f>
        <v>#N/A</v>
      </c>
      <c r="H1381" s="101">
        <f>'БД_УСЛУГИ_РО'!P1075</f>
        <v>9800</v>
      </c>
      <c r="I1381" s="2"/>
      <c r="J1381" s="92" t="str">
        <f>IFERROR(__xludf.DUMMYFUNCTION("MIN(FILTER(F1381:F1386, F1381:F1386 &lt;&gt; H1381:H1386, F1381:F1386 &lt;&gt; """"))"),"#N/A")</f>
        <v>#N/A</v>
      </c>
      <c r="K1381" s="84">
        <v>9800.0</v>
      </c>
      <c r="L1381" s="31"/>
      <c r="M1381" s="60"/>
      <c r="N1381" s="29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idden="1">
      <c r="A1382" s="2"/>
      <c r="B1382" s="57" t="s">
        <v>360</v>
      </c>
      <c r="C1382" s="11"/>
      <c r="D1382" s="11">
        <v>180.0</v>
      </c>
      <c r="E1382" s="12" t="s">
        <v>203</v>
      </c>
      <c r="F1382" s="13">
        <f>'БД_УСЛУГИ_РО'!P1075</f>
        <v>9800</v>
      </c>
      <c r="G1382" s="19"/>
      <c r="H1382" s="101">
        <f>'БД_УСЛУГИ_РО'!P1075</f>
        <v>9800</v>
      </c>
      <c r="I1382" s="2"/>
      <c r="J1382" s="103"/>
      <c r="K1382" s="84">
        <v>9800.0</v>
      </c>
      <c r="L1382" s="104"/>
      <c r="M1382" s="60"/>
      <c r="N1382" s="29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idden="1">
      <c r="A1383" s="2"/>
      <c r="B1383" s="57" t="s">
        <v>360</v>
      </c>
      <c r="C1383" s="11"/>
      <c r="D1383" s="11">
        <v>180.0</v>
      </c>
      <c r="E1383" s="12" t="s">
        <v>32</v>
      </c>
      <c r="F1383" s="13">
        <f>'БД_УСЛУГИ_РО'!P1075</f>
        <v>9800</v>
      </c>
      <c r="G1383" s="19"/>
      <c r="H1383" s="101">
        <f>'БД_УСЛУГИ_РО'!P1075</f>
        <v>9800</v>
      </c>
      <c r="I1383" s="2"/>
      <c r="J1383" s="103"/>
      <c r="K1383" s="84">
        <v>9800.0</v>
      </c>
      <c r="L1383" s="104"/>
      <c r="M1383" s="60"/>
      <c r="N1383" s="29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idden="1">
      <c r="A1384" s="2"/>
      <c r="B1384" s="57" t="s">
        <v>360</v>
      </c>
      <c r="C1384" s="11"/>
      <c r="D1384" s="11">
        <v>180.0</v>
      </c>
      <c r="E1384" s="12" t="s">
        <v>33</v>
      </c>
      <c r="F1384" s="13">
        <f>'БД_УСЛУГИ_РО'!P1075</f>
        <v>9800</v>
      </c>
      <c r="G1384" s="19"/>
      <c r="H1384" s="101">
        <f>'БД_УСЛУГИ_РО'!P1075</f>
        <v>9800</v>
      </c>
      <c r="I1384" s="2"/>
      <c r="J1384" s="103"/>
      <c r="K1384" s="84">
        <v>9800.0</v>
      </c>
      <c r="L1384" s="104"/>
      <c r="M1384" s="60"/>
      <c r="N1384" s="29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idden="1">
      <c r="A1385" s="2"/>
      <c r="B1385" s="57" t="s">
        <v>360</v>
      </c>
      <c r="C1385" s="11"/>
      <c r="D1385" s="11">
        <v>180.0</v>
      </c>
      <c r="E1385" s="12" t="s">
        <v>34</v>
      </c>
      <c r="F1385" s="13">
        <f>'БД_УСЛУГИ_РО'!P1075</f>
        <v>9800</v>
      </c>
      <c r="G1385" s="19"/>
      <c r="H1385" s="101">
        <f>'БД_УСЛУГИ_РО'!P1075</f>
        <v>9800</v>
      </c>
      <c r="I1385" s="2"/>
      <c r="J1385" s="87"/>
      <c r="K1385" s="84">
        <v>9800.0</v>
      </c>
      <c r="L1385" s="67"/>
      <c r="M1385" s="60"/>
      <c r="N1385" s="29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idden="1">
      <c r="A1386" s="2"/>
      <c r="B1386" s="57" t="s">
        <v>360</v>
      </c>
      <c r="C1386" s="11"/>
      <c r="D1386" s="11">
        <v>180.0</v>
      </c>
      <c r="E1386" s="12" t="s">
        <v>35</v>
      </c>
      <c r="F1386" s="13"/>
      <c r="G1386" s="28"/>
      <c r="H1386" s="5"/>
      <c r="I1386" s="2"/>
      <c r="J1386" s="83"/>
      <c r="K1386" s="84" t="s">
        <v>22</v>
      </c>
      <c r="L1386" s="61"/>
      <c r="M1386" s="60"/>
      <c r="N1386" s="29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idden="1">
      <c r="A1387" s="2"/>
      <c r="B1387" s="57" t="s">
        <v>360</v>
      </c>
      <c r="C1387" s="11"/>
      <c r="D1387" s="11">
        <v>90.0</v>
      </c>
      <c r="E1387" s="12" t="s">
        <v>361</v>
      </c>
      <c r="F1387" s="13">
        <f>'БД_УСЛУГИ_РО'!P1077+'БД_ЗАПЧАСТИ'!P741</f>
        <v>16800</v>
      </c>
      <c r="G1387" s="29"/>
      <c r="H1387" s="101">
        <f>'БД_УСЛУГИ_РО'!P1077</f>
        <v>10300</v>
      </c>
      <c r="I1387" s="2"/>
      <c r="J1387" s="83"/>
      <c r="K1387" s="84">
        <v>16800.0</v>
      </c>
      <c r="L1387" s="61"/>
      <c r="M1387" s="60"/>
      <c r="N1387" s="29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idden="1">
      <c r="A1388" s="2"/>
      <c r="B1388" s="57" t="s">
        <v>360</v>
      </c>
      <c r="C1388" s="11"/>
      <c r="D1388" s="11">
        <v>90.0</v>
      </c>
      <c r="E1388" s="12" t="s">
        <v>205</v>
      </c>
      <c r="F1388" s="13">
        <f>'БД_УСЛУГИ_РО'!P1078+'БД_ЗАПЧАСТИ'!P305</f>
        <v>41700</v>
      </c>
      <c r="G1388" s="33" t="str">
        <f>IFERROR(__xludf.DUMMYFUNCTION("MIN(FILTER(F1388:F1394, F1388:F1394 &lt;&gt; H1388:H1394)) &amp; "" - "" &amp; MAX(FILTER(F1388:F1394, F1388:F1394 &lt;&gt; H1388:H1394))"),"39200 - 41700")</f>
        <v>39200 - 41700</v>
      </c>
      <c r="H1388" s="101">
        <f>'БД_УСЛУГИ_РО'!P1078</f>
        <v>8100</v>
      </c>
      <c r="I1388" s="2"/>
      <c r="J1388" s="86">
        <f>IFERROR(__xludf.DUMMYFUNCTION("MIN(FILTER(F1388:F1392, F1388:F1392 &lt;&gt; H1388:H1392, F1388:F1392 &lt;&gt; """"))"),39200.0)</f>
        <v>39200</v>
      </c>
      <c r="K1388" s="84">
        <v>41700.0</v>
      </c>
      <c r="L1388" s="65"/>
      <c r="M1388" s="60"/>
      <c r="N1388" s="29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idden="1">
      <c r="A1389" s="2"/>
      <c r="B1389" s="57" t="s">
        <v>360</v>
      </c>
      <c r="C1389" s="11"/>
      <c r="D1389" s="11">
        <v>90.0</v>
      </c>
      <c r="E1389" s="12" t="s">
        <v>39</v>
      </c>
      <c r="F1389" s="13">
        <f>'БД_УСЛУГИ_РО'!P1078+'БД_ЗАПЧАСТИ'!P306</f>
        <v>41600</v>
      </c>
      <c r="G1389" s="19"/>
      <c r="H1389" s="101">
        <f>'БД_УСЛУГИ_РО'!P1078</f>
        <v>8100</v>
      </c>
      <c r="I1389" s="2"/>
      <c r="J1389" s="103"/>
      <c r="K1389" s="84">
        <v>41600.0</v>
      </c>
      <c r="L1389" s="104"/>
      <c r="M1389" s="60"/>
      <c r="N1389" s="29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idden="1">
      <c r="A1390" s="2"/>
      <c r="B1390" s="57" t="s">
        <v>360</v>
      </c>
      <c r="C1390" s="11"/>
      <c r="D1390" s="11">
        <v>90.0</v>
      </c>
      <c r="E1390" s="12" t="s">
        <v>40</v>
      </c>
      <c r="F1390" s="13">
        <f>'БД_УСЛУГИ_РО'!P1078+'БД_ЗАПЧАСТИ'!P307</f>
        <v>39200</v>
      </c>
      <c r="G1390" s="19"/>
      <c r="H1390" s="101">
        <f>'БД_УСЛУГИ_РО'!P1078</f>
        <v>8100</v>
      </c>
      <c r="I1390" s="2"/>
      <c r="J1390" s="103"/>
      <c r="K1390" s="84">
        <v>39200.0</v>
      </c>
      <c r="L1390" s="104"/>
      <c r="M1390" s="60"/>
      <c r="N1390" s="29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idden="1">
      <c r="A1391" s="2"/>
      <c r="B1391" s="57" t="s">
        <v>360</v>
      </c>
      <c r="C1391" s="11"/>
      <c r="D1391" s="11">
        <v>90.0</v>
      </c>
      <c r="E1391" s="12" t="s">
        <v>42</v>
      </c>
      <c r="F1391" s="13">
        <f>'БД_УСЛУГИ_РО'!P1078+'БД_ЗАПЧАСТИ'!P308</f>
        <v>8100</v>
      </c>
      <c r="G1391" s="19"/>
      <c r="H1391" s="101">
        <f>'БД_УСЛУГИ_РО'!P1078</f>
        <v>8100</v>
      </c>
      <c r="I1391" s="2"/>
      <c r="J1391" s="103"/>
      <c r="K1391" s="84">
        <v>8100.0</v>
      </c>
      <c r="L1391" s="104"/>
      <c r="M1391" s="60"/>
      <c r="N1391" s="29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idden="1">
      <c r="A1392" s="2"/>
      <c r="B1392" s="57" t="s">
        <v>360</v>
      </c>
      <c r="C1392" s="11"/>
      <c r="D1392" s="11">
        <v>90.0</v>
      </c>
      <c r="E1392" s="12" t="s">
        <v>43</v>
      </c>
      <c r="F1392" s="13">
        <f>'БД_УСЛУГИ_РО'!P1078+'БД_ЗАПЧАСТИ'!P309</f>
        <v>8100</v>
      </c>
      <c r="G1392" s="19"/>
      <c r="H1392" s="101">
        <f>'БД_УСЛУГИ_РО'!P1078</f>
        <v>8100</v>
      </c>
      <c r="I1392" s="2"/>
      <c r="J1392" s="87"/>
      <c r="K1392" s="84">
        <v>8100.0</v>
      </c>
      <c r="L1392" s="67"/>
      <c r="M1392" s="60"/>
      <c r="N1392" s="29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idden="1">
      <c r="A1393" s="2"/>
      <c r="B1393" s="57" t="s">
        <v>360</v>
      </c>
      <c r="C1393" s="11"/>
      <c r="D1393" s="11">
        <v>90.0</v>
      </c>
      <c r="E1393" s="12" t="s">
        <v>45</v>
      </c>
      <c r="F1393" s="13">
        <f>'БД_УСЛУГИ_РО'!P1078</f>
        <v>8100</v>
      </c>
      <c r="G1393" s="19"/>
      <c r="H1393" s="101">
        <f>'БД_УСЛУГИ_РО'!P1078</f>
        <v>8100</v>
      </c>
      <c r="I1393" s="2"/>
      <c r="J1393" s="92" t="str">
        <f>IFERROR(__xludf.DUMMYFUNCTION("MIN(FILTER(F1393:F1394, F1393:F1394 &lt;&gt; H1393:H1394, F1393:F1394 &lt;&gt; """"))"),"#N/A")</f>
        <v>#N/A</v>
      </c>
      <c r="K1393" s="84">
        <v>8100.0</v>
      </c>
      <c r="L1393" s="65"/>
      <c r="M1393" s="60"/>
      <c r="N1393" s="29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idden="1">
      <c r="A1394" s="2"/>
      <c r="B1394" s="57" t="s">
        <v>360</v>
      </c>
      <c r="C1394" s="11"/>
      <c r="D1394" s="11">
        <v>90.0</v>
      </c>
      <c r="E1394" s="12" t="s">
        <v>46</v>
      </c>
      <c r="F1394" s="13">
        <f>'БД_УСЛУГИ_РО'!P1078</f>
        <v>8100</v>
      </c>
      <c r="G1394" s="28"/>
      <c r="H1394" s="101">
        <f>'БД_УСЛУГИ_РО'!P1078</f>
        <v>8100</v>
      </c>
      <c r="I1394" s="2"/>
      <c r="J1394" s="87"/>
      <c r="K1394" s="84">
        <v>8100.0</v>
      </c>
      <c r="L1394" s="67"/>
      <c r="M1394" s="60"/>
      <c r="N1394" s="29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idden="1">
      <c r="A1395" s="2"/>
      <c r="B1395" s="57" t="s">
        <v>360</v>
      </c>
      <c r="C1395" s="11"/>
      <c r="D1395" s="11">
        <v>90.0</v>
      </c>
      <c r="E1395" s="12" t="s">
        <v>47</v>
      </c>
      <c r="F1395" s="13">
        <f>'БД_УСЛУГИ_РО'!P1079</f>
        <v>7700</v>
      </c>
      <c r="G1395" s="29"/>
      <c r="H1395" s="5"/>
      <c r="I1395" s="2"/>
      <c r="J1395" s="83"/>
      <c r="K1395" s="84">
        <v>7700.0</v>
      </c>
      <c r="L1395" s="61"/>
      <c r="M1395" s="60"/>
      <c r="N1395" s="29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idden="1">
      <c r="A1396" s="2"/>
      <c r="B1396" s="57" t="s">
        <v>360</v>
      </c>
      <c r="C1396" s="11"/>
      <c r="D1396" s="11">
        <v>90.0</v>
      </c>
      <c r="E1396" s="12" t="s">
        <v>362</v>
      </c>
      <c r="F1396" s="13">
        <f>'БД_УСЛУГИ_РО'!P1080</f>
        <v>1</v>
      </c>
      <c r="G1396" s="29"/>
      <c r="H1396" s="5"/>
      <c r="I1396" s="2"/>
      <c r="J1396" s="83"/>
      <c r="K1396" s="84">
        <v>1.0</v>
      </c>
      <c r="L1396" s="61"/>
      <c r="M1396" s="60"/>
      <c r="N1396" s="29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idden="1">
      <c r="A1397" s="2"/>
      <c r="B1397" s="57" t="s">
        <v>360</v>
      </c>
      <c r="C1397" s="11"/>
      <c r="D1397" s="11">
        <v>90.0</v>
      </c>
      <c r="E1397" s="12" t="s">
        <v>363</v>
      </c>
      <c r="F1397" s="13">
        <f>'БД_УСЛУГИ_РО'!P1081+'БД_ЗАПЧАСТИ'!P789</f>
        <v>15100</v>
      </c>
      <c r="G1397" s="29"/>
      <c r="H1397" s="101">
        <f>'БД_УСЛУГИ_РО'!P1081</f>
        <v>8100</v>
      </c>
      <c r="I1397" s="2"/>
      <c r="J1397" s="83"/>
      <c r="K1397" s="84">
        <v>15100.0</v>
      </c>
      <c r="L1397" s="61"/>
      <c r="M1397" s="60"/>
      <c r="N1397" s="29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idden="1">
      <c r="A1398" s="2"/>
      <c r="B1398" s="57" t="s">
        <v>360</v>
      </c>
      <c r="C1398" s="11"/>
      <c r="D1398" s="11">
        <v>90.0</v>
      </c>
      <c r="E1398" s="12" t="s">
        <v>364</v>
      </c>
      <c r="F1398" s="13">
        <f>'БД_УСЛУГИ_РО'!P1082+'БД_ЗАПЧАСТИ'!P833</f>
        <v>16500</v>
      </c>
      <c r="G1398" s="29"/>
      <c r="H1398" s="101">
        <f>'БД_УСЛУГИ_РО'!P1082</f>
        <v>8700</v>
      </c>
      <c r="I1398" s="2"/>
      <c r="J1398" s="83"/>
      <c r="K1398" s="84">
        <v>16500.0</v>
      </c>
      <c r="L1398" s="61"/>
      <c r="M1398" s="60"/>
      <c r="N1398" s="29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idden="1">
      <c r="A1399" s="2"/>
      <c r="B1399" s="57" t="s">
        <v>360</v>
      </c>
      <c r="C1399" s="11"/>
      <c r="D1399" s="11">
        <v>180.0</v>
      </c>
      <c r="E1399" s="12" t="s">
        <v>52</v>
      </c>
      <c r="F1399" s="13">
        <f>'БД_УСЛУГИ_РО'!P1083+'БД_ЗАПЧАСТИ'!P579</f>
        <v>7800</v>
      </c>
      <c r="G1399" s="29"/>
      <c r="H1399" s="101">
        <f>'БД_УСЛУГИ_РО'!P1083</f>
        <v>5700</v>
      </c>
      <c r="I1399" s="2"/>
      <c r="J1399" s="83"/>
      <c r="K1399" s="84">
        <v>7800.0</v>
      </c>
      <c r="L1399" s="61"/>
      <c r="M1399" s="60"/>
      <c r="N1399" s="29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idden="1">
      <c r="A1400" s="2"/>
      <c r="B1400" s="57" t="s">
        <v>360</v>
      </c>
      <c r="C1400" s="11"/>
      <c r="D1400" s="11">
        <v>90.0</v>
      </c>
      <c r="E1400" s="12" t="s">
        <v>53</v>
      </c>
      <c r="F1400" s="13">
        <f>'БД_УСЛУГИ_РО'!P1084</f>
        <v>10800</v>
      </c>
      <c r="G1400" s="29"/>
      <c r="H1400" s="5"/>
      <c r="I1400" s="2"/>
      <c r="J1400" s="92"/>
      <c r="K1400" s="93">
        <v>10800.0</v>
      </c>
      <c r="L1400" s="65"/>
      <c r="M1400" s="94"/>
      <c r="N1400" s="33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idden="1">
      <c r="A1401" s="2"/>
      <c r="B1401" s="57" t="s">
        <v>360</v>
      </c>
      <c r="C1401" s="11"/>
      <c r="D1401" s="11">
        <v>180.0</v>
      </c>
      <c r="E1401" s="12" t="s">
        <v>54</v>
      </c>
      <c r="F1401" s="13">
        <f>'БД_УСЛУГИ_РО'!P1085+'БД_ЗАПЧАСТИ'!P522</f>
        <v>19000</v>
      </c>
      <c r="G1401" s="33" t="str">
        <f>MIN(F1401:F1402) &amp; " - " &amp; MAX(F1401:F1402)</f>
        <v>7000 - 19000</v>
      </c>
      <c r="H1401" s="101">
        <f>'БД_УСЛУГИ_РО'!P1085</f>
        <v>7000</v>
      </c>
      <c r="I1401" s="2"/>
      <c r="J1401" s="92"/>
      <c r="K1401" s="93">
        <v>19000.0</v>
      </c>
      <c r="L1401" s="65"/>
      <c r="M1401" s="94"/>
      <c r="N1401" s="33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idden="1">
      <c r="A1402" s="2"/>
      <c r="B1402" s="57" t="s">
        <v>360</v>
      </c>
      <c r="C1402" s="11"/>
      <c r="D1402" s="11">
        <v>180.0</v>
      </c>
      <c r="E1402" s="12" t="s">
        <v>55</v>
      </c>
      <c r="F1402" s="13">
        <f>'БД_УСЛУГИ_РО'!P1085+'БД_ЗАПЧАСТИ'!P526</f>
        <v>7000</v>
      </c>
      <c r="G1402" s="28"/>
      <c r="H1402" s="101">
        <f>'БД_УСЛУГИ_РО'!P1085</f>
        <v>7000</v>
      </c>
      <c r="I1402" s="2"/>
      <c r="J1402" s="92"/>
      <c r="K1402" s="93">
        <v>7000.0</v>
      </c>
      <c r="L1402" s="65"/>
      <c r="M1402" s="94"/>
      <c r="N1402" s="33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idden="1">
      <c r="A1403" s="2"/>
      <c r="B1403" s="57" t="s">
        <v>360</v>
      </c>
      <c r="C1403" s="11"/>
      <c r="D1403" s="11">
        <v>180.0</v>
      </c>
      <c r="E1403" s="12" t="s">
        <v>56</v>
      </c>
      <c r="F1403" s="13">
        <f>'БД_УСЛУГИ_РО'!P1086</f>
        <v>13100</v>
      </c>
      <c r="G1403" s="29"/>
      <c r="H1403" s="101">
        <f>'БД_УСЛУГИ_РО'!P1086</f>
        <v>13100</v>
      </c>
      <c r="I1403" s="2"/>
      <c r="J1403" s="92"/>
      <c r="K1403" s="93">
        <v>13100.0</v>
      </c>
      <c r="L1403" s="65"/>
      <c r="M1403" s="94"/>
      <c r="N1403" s="33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idden="1">
      <c r="A1404" s="2"/>
      <c r="B1404" s="57" t="s">
        <v>360</v>
      </c>
      <c r="C1404" s="11"/>
      <c r="D1404" s="11">
        <v>180.0</v>
      </c>
      <c r="E1404" s="12" t="s">
        <v>57</v>
      </c>
      <c r="F1404" s="13">
        <f>'БД_УСЛУГИ_РО'!P1087</f>
        <v>9600</v>
      </c>
      <c r="G1404" s="29"/>
      <c r="H1404" s="101">
        <f>'БД_УСЛУГИ_РО'!P1087</f>
        <v>9600</v>
      </c>
      <c r="I1404" s="2"/>
      <c r="J1404" s="83"/>
      <c r="K1404" s="84">
        <v>9600.0</v>
      </c>
      <c r="L1404" s="61"/>
      <c r="M1404" s="60"/>
      <c r="N1404" s="29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idden="1">
      <c r="A1405" s="2"/>
      <c r="B1405" s="57" t="s">
        <v>360</v>
      </c>
      <c r="C1405" s="11"/>
      <c r="D1405" s="11">
        <v>90.0</v>
      </c>
      <c r="E1405" s="12" t="s">
        <v>59</v>
      </c>
      <c r="F1405" s="13">
        <f>'БД_УСЛУГИ_РО'!P1088</f>
        <v>9800</v>
      </c>
      <c r="G1405" s="29"/>
      <c r="H1405" s="5"/>
      <c r="I1405" s="2"/>
      <c r="J1405" s="83"/>
      <c r="K1405" s="84">
        <v>9800.0</v>
      </c>
      <c r="L1405" s="61"/>
      <c r="M1405" s="60"/>
      <c r="N1405" s="29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idden="1">
      <c r="A1406" s="2"/>
      <c r="B1406" s="57" t="s">
        <v>360</v>
      </c>
      <c r="C1406" s="11"/>
      <c r="D1406" s="11">
        <v>90.0</v>
      </c>
      <c r="E1406" s="12" t="s">
        <v>365</v>
      </c>
      <c r="F1406" s="13">
        <f>'БД_УСЛУГИ_РО'!P1089+'БД_ЗАПЧАСТИ'!P918</f>
        <v>8000</v>
      </c>
      <c r="G1406" s="29"/>
      <c r="H1406" s="101">
        <f>'БД_УСЛУГИ_РО'!P1089</f>
        <v>8000</v>
      </c>
      <c r="I1406" s="2"/>
      <c r="J1406" s="83"/>
      <c r="K1406" s="84">
        <v>8000.0</v>
      </c>
      <c r="L1406" s="61"/>
      <c r="M1406" s="60"/>
      <c r="N1406" s="29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idden="1">
      <c r="A1407" s="2"/>
      <c r="B1407" s="57" t="s">
        <v>360</v>
      </c>
      <c r="C1407" s="11"/>
      <c r="D1407" s="11">
        <v>90.0</v>
      </c>
      <c r="E1407" s="12" t="s">
        <v>366</v>
      </c>
      <c r="F1407" s="13">
        <f>'БД_УСЛУГИ_РО'!P1090+'БД_ЗАПЧАСТИ'!P878</f>
        <v>8000</v>
      </c>
      <c r="G1407" s="29"/>
      <c r="H1407" s="101">
        <f>'БД_УСЛУГИ_РО'!P1090</f>
        <v>8000</v>
      </c>
      <c r="I1407" s="2"/>
      <c r="J1407" s="83"/>
      <c r="K1407" s="84">
        <v>8000.0</v>
      </c>
      <c r="L1407" s="61"/>
      <c r="M1407" s="60"/>
      <c r="N1407" s="29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idden="1">
      <c r="A1408" s="2"/>
      <c r="B1408" s="57" t="s">
        <v>360</v>
      </c>
      <c r="C1408" s="11"/>
      <c r="D1408" s="11">
        <v>90.0</v>
      </c>
      <c r="E1408" s="32" t="s">
        <v>62</v>
      </c>
      <c r="F1408" s="13">
        <f>'БД_УСЛУГИ_РО'!P1091+'БД_ЗАПЧАСТИ'!P741</f>
        <v>15100</v>
      </c>
      <c r="G1408" s="29"/>
      <c r="H1408" s="101">
        <f>'БД_УСЛУГИ_РО'!P1091</f>
        <v>8600</v>
      </c>
      <c r="I1408" s="2"/>
      <c r="J1408" s="92"/>
      <c r="K1408" s="93">
        <v>15100.0</v>
      </c>
      <c r="L1408" s="65"/>
      <c r="M1408" s="94"/>
      <c r="N1408" s="33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idden="1">
      <c r="A1409" s="2"/>
      <c r="B1409" s="57" t="s">
        <v>360</v>
      </c>
      <c r="C1409" s="11"/>
      <c r="D1409" s="11">
        <v>90.0</v>
      </c>
      <c r="E1409" s="12" t="s">
        <v>63</v>
      </c>
      <c r="F1409" s="13">
        <f>'БД_УСЛУГИ_РО'!P1092</f>
        <v>8800</v>
      </c>
      <c r="G1409" s="29"/>
      <c r="H1409" s="5"/>
      <c r="I1409" s="2"/>
      <c r="J1409" s="92"/>
      <c r="K1409" s="93">
        <v>8800.0</v>
      </c>
      <c r="L1409" s="65"/>
      <c r="M1409" s="94"/>
      <c r="N1409" s="33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idden="1">
      <c r="A1410" s="2"/>
      <c r="B1410" s="57" t="s">
        <v>360</v>
      </c>
      <c r="C1410" s="11"/>
      <c r="D1410" s="11">
        <v>90.0</v>
      </c>
      <c r="E1410" s="12" t="s">
        <v>64</v>
      </c>
      <c r="F1410" s="13">
        <f>'БД_УСЛУГИ_РО'!P1094</f>
        <v>10300</v>
      </c>
      <c r="G1410" s="29"/>
      <c r="H1410" s="5"/>
      <c r="I1410" s="2"/>
      <c r="J1410" s="92"/>
      <c r="K1410" s="93">
        <v>10300.0</v>
      </c>
      <c r="L1410" s="65"/>
      <c r="M1410" s="94"/>
      <c r="N1410" s="33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idden="1">
      <c r="A1411" s="2"/>
      <c r="B1411" s="57" t="s">
        <v>360</v>
      </c>
      <c r="C1411" s="11"/>
      <c r="D1411" s="11">
        <v>90.0</v>
      </c>
      <c r="E1411" s="12" t="s">
        <v>65</v>
      </c>
      <c r="F1411" s="13">
        <f>'БД_УСЛУГИ_РО'!P1093+'БД_УСЛУГИ_РО'!P1095</f>
        <v>21600</v>
      </c>
      <c r="G1411" s="29"/>
      <c r="H1411" s="5"/>
      <c r="I1411" s="2"/>
      <c r="J1411" s="92"/>
      <c r="K1411" s="93">
        <v>21600.0</v>
      </c>
      <c r="L1411" s="65"/>
      <c r="M1411" s="94"/>
      <c r="N1411" s="33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idden="1">
      <c r="A1412" s="2"/>
      <c r="B1412" s="69" t="s">
        <v>360</v>
      </c>
      <c r="C1412" s="36"/>
      <c r="D1412" s="36">
        <v>90.0</v>
      </c>
      <c r="E1412" s="70" t="s">
        <v>66</v>
      </c>
      <c r="F1412" s="38">
        <f>'БД_УСЛУГИ_РО'!P1093+'БД_УСЛУГИ_РО'!P1096</f>
        <v>22100</v>
      </c>
      <c r="G1412" s="39"/>
      <c r="H1412" s="5"/>
      <c r="I1412" s="2"/>
      <c r="J1412" s="91"/>
      <c r="K1412" s="89">
        <v>22100.0</v>
      </c>
      <c r="L1412" s="73"/>
      <c r="M1412" s="74"/>
      <c r="N1412" s="39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idden="1">
      <c r="A1413" s="2"/>
      <c r="B1413" s="1"/>
      <c r="C1413" s="1"/>
      <c r="D1413" s="95"/>
      <c r="E1413" s="30"/>
      <c r="F1413" s="80"/>
      <c r="G1413" s="76"/>
      <c r="H1413" s="5"/>
      <c r="I1413" s="2"/>
      <c r="J1413" s="2"/>
      <c r="K1413" s="2" t="s">
        <v>22</v>
      </c>
      <c r="L1413" s="2"/>
      <c r="M1413" s="3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idden="1">
      <c r="A1414" s="2"/>
      <c r="B1414" s="41" t="s">
        <v>367</v>
      </c>
      <c r="C1414" s="42"/>
      <c r="D1414" s="42">
        <v>0.0</v>
      </c>
      <c r="E1414" s="51" t="s">
        <v>24</v>
      </c>
      <c r="F1414" s="44">
        <f>'БД_УСЛУГИ_РО'!P1097</f>
        <v>1</v>
      </c>
      <c r="G1414" s="78"/>
      <c r="H1414" s="5"/>
      <c r="I1414" s="2"/>
      <c r="J1414" s="81"/>
      <c r="K1414" s="82">
        <v>1.0</v>
      </c>
      <c r="L1414" s="55"/>
      <c r="M1414" s="56"/>
      <c r="N1414" s="5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idden="1">
      <c r="A1415" s="2"/>
      <c r="B1415" s="57" t="s">
        <v>367</v>
      </c>
      <c r="C1415" s="11"/>
      <c r="D1415" s="11">
        <v>0.0</v>
      </c>
      <c r="E1415" s="12" t="s">
        <v>26</v>
      </c>
      <c r="F1415" s="13">
        <f>'БД_УСЛУГИ_РО'!P1098+'БД_УСЛУГИ_РО'!P1099</f>
        <v>4000</v>
      </c>
      <c r="G1415" s="29"/>
      <c r="H1415" s="5"/>
      <c r="I1415" s="2"/>
      <c r="J1415" s="83"/>
      <c r="K1415" s="84">
        <v>4000.0</v>
      </c>
      <c r="L1415" s="61"/>
      <c r="M1415" s="60"/>
      <c r="N1415" s="29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idden="1">
      <c r="A1416" s="2"/>
      <c r="B1416" s="57" t="s">
        <v>367</v>
      </c>
      <c r="C1416" s="11"/>
      <c r="D1416" s="11">
        <v>0.0</v>
      </c>
      <c r="E1416" s="32" t="s">
        <v>27</v>
      </c>
      <c r="F1416" s="13">
        <f>'БД_УСЛУГИ_РО'!P1100</f>
        <v>700</v>
      </c>
      <c r="G1416" s="33" t="str">
        <f>MIN(F1416:F1417) &amp; " - " &amp; MAX(F1416:F1417)</f>
        <v>700 - 8300</v>
      </c>
      <c r="H1416" s="5"/>
      <c r="I1416" s="2"/>
      <c r="J1416" s="83"/>
      <c r="K1416" s="84">
        <v>700.0</v>
      </c>
      <c r="L1416" s="61"/>
      <c r="M1416" s="60"/>
      <c r="N1416" s="29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idden="1">
      <c r="A1417" s="2"/>
      <c r="B1417" s="57" t="s">
        <v>367</v>
      </c>
      <c r="C1417" s="11"/>
      <c r="D1417" s="11">
        <v>0.0</v>
      </c>
      <c r="E1417" s="32" t="s">
        <v>28</v>
      </c>
      <c r="F1417" s="13">
        <f>'БД_УСЛУГИ_РО'!P1101</f>
        <v>8300</v>
      </c>
      <c r="G1417" s="28"/>
      <c r="H1417" s="5"/>
      <c r="I1417" s="2"/>
      <c r="J1417" s="83"/>
      <c r="K1417" s="84">
        <v>8300.0</v>
      </c>
      <c r="L1417" s="61"/>
      <c r="M1417" s="60"/>
      <c r="N1417" s="29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idden="1">
      <c r="A1418" s="2"/>
      <c r="B1418" s="57" t="s">
        <v>367</v>
      </c>
      <c r="C1418" s="11"/>
      <c r="D1418" s="11">
        <v>180.0</v>
      </c>
      <c r="E1418" s="12" t="s">
        <v>202</v>
      </c>
      <c r="F1418" s="13">
        <f>'БД_УСЛУГИ_РО'!P1102</f>
        <v>10100</v>
      </c>
      <c r="G1418" s="33" t="str">
        <f>IFERROR(__xludf.DUMMYFUNCTION("MIN(FILTER(F1418:F1423, F1418:F1423 &lt;&gt; H1418:H1423)) &amp; "" - "" &amp; MAX(FILTER(F1418:F1423, F1418:F1423 &lt;&gt; H1418:H1423))"),"#N/A")</f>
        <v>#N/A</v>
      </c>
      <c r="H1418" s="101">
        <f>'БД_УСЛУГИ_РО'!P1102</f>
        <v>10100</v>
      </c>
      <c r="I1418" s="2"/>
      <c r="J1418" s="92" t="str">
        <f>IFERROR(__xludf.DUMMYFUNCTION("MIN(FILTER(F1418:F1423, F1418:F1423 &lt;&gt; H1418:H1423, F1418:F1423 &lt;&gt; """"))"),"#N/A")</f>
        <v>#N/A</v>
      </c>
      <c r="K1418" s="84">
        <v>10100.0</v>
      </c>
      <c r="L1418" s="31"/>
      <c r="M1418" s="60"/>
      <c r="N1418" s="29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idden="1">
      <c r="A1419" s="2"/>
      <c r="B1419" s="57" t="s">
        <v>367</v>
      </c>
      <c r="C1419" s="11"/>
      <c r="D1419" s="11">
        <v>180.0</v>
      </c>
      <c r="E1419" s="12" t="s">
        <v>203</v>
      </c>
      <c r="F1419" s="13">
        <f>'БД_УСЛУГИ_РО'!P1102</f>
        <v>10100</v>
      </c>
      <c r="G1419" s="19"/>
      <c r="H1419" s="101">
        <f>'БД_УСЛУГИ_РО'!P1102</f>
        <v>10100</v>
      </c>
      <c r="I1419" s="2"/>
      <c r="J1419" s="103"/>
      <c r="K1419" s="84">
        <v>10100.0</v>
      </c>
      <c r="L1419" s="104"/>
      <c r="M1419" s="60"/>
      <c r="N1419" s="29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idden="1">
      <c r="A1420" s="2"/>
      <c r="B1420" s="57" t="s">
        <v>367</v>
      </c>
      <c r="C1420" s="11"/>
      <c r="D1420" s="11">
        <v>180.0</v>
      </c>
      <c r="E1420" s="12" t="s">
        <v>32</v>
      </c>
      <c r="F1420" s="13">
        <f>'БД_УСЛУГИ_РО'!P1102</f>
        <v>10100</v>
      </c>
      <c r="G1420" s="19"/>
      <c r="H1420" s="101">
        <f>'БД_УСЛУГИ_РО'!P1102</f>
        <v>10100</v>
      </c>
      <c r="I1420" s="2"/>
      <c r="J1420" s="103"/>
      <c r="K1420" s="84">
        <v>10100.0</v>
      </c>
      <c r="L1420" s="104"/>
      <c r="M1420" s="60"/>
      <c r="N1420" s="29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idden="1">
      <c r="A1421" s="2"/>
      <c r="B1421" s="57" t="s">
        <v>367</v>
      </c>
      <c r="C1421" s="11"/>
      <c r="D1421" s="11">
        <v>180.0</v>
      </c>
      <c r="E1421" s="12" t="s">
        <v>33</v>
      </c>
      <c r="F1421" s="13">
        <f>'БД_УСЛУГИ_РО'!P1102</f>
        <v>10100</v>
      </c>
      <c r="G1421" s="19"/>
      <c r="H1421" s="101">
        <f>'БД_УСЛУГИ_РО'!P1102</f>
        <v>10100</v>
      </c>
      <c r="I1421" s="2"/>
      <c r="J1421" s="103"/>
      <c r="K1421" s="84">
        <v>10100.0</v>
      </c>
      <c r="L1421" s="104"/>
      <c r="M1421" s="60"/>
      <c r="N1421" s="29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idden="1">
      <c r="A1422" s="2"/>
      <c r="B1422" s="57" t="s">
        <v>367</v>
      </c>
      <c r="C1422" s="11"/>
      <c r="D1422" s="11">
        <v>180.0</v>
      </c>
      <c r="E1422" s="12" t="s">
        <v>34</v>
      </c>
      <c r="F1422" s="13">
        <f>'БД_УСЛУГИ_РО'!P1102</f>
        <v>10100</v>
      </c>
      <c r="G1422" s="19"/>
      <c r="H1422" s="101">
        <f>'БД_УСЛУГИ_РО'!P1102</f>
        <v>10100</v>
      </c>
      <c r="I1422" s="2"/>
      <c r="J1422" s="87"/>
      <c r="K1422" s="84">
        <v>10100.0</v>
      </c>
      <c r="L1422" s="67"/>
      <c r="M1422" s="60"/>
      <c r="N1422" s="29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idden="1">
      <c r="A1423" s="2"/>
      <c r="B1423" s="57" t="s">
        <v>367</v>
      </c>
      <c r="C1423" s="11"/>
      <c r="D1423" s="11">
        <v>180.0</v>
      </c>
      <c r="E1423" s="12" t="s">
        <v>35</v>
      </c>
      <c r="F1423" s="13"/>
      <c r="G1423" s="28"/>
      <c r="H1423" s="5"/>
      <c r="I1423" s="2"/>
      <c r="J1423" s="83"/>
      <c r="K1423" s="84" t="s">
        <v>22</v>
      </c>
      <c r="L1423" s="61"/>
      <c r="M1423" s="60"/>
      <c r="N1423" s="29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idden="1">
      <c r="A1424" s="2"/>
      <c r="B1424" s="57" t="s">
        <v>367</v>
      </c>
      <c r="C1424" s="11"/>
      <c r="D1424" s="11">
        <v>90.0</v>
      </c>
      <c r="E1424" s="12" t="s">
        <v>368</v>
      </c>
      <c r="F1424" s="13">
        <f>'БД_УСЛУГИ_РО'!P1104+'БД_ЗАПЧАСТИ'!P745</f>
        <v>18200</v>
      </c>
      <c r="G1424" s="29"/>
      <c r="H1424" s="101">
        <f>'БД_УСЛУГИ_РО'!P1104</f>
        <v>10500</v>
      </c>
      <c r="I1424" s="2"/>
      <c r="J1424" s="83"/>
      <c r="K1424" s="84">
        <v>18200.0</v>
      </c>
      <c r="L1424" s="61"/>
      <c r="M1424" s="60"/>
      <c r="N1424" s="29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idden="1">
      <c r="A1425" s="2"/>
      <c r="B1425" s="57" t="s">
        <v>367</v>
      </c>
      <c r="C1425" s="11"/>
      <c r="D1425" s="11">
        <v>90.0</v>
      </c>
      <c r="E1425" s="12" t="s">
        <v>205</v>
      </c>
      <c r="F1425" s="13">
        <f>'БД_УСЛУГИ_РО'!P1105+'БД_ЗАПЧАСТИ'!P310</f>
        <v>43200</v>
      </c>
      <c r="G1425" s="33" t="str">
        <f>IFERROR(__xludf.DUMMYFUNCTION("MIN(FILTER(F1425:F1431, F1425:F1431 &lt;&gt; H1425:H1431)) &amp; "" - "" &amp; MAX(FILTER(F1425:F1431, F1425:F1431 &lt;&gt; H1425:H1431))"),"38650 - 43200")</f>
        <v>38650 - 43200</v>
      </c>
      <c r="H1425" s="101">
        <f>'БД_УСЛУГИ_РО'!P1105</f>
        <v>8400</v>
      </c>
      <c r="I1425" s="2"/>
      <c r="J1425" s="86">
        <f>IFERROR(__xludf.DUMMYFUNCTION("MIN(FILTER(F1425:F1429, F1425:F1429 &lt;&gt; H1425:H1429, F1425:F1429 &lt;&gt; """"))"),38650.0)</f>
        <v>38650</v>
      </c>
      <c r="K1425" s="84">
        <v>43200.0</v>
      </c>
      <c r="L1425" s="65"/>
      <c r="M1425" s="60"/>
      <c r="N1425" s="29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idden="1">
      <c r="A1426" s="2"/>
      <c r="B1426" s="57" t="s">
        <v>367</v>
      </c>
      <c r="C1426" s="11"/>
      <c r="D1426" s="11">
        <v>90.0</v>
      </c>
      <c r="E1426" s="12" t="s">
        <v>39</v>
      </c>
      <c r="F1426" s="13">
        <f>'БД_УСЛУГИ_РО'!P1105+'БД_ЗАПЧАСТИ'!P311</f>
        <v>40550</v>
      </c>
      <c r="G1426" s="19"/>
      <c r="H1426" s="101">
        <f>'БД_УСЛУГИ_РО'!P1105</f>
        <v>8400</v>
      </c>
      <c r="I1426" s="2"/>
      <c r="J1426" s="103"/>
      <c r="K1426" s="84">
        <v>40550.0</v>
      </c>
      <c r="L1426" s="104"/>
      <c r="M1426" s="60"/>
      <c r="N1426" s="29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idden="1">
      <c r="A1427" s="2"/>
      <c r="B1427" s="57" t="s">
        <v>367</v>
      </c>
      <c r="C1427" s="11"/>
      <c r="D1427" s="11">
        <v>90.0</v>
      </c>
      <c r="E1427" s="12" t="s">
        <v>40</v>
      </c>
      <c r="F1427" s="13">
        <f>'БД_УСЛУГИ_РО'!P1105+'БД_ЗАПЧАСТИ'!P312</f>
        <v>38650</v>
      </c>
      <c r="G1427" s="19"/>
      <c r="H1427" s="101">
        <f>'БД_УСЛУГИ_РО'!P1105</f>
        <v>8400</v>
      </c>
      <c r="I1427" s="2"/>
      <c r="J1427" s="103"/>
      <c r="K1427" s="84">
        <v>38650.0</v>
      </c>
      <c r="L1427" s="104"/>
      <c r="M1427" s="60"/>
      <c r="N1427" s="29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idden="1">
      <c r="A1428" s="2"/>
      <c r="B1428" s="57" t="s">
        <v>367</v>
      </c>
      <c r="C1428" s="11"/>
      <c r="D1428" s="11">
        <v>90.0</v>
      </c>
      <c r="E1428" s="12" t="s">
        <v>42</v>
      </c>
      <c r="F1428" s="13">
        <f>'БД_УСЛУГИ_РО'!P1105+'БД_ЗАПЧАСТИ'!P313</f>
        <v>8400</v>
      </c>
      <c r="G1428" s="19"/>
      <c r="H1428" s="101">
        <f>'БД_УСЛУГИ_РО'!P1105</f>
        <v>8400</v>
      </c>
      <c r="I1428" s="2"/>
      <c r="J1428" s="103"/>
      <c r="K1428" s="84">
        <v>8400.0</v>
      </c>
      <c r="L1428" s="104"/>
      <c r="M1428" s="60"/>
      <c r="N1428" s="29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idden="1">
      <c r="A1429" s="2"/>
      <c r="B1429" s="57" t="s">
        <v>367</v>
      </c>
      <c r="C1429" s="11"/>
      <c r="D1429" s="11">
        <v>90.0</v>
      </c>
      <c r="E1429" s="12" t="s">
        <v>43</v>
      </c>
      <c r="F1429" s="13">
        <f>'БД_УСЛУГИ_РО'!P1105+'БД_ЗАПЧАСТИ'!P314</f>
        <v>8400</v>
      </c>
      <c r="G1429" s="19"/>
      <c r="H1429" s="101">
        <f>'БД_УСЛУГИ_РО'!P1105</f>
        <v>8400</v>
      </c>
      <c r="I1429" s="2"/>
      <c r="J1429" s="87"/>
      <c r="K1429" s="84">
        <v>8400.0</v>
      </c>
      <c r="L1429" s="67"/>
      <c r="M1429" s="60"/>
      <c r="N1429" s="29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idden="1">
      <c r="A1430" s="2"/>
      <c r="B1430" s="57" t="s">
        <v>367</v>
      </c>
      <c r="C1430" s="11"/>
      <c r="D1430" s="11">
        <v>90.0</v>
      </c>
      <c r="E1430" s="12" t="s">
        <v>45</v>
      </c>
      <c r="F1430" s="13">
        <f>'БД_УСЛУГИ_РО'!P1105</f>
        <v>8400</v>
      </c>
      <c r="G1430" s="19"/>
      <c r="H1430" s="101">
        <f>'БД_УСЛУГИ_РО'!P1105</f>
        <v>8400</v>
      </c>
      <c r="I1430" s="2"/>
      <c r="J1430" s="92" t="str">
        <f>IFERROR(__xludf.DUMMYFUNCTION("MIN(FILTER(F1430:F1431, F1430:F1431 &lt;&gt; H1430:H1431, F1430:F1431 &lt;&gt; """"))"),"#N/A")</f>
        <v>#N/A</v>
      </c>
      <c r="K1430" s="84">
        <v>8400.0</v>
      </c>
      <c r="L1430" s="65"/>
      <c r="M1430" s="60"/>
      <c r="N1430" s="29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idden="1">
      <c r="A1431" s="2"/>
      <c r="B1431" s="57" t="s">
        <v>367</v>
      </c>
      <c r="C1431" s="11"/>
      <c r="D1431" s="11">
        <v>90.0</v>
      </c>
      <c r="E1431" s="12" t="s">
        <v>46</v>
      </c>
      <c r="F1431" s="13">
        <f>'БД_УСЛУГИ_РО'!P1105</f>
        <v>8400</v>
      </c>
      <c r="G1431" s="28"/>
      <c r="H1431" s="101">
        <f>'БД_УСЛУГИ_РО'!P1105</f>
        <v>8400</v>
      </c>
      <c r="I1431" s="2"/>
      <c r="J1431" s="87"/>
      <c r="K1431" s="84">
        <v>8400.0</v>
      </c>
      <c r="L1431" s="67"/>
      <c r="M1431" s="60"/>
      <c r="N1431" s="29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idden="1">
      <c r="A1432" s="2"/>
      <c r="B1432" s="57" t="s">
        <v>367</v>
      </c>
      <c r="C1432" s="11"/>
      <c r="D1432" s="11">
        <v>90.0</v>
      </c>
      <c r="E1432" s="12" t="s">
        <v>47</v>
      </c>
      <c r="F1432" s="13">
        <f>'БД_УСЛУГИ_РО'!P1106</f>
        <v>7700</v>
      </c>
      <c r="G1432" s="29"/>
      <c r="H1432" s="5"/>
      <c r="I1432" s="2"/>
      <c r="J1432" s="83"/>
      <c r="K1432" s="84">
        <v>7700.0</v>
      </c>
      <c r="L1432" s="61"/>
      <c r="M1432" s="60"/>
      <c r="N1432" s="29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idden="1">
      <c r="A1433" s="2"/>
      <c r="B1433" s="57" t="s">
        <v>367</v>
      </c>
      <c r="C1433" s="11"/>
      <c r="D1433" s="11">
        <v>90.0</v>
      </c>
      <c r="E1433" s="12" t="s">
        <v>369</v>
      </c>
      <c r="F1433" s="13">
        <f>'БД_УСЛУГИ_РО'!P1107</f>
        <v>1</v>
      </c>
      <c r="G1433" s="29"/>
      <c r="H1433" s="5"/>
      <c r="I1433" s="2"/>
      <c r="J1433" s="83"/>
      <c r="K1433" s="84">
        <v>1.0</v>
      </c>
      <c r="L1433" s="61"/>
      <c r="M1433" s="60"/>
      <c r="N1433" s="29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idden="1">
      <c r="A1434" s="2"/>
      <c r="B1434" s="57" t="s">
        <v>367</v>
      </c>
      <c r="C1434" s="11"/>
      <c r="D1434" s="11">
        <v>90.0</v>
      </c>
      <c r="E1434" s="12" t="s">
        <v>370</v>
      </c>
      <c r="F1434" s="13">
        <f>'БД_УСЛУГИ_РО'!P1108+'БД_ЗАПЧАСТИ'!P790</f>
        <v>16650</v>
      </c>
      <c r="G1434" s="29"/>
      <c r="H1434" s="101">
        <f>'БД_УСЛУГИ_РО'!P1108</f>
        <v>8400</v>
      </c>
      <c r="I1434" s="2"/>
      <c r="J1434" s="83"/>
      <c r="K1434" s="84">
        <v>16650.0</v>
      </c>
      <c r="L1434" s="61"/>
      <c r="M1434" s="60"/>
      <c r="N1434" s="29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idden="1">
      <c r="A1435" s="2"/>
      <c r="B1435" s="57" t="s">
        <v>367</v>
      </c>
      <c r="C1435" s="11"/>
      <c r="D1435" s="11">
        <v>90.0</v>
      </c>
      <c r="E1435" s="12" t="s">
        <v>371</v>
      </c>
      <c r="F1435" s="13">
        <f>'БД_УСЛУГИ_РО'!P1109+'БД_ЗАПЧАСТИ'!P834</f>
        <v>17300</v>
      </c>
      <c r="G1435" s="29"/>
      <c r="H1435" s="101">
        <f>'БД_УСЛУГИ_РО'!P1109</f>
        <v>9000</v>
      </c>
      <c r="I1435" s="2"/>
      <c r="J1435" s="83"/>
      <c r="K1435" s="84">
        <v>17300.0</v>
      </c>
      <c r="L1435" s="61"/>
      <c r="M1435" s="60"/>
      <c r="N1435" s="29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idden="1">
      <c r="A1436" s="2"/>
      <c r="B1436" s="57" t="s">
        <v>367</v>
      </c>
      <c r="C1436" s="11"/>
      <c r="D1436" s="11">
        <v>180.0</v>
      </c>
      <c r="E1436" s="12" t="s">
        <v>52</v>
      </c>
      <c r="F1436" s="13">
        <f>'БД_УСЛУГИ_РО'!P1110+'БД_ЗАПЧАСТИ'!P580</f>
        <v>8900</v>
      </c>
      <c r="G1436" s="29"/>
      <c r="H1436" s="101">
        <f>'БД_УСЛУГИ_РО'!P1110</f>
        <v>6100</v>
      </c>
      <c r="I1436" s="2"/>
      <c r="J1436" s="83"/>
      <c r="K1436" s="84">
        <v>8900.0</v>
      </c>
      <c r="L1436" s="61"/>
      <c r="M1436" s="60"/>
      <c r="N1436" s="29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idden="1">
      <c r="A1437" s="2"/>
      <c r="B1437" s="57" t="s">
        <v>367</v>
      </c>
      <c r="C1437" s="11"/>
      <c r="D1437" s="11">
        <v>90.0</v>
      </c>
      <c r="E1437" s="12" t="s">
        <v>53</v>
      </c>
      <c r="F1437" s="13">
        <f>'БД_УСЛУГИ_РО'!P1111</f>
        <v>10800</v>
      </c>
      <c r="G1437" s="29"/>
      <c r="H1437" s="5"/>
      <c r="I1437" s="2"/>
      <c r="J1437" s="92"/>
      <c r="K1437" s="93">
        <v>10800.0</v>
      </c>
      <c r="L1437" s="65"/>
      <c r="M1437" s="94"/>
      <c r="N1437" s="33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idden="1">
      <c r="A1438" s="2"/>
      <c r="B1438" s="57" t="s">
        <v>367</v>
      </c>
      <c r="C1438" s="11"/>
      <c r="D1438" s="11">
        <v>180.0</v>
      </c>
      <c r="E1438" s="12" t="s">
        <v>54</v>
      </c>
      <c r="F1438" s="13">
        <f>'БД_УСЛУГИ_РО'!P1112+'БД_ЗАПЧАСТИ'!P530</f>
        <v>18000</v>
      </c>
      <c r="G1438" s="33" t="str">
        <f>MIN(F1438:F1439) &amp; " - " &amp; MAX(F1438:F1439)</f>
        <v>11000 - 18000</v>
      </c>
      <c r="H1438" s="101">
        <f>'БД_УСЛУГИ_РО'!P1112</f>
        <v>7000</v>
      </c>
      <c r="I1438" s="2"/>
      <c r="J1438" s="92"/>
      <c r="K1438" s="93">
        <v>18000.0</v>
      </c>
      <c r="L1438" s="65"/>
      <c r="M1438" s="94"/>
      <c r="N1438" s="33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idden="1">
      <c r="A1439" s="2"/>
      <c r="B1439" s="57" t="s">
        <v>367</v>
      </c>
      <c r="C1439" s="11"/>
      <c r="D1439" s="11">
        <v>180.0</v>
      </c>
      <c r="E1439" s="12" t="s">
        <v>55</v>
      </c>
      <c r="F1439" s="13">
        <f>'БД_УСЛУГИ_РО'!P1112+'БД_ЗАПЧАСТИ'!P533</f>
        <v>11000</v>
      </c>
      <c r="G1439" s="28"/>
      <c r="H1439" s="101">
        <f>'БД_УСЛУГИ_РО'!P1112</f>
        <v>7000</v>
      </c>
      <c r="I1439" s="2"/>
      <c r="J1439" s="92"/>
      <c r="K1439" s="93">
        <v>11000.0</v>
      </c>
      <c r="L1439" s="65"/>
      <c r="M1439" s="94"/>
      <c r="N1439" s="33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idden="1">
      <c r="A1440" s="2"/>
      <c r="B1440" s="57" t="s">
        <v>367</v>
      </c>
      <c r="C1440" s="11"/>
      <c r="D1440" s="11">
        <v>180.0</v>
      </c>
      <c r="E1440" s="12" t="s">
        <v>56</v>
      </c>
      <c r="F1440" s="13">
        <f>'БД_УСЛУГИ_РО'!P1113</f>
        <v>13100</v>
      </c>
      <c r="G1440" s="29"/>
      <c r="H1440" s="101">
        <f>'БД_УСЛУГИ_РО'!P1113</f>
        <v>13100</v>
      </c>
      <c r="I1440" s="2"/>
      <c r="J1440" s="92"/>
      <c r="K1440" s="93">
        <v>13100.0</v>
      </c>
      <c r="L1440" s="65"/>
      <c r="M1440" s="94"/>
      <c r="N1440" s="33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idden="1">
      <c r="A1441" s="2"/>
      <c r="B1441" s="57" t="s">
        <v>367</v>
      </c>
      <c r="C1441" s="11"/>
      <c r="D1441" s="11">
        <v>180.0</v>
      </c>
      <c r="E1441" s="12" t="s">
        <v>57</v>
      </c>
      <c r="F1441" s="13">
        <f>'БД_УСЛУГИ_РО'!P1114</f>
        <v>9600</v>
      </c>
      <c r="G1441" s="29"/>
      <c r="H1441" s="101">
        <f>'БД_УСЛУГИ_РО'!P1114</f>
        <v>9600</v>
      </c>
      <c r="I1441" s="2"/>
      <c r="J1441" s="83"/>
      <c r="K1441" s="84">
        <v>9600.0</v>
      </c>
      <c r="L1441" s="61"/>
      <c r="M1441" s="60"/>
      <c r="N1441" s="29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idden="1">
      <c r="A1442" s="2"/>
      <c r="B1442" s="57" t="s">
        <v>367</v>
      </c>
      <c r="C1442" s="11"/>
      <c r="D1442" s="11">
        <v>90.0</v>
      </c>
      <c r="E1442" s="12" t="s">
        <v>59</v>
      </c>
      <c r="F1442" s="13">
        <f>'БД_УСЛУГИ_РО'!P1115</f>
        <v>9800</v>
      </c>
      <c r="G1442" s="29"/>
      <c r="H1442" s="5"/>
      <c r="I1442" s="2"/>
      <c r="J1442" s="83"/>
      <c r="K1442" s="84">
        <v>9800.0</v>
      </c>
      <c r="L1442" s="61"/>
      <c r="M1442" s="60"/>
      <c r="N1442" s="29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idden="1">
      <c r="A1443" s="2"/>
      <c r="B1443" s="57" t="s">
        <v>367</v>
      </c>
      <c r="C1443" s="11"/>
      <c r="D1443" s="11">
        <v>90.0</v>
      </c>
      <c r="E1443" s="12" t="s">
        <v>372</v>
      </c>
      <c r="F1443" s="13">
        <f>'БД_УСЛУГИ_РО'!P1116+'БД_ЗАПЧАСТИ'!P919</f>
        <v>8700</v>
      </c>
      <c r="G1443" s="29"/>
      <c r="H1443" s="101">
        <f>'БД_УСЛУГИ_РО'!P1116</f>
        <v>8700</v>
      </c>
      <c r="I1443" s="2"/>
      <c r="J1443" s="83"/>
      <c r="K1443" s="84">
        <v>8700.0</v>
      </c>
      <c r="L1443" s="61"/>
      <c r="M1443" s="60"/>
      <c r="N1443" s="29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idden="1">
      <c r="A1444" s="2"/>
      <c r="B1444" s="57" t="s">
        <v>367</v>
      </c>
      <c r="C1444" s="11"/>
      <c r="D1444" s="11">
        <v>90.0</v>
      </c>
      <c r="E1444" s="12" t="s">
        <v>373</v>
      </c>
      <c r="F1444" s="13">
        <f>'БД_УСЛУГИ_РО'!P1117+'БД_ЗАПЧАСТИ'!P879</f>
        <v>8700</v>
      </c>
      <c r="G1444" s="29"/>
      <c r="H1444" s="101">
        <f>'БД_УСЛУГИ_РО'!P1117</f>
        <v>8700</v>
      </c>
      <c r="I1444" s="2"/>
      <c r="J1444" s="83"/>
      <c r="K1444" s="84">
        <v>8700.0</v>
      </c>
      <c r="L1444" s="61"/>
      <c r="M1444" s="60"/>
      <c r="N1444" s="29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idden="1">
      <c r="A1445" s="2"/>
      <c r="B1445" s="57" t="s">
        <v>367</v>
      </c>
      <c r="C1445" s="11"/>
      <c r="D1445" s="11">
        <v>90.0</v>
      </c>
      <c r="E1445" s="32" t="s">
        <v>62</v>
      </c>
      <c r="F1445" s="13">
        <f>'БД_УСЛУГИ_РО'!P1118+'БД_ЗАПЧАСТИ'!P745</f>
        <v>17000</v>
      </c>
      <c r="G1445" s="29"/>
      <c r="H1445" s="101">
        <f>'БД_УСЛУГИ_РО'!P1118</f>
        <v>9300</v>
      </c>
      <c r="I1445" s="2"/>
      <c r="J1445" s="92"/>
      <c r="K1445" s="93">
        <v>17000.0</v>
      </c>
      <c r="L1445" s="65"/>
      <c r="M1445" s="94"/>
      <c r="N1445" s="33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idden="1">
      <c r="A1446" s="2"/>
      <c r="B1446" s="57" t="s">
        <v>367</v>
      </c>
      <c r="C1446" s="11"/>
      <c r="D1446" s="11">
        <v>90.0</v>
      </c>
      <c r="E1446" s="12" t="s">
        <v>63</v>
      </c>
      <c r="F1446" s="13">
        <f>'БД_УСЛУГИ_РО'!P1119</f>
        <v>8800</v>
      </c>
      <c r="G1446" s="29"/>
      <c r="H1446" s="5"/>
      <c r="I1446" s="2"/>
      <c r="J1446" s="92"/>
      <c r="K1446" s="93">
        <v>8800.0</v>
      </c>
      <c r="L1446" s="65"/>
      <c r="M1446" s="94"/>
      <c r="N1446" s="33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idden="1">
      <c r="A1447" s="2"/>
      <c r="B1447" s="57" t="s">
        <v>367</v>
      </c>
      <c r="C1447" s="11"/>
      <c r="D1447" s="11">
        <v>90.0</v>
      </c>
      <c r="E1447" s="12" t="s">
        <v>64</v>
      </c>
      <c r="F1447" s="13">
        <f>'БД_УСЛУГИ_РО'!P1121</f>
        <v>10300</v>
      </c>
      <c r="G1447" s="29"/>
      <c r="H1447" s="5"/>
      <c r="I1447" s="2"/>
      <c r="J1447" s="92"/>
      <c r="K1447" s="93">
        <v>10300.0</v>
      </c>
      <c r="L1447" s="65"/>
      <c r="M1447" s="94"/>
      <c r="N1447" s="33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idden="1">
      <c r="A1448" s="2"/>
      <c r="B1448" s="57" t="s">
        <v>367</v>
      </c>
      <c r="C1448" s="11"/>
      <c r="D1448" s="11">
        <v>90.0</v>
      </c>
      <c r="E1448" s="12" t="s">
        <v>65</v>
      </c>
      <c r="F1448" s="13">
        <f>'БД_УСЛУГИ_РО'!P1120+'БД_УСЛУГИ_РО'!P1122</f>
        <v>22100</v>
      </c>
      <c r="G1448" s="29"/>
      <c r="H1448" s="5"/>
      <c r="I1448" s="2"/>
      <c r="J1448" s="92"/>
      <c r="K1448" s="93">
        <v>22100.0</v>
      </c>
      <c r="L1448" s="65"/>
      <c r="M1448" s="94"/>
      <c r="N1448" s="33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idden="1">
      <c r="A1449" s="2"/>
      <c r="B1449" s="69" t="s">
        <v>367</v>
      </c>
      <c r="C1449" s="36"/>
      <c r="D1449" s="36">
        <v>90.0</v>
      </c>
      <c r="E1449" s="70" t="s">
        <v>66</v>
      </c>
      <c r="F1449" s="38">
        <f>'БД_УСЛУГИ_РО'!P1120+'БД_УСЛУГИ_РО'!P1123</f>
        <v>22600</v>
      </c>
      <c r="G1449" s="39"/>
      <c r="H1449" s="5"/>
      <c r="I1449" s="2"/>
      <c r="J1449" s="91"/>
      <c r="K1449" s="89">
        <v>22600.0</v>
      </c>
      <c r="L1449" s="73"/>
      <c r="M1449" s="74"/>
      <c r="N1449" s="39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idden="1">
      <c r="A1450" s="2"/>
      <c r="B1450" s="1"/>
      <c r="C1450" s="1"/>
      <c r="D1450" s="95"/>
      <c r="E1450" s="30"/>
      <c r="F1450" s="80"/>
      <c r="G1450" s="76"/>
      <c r="H1450" s="5"/>
      <c r="I1450" s="2"/>
      <c r="J1450" s="2"/>
      <c r="K1450" s="2" t="s">
        <v>22</v>
      </c>
      <c r="L1450" s="2"/>
      <c r="M1450" s="3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2"/>
      <c r="B1451" s="41" t="s">
        <v>374</v>
      </c>
      <c r="C1451" s="42"/>
      <c r="D1451" s="42">
        <v>0.0</v>
      </c>
      <c r="E1451" s="51" t="s">
        <v>24</v>
      </c>
      <c r="F1451" s="44">
        <f>'БД_УСЛУГИ_РО'!P1124</f>
        <v>1</v>
      </c>
      <c r="G1451" s="78"/>
      <c r="H1451" s="5"/>
      <c r="I1451" s="2"/>
      <c r="J1451" s="81"/>
      <c r="K1451" s="82">
        <v>1.0</v>
      </c>
      <c r="L1451" s="55"/>
      <c r="M1451" s="56"/>
      <c r="N1451" s="5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2"/>
      <c r="B1452" s="57" t="s">
        <v>374</v>
      </c>
      <c r="C1452" s="11"/>
      <c r="D1452" s="11">
        <v>0.0</v>
      </c>
      <c r="E1452" s="12" t="s">
        <v>26</v>
      </c>
      <c r="F1452" s="13">
        <f>'БД_УСЛУГИ_РО'!P1125+'БД_УСЛУГИ_РО'!P1126</f>
        <v>4000</v>
      </c>
      <c r="G1452" s="29"/>
      <c r="H1452" s="5"/>
      <c r="I1452" s="2"/>
      <c r="J1452" s="83"/>
      <c r="K1452" s="84">
        <v>4000.0</v>
      </c>
      <c r="L1452" s="61"/>
      <c r="M1452" s="60"/>
      <c r="N1452" s="29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2"/>
      <c r="B1453" s="57" t="s">
        <v>374</v>
      </c>
      <c r="C1453" s="11"/>
      <c r="D1453" s="11">
        <v>0.0</v>
      </c>
      <c r="E1453" s="32" t="s">
        <v>27</v>
      </c>
      <c r="F1453" s="13">
        <f>'БД_УСЛУГИ_РО'!P1127</f>
        <v>700</v>
      </c>
      <c r="G1453" s="33" t="str">
        <f>MIN(F1453:F1454) &amp; " - " &amp; MAX(F1453:F1454)</f>
        <v>700 - 8300</v>
      </c>
      <c r="H1453" s="5"/>
      <c r="I1453" s="2"/>
      <c r="J1453" s="83"/>
      <c r="K1453" s="84">
        <v>700.0</v>
      </c>
      <c r="L1453" s="61"/>
      <c r="M1453" s="60"/>
      <c r="N1453" s="29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2"/>
      <c r="B1454" s="57" t="s">
        <v>374</v>
      </c>
      <c r="C1454" s="11"/>
      <c r="D1454" s="11">
        <v>0.0</v>
      </c>
      <c r="E1454" s="32" t="s">
        <v>28</v>
      </c>
      <c r="F1454" s="13">
        <f>'БД_УСЛУГИ_РО'!P1128</f>
        <v>8300</v>
      </c>
      <c r="G1454" s="28"/>
      <c r="H1454" s="5"/>
      <c r="I1454" s="2"/>
      <c r="J1454" s="83"/>
      <c r="K1454" s="84">
        <v>8300.0</v>
      </c>
      <c r="L1454" s="61"/>
      <c r="M1454" s="60"/>
      <c r="N1454" s="29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2"/>
      <c r="B1455" s="57" t="s">
        <v>374</v>
      </c>
      <c r="C1455" s="11"/>
      <c r="D1455" s="11">
        <v>180.0</v>
      </c>
      <c r="E1455" s="12" t="s">
        <v>202</v>
      </c>
      <c r="F1455" s="13">
        <f>'БД_УСЛУГИ_РО'!P1129</f>
        <v>10100</v>
      </c>
      <c r="G1455" s="33" t="str">
        <f>IFERROR(__xludf.DUMMYFUNCTION("MIN(FILTER(F1455:F1460, F1455:F1460 &lt;&gt; H1455:H1460)) &amp; "" - "" &amp; MAX(FILTER(F1455:F1460, F1455:F1460 &lt;&gt; H1455:H1460))"),"#N/A")</f>
        <v>#N/A</v>
      </c>
      <c r="H1455" s="101">
        <f>'БД_УСЛУГИ_РО'!P1129</f>
        <v>10100</v>
      </c>
      <c r="I1455" s="2"/>
      <c r="J1455" s="92" t="str">
        <f>IFERROR(__xludf.DUMMYFUNCTION("MIN(FILTER(F1455:F1460, F1455:F1460 &lt;&gt; H1455:H1460, F1455:F1460 &lt;&gt; """"))"),"#N/A")</f>
        <v>#N/A</v>
      </c>
      <c r="K1455" s="84">
        <v>10100.0</v>
      </c>
      <c r="L1455" s="31"/>
      <c r="M1455" s="60"/>
      <c r="N1455" s="29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2"/>
      <c r="B1456" s="57" t="s">
        <v>374</v>
      </c>
      <c r="C1456" s="11"/>
      <c r="D1456" s="11">
        <v>180.0</v>
      </c>
      <c r="E1456" s="12" t="s">
        <v>203</v>
      </c>
      <c r="F1456" s="13">
        <f>'БД_УСЛУГИ_РО'!P1129</f>
        <v>10100</v>
      </c>
      <c r="G1456" s="19"/>
      <c r="H1456" s="101">
        <f>'БД_УСЛУГИ_РО'!P1129</f>
        <v>10100</v>
      </c>
      <c r="I1456" s="2"/>
      <c r="J1456" s="103"/>
      <c r="K1456" s="84">
        <v>10100.0</v>
      </c>
      <c r="L1456" s="104"/>
      <c r="M1456" s="60"/>
      <c r="N1456" s="29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2"/>
      <c r="B1457" s="57" t="s">
        <v>374</v>
      </c>
      <c r="C1457" s="11"/>
      <c r="D1457" s="11">
        <v>180.0</v>
      </c>
      <c r="E1457" s="12" t="s">
        <v>32</v>
      </c>
      <c r="F1457" s="13">
        <f>'БД_УСЛУГИ_РО'!P1129</f>
        <v>10100</v>
      </c>
      <c r="G1457" s="19"/>
      <c r="H1457" s="101">
        <f>'БД_УСЛУГИ_РО'!P1129</f>
        <v>10100</v>
      </c>
      <c r="I1457" s="2"/>
      <c r="J1457" s="103"/>
      <c r="K1457" s="84">
        <v>10100.0</v>
      </c>
      <c r="L1457" s="104"/>
      <c r="M1457" s="60"/>
      <c r="N1457" s="29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2"/>
      <c r="B1458" s="57" t="s">
        <v>374</v>
      </c>
      <c r="C1458" s="11"/>
      <c r="D1458" s="11">
        <v>180.0</v>
      </c>
      <c r="E1458" s="12" t="s">
        <v>33</v>
      </c>
      <c r="F1458" s="13">
        <f>'БД_УСЛУГИ_РО'!P1129</f>
        <v>10100</v>
      </c>
      <c r="G1458" s="19"/>
      <c r="H1458" s="101">
        <f>'БД_УСЛУГИ_РО'!P1129</f>
        <v>10100</v>
      </c>
      <c r="I1458" s="2"/>
      <c r="J1458" s="103"/>
      <c r="K1458" s="84">
        <v>10100.0</v>
      </c>
      <c r="L1458" s="104"/>
      <c r="M1458" s="60"/>
      <c r="N1458" s="29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2"/>
      <c r="B1459" s="57" t="s">
        <v>374</v>
      </c>
      <c r="C1459" s="11"/>
      <c r="D1459" s="11">
        <v>180.0</v>
      </c>
      <c r="E1459" s="12" t="s">
        <v>34</v>
      </c>
      <c r="F1459" s="13">
        <f>'БД_УСЛУГИ_РО'!P1129</f>
        <v>10100</v>
      </c>
      <c r="G1459" s="19"/>
      <c r="H1459" s="101">
        <f>'БД_УСЛУГИ_РО'!P1129</f>
        <v>10100</v>
      </c>
      <c r="I1459" s="2"/>
      <c r="J1459" s="87"/>
      <c r="K1459" s="84">
        <v>10100.0</v>
      </c>
      <c r="L1459" s="67"/>
      <c r="M1459" s="60"/>
      <c r="N1459" s="29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2"/>
      <c r="B1460" s="57" t="s">
        <v>374</v>
      </c>
      <c r="C1460" s="11"/>
      <c r="D1460" s="11">
        <v>180.0</v>
      </c>
      <c r="E1460" s="12" t="s">
        <v>35</v>
      </c>
      <c r="F1460" s="13"/>
      <c r="G1460" s="28"/>
      <c r="H1460" s="5"/>
      <c r="I1460" s="2"/>
      <c r="J1460" s="83"/>
      <c r="K1460" s="84" t="s">
        <v>22</v>
      </c>
      <c r="L1460" s="61"/>
      <c r="M1460" s="60"/>
      <c r="N1460" s="29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2"/>
      <c r="B1461" s="57" t="s">
        <v>374</v>
      </c>
      <c r="C1461" s="11"/>
      <c r="D1461" s="11">
        <v>90.0</v>
      </c>
      <c r="E1461" s="12" t="s">
        <v>375</v>
      </c>
      <c r="F1461" s="13">
        <f>'БД_УСЛУГИ_РО'!P1131+'БД_ЗАПЧАСТИ'!P748</f>
        <v>19300</v>
      </c>
      <c r="G1461" s="29"/>
      <c r="H1461" s="101">
        <f>'БД_УСЛУГИ_РО'!P1131</f>
        <v>10500</v>
      </c>
      <c r="I1461" s="2"/>
      <c r="J1461" s="83"/>
      <c r="K1461" s="84">
        <v>19300.0</v>
      </c>
      <c r="L1461" s="61"/>
      <c r="M1461" s="60"/>
      <c r="N1461" s="29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2"/>
      <c r="B1462" s="57" t="s">
        <v>374</v>
      </c>
      <c r="C1462" s="11"/>
      <c r="D1462" s="11">
        <v>90.0</v>
      </c>
      <c r="E1462" s="12" t="s">
        <v>205</v>
      </c>
      <c r="F1462" s="13">
        <f>'БД_УСЛУГИ_РО'!P1132+'БД_ЗАПЧАСТИ'!P315</f>
        <v>47150</v>
      </c>
      <c r="G1462" s="33" t="str">
        <f>IFERROR(__xludf.DUMMYFUNCTION("MIN(FILTER(F1462:F1468, F1462:F1468 &lt;&gt; H1462:H1468)) &amp; "" - "" &amp; MAX(FILTER(F1462:F1468, F1462:F1468 &lt;&gt; H1462:H1468))"),"42050 - 47150")</f>
        <v>42050 - 47150</v>
      </c>
      <c r="H1462" s="101">
        <f>'БД_УСЛУГИ_РО'!P1132</f>
        <v>8400</v>
      </c>
      <c r="I1462" s="2"/>
      <c r="J1462" s="86">
        <f>IFERROR(__xludf.DUMMYFUNCTION("MIN(FILTER(F1462:F1466, F1462:F1466 &lt;&gt; H1462:H1466, F1462:F1466 &lt;&gt; """"))"),42050.0)</f>
        <v>42050</v>
      </c>
      <c r="K1462" s="84">
        <v>47150.0</v>
      </c>
      <c r="L1462" s="65"/>
      <c r="M1462" s="60"/>
      <c r="N1462" s="29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2"/>
      <c r="B1463" s="57" t="s">
        <v>374</v>
      </c>
      <c r="C1463" s="11"/>
      <c r="D1463" s="11">
        <v>90.0</v>
      </c>
      <c r="E1463" s="12" t="s">
        <v>39</v>
      </c>
      <c r="F1463" s="13">
        <f>'БД_УСЛУГИ_РО'!P1132+'БД_ЗАПЧАСТИ'!P316</f>
        <v>42800</v>
      </c>
      <c r="G1463" s="19"/>
      <c r="H1463" s="101">
        <f>'БД_УСЛУГИ_РО'!P1132</f>
        <v>8400</v>
      </c>
      <c r="I1463" s="2"/>
      <c r="J1463" s="103"/>
      <c r="K1463" s="84">
        <v>42800.0</v>
      </c>
      <c r="L1463" s="104"/>
      <c r="M1463" s="60"/>
      <c r="N1463" s="29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2"/>
      <c r="B1464" s="57" t="s">
        <v>374</v>
      </c>
      <c r="C1464" s="11"/>
      <c r="D1464" s="11">
        <v>90.0</v>
      </c>
      <c r="E1464" s="12" t="s">
        <v>40</v>
      </c>
      <c r="F1464" s="13">
        <f>'БД_УСЛУГИ_РО'!P1132+'БД_ЗАПЧАСТИ'!P317</f>
        <v>42050</v>
      </c>
      <c r="G1464" s="19"/>
      <c r="H1464" s="101">
        <f>'БД_УСЛУГИ_РО'!P1132</f>
        <v>8400</v>
      </c>
      <c r="I1464" s="2"/>
      <c r="J1464" s="103"/>
      <c r="K1464" s="84">
        <v>42050.0</v>
      </c>
      <c r="L1464" s="104"/>
      <c r="M1464" s="60"/>
      <c r="N1464" s="29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2"/>
      <c r="B1465" s="57" t="s">
        <v>374</v>
      </c>
      <c r="C1465" s="11"/>
      <c r="D1465" s="11">
        <v>90.0</v>
      </c>
      <c r="E1465" s="12" t="s">
        <v>42</v>
      </c>
      <c r="F1465" s="13">
        <f>'БД_УСЛУГИ_РО'!P1132+'БД_ЗАПЧАСТИ'!P318</f>
        <v>8400</v>
      </c>
      <c r="G1465" s="19"/>
      <c r="H1465" s="101">
        <f>'БД_УСЛУГИ_РО'!P1132</f>
        <v>8400</v>
      </c>
      <c r="I1465" s="2"/>
      <c r="J1465" s="103"/>
      <c r="K1465" s="84">
        <v>8400.0</v>
      </c>
      <c r="L1465" s="104"/>
      <c r="M1465" s="60"/>
      <c r="N1465" s="29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2"/>
      <c r="B1466" s="57" t="s">
        <v>374</v>
      </c>
      <c r="C1466" s="11"/>
      <c r="D1466" s="11">
        <v>90.0</v>
      </c>
      <c r="E1466" s="12" t="s">
        <v>43</v>
      </c>
      <c r="F1466" s="13">
        <f>'БД_УСЛУГИ_РО'!P1132+'БД_ЗАПЧАСТИ'!P319</f>
        <v>8400</v>
      </c>
      <c r="G1466" s="19"/>
      <c r="H1466" s="101">
        <f>'БД_УСЛУГИ_РО'!P1132</f>
        <v>8400</v>
      </c>
      <c r="I1466" s="2"/>
      <c r="J1466" s="87"/>
      <c r="K1466" s="84">
        <v>8400.0</v>
      </c>
      <c r="L1466" s="67"/>
      <c r="M1466" s="60"/>
      <c r="N1466" s="29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2"/>
      <c r="B1467" s="57" t="s">
        <v>374</v>
      </c>
      <c r="C1467" s="11"/>
      <c r="D1467" s="11">
        <v>90.0</v>
      </c>
      <c r="E1467" s="12" t="s">
        <v>45</v>
      </c>
      <c r="F1467" s="13">
        <f>'БД_УСЛУГИ_РО'!P1132</f>
        <v>8400</v>
      </c>
      <c r="G1467" s="19"/>
      <c r="H1467" s="101">
        <f>'БД_УСЛУГИ_РО'!P1132</f>
        <v>8400</v>
      </c>
      <c r="I1467" s="2"/>
      <c r="J1467" s="92" t="str">
        <f>IFERROR(__xludf.DUMMYFUNCTION("MIN(FILTER(F1467:F1468, F1467:F1468 &lt;&gt; H1467:H1468, F1467:F1468 &lt;&gt; """"))"),"#N/A")</f>
        <v>#N/A</v>
      </c>
      <c r="K1467" s="84">
        <v>8400.0</v>
      </c>
      <c r="L1467" s="65"/>
      <c r="M1467" s="60"/>
      <c r="N1467" s="29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2"/>
      <c r="B1468" s="57" t="s">
        <v>374</v>
      </c>
      <c r="C1468" s="11"/>
      <c r="D1468" s="11">
        <v>90.0</v>
      </c>
      <c r="E1468" s="12" t="s">
        <v>46</v>
      </c>
      <c r="F1468" s="13">
        <f>'БД_УСЛУГИ_РО'!P1132</f>
        <v>8400</v>
      </c>
      <c r="G1468" s="28"/>
      <c r="H1468" s="101">
        <f>'БД_УСЛУГИ_РО'!P1132</f>
        <v>8400</v>
      </c>
      <c r="I1468" s="2"/>
      <c r="J1468" s="87"/>
      <c r="K1468" s="84">
        <v>8400.0</v>
      </c>
      <c r="L1468" s="67"/>
      <c r="M1468" s="60"/>
      <c r="N1468" s="29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2"/>
      <c r="B1469" s="57" t="s">
        <v>374</v>
      </c>
      <c r="C1469" s="11"/>
      <c r="D1469" s="11">
        <v>90.0</v>
      </c>
      <c r="E1469" s="12" t="s">
        <v>47</v>
      </c>
      <c r="F1469" s="13">
        <f>'БД_УСЛУГИ_РО'!P1133</f>
        <v>7700</v>
      </c>
      <c r="G1469" s="29"/>
      <c r="H1469" s="5"/>
      <c r="I1469" s="2"/>
      <c r="J1469" s="83"/>
      <c r="K1469" s="84">
        <v>7700.0</v>
      </c>
      <c r="L1469" s="61"/>
      <c r="M1469" s="60"/>
      <c r="N1469" s="29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2"/>
      <c r="B1470" s="57" t="s">
        <v>374</v>
      </c>
      <c r="C1470" s="11"/>
      <c r="D1470" s="11">
        <v>90.0</v>
      </c>
      <c r="E1470" s="12" t="s">
        <v>376</v>
      </c>
      <c r="F1470" s="13">
        <f>'БД_УСЛУГИ_РО'!P1134</f>
        <v>38500</v>
      </c>
      <c r="G1470" s="29"/>
      <c r="H1470" s="5"/>
      <c r="I1470" s="2"/>
      <c r="J1470" s="83"/>
      <c r="K1470" s="84">
        <v>38500.0</v>
      </c>
      <c r="L1470" s="61"/>
      <c r="M1470" s="60"/>
      <c r="N1470" s="29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2"/>
      <c r="B1471" s="57" t="s">
        <v>374</v>
      </c>
      <c r="C1471" s="11"/>
      <c r="D1471" s="11">
        <v>90.0</v>
      </c>
      <c r="E1471" s="12" t="s">
        <v>377</v>
      </c>
      <c r="F1471" s="13">
        <f>'БД_УСЛУГИ_РО'!P1135+'БД_ЗАПЧАСТИ'!P791</f>
        <v>17200</v>
      </c>
      <c r="G1471" s="29"/>
      <c r="H1471" s="101">
        <f>'БД_УСЛУГИ_РО'!P1135</f>
        <v>8400</v>
      </c>
      <c r="I1471" s="2"/>
      <c r="J1471" s="83"/>
      <c r="K1471" s="84">
        <v>17200.0</v>
      </c>
      <c r="L1471" s="61"/>
      <c r="M1471" s="60"/>
      <c r="N1471" s="29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2"/>
      <c r="B1472" s="57" t="s">
        <v>374</v>
      </c>
      <c r="C1472" s="11"/>
      <c r="D1472" s="11">
        <v>90.0</v>
      </c>
      <c r="E1472" s="12" t="s">
        <v>378</v>
      </c>
      <c r="F1472" s="13">
        <f>'БД_УСЛУГИ_РО'!P1136+'БД_ЗАПЧАСТИ'!P835</f>
        <v>18500</v>
      </c>
      <c r="G1472" s="29"/>
      <c r="H1472" s="101">
        <f>'БД_УСЛУГИ_РО'!P1136</f>
        <v>9000</v>
      </c>
      <c r="I1472" s="2"/>
      <c r="J1472" s="83"/>
      <c r="K1472" s="84">
        <v>18500.0</v>
      </c>
      <c r="L1472" s="61"/>
      <c r="M1472" s="60"/>
      <c r="N1472" s="29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2"/>
      <c r="B1473" s="57" t="s">
        <v>374</v>
      </c>
      <c r="C1473" s="11"/>
      <c r="D1473" s="11">
        <v>180.0</v>
      </c>
      <c r="E1473" s="12" t="s">
        <v>52</v>
      </c>
      <c r="F1473" s="13">
        <f>'БД_УСЛУГИ_РО'!P1137+'БД_ЗАПЧАСТИ'!P583</f>
        <v>9600</v>
      </c>
      <c r="G1473" s="29"/>
      <c r="H1473" s="101">
        <f>'БД_УСЛУГИ_РО'!P1137</f>
        <v>6100</v>
      </c>
      <c r="I1473" s="2"/>
      <c r="J1473" s="83"/>
      <c r="K1473" s="84">
        <v>9600.0</v>
      </c>
      <c r="L1473" s="61"/>
      <c r="M1473" s="60"/>
      <c r="N1473" s="29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2"/>
      <c r="B1474" s="57" t="s">
        <v>374</v>
      </c>
      <c r="C1474" s="11"/>
      <c r="D1474" s="11">
        <v>90.0</v>
      </c>
      <c r="E1474" s="12" t="s">
        <v>53</v>
      </c>
      <c r="F1474" s="13">
        <f>'БД_УСЛУГИ_РО'!P1138</f>
        <v>10800</v>
      </c>
      <c r="G1474" s="29"/>
      <c r="H1474" s="5"/>
      <c r="I1474" s="2"/>
      <c r="J1474" s="92"/>
      <c r="K1474" s="93">
        <v>10800.0</v>
      </c>
      <c r="L1474" s="65"/>
      <c r="M1474" s="94"/>
      <c r="N1474" s="33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2"/>
      <c r="B1475" s="57" t="s">
        <v>374</v>
      </c>
      <c r="C1475" s="11"/>
      <c r="D1475" s="11">
        <v>180.0</v>
      </c>
      <c r="E1475" s="12" t="s">
        <v>54</v>
      </c>
      <c r="F1475" s="13">
        <f>'БД_УСЛУГИ_РО'!P1139+'БД_ЗАПЧАСТИ'!P536</f>
        <v>19000</v>
      </c>
      <c r="G1475" s="33" t="str">
        <f>MIN(F1475:F1476) &amp; " - " &amp; MAX(F1475:F1476)</f>
        <v>12000 - 19000</v>
      </c>
      <c r="H1475" s="101">
        <f>'БД_УСЛУГИ_РО'!P1139</f>
        <v>7000</v>
      </c>
      <c r="I1475" s="2"/>
      <c r="J1475" s="86">
        <f>IFERROR(__xludf.DUMMYFUNCTION("MIN(FILTER(F1475:F1476, F1475:F1476 &lt;&gt; H1475:H1476, F1475:F1476 &lt;&gt; """"))"),12000.0)</f>
        <v>12000</v>
      </c>
      <c r="K1475" s="93">
        <v>19000.0</v>
      </c>
      <c r="L1475" s="65"/>
      <c r="M1475" s="94"/>
      <c r="N1475" s="33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2"/>
      <c r="B1476" s="57" t="s">
        <v>374</v>
      </c>
      <c r="C1476" s="11"/>
      <c r="D1476" s="11">
        <v>180.0</v>
      </c>
      <c r="E1476" s="12" t="s">
        <v>55</v>
      </c>
      <c r="F1476" s="13">
        <f>'БД_УСЛУГИ_РО'!P1139+'БД_ЗАПЧАСТИ'!P539</f>
        <v>12000</v>
      </c>
      <c r="G1476" s="28"/>
      <c r="H1476" s="101">
        <f>'БД_УСЛУГИ_РО'!P1139</f>
        <v>7000</v>
      </c>
      <c r="I1476" s="2"/>
      <c r="J1476" s="87"/>
      <c r="K1476" s="93">
        <v>12000.0</v>
      </c>
      <c r="L1476" s="65"/>
      <c r="M1476" s="94"/>
      <c r="N1476" s="33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2"/>
      <c r="B1477" s="57" t="s">
        <v>374</v>
      </c>
      <c r="C1477" s="11"/>
      <c r="D1477" s="11">
        <v>180.0</v>
      </c>
      <c r="E1477" s="12" t="s">
        <v>56</v>
      </c>
      <c r="F1477" s="13">
        <f>'БД_УСЛУГИ_РО'!P1140</f>
        <v>13100</v>
      </c>
      <c r="G1477" s="29"/>
      <c r="H1477" s="101">
        <f>'БД_УСЛУГИ_РО'!P1140</f>
        <v>13100</v>
      </c>
      <c r="I1477" s="2"/>
      <c r="J1477" s="92"/>
      <c r="K1477" s="93">
        <v>13100.0</v>
      </c>
      <c r="L1477" s="65"/>
      <c r="M1477" s="94"/>
      <c r="N1477" s="33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2"/>
      <c r="B1478" s="57" t="s">
        <v>374</v>
      </c>
      <c r="C1478" s="11"/>
      <c r="D1478" s="11">
        <v>180.0</v>
      </c>
      <c r="E1478" s="12" t="s">
        <v>57</v>
      </c>
      <c r="F1478" s="13">
        <f>'БД_УСЛУГИ_РО'!P1141</f>
        <v>9600</v>
      </c>
      <c r="G1478" s="29"/>
      <c r="H1478" s="101">
        <f>'БД_УСЛУГИ_РО'!P1141</f>
        <v>9600</v>
      </c>
      <c r="I1478" s="2"/>
      <c r="J1478" s="83"/>
      <c r="K1478" s="84">
        <v>9600.0</v>
      </c>
      <c r="L1478" s="61"/>
      <c r="M1478" s="60"/>
      <c r="N1478" s="29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2"/>
      <c r="B1479" s="57" t="s">
        <v>374</v>
      </c>
      <c r="C1479" s="11"/>
      <c r="D1479" s="11">
        <v>90.0</v>
      </c>
      <c r="E1479" s="12" t="s">
        <v>59</v>
      </c>
      <c r="F1479" s="13">
        <f>'БД_УСЛУГИ_РО'!P1142</f>
        <v>9800</v>
      </c>
      <c r="G1479" s="29"/>
      <c r="H1479" s="5"/>
      <c r="I1479" s="2"/>
      <c r="J1479" s="83"/>
      <c r="K1479" s="84">
        <v>9800.0</v>
      </c>
      <c r="L1479" s="61"/>
      <c r="M1479" s="60"/>
      <c r="N1479" s="29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2"/>
      <c r="B1480" s="57" t="s">
        <v>374</v>
      </c>
      <c r="C1480" s="11"/>
      <c r="D1480" s="11">
        <v>90.0</v>
      </c>
      <c r="E1480" s="12" t="s">
        <v>379</v>
      </c>
      <c r="F1480" s="13">
        <f>'БД_УСЛУГИ_РО'!P1143+'БД_ЗАПЧАСТИ'!P920</f>
        <v>8700</v>
      </c>
      <c r="G1480" s="29"/>
      <c r="H1480" s="101">
        <f>'БД_УСЛУГИ_РО'!P1143</f>
        <v>8700</v>
      </c>
      <c r="I1480" s="2"/>
      <c r="J1480" s="83"/>
      <c r="K1480" s="84">
        <v>8700.0</v>
      </c>
      <c r="L1480" s="61"/>
      <c r="M1480" s="60"/>
      <c r="N1480" s="29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2"/>
      <c r="B1481" s="57" t="s">
        <v>374</v>
      </c>
      <c r="C1481" s="11"/>
      <c r="D1481" s="11">
        <v>90.0</v>
      </c>
      <c r="E1481" s="12" t="s">
        <v>380</v>
      </c>
      <c r="F1481" s="13">
        <f>'БД_УСЛУГИ_РО'!P1144+'БД_ЗАПЧАСТИ'!P880</f>
        <v>8700</v>
      </c>
      <c r="G1481" s="29"/>
      <c r="H1481" s="101">
        <f>'БД_УСЛУГИ_РО'!P1144</f>
        <v>8700</v>
      </c>
      <c r="I1481" s="2"/>
      <c r="J1481" s="83"/>
      <c r="K1481" s="84">
        <v>8700.0</v>
      </c>
      <c r="L1481" s="61"/>
      <c r="M1481" s="60"/>
      <c r="N1481" s="29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2"/>
      <c r="B1482" s="57" t="s">
        <v>374</v>
      </c>
      <c r="C1482" s="11"/>
      <c r="D1482" s="11">
        <v>90.0</v>
      </c>
      <c r="E1482" s="32" t="s">
        <v>62</v>
      </c>
      <c r="F1482" s="13">
        <f>'БД_УСЛУГИ_РО'!P1145+'БД_ЗАПЧАСТИ'!P748</f>
        <v>18100</v>
      </c>
      <c r="G1482" s="29"/>
      <c r="H1482" s="101">
        <f>'БД_УСЛУГИ_РО'!P1145</f>
        <v>9300</v>
      </c>
      <c r="I1482" s="2"/>
      <c r="J1482" s="92"/>
      <c r="K1482" s="93">
        <v>18100.0</v>
      </c>
      <c r="L1482" s="65"/>
      <c r="M1482" s="94"/>
      <c r="N1482" s="33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2"/>
      <c r="B1483" s="57" t="s">
        <v>374</v>
      </c>
      <c r="C1483" s="11"/>
      <c r="D1483" s="11">
        <v>90.0</v>
      </c>
      <c r="E1483" s="12" t="s">
        <v>63</v>
      </c>
      <c r="F1483" s="13">
        <f>'БД_УСЛУГИ_РО'!P1146</f>
        <v>8800</v>
      </c>
      <c r="G1483" s="29"/>
      <c r="H1483" s="5"/>
      <c r="I1483" s="2"/>
      <c r="J1483" s="92"/>
      <c r="K1483" s="93">
        <v>8800.0</v>
      </c>
      <c r="L1483" s="65"/>
      <c r="M1483" s="94"/>
      <c r="N1483" s="33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2"/>
      <c r="B1484" s="57" t="s">
        <v>374</v>
      </c>
      <c r="C1484" s="11"/>
      <c r="D1484" s="11">
        <v>90.0</v>
      </c>
      <c r="E1484" s="12" t="s">
        <v>64</v>
      </c>
      <c r="F1484" s="13">
        <f>'БД_УСЛУГИ_РО'!P1148</f>
        <v>10300</v>
      </c>
      <c r="G1484" s="29"/>
      <c r="H1484" s="5"/>
      <c r="I1484" s="2"/>
      <c r="J1484" s="92"/>
      <c r="K1484" s="93">
        <v>10300.0</v>
      </c>
      <c r="L1484" s="65"/>
      <c r="M1484" s="94"/>
      <c r="N1484" s="33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2"/>
      <c r="B1485" s="57" t="s">
        <v>374</v>
      </c>
      <c r="C1485" s="11"/>
      <c r="D1485" s="11">
        <v>90.0</v>
      </c>
      <c r="E1485" s="12" t="s">
        <v>65</v>
      </c>
      <c r="F1485" s="13">
        <f>'БД_УСЛУГИ_РО'!P1147+'БД_УСЛУГИ_РО'!P1149</f>
        <v>22100</v>
      </c>
      <c r="G1485" s="29"/>
      <c r="H1485" s="5"/>
      <c r="I1485" s="2"/>
      <c r="J1485" s="92"/>
      <c r="K1485" s="93">
        <v>22100.0</v>
      </c>
      <c r="L1485" s="65"/>
      <c r="M1485" s="94"/>
      <c r="N1485" s="33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2"/>
      <c r="B1486" s="69" t="s">
        <v>374</v>
      </c>
      <c r="C1486" s="36"/>
      <c r="D1486" s="36">
        <v>90.0</v>
      </c>
      <c r="E1486" s="70" t="s">
        <v>66</v>
      </c>
      <c r="F1486" s="38">
        <f>'БД_УСЛУГИ_РО'!P1147+'БД_УСЛУГИ_РО'!P1150</f>
        <v>22600</v>
      </c>
      <c r="G1486" s="39"/>
      <c r="H1486" s="5"/>
      <c r="I1486" s="2"/>
      <c r="J1486" s="91"/>
      <c r="K1486" s="89">
        <v>22600.0</v>
      </c>
      <c r="L1486" s="73"/>
      <c r="M1486" s="74"/>
      <c r="N1486" s="39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2"/>
      <c r="B1487" s="1"/>
      <c r="C1487" s="1"/>
      <c r="D1487" s="1"/>
      <c r="E1487" s="30"/>
      <c r="F1487" s="80"/>
      <c r="G1487" s="2"/>
      <c r="H1487" s="5"/>
      <c r="I1487" s="2"/>
      <c r="J1487" s="2"/>
      <c r="K1487" s="2" t="s">
        <v>22</v>
      </c>
      <c r="L1487" s="2"/>
      <c r="M1487" s="3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</sheetData>
  <autoFilter ref="$B$2:$G$1486">
    <filterColumn colId="0">
      <filters>
        <filter val="iPhone 17 Pro Max"/>
      </filters>
    </filterColumn>
  </autoFilter>
  <mergeCells count="353">
    <mergeCell ref="G939:G940"/>
    <mergeCell ref="G941:G946"/>
    <mergeCell ref="J941:J945"/>
    <mergeCell ref="G948:G954"/>
    <mergeCell ref="J948:J952"/>
    <mergeCell ref="J953:J954"/>
    <mergeCell ref="G974:G975"/>
    <mergeCell ref="G976:G981"/>
    <mergeCell ref="J976:J980"/>
    <mergeCell ref="G983:G989"/>
    <mergeCell ref="J983:J987"/>
    <mergeCell ref="J988:J989"/>
    <mergeCell ref="G1009:G1010"/>
    <mergeCell ref="J1011:J1015"/>
    <mergeCell ref="J1092:J1096"/>
    <mergeCell ref="J1097:J1098"/>
    <mergeCell ref="J1055:J1059"/>
    <mergeCell ref="J1060:J1061"/>
    <mergeCell ref="G1068:G1069"/>
    <mergeCell ref="G1083:G1084"/>
    <mergeCell ref="G1085:G1090"/>
    <mergeCell ref="J1085:J1089"/>
    <mergeCell ref="G1092:G1098"/>
    <mergeCell ref="G1105:G1106"/>
    <mergeCell ref="G1120:G1121"/>
    <mergeCell ref="G1122:G1127"/>
    <mergeCell ref="J1122:J1126"/>
    <mergeCell ref="G1129:G1135"/>
    <mergeCell ref="J1129:J1133"/>
    <mergeCell ref="J1134:J1135"/>
    <mergeCell ref="G1142:G1143"/>
    <mergeCell ref="G1157:G1158"/>
    <mergeCell ref="G1159:G1164"/>
    <mergeCell ref="J1159:J1163"/>
    <mergeCell ref="G1166:G1172"/>
    <mergeCell ref="J1166:J1170"/>
    <mergeCell ref="J1171:J1172"/>
    <mergeCell ref="G1179:G1180"/>
    <mergeCell ref="G1194:G1195"/>
    <mergeCell ref="G1196:G1201"/>
    <mergeCell ref="J1196:J1200"/>
    <mergeCell ref="G1203:G1209"/>
    <mergeCell ref="J1203:J1207"/>
    <mergeCell ref="J1208:J1209"/>
    <mergeCell ref="G1216:G1217"/>
    <mergeCell ref="G1231:G1232"/>
    <mergeCell ref="G1233:G1238"/>
    <mergeCell ref="J1233:J1237"/>
    <mergeCell ref="G1240:G1246"/>
    <mergeCell ref="J1240:J1244"/>
    <mergeCell ref="J1245:J1246"/>
    <mergeCell ref="G1253:G1254"/>
    <mergeCell ref="G1268:G1269"/>
    <mergeCell ref="G1270:G1275"/>
    <mergeCell ref="J1270:J1274"/>
    <mergeCell ref="G1277:G1283"/>
    <mergeCell ref="J1277:J1281"/>
    <mergeCell ref="J1282:J1283"/>
    <mergeCell ref="G1290:G1291"/>
    <mergeCell ref="G1305:G1306"/>
    <mergeCell ref="G1307:G1312"/>
    <mergeCell ref="J1307:J1311"/>
    <mergeCell ref="G1314:G1320"/>
    <mergeCell ref="J1314:J1318"/>
    <mergeCell ref="J1319:J1320"/>
    <mergeCell ref="G1327:G1328"/>
    <mergeCell ref="G1342:G1343"/>
    <mergeCell ref="G1344:G1349"/>
    <mergeCell ref="J1344:J1348"/>
    <mergeCell ref="G1351:G1357"/>
    <mergeCell ref="J1351:J1355"/>
    <mergeCell ref="J1356:J1357"/>
    <mergeCell ref="G1364:G1365"/>
    <mergeCell ref="G1379:G1380"/>
    <mergeCell ref="G1381:G1386"/>
    <mergeCell ref="J1381:J1385"/>
    <mergeCell ref="G1388:G1394"/>
    <mergeCell ref="J1388:J1392"/>
    <mergeCell ref="J1393:J1394"/>
    <mergeCell ref="G1475:G1476"/>
    <mergeCell ref="J1475:J1476"/>
    <mergeCell ref="G1438:G1439"/>
    <mergeCell ref="G1453:G1454"/>
    <mergeCell ref="G1455:G1460"/>
    <mergeCell ref="J1455:J1459"/>
    <mergeCell ref="G1462:G1468"/>
    <mergeCell ref="J1462:J1466"/>
    <mergeCell ref="J1467:J1468"/>
    <mergeCell ref="G623:G629"/>
    <mergeCell ref="G631:G632"/>
    <mergeCell ref="G650:G651"/>
    <mergeCell ref="G652:G657"/>
    <mergeCell ref="J652:J656"/>
    <mergeCell ref="J659:J663"/>
    <mergeCell ref="J664:J665"/>
    <mergeCell ref="G659:G665"/>
    <mergeCell ref="G667:G668"/>
    <mergeCell ref="G686:G687"/>
    <mergeCell ref="G688:G693"/>
    <mergeCell ref="J688:J692"/>
    <mergeCell ref="J695:J699"/>
    <mergeCell ref="J700:J701"/>
    <mergeCell ref="G722:G723"/>
    <mergeCell ref="G724:G729"/>
    <mergeCell ref="J724:J728"/>
    <mergeCell ref="G731:G737"/>
    <mergeCell ref="J731:J735"/>
    <mergeCell ref="J736:J737"/>
    <mergeCell ref="G739:G740"/>
    <mergeCell ref="G758:G759"/>
    <mergeCell ref="G760:G764"/>
    <mergeCell ref="J760:J763"/>
    <mergeCell ref="G766:G772"/>
    <mergeCell ref="J766:J770"/>
    <mergeCell ref="J771:J772"/>
    <mergeCell ref="G774:G775"/>
    <mergeCell ref="G793:G794"/>
    <mergeCell ref="G795:G800"/>
    <mergeCell ref="J795:J799"/>
    <mergeCell ref="G802:G808"/>
    <mergeCell ref="J802:J806"/>
    <mergeCell ref="J807:J808"/>
    <mergeCell ref="G810:G811"/>
    <mergeCell ref="G829:G830"/>
    <mergeCell ref="G831:G836"/>
    <mergeCell ref="J831:J835"/>
    <mergeCell ref="G838:G844"/>
    <mergeCell ref="J838:J842"/>
    <mergeCell ref="J843:J844"/>
    <mergeCell ref="G846:G847"/>
    <mergeCell ref="G1401:G1402"/>
    <mergeCell ref="G1416:G1417"/>
    <mergeCell ref="G1418:G1423"/>
    <mergeCell ref="J1418:J1422"/>
    <mergeCell ref="G1425:G1431"/>
    <mergeCell ref="J1425:J1429"/>
    <mergeCell ref="J1430:J1431"/>
    <mergeCell ref="B3:B11"/>
    <mergeCell ref="G3:G7"/>
    <mergeCell ref="G15:G16"/>
    <mergeCell ref="G17:G23"/>
    <mergeCell ref="G25:G34"/>
    <mergeCell ref="G36:G37"/>
    <mergeCell ref="G42:G43"/>
    <mergeCell ref="G57:G58"/>
    <mergeCell ref="G61:G63"/>
    <mergeCell ref="J61:J62"/>
    <mergeCell ref="L61:L62"/>
    <mergeCell ref="G79:G80"/>
    <mergeCell ref="J83:J84"/>
    <mergeCell ref="L83:L84"/>
    <mergeCell ref="J127:J128"/>
    <mergeCell ref="L127:L128"/>
    <mergeCell ref="G83:G85"/>
    <mergeCell ref="G101:G102"/>
    <mergeCell ref="G105:G107"/>
    <mergeCell ref="J105:J106"/>
    <mergeCell ref="L105:L106"/>
    <mergeCell ref="G123:G124"/>
    <mergeCell ref="G127:G129"/>
    <mergeCell ref="G145:G146"/>
    <mergeCell ref="G149:G151"/>
    <mergeCell ref="J149:J150"/>
    <mergeCell ref="L149:L150"/>
    <mergeCell ref="G168:G169"/>
    <mergeCell ref="J172:J173"/>
    <mergeCell ref="L172:L173"/>
    <mergeCell ref="J220:J221"/>
    <mergeCell ref="L220:L221"/>
    <mergeCell ref="G172:G174"/>
    <mergeCell ref="G192:G193"/>
    <mergeCell ref="G196:G198"/>
    <mergeCell ref="J196:J197"/>
    <mergeCell ref="L196:L197"/>
    <mergeCell ref="G216:G217"/>
    <mergeCell ref="G220:G222"/>
    <mergeCell ref="J473:J474"/>
    <mergeCell ref="L473:L474"/>
    <mergeCell ref="G446:G448"/>
    <mergeCell ref="J446:J447"/>
    <mergeCell ref="L446:L447"/>
    <mergeCell ref="G449:G450"/>
    <mergeCell ref="G468:G469"/>
    <mergeCell ref="G470:G471"/>
    <mergeCell ref="G473:G475"/>
    <mergeCell ref="G240:G241"/>
    <mergeCell ref="G244:G246"/>
    <mergeCell ref="J244:J245"/>
    <mergeCell ref="L244:L245"/>
    <mergeCell ref="G264:G265"/>
    <mergeCell ref="J268:J269"/>
    <mergeCell ref="L268:L269"/>
    <mergeCell ref="J317:J318"/>
    <mergeCell ref="L317:L318"/>
    <mergeCell ref="G268:G270"/>
    <mergeCell ref="G288:G289"/>
    <mergeCell ref="G292:G294"/>
    <mergeCell ref="J292:J293"/>
    <mergeCell ref="L292:L293"/>
    <mergeCell ref="G313:G314"/>
    <mergeCell ref="G317:G319"/>
    <mergeCell ref="G338:G339"/>
    <mergeCell ref="G340:G341"/>
    <mergeCell ref="G343:G345"/>
    <mergeCell ref="J343:J344"/>
    <mergeCell ref="L343:L344"/>
    <mergeCell ref="G364:G365"/>
    <mergeCell ref="G366:G367"/>
    <mergeCell ref="G369:G371"/>
    <mergeCell ref="J369:J370"/>
    <mergeCell ref="G390:G391"/>
    <mergeCell ref="G392:G393"/>
    <mergeCell ref="G395:G397"/>
    <mergeCell ref="J395:J396"/>
    <mergeCell ref="L395:L396"/>
    <mergeCell ref="G415:G416"/>
    <mergeCell ref="G419:G421"/>
    <mergeCell ref="J419:J420"/>
    <mergeCell ref="L419:L420"/>
    <mergeCell ref="G422:G423"/>
    <mergeCell ref="G441:G442"/>
    <mergeCell ref="G443:G444"/>
    <mergeCell ref="G476:G477"/>
    <mergeCell ref="G495:G496"/>
    <mergeCell ref="G497:G498"/>
    <mergeCell ref="G500:G502"/>
    <mergeCell ref="J500:J501"/>
    <mergeCell ref="L500:L501"/>
    <mergeCell ref="G504:G505"/>
    <mergeCell ref="G523:G524"/>
    <mergeCell ref="G525:G526"/>
    <mergeCell ref="G528:G530"/>
    <mergeCell ref="J528:J529"/>
    <mergeCell ref="L528:L529"/>
    <mergeCell ref="G532:G533"/>
    <mergeCell ref="G551:G552"/>
    <mergeCell ref="J581:J585"/>
    <mergeCell ref="L581:L585"/>
    <mergeCell ref="G553:G554"/>
    <mergeCell ref="G556:G558"/>
    <mergeCell ref="J556:J557"/>
    <mergeCell ref="L556:L557"/>
    <mergeCell ref="G560:G561"/>
    <mergeCell ref="G579:G580"/>
    <mergeCell ref="G581:G586"/>
    <mergeCell ref="G588:G594"/>
    <mergeCell ref="J588:J592"/>
    <mergeCell ref="L588:L592"/>
    <mergeCell ref="J593:J594"/>
    <mergeCell ref="L593:L594"/>
    <mergeCell ref="G596:G597"/>
    <mergeCell ref="G615:G616"/>
    <mergeCell ref="G617:G621"/>
    <mergeCell ref="J617:J620"/>
    <mergeCell ref="L617:L620"/>
    <mergeCell ref="J623:J627"/>
    <mergeCell ref="L623:L627"/>
    <mergeCell ref="J628:J629"/>
    <mergeCell ref="L628:L629"/>
    <mergeCell ref="G695:G701"/>
    <mergeCell ref="G703:G704"/>
    <mergeCell ref="L652:L656"/>
    <mergeCell ref="L659:L663"/>
    <mergeCell ref="L664:L665"/>
    <mergeCell ref="L688:L692"/>
    <mergeCell ref="L695:L699"/>
    <mergeCell ref="L700:L701"/>
    <mergeCell ref="L724:L728"/>
    <mergeCell ref="G865:G866"/>
    <mergeCell ref="G867:G872"/>
    <mergeCell ref="J867:J871"/>
    <mergeCell ref="G874:G880"/>
    <mergeCell ref="J874:J878"/>
    <mergeCell ref="J879:J880"/>
    <mergeCell ref="G887:G888"/>
    <mergeCell ref="G902:G903"/>
    <mergeCell ref="G904:G909"/>
    <mergeCell ref="J904:J908"/>
    <mergeCell ref="G911:G917"/>
    <mergeCell ref="J911:J915"/>
    <mergeCell ref="J916:J917"/>
    <mergeCell ref="G924:G925"/>
    <mergeCell ref="G1048:G1053"/>
    <mergeCell ref="G1055:G1061"/>
    <mergeCell ref="G1011:G1016"/>
    <mergeCell ref="G1018:G1024"/>
    <mergeCell ref="J1018:J1022"/>
    <mergeCell ref="J1023:J1024"/>
    <mergeCell ref="G1031:G1032"/>
    <mergeCell ref="G1046:G1047"/>
    <mergeCell ref="J1048:J1052"/>
    <mergeCell ref="L1240:L1244"/>
    <mergeCell ref="L1245:L1246"/>
    <mergeCell ref="L1270:L1274"/>
    <mergeCell ref="L1277:L1281"/>
    <mergeCell ref="L1282:L1283"/>
    <mergeCell ref="L1307:L1311"/>
    <mergeCell ref="L1314:L1318"/>
    <mergeCell ref="L1319:L1320"/>
    <mergeCell ref="L1344:L1348"/>
    <mergeCell ref="L1351:L1355"/>
    <mergeCell ref="L1356:L1357"/>
    <mergeCell ref="L1381:L1385"/>
    <mergeCell ref="L1388:L1392"/>
    <mergeCell ref="L1393:L1394"/>
    <mergeCell ref="L731:L735"/>
    <mergeCell ref="L736:L737"/>
    <mergeCell ref="L760:L763"/>
    <mergeCell ref="L766:L770"/>
    <mergeCell ref="L771:L772"/>
    <mergeCell ref="L795:L799"/>
    <mergeCell ref="L802:L806"/>
    <mergeCell ref="L807:L808"/>
    <mergeCell ref="L831:L835"/>
    <mergeCell ref="L838:L842"/>
    <mergeCell ref="L843:L844"/>
    <mergeCell ref="L867:L871"/>
    <mergeCell ref="L874:L878"/>
    <mergeCell ref="L879:L880"/>
    <mergeCell ref="L904:L908"/>
    <mergeCell ref="L911:L915"/>
    <mergeCell ref="L916:L917"/>
    <mergeCell ref="L941:L945"/>
    <mergeCell ref="L948:L952"/>
    <mergeCell ref="L953:L954"/>
    <mergeCell ref="L976:L980"/>
    <mergeCell ref="L983:L987"/>
    <mergeCell ref="L988:L989"/>
    <mergeCell ref="L1011:L1015"/>
    <mergeCell ref="L1018:L1022"/>
    <mergeCell ref="L1023:L1024"/>
    <mergeCell ref="L1048:L1052"/>
    <mergeCell ref="L1055:L1059"/>
    <mergeCell ref="L1060:L1061"/>
    <mergeCell ref="L1085:L1089"/>
    <mergeCell ref="L1092:L1096"/>
    <mergeCell ref="L1097:L1098"/>
    <mergeCell ref="L1122:L1126"/>
    <mergeCell ref="L1129:L1133"/>
    <mergeCell ref="L1134:L1135"/>
    <mergeCell ref="L1159:L1163"/>
    <mergeCell ref="L1166:L1170"/>
    <mergeCell ref="L1171:L1172"/>
    <mergeCell ref="L1196:L1200"/>
    <mergeCell ref="L1203:L1207"/>
    <mergeCell ref="L1208:L1209"/>
    <mergeCell ref="L1233:L1237"/>
    <mergeCell ref="L1418:L1422"/>
    <mergeCell ref="L1425:L1429"/>
    <mergeCell ref="L1430:L1431"/>
    <mergeCell ref="L1455:L1459"/>
    <mergeCell ref="L1462:L1466"/>
    <mergeCell ref="L1467:L1468"/>
  </mergeCells>
  <conditionalFormatting sqref="F3:F1487">
    <cfRule type="expression" dxfId="0" priority="1">
      <formula>AND(F3=$H3, $H3&lt;&gt;"")</formula>
    </cfRule>
  </conditionalFormatting>
  <conditionalFormatting sqref="F3:F1487">
    <cfRule type="expression" dxfId="1" priority="2">
      <formula>SEARCH("цена от", E3)</formula>
    </cfRule>
  </conditionalFormatting>
  <conditionalFormatting sqref="J56:J1487">
    <cfRule type="expression" dxfId="2" priority="3">
      <formula>AND(J56&lt;&gt;"", J56 &lt;= IF(ISERROR(SEARCH("|", L56)), VALUE(TRIM(L56)), MIN(VALUE(TRIM(LEFT(L56, SEARCH("|", L56)-1))), VALUE(TRIM(MID(L56, SEARCH("|", L56)+1, 15))))) * 0.98)</formula>
    </cfRule>
  </conditionalFormatting>
  <conditionalFormatting sqref="J56:J1487">
    <cfRule type="expression" dxfId="3" priority="4">
      <formula>AND(J56&lt;&gt;"", L56&lt;&gt;"", J56 &gt; IF(ISERROR(SEARCH("|", L56)), VALUE(TRIM(L56)), MIN(VALUE(TRIM(LEFT(L56, SEARCH("|", L56)-1))), VALUE(TRIM(MID(L56, SEARCH("|", L56)+1, 15))))) * 1.02)</formula>
    </cfRule>
  </conditionalFormatting>
  <conditionalFormatting sqref="J56:J1487">
    <cfRule type="expression" dxfId="4" priority="5">
      <formula>ARRAYFORMULA(IFERROR(SEARCH("ошибка", L56:L1487) &gt; 0, FALSE))</formula>
    </cfRule>
  </conditionalFormatting>
  <conditionalFormatting sqref="L56:L1487">
    <cfRule type="containsText" dxfId="4" priority="6" operator="containsText" text="ошибка">
      <formula>NOT(ISERROR(SEARCH(("ошибка"),(L56))))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.38"/>
    <col customWidth="1" min="2" max="2" width="11.75"/>
    <col customWidth="1" min="3" max="3" width="23.25"/>
    <col customWidth="1" min="5" max="5" width="50.13"/>
    <col customWidth="1" min="6" max="6" width="12.63"/>
    <col customWidth="1" min="7" max="7" width="13.5"/>
    <col customWidth="1" min="8" max="8" width="12.63"/>
    <col customWidth="1" min="9" max="9" width="66.75"/>
    <col customWidth="1" min="10" max="10" width="62.63"/>
    <col customWidth="1" min="11" max="11" width="1.38"/>
    <col customWidth="1" min="12" max="12" width="20.0"/>
  </cols>
  <sheetData>
    <row r="1">
      <c r="A1" s="108"/>
      <c r="B1" s="109"/>
      <c r="C1" s="110"/>
      <c r="D1" s="109"/>
      <c r="E1" s="108"/>
      <c r="F1" s="108"/>
      <c r="G1" s="108"/>
      <c r="H1" s="108"/>
      <c r="I1" s="111"/>
      <c r="J1" s="111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</row>
    <row r="2">
      <c r="A2" s="112"/>
      <c r="B2" s="108" t="s">
        <v>0</v>
      </c>
      <c r="C2" s="113" t="s">
        <v>381</v>
      </c>
      <c r="D2" s="108" t="s">
        <v>382</v>
      </c>
      <c r="E2" s="112" t="s">
        <v>383</v>
      </c>
      <c r="F2" s="112" t="s">
        <v>384</v>
      </c>
      <c r="G2" s="109" t="s">
        <v>385</v>
      </c>
      <c r="H2" s="109" t="s">
        <v>386</v>
      </c>
      <c r="I2" s="111" t="s">
        <v>387</v>
      </c>
      <c r="J2" s="111" t="s">
        <v>388</v>
      </c>
      <c r="K2" s="109"/>
      <c r="L2" s="108" t="s">
        <v>389</v>
      </c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</row>
    <row r="3">
      <c r="A3" s="114"/>
      <c r="B3" s="115" t="s">
        <v>374</v>
      </c>
      <c r="C3" s="108" t="s">
        <v>390</v>
      </c>
      <c r="D3" s="116">
        <f>IF('ПРАЙС_ЛИСТ'!F1470 &lt;&gt; 'ПРАЙС_ЛИСТ'!H1470, IF('ПРАЙС_ЛИСТ'!F1470 = 1, 0, 'ПРАЙС_ЛИСТ'!F1470), 0)</f>
        <v>38500</v>
      </c>
      <c r="E3" s="114" t="s">
        <v>391</v>
      </c>
      <c r="F3" s="117" t="s">
        <v>392</v>
      </c>
      <c r="G3" s="108"/>
      <c r="H3" s="108" t="s">
        <v>393</v>
      </c>
      <c r="I3" s="118" t="s">
        <v>394</v>
      </c>
      <c r="J3" s="119" t="s">
        <v>395</v>
      </c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</row>
    <row r="4">
      <c r="A4" s="114"/>
      <c r="C4" s="108" t="s">
        <v>396</v>
      </c>
      <c r="D4" s="121">
        <v>0.0</v>
      </c>
      <c r="E4" s="114" t="s">
        <v>397</v>
      </c>
      <c r="F4" s="117" t="s">
        <v>392</v>
      </c>
      <c r="G4" s="108" t="s">
        <v>398</v>
      </c>
      <c r="H4" s="108" t="s">
        <v>393</v>
      </c>
      <c r="I4" s="118" t="s">
        <v>399</v>
      </c>
      <c r="J4" s="119" t="s">
        <v>400</v>
      </c>
      <c r="K4" s="120"/>
      <c r="L4" s="114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</row>
    <row r="5">
      <c r="A5" s="114"/>
      <c r="C5" s="108" t="s">
        <v>401</v>
      </c>
      <c r="D5" s="109">
        <f t="array" ref="D5">MIN(IF('ПРАЙС_ЛИСТ'!F1462:F1466 &lt;&gt; 'ПРАЙС_ЛИСТ'!H1462:H1466, 'ПРАЙС_ЛИСТ'!F1462:F1466, ""))</f>
        <v>42050</v>
      </c>
      <c r="E5" s="114" t="s">
        <v>402</v>
      </c>
      <c r="F5" s="117" t="s">
        <v>392</v>
      </c>
      <c r="G5" s="108" t="s">
        <v>403</v>
      </c>
      <c r="H5" s="108" t="s">
        <v>393</v>
      </c>
      <c r="I5" s="118" t="s">
        <v>404</v>
      </c>
      <c r="J5" s="119" t="s">
        <v>405</v>
      </c>
      <c r="K5" s="120"/>
      <c r="L5" s="114" t="s">
        <v>406</v>
      </c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</row>
    <row r="6">
      <c r="A6" s="114"/>
      <c r="C6" s="108" t="s">
        <v>407</v>
      </c>
      <c r="D6" s="109">
        <f t="array" ref="D6">MIN(IF('ПРАЙС_ЛИСТ'!F1475:F1476 &lt;&gt; 'ПРАЙС_ЛИСТ'!H1475:H1476, 'ПРАЙС_ЛИСТ'!F1475:F1476, ""))</f>
        <v>12000</v>
      </c>
      <c r="E6" s="114" t="s">
        <v>408</v>
      </c>
      <c r="F6" s="117" t="s">
        <v>409</v>
      </c>
      <c r="G6" s="108" t="s">
        <v>403</v>
      </c>
      <c r="H6" s="108" t="s">
        <v>410</v>
      </c>
      <c r="I6" s="118" t="s">
        <v>411</v>
      </c>
      <c r="J6" s="119" t="s">
        <v>412</v>
      </c>
      <c r="K6" s="120"/>
      <c r="L6" s="114" t="s">
        <v>413</v>
      </c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</row>
    <row r="7">
      <c r="A7" s="114"/>
      <c r="C7" s="108" t="s">
        <v>414</v>
      </c>
      <c r="D7" s="116">
        <f>'ПРАЙС_ЛИСТ'!F1484</f>
        <v>10300</v>
      </c>
      <c r="E7" s="114" t="s">
        <v>415</v>
      </c>
      <c r="F7" s="117" t="s">
        <v>392</v>
      </c>
      <c r="G7" s="108" t="s">
        <v>403</v>
      </c>
      <c r="H7" s="108" t="s">
        <v>393</v>
      </c>
      <c r="I7" s="122" t="s">
        <v>416</v>
      </c>
      <c r="J7" s="119" t="s">
        <v>417</v>
      </c>
      <c r="K7" s="120"/>
      <c r="L7" s="114" t="s">
        <v>418</v>
      </c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</row>
    <row r="8">
      <c r="A8" s="114"/>
      <c r="C8" s="108" t="s">
        <v>419</v>
      </c>
      <c r="D8" s="108">
        <f t="array" ref="D8">MIN(IF('ПРАЙС_ЛИСТ'!F1455:F1460 &lt;&gt; 'ПРАЙС_ЛИСТ'!H1455:H1460, 'ПРАЙС_ЛИСТ'!F1455:F1460, ""))</f>
        <v>0</v>
      </c>
      <c r="E8" s="114" t="s">
        <v>420</v>
      </c>
      <c r="F8" s="117" t="s">
        <v>421</v>
      </c>
      <c r="G8" s="108" t="s">
        <v>398</v>
      </c>
      <c r="H8" s="108" t="s">
        <v>410</v>
      </c>
      <c r="I8" s="118" t="s">
        <v>422</v>
      </c>
      <c r="J8" s="119" t="s">
        <v>423</v>
      </c>
      <c r="K8" s="120"/>
      <c r="L8" s="114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</row>
    <row r="9">
      <c r="A9" s="114"/>
      <c r="C9" s="108" t="s">
        <v>424</v>
      </c>
      <c r="D9" s="116">
        <f>IF('ПРАЙС_ЛИСТ'!F1461 &lt;&gt; 'ПРАЙС_ЛИСТ'!H1461, 'ПРАЙС_ЛИСТ'!F1461, "0")</f>
        <v>19300</v>
      </c>
      <c r="E9" s="114" t="s">
        <v>425</v>
      </c>
      <c r="F9" s="117" t="s">
        <v>421</v>
      </c>
      <c r="G9" s="109"/>
      <c r="H9" s="108" t="s">
        <v>393</v>
      </c>
      <c r="I9" s="118" t="s">
        <v>426</v>
      </c>
      <c r="J9" s="119" t="s">
        <v>427</v>
      </c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</row>
    <row r="10">
      <c r="A10" s="114"/>
      <c r="C10" s="108" t="s">
        <v>428</v>
      </c>
      <c r="D10" s="116">
        <f>IF('ПРАЙС_ЛИСТ'!F1482 &lt;&gt; 'ПРАЙС_ЛИСТ'!H1482, 'ПРАЙС_ЛИСТ'!F1482, "0")</f>
        <v>18100</v>
      </c>
      <c r="E10" s="114" t="s">
        <v>429</v>
      </c>
      <c r="F10" s="117" t="s">
        <v>392</v>
      </c>
      <c r="G10" s="109"/>
      <c r="H10" s="108" t="s">
        <v>393</v>
      </c>
      <c r="I10" s="118" t="s">
        <v>430</v>
      </c>
      <c r="J10" s="119" t="s">
        <v>431</v>
      </c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</row>
    <row r="11">
      <c r="A11" s="114"/>
      <c r="C11" s="108" t="s">
        <v>432</v>
      </c>
      <c r="D11" s="109" t="str">
        <f>IF('ПРАЙС_ЛИСТ'!F1480 &lt;&gt; 'ПРАЙС_ЛИСТ'!H1480, 'ПРАЙС_ЛИСТ'!F1480, "0")</f>
        <v>0</v>
      </c>
      <c r="E11" s="114" t="s">
        <v>433</v>
      </c>
      <c r="F11" s="117" t="s">
        <v>421</v>
      </c>
      <c r="G11" s="108" t="s">
        <v>398</v>
      </c>
      <c r="H11" s="108" t="s">
        <v>393</v>
      </c>
      <c r="I11" s="118" t="s">
        <v>434</v>
      </c>
      <c r="J11" s="119" t="s">
        <v>435</v>
      </c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</row>
    <row r="12">
      <c r="A12" s="114"/>
      <c r="C12" s="108" t="s">
        <v>436</v>
      </c>
      <c r="D12" s="109" t="str">
        <f>IF('ПРАЙС_ЛИСТ'!F1481 &lt;&gt; 'ПРАЙС_ЛИСТ'!H1481, 'ПРАЙС_ЛИСТ'!F1481, "0")</f>
        <v>0</v>
      </c>
      <c r="E12" s="114" t="s">
        <v>437</v>
      </c>
      <c r="F12" s="117" t="s">
        <v>421</v>
      </c>
      <c r="G12" s="108" t="s">
        <v>398</v>
      </c>
      <c r="H12" s="108" t="s">
        <v>393</v>
      </c>
      <c r="I12" s="122" t="s">
        <v>438</v>
      </c>
      <c r="J12" s="119" t="s">
        <v>439</v>
      </c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</row>
    <row r="13">
      <c r="A13" s="114"/>
      <c r="C13" s="108" t="s">
        <v>440</v>
      </c>
      <c r="D13" s="116">
        <f>IF('ПРАЙС_ЛИСТ'!F1471 &lt;&gt; 'ПРАЙС_ЛИСТ'!H1471, 'ПРАЙС_ЛИСТ'!F1471, "0")</f>
        <v>17200</v>
      </c>
      <c r="E13" s="114" t="s">
        <v>441</v>
      </c>
      <c r="F13" s="117" t="s">
        <v>442</v>
      </c>
      <c r="G13" s="109"/>
      <c r="H13" s="108" t="s">
        <v>393</v>
      </c>
      <c r="I13" s="118" t="s">
        <v>443</v>
      </c>
      <c r="J13" s="119" t="s">
        <v>444</v>
      </c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</row>
    <row r="14">
      <c r="A14" s="114"/>
      <c r="C14" s="108" t="s">
        <v>445</v>
      </c>
      <c r="D14" s="116">
        <f>IF('ПРАЙС_ЛИСТ'!F1472 &lt;&gt; 'ПРАЙС_ЛИСТ'!H1472, 'ПРАЙС_ЛИСТ'!F1472, "0")</f>
        <v>18500</v>
      </c>
      <c r="E14" s="114" t="s">
        <v>446</v>
      </c>
      <c r="F14" s="117" t="s">
        <v>421</v>
      </c>
      <c r="G14" s="109"/>
      <c r="H14" s="108" t="s">
        <v>393</v>
      </c>
      <c r="I14" s="118" t="s">
        <v>447</v>
      </c>
      <c r="J14" s="119" t="s">
        <v>448</v>
      </c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</row>
    <row r="15">
      <c r="A15" s="114"/>
      <c r="C15" s="108" t="s">
        <v>449</v>
      </c>
      <c r="D15" s="116">
        <f>IF('ПРАЙС_ЛИСТ'!F1473 &lt;&gt; 'ПРАЙС_ЛИСТ'!H1473, 'ПРАЙС_ЛИСТ'!F1473, "0")</f>
        <v>9600</v>
      </c>
      <c r="E15" s="114" t="s">
        <v>450</v>
      </c>
      <c r="F15" s="117" t="s">
        <v>421</v>
      </c>
      <c r="G15" s="109"/>
      <c r="H15" s="108" t="s">
        <v>410</v>
      </c>
      <c r="I15" s="122" t="s">
        <v>451</v>
      </c>
      <c r="J15" s="119" t="s">
        <v>452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</row>
    <row r="16">
      <c r="A16" s="114"/>
      <c r="C16" s="108" t="s">
        <v>453</v>
      </c>
      <c r="D16" s="121">
        <v>0.0</v>
      </c>
      <c r="E16" s="114" t="s">
        <v>454</v>
      </c>
      <c r="F16" s="117" t="s">
        <v>455</v>
      </c>
      <c r="G16" s="108" t="s">
        <v>398</v>
      </c>
      <c r="H16" s="108" t="s">
        <v>410</v>
      </c>
      <c r="I16" s="122" t="s">
        <v>456</v>
      </c>
      <c r="J16" s="119" t="s">
        <v>457</v>
      </c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</row>
    <row r="17">
      <c r="A17" s="114"/>
      <c r="C17" s="108" t="s">
        <v>458</v>
      </c>
      <c r="D17" s="121">
        <v>0.0</v>
      </c>
      <c r="E17" s="114" t="s">
        <v>459</v>
      </c>
      <c r="F17" s="117" t="s">
        <v>442</v>
      </c>
      <c r="G17" s="108" t="s">
        <v>398</v>
      </c>
      <c r="H17" s="108" t="s">
        <v>393</v>
      </c>
      <c r="I17" s="118" t="s">
        <v>460</v>
      </c>
      <c r="J17" s="119" t="s">
        <v>461</v>
      </c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</row>
    <row r="18">
      <c r="A18" s="114"/>
      <c r="C18" s="108" t="s">
        <v>462</v>
      </c>
      <c r="D18" s="116">
        <f>IF('ПРАЙС_ЛИСТ'!F9 &lt;&gt; 'ПРАЙС_ЛИСТ'!H9, 'ПРАЙС_ЛИСТ'!F9, "0")</f>
        <v>1100</v>
      </c>
      <c r="E18" s="114" t="s">
        <v>463</v>
      </c>
      <c r="F18" s="117" t="s">
        <v>409</v>
      </c>
      <c r="G18" s="108"/>
      <c r="H18" s="108"/>
      <c r="I18" s="122" t="s">
        <v>464</v>
      </c>
      <c r="J18" s="119" t="s">
        <v>465</v>
      </c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</row>
    <row r="19">
      <c r="A19" s="114"/>
      <c r="C19" s="113" t="s">
        <v>466</v>
      </c>
      <c r="D19" s="116">
        <f>'ПРАЙС_ЛИСТ'!F1483</f>
        <v>8800</v>
      </c>
      <c r="E19" s="114" t="s">
        <v>467</v>
      </c>
      <c r="F19" s="117" t="s">
        <v>468</v>
      </c>
      <c r="G19" s="108" t="s">
        <v>403</v>
      </c>
      <c r="H19" s="108" t="s">
        <v>393</v>
      </c>
      <c r="I19" s="118" t="s">
        <v>469</v>
      </c>
      <c r="J19" s="119" t="s">
        <v>470</v>
      </c>
      <c r="K19" s="120"/>
      <c r="L19" s="114" t="s">
        <v>418</v>
      </c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</row>
    <row r="20">
      <c r="A20" s="114"/>
      <c r="C20" s="108" t="s">
        <v>471</v>
      </c>
      <c r="D20" s="116">
        <f>'ПРАЙС_ЛИСТ'!F1474</f>
        <v>10800</v>
      </c>
      <c r="E20" s="114" t="s">
        <v>472</v>
      </c>
      <c r="F20" s="117" t="s">
        <v>468</v>
      </c>
      <c r="G20" s="108" t="s">
        <v>403</v>
      </c>
      <c r="H20" s="108" t="s">
        <v>393</v>
      </c>
      <c r="I20" s="122" t="s">
        <v>473</v>
      </c>
      <c r="J20" s="119" t="s">
        <v>474</v>
      </c>
      <c r="K20" s="120"/>
      <c r="L20" s="114" t="s">
        <v>418</v>
      </c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</row>
    <row r="21">
      <c r="A21" s="114"/>
      <c r="B21" s="115"/>
      <c r="C21" s="108"/>
      <c r="D21" s="108"/>
      <c r="E21" s="114"/>
      <c r="F21" s="117"/>
      <c r="G21" s="108"/>
      <c r="H21" s="108"/>
      <c r="I21" s="119"/>
      <c r="J21" s="119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</row>
    <row r="22">
      <c r="A22" s="114"/>
      <c r="B22" s="115" t="s">
        <v>367</v>
      </c>
      <c r="C22" s="108" t="s">
        <v>475</v>
      </c>
      <c r="D22" s="109">
        <f>IF('ПРАЙС_ЛИСТ'!F1433 &lt;&gt; 'ПРАЙС_ЛИСТ'!H1433, IF('ПРАЙС_ЛИСТ'!F1433 = 1, 0, 'ПРАЙС_ЛИСТ'!F1433), 0)</f>
        <v>0</v>
      </c>
      <c r="E22" s="114" t="s">
        <v>391</v>
      </c>
      <c r="F22" s="117" t="s">
        <v>392</v>
      </c>
      <c r="G22" s="108" t="s">
        <v>398</v>
      </c>
      <c r="H22" s="108" t="s">
        <v>393</v>
      </c>
      <c r="I22" s="118" t="s">
        <v>476</v>
      </c>
      <c r="J22" s="119" t="s">
        <v>395</v>
      </c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</row>
    <row r="23">
      <c r="A23" s="120"/>
      <c r="C23" s="108" t="s">
        <v>477</v>
      </c>
      <c r="D23" s="121">
        <v>0.0</v>
      </c>
      <c r="E23" s="114" t="s">
        <v>397</v>
      </c>
      <c r="F23" s="117" t="s">
        <v>392</v>
      </c>
      <c r="G23" s="108" t="s">
        <v>398</v>
      </c>
      <c r="H23" s="108" t="s">
        <v>393</v>
      </c>
      <c r="I23" s="122" t="s">
        <v>478</v>
      </c>
      <c r="J23" s="119" t="s">
        <v>400</v>
      </c>
      <c r="K23" s="120"/>
      <c r="L23" s="114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</row>
    <row r="24">
      <c r="A24" s="120"/>
      <c r="C24" s="108" t="s">
        <v>479</v>
      </c>
      <c r="D24" s="109">
        <f t="array" ref="D24">MIN(IF('ПРАЙС_ЛИСТ'!F1425:F1429 &lt;&gt; 'ПРАЙС_ЛИСТ'!H1425:H1429, 'ПРАЙС_ЛИСТ'!F1425:F1429, ""))</f>
        <v>38650</v>
      </c>
      <c r="E24" s="114" t="s">
        <v>402</v>
      </c>
      <c r="F24" s="117" t="s">
        <v>392</v>
      </c>
      <c r="G24" s="108" t="s">
        <v>403</v>
      </c>
      <c r="H24" s="108" t="s">
        <v>393</v>
      </c>
      <c r="I24" s="118" t="s">
        <v>480</v>
      </c>
      <c r="J24" s="119" t="s">
        <v>405</v>
      </c>
      <c r="K24" s="120"/>
      <c r="L24" s="114" t="s">
        <v>406</v>
      </c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</row>
    <row r="25">
      <c r="A25" s="120"/>
      <c r="C25" s="108" t="s">
        <v>481</v>
      </c>
      <c r="D25" s="109">
        <f t="array" ref="D25">MIN(IF('ПРАЙС_ЛИСТ'!F1438:F1439 &lt;&gt; 'ПРАЙС_ЛИСТ'!H1438:H1439, 'ПРАЙС_ЛИСТ'!F1438:F1439, ""))</f>
        <v>11000</v>
      </c>
      <c r="E25" s="114" t="s">
        <v>408</v>
      </c>
      <c r="F25" s="117" t="s">
        <v>409</v>
      </c>
      <c r="G25" s="108" t="s">
        <v>403</v>
      </c>
      <c r="H25" s="108" t="s">
        <v>410</v>
      </c>
      <c r="I25" s="118" t="s">
        <v>482</v>
      </c>
      <c r="J25" s="119" t="s">
        <v>412</v>
      </c>
      <c r="K25" s="120"/>
      <c r="L25" s="114" t="s">
        <v>413</v>
      </c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</row>
    <row r="26">
      <c r="A26" s="120"/>
      <c r="C26" s="108" t="s">
        <v>483</v>
      </c>
      <c r="D26" s="116">
        <f>'ПРАЙС_ЛИСТ'!F1447</f>
        <v>10300</v>
      </c>
      <c r="E26" s="114" t="s">
        <v>415</v>
      </c>
      <c r="F26" s="117" t="s">
        <v>392</v>
      </c>
      <c r="G26" s="108" t="s">
        <v>403</v>
      </c>
      <c r="H26" s="108" t="s">
        <v>393</v>
      </c>
      <c r="I26" s="122" t="s">
        <v>484</v>
      </c>
      <c r="J26" s="119" t="s">
        <v>417</v>
      </c>
      <c r="K26" s="120"/>
      <c r="L26" s="114" t="s">
        <v>418</v>
      </c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</row>
    <row r="27">
      <c r="A27" s="120"/>
      <c r="C27" s="108" t="s">
        <v>485</v>
      </c>
      <c r="D27" s="108">
        <f t="array" ref="D27">MIN(IF('ПРАЙС_ЛИСТ'!F1418:F1423 &lt;&gt; 'ПРАЙС_ЛИСТ'!H1418:H1423, 'ПРАЙС_ЛИСТ'!F1418:F1423, ""))</f>
        <v>0</v>
      </c>
      <c r="E27" s="114" t="s">
        <v>420</v>
      </c>
      <c r="F27" s="117" t="s">
        <v>421</v>
      </c>
      <c r="G27" s="108" t="s">
        <v>398</v>
      </c>
      <c r="H27" s="108" t="s">
        <v>410</v>
      </c>
      <c r="I27" s="118" t="s">
        <v>486</v>
      </c>
      <c r="J27" s="119" t="s">
        <v>423</v>
      </c>
      <c r="K27" s="120"/>
      <c r="L27" s="114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</row>
    <row r="28">
      <c r="A28" s="120"/>
      <c r="C28" s="108" t="s">
        <v>487</v>
      </c>
      <c r="D28" s="116">
        <f>IF('ПРАЙС_ЛИСТ'!F1424 &lt;&gt; 'ПРАЙС_ЛИСТ'!H1424, 'ПРАЙС_ЛИСТ'!F1424, "0")</f>
        <v>18200</v>
      </c>
      <c r="E28" s="114" t="s">
        <v>425</v>
      </c>
      <c r="F28" s="117" t="s">
        <v>421</v>
      </c>
      <c r="G28" s="109"/>
      <c r="H28" s="108" t="s">
        <v>393</v>
      </c>
      <c r="I28" s="118" t="s">
        <v>488</v>
      </c>
      <c r="J28" s="119" t="s">
        <v>427</v>
      </c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</row>
    <row r="29">
      <c r="A29" s="120"/>
      <c r="C29" s="108" t="s">
        <v>489</v>
      </c>
      <c r="D29" s="116">
        <f>IF('ПРАЙС_ЛИСТ'!F1445 &lt;&gt; 'ПРАЙС_ЛИСТ'!H1445, 'ПРАЙС_ЛИСТ'!F1445, "0")</f>
        <v>17000</v>
      </c>
      <c r="E29" s="114" t="s">
        <v>429</v>
      </c>
      <c r="F29" s="117" t="s">
        <v>392</v>
      </c>
      <c r="G29" s="109"/>
      <c r="H29" s="108" t="s">
        <v>393</v>
      </c>
      <c r="I29" s="122" t="s">
        <v>490</v>
      </c>
      <c r="J29" s="119" t="s">
        <v>431</v>
      </c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</row>
    <row r="30">
      <c r="A30" s="120"/>
      <c r="C30" s="108" t="s">
        <v>491</v>
      </c>
      <c r="D30" s="109" t="str">
        <f>IF('ПРАЙС_ЛИСТ'!F1443 &lt;&gt; 'ПРАЙС_ЛИСТ'!H1443, 'ПРАЙС_ЛИСТ'!F1443, "0")</f>
        <v>0</v>
      </c>
      <c r="E30" s="114" t="s">
        <v>433</v>
      </c>
      <c r="F30" s="117" t="s">
        <v>421</v>
      </c>
      <c r="G30" s="108" t="s">
        <v>398</v>
      </c>
      <c r="H30" s="108" t="s">
        <v>393</v>
      </c>
      <c r="I30" s="122" t="s">
        <v>492</v>
      </c>
      <c r="J30" s="119" t="s">
        <v>435</v>
      </c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</row>
    <row r="31">
      <c r="A31" s="120"/>
      <c r="C31" s="108" t="s">
        <v>493</v>
      </c>
      <c r="D31" s="109" t="str">
        <f>IF('ПРАЙС_ЛИСТ'!F1444 &lt;&gt; 'ПРАЙС_ЛИСТ'!H1444, 'ПРАЙС_ЛИСТ'!F1444, "0")</f>
        <v>0</v>
      </c>
      <c r="E31" s="114" t="s">
        <v>437</v>
      </c>
      <c r="F31" s="117" t="s">
        <v>421</v>
      </c>
      <c r="G31" s="108" t="s">
        <v>398</v>
      </c>
      <c r="H31" s="108" t="s">
        <v>393</v>
      </c>
      <c r="I31" s="122" t="s">
        <v>494</v>
      </c>
      <c r="J31" s="119" t="s">
        <v>439</v>
      </c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</row>
    <row r="32">
      <c r="A32" s="120"/>
      <c r="C32" s="108" t="s">
        <v>495</v>
      </c>
      <c r="D32" s="116">
        <f>IF('ПРАЙС_ЛИСТ'!F1434 &lt;&gt; 'ПРАЙС_ЛИСТ'!H1434, 'ПРАЙС_ЛИСТ'!F1434, "0")</f>
        <v>16650</v>
      </c>
      <c r="E32" s="114" t="s">
        <v>441</v>
      </c>
      <c r="F32" s="117" t="s">
        <v>442</v>
      </c>
      <c r="G32" s="109"/>
      <c r="H32" s="108" t="s">
        <v>393</v>
      </c>
      <c r="I32" s="118" t="s">
        <v>496</v>
      </c>
      <c r="J32" s="119" t="s">
        <v>444</v>
      </c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</row>
    <row r="33">
      <c r="A33" s="120"/>
      <c r="C33" s="108" t="s">
        <v>497</v>
      </c>
      <c r="D33" s="116">
        <f>IF('ПРАЙС_ЛИСТ'!F1435 &lt;&gt; 'ПРАЙС_ЛИСТ'!H1435, 'ПРАЙС_ЛИСТ'!F1435, "0")</f>
        <v>17300</v>
      </c>
      <c r="E33" s="114" t="s">
        <v>446</v>
      </c>
      <c r="F33" s="117" t="s">
        <v>421</v>
      </c>
      <c r="G33" s="109"/>
      <c r="H33" s="108" t="s">
        <v>393</v>
      </c>
      <c r="I33" s="118" t="s">
        <v>498</v>
      </c>
      <c r="J33" s="119" t="s">
        <v>448</v>
      </c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</row>
    <row r="34">
      <c r="A34" s="120"/>
      <c r="C34" s="108" t="s">
        <v>499</v>
      </c>
      <c r="D34" s="116">
        <f>IF('ПРАЙС_ЛИСТ'!F1436 &lt;&gt; 'ПРАЙС_ЛИСТ'!H1436, 'ПРАЙС_ЛИСТ'!F1436, "0")</f>
        <v>8900</v>
      </c>
      <c r="E34" s="114" t="s">
        <v>450</v>
      </c>
      <c r="F34" s="117" t="s">
        <v>421</v>
      </c>
      <c r="G34" s="109"/>
      <c r="H34" s="108" t="s">
        <v>410</v>
      </c>
      <c r="I34" s="122" t="s">
        <v>500</v>
      </c>
      <c r="J34" s="119" t="s">
        <v>452</v>
      </c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</row>
    <row r="35">
      <c r="A35" s="120"/>
      <c r="C35" s="108" t="s">
        <v>501</v>
      </c>
      <c r="D35" s="121">
        <v>0.0</v>
      </c>
      <c r="E35" s="114" t="s">
        <v>454</v>
      </c>
      <c r="F35" s="117" t="s">
        <v>455</v>
      </c>
      <c r="G35" s="108" t="s">
        <v>398</v>
      </c>
      <c r="H35" s="108" t="s">
        <v>410</v>
      </c>
      <c r="I35" s="122" t="s">
        <v>502</v>
      </c>
      <c r="J35" s="119" t="s">
        <v>457</v>
      </c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</row>
    <row r="36">
      <c r="A36" s="120"/>
      <c r="C36" s="108" t="s">
        <v>503</v>
      </c>
      <c r="D36" s="121">
        <v>0.0</v>
      </c>
      <c r="E36" s="114" t="s">
        <v>459</v>
      </c>
      <c r="F36" s="117" t="s">
        <v>442</v>
      </c>
      <c r="G36" s="108" t="s">
        <v>398</v>
      </c>
      <c r="H36" s="108" t="s">
        <v>393</v>
      </c>
      <c r="I36" s="118" t="s">
        <v>504</v>
      </c>
      <c r="J36" s="119" t="s">
        <v>461</v>
      </c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</row>
    <row r="37">
      <c r="A37" s="120"/>
      <c r="C37" s="108" t="s">
        <v>462</v>
      </c>
      <c r="D37" s="116">
        <f>IF('ПРАЙС_ЛИСТ'!F9 &lt;&gt; 'ПРАЙС_ЛИСТ'!H9, 'ПРАЙС_ЛИСТ'!F9, "0")</f>
        <v>1100</v>
      </c>
      <c r="E37" s="114" t="s">
        <v>463</v>
      </c>
      <c r="F37" s="117" t="s">
        <v>409</v>
      </c>
      <c r="G37" s="108"/>
      <c r="H37" s="108"/>
      <c r="I37" s="122" t="s">
        <v>464</v>
      </c>
      <c r="J37" s="119" t="s">
        <v>465</v>
      </c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</row>
    <row r="38">
      <c r="A38" s="120"/>
      <c r="C38" s="113" t="s">
        <v>505</v>
      </c>
      <c r="D38" s="116">
        <f>'ПРАЙС_ЛИСТ'!F1446</f>
        <v>8800</v>
      </c>
      <c r="E38" s="114" t="s">
        <v>467</v>
      </c>
      <c r="F38" s="117" t="s">
        <v>468</v>
      </c>
      <c r="G38" s="108" t="s">
        <v>403</v>
      </c>
      <c r="H38" s="108" t="s">
        <v>393</v>
      </c>
      <c r="I38" s="118" t="s">
        <v>506</v>
      </c>
      <c r="J38" s="119" t="s">
        <v>470</v>
      </c>
      <c r="K38" s="120"/>
      <c r="L38" s="114" t="s">
        <v>418</v>
      </c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</row>
    <row r="39">
      <c r="A39" s="120"/>
      <c r="C39" s="108" t="s">
        <v>507</v>
      </c>
      <c r="D39" s="116">
        <f>'ПРАЙС_ЛИСТ'!F1437</f>
        <v>10800</v>
      </c>
      <c r="E39" s="114" t="s">
        <v>472</v>
      </c>
      <c r="F39" s="117" t="s">
        <v>468</v>
      </c>
      <c r="G39" s="108" t="s">
        <v>403</v>
      </c>
      <c r="H39" s="108" t="s">
        <v>393</v>
      </c>
      <c r="I39" s="122" t="s">
        <v>508</v>
      </c>
      <c r="J39" s="119" t="s">
        <v>474</v>
      </c>
      <c r="K39" s="120"/>
      <c r="L39" s="114" t="s">
        <v>418</v>
      </c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</row>
    <row r="40">
      <c r="A40" s="120"/>
      <c r="B40" s="120"/>
      <c r="C40" s="109"/>
      <c r="D40" s="109"/>
      <c r="E40" s="120"/>
      <c r="F40" s="120"/>
      <c r="G40" s="109"/>
      <c r="H40" s="120"/>
      <c r="I40" s="123"/>
      <c r="J40" s="123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</row>
    <row r="41">
      <c r="A41" s="120"/>
      <c r="B41" s="115" t="s">
        <v>360</v>
      </c>
      <c r="C41" s="108" t="s">
        <v>509</v>
      </c>
      <c r="D41" s="109">
        <f>IF('ПРАЙС_ЛИСТ'!F1396 &lt;&gt; 'ПРАЙС_ЛИСТ'!H1396, IF('ПРАЙС_ЛИСТ'!F1396 = 1, 0, 'ПРАЙС_ЛИСТ'!F1396), 0)</f>
        <v>0</v>
      </c>
      <c r="E41" s="114" t="s">
        <v>391</v>
      </c>
      <c r="F41" s="117" t="s">
        <v>392</v>
      </c>
      <c r="G41" s="108" t="s">
        <v>398</v>
      </c>
      <c r="H41" s="108" t="s">
        <v>393</v>
      </c>
      <c r="I41" s="118" t="s">
        <v>510</v>
      </c>
      <c r="J41" s="119" t="s">
        <v>395</v>
      </c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</row>
    <row r="42">
      <c r="A42" s="120"/>
      <c r="C42" s="108" t="s">
        <v>511</v>
      </c>
      <c r="D42" s="121">
        <v>0.0</v>
      </c>
      <c r="E42" s="114" t="s">
        <v>397</v>
      </c>
      <c r="F42" s="117" t="s">
        <v>392</v>
      </c>
      <c r="G42" s="108" t="s">
        <v>398</v>
      </c>
      <c r="H42" s="108" t="s">
        <v>393</v>
      </c>
      <c r="I42" s="122" t="s">
        <v>512</v>
      </c>
      <c r="J42" s="119" t="s">
        <v>400</v>
      </c>
      <c r="K42" s="120"/>
      <c r="L42" s="114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</row>
    <row r="43">
      <c r="A43" s="120"/>
      <c r="C43" s="108" t="s">
        <v>513</v>
      </c>
      <c r="D43" s="109">
        <f t="array" ref="D43">MIN(IF('ПРАЙС_ЛИСТ'!F1388:F1392 &lt;&gt; 'ПРАЙС_ЛИСТ'!H1388:H1392, 'ПРАЙС_ЛИСТ'!F1388:F1392, ""))</f>
        <v>39200</v>
      </c>
      <c r="E43" s="114" t="s">
        <v>402</v>
      </c>
      <c r="F43" s="117" t="s">
        <v>392</v>
      </c>
      <c r="G43" s="108" t="s">
        <v>403</v>
      </c>
      <c r="H43" s="108" t="s">
        <v>393</v>
      </c>
      <c r="I43" s="118" t="s">
        <v>514</v>
      </c>
      <c r="J43" s="119" t="s">
        <v>405</v>
      </c>
      <c r="K43" s="120"/>
      <c r="L43" s="114" t="s">
        <v>406</v>
      </c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</row>
    <row r="44">
      <c r="A44" s="120"/>
      <c r="C44" s="108" t="s">
        <v>515</v>
      </c>
      <c r="D44" s="109">
        <f t="array" ref="D44">MIN(IF('ПРАЙС_ЛИСТ'!F1401:F1402 &lt;&gt; 'ПРАЙС_ЛИСТ'!H1401:H1402, 'ПРАЙС_ЛИСТ'!F1401:F1402, ""))</f>
        <v>19000</v>
      </c>
      <c r="E44" s="114" t="s">
        <v>408</v>
      </c>
      <c r="F44" s="117" t="s">
        <v>409</v>
      </c>
      <c r="G44" s="108" t="s">
        <v>403</v>
      </c>
      <c r="H44" s="108" t="s">
        <v>410</v>
      </c>
      <c r="I44" s="118" t="s">
        <v>516</v>
      </c>
      <c r="J44" s="119" t="s">
        <v>412</v>
      </c>
      <c r="K44" s="120"/>
      <c r="L44" s="114" t="s">
        <v>413</v>
      </c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</row>
    <row r="45">
      <c r="A45" s="120"/>
      <c r="C45" s="108" t="s">
        <v>517</v>
      </c>
      <c r="D45" s="116">
        <f>'ПРАЙС_ЛИСТ'!F1410</f>
        <v>10300</v>
      </c>
      <c r="E45" s="114" t="s">
        <v>415</v>
      </c>
      <c r="F45" s="117" t="s">
        <v>392</v>
      </c>
      <c r="G45" s="108" t="s">
        <v>403</v>
      </c>
      <c r="H45" s="108" t="s">
        <v>393</v>
      </c>
      <c r="I45" s="122" t="s">
        <v>518</v>
      </c>
      <c r="J45" s="119" t="s">
        <v>417</v>
      </c>
      <c r="K45" s="120"/>
      <c r="L45" s="114" t="s">
        <v>418</v>
      </c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</row>
    <row r="46">
      <c r="A46" s="120"/>
      <c r="C46" s="108" t="s">
        <v>519</v>
      </c>
      <c r="D46" s="108">
        <f t="array" ref="D46">MIN(IF('ПРАЙС_ЛИСТ'!F1381:F1386 &lt;&gt; 'ПРАЙС_ЛИСТ'!H1381:H1386, 'ПРАЙС_ЛИСТ'!F1381:F1386, ""))</f>
        <v>0</v>
      </c>
      <c r="E46" s="114" t="s">
        <v>420</v>
      </c>
      <c r="F46" s="117" t="s">
        <v>421</v>
      </c>
      <c r="G46" s="108" t="s">
        <v>398</v>
      </c>
      <c r="H46" s="108" t="s">
        <v>410</v>
      </c>
      <c r="I46" s="118" t="s">
        <v>520</v>
      </c>
      <c r="J46" s="119" t="s">
        <v>423</v>
      </c>
      <c r="K46" s="120"/>
      <c r="L46" s="114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</row>
    <row r="47">
      <c r="A47" s="120"/>
      <c r="C47" s="108" t="s">
        <v>521</v>
      </c>
      <c r="D47" s="116">
        <f>IF('ПРАЙС_ЛИСТ'!F1387 &lt;&gt; 'ПРАЙС_ЛИСТ'!H1387, 'ПРАЙС_ЛИСТ'!F1387, "0")</f>
        <v>16800</v>
      </c>
      <c r="E47" s="114" t="s">
        <v>425</v>
      </c>
      <c r="F47" s="117" t="s">
        <v>421</v>
      </c>
      <c r="G47" s="109"/>
      <c r="H47" s="108" t="s">
        <v>393</v>
      </c>
      <c r="I47" s="118" t="s">
        <v>522</v>
      </c>
      <c r="J47" s="119" t="s">
        <v>427</v>
      </c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</row>
    <row r="48">
      <c r="A48" s="120"/>
      <c r="C48" s="108" t="s">
        <v>523</v>
      </c>
      <c r="D48" s="116">
        <f>IF('ПРАЙС_ЛИСТ'!F1408 &lt;&gt; 'ПРАЙС_ЛИСТ'!H1408, 'ПРАЙС_ЛИСТ'!F1408, "0")</f>
        <v>15100</v>
      </c>
      <c r="E48" s="114" t="s">
        <v>429</v>
      </c>
      <c r="F48" s="117" t="s">
        <v>392</v>
      </c>
      <c r="G48" s="109"/>
      <c r="H48" s="108" t="s">
        <v>393</v>
      </c>
      <c r="I48" s="118" t="s">
        <v>524</v>
      </c>
      <c r="J48" s="119" t="s">
        <v>431</v>
      </c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</row>
    <row r="49">
      <c r="A49" s="120"/>
      <c r="C49" s="108" t="s">
        <v>525</v>
      </c>
      <c r="D49" s="109" t="str">
        <f>IF('ПРАЙС_ЛИСТ'!F1406 &lt;&gt; 'ПРАЙС_ЛИСТ'!H1406, 'ПРАЙС_ЛИСТ'!F1406, "0")</f>
        <v>0</v>
      </c>
      <c r="E49" s="114" t="s">
        <v>433</v>
      </c>
      <c r="F49" s="117" t="s">
        <v>421</v>
      </c>
      <c r="G49" s="108" t="s">
        <v>398</v>
      </c>
      <c r="H49" s="108" t="s">
        <v>393</v>
      </c>
      <c r="I49" s="122" t="s">
        <v>526</v>
      </c>
      <c r="J49" s="119" t="s">
        <v>435</v>
      </c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</row>
    <row r="50">
      <c r="A50" s="120"/>
      <c r="C50" s="108" t="s">
        <v>527</v>
      </c>
      <c r="D50" s="109" t="str">
        <f>IF('ПРАЙС_ЛИСТ'!F1407 &lt;&gt; 'ПРАЙС_ЛИСТ'!H1407, 'ПРАЙС_ЛИСТ'!F1407, "0")</f>
        <v>0</v>
      </c>
      <c r="E50" s="114" t="s">
        <v>437</v>
      </c>
      <c r="F50" s="117" t="s">
        <v>421</v>
      </c>
      <c r="G50" s="108" t="s">
        <v>398</v>
      </c>
      <c r="H50" s="108" t="s">
        <v>393</v>
      </c>
      <c r="I50" s="122" t="s">
        <v>528</v>
      </c>
      <c r="J50" s="119" t="s">
        <v>439</v>
      </c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</row>
    <row r="51">
      <c r="A51" s="120"/>
      <c r="C51" s="108" t="s">
        <v>529</v>
      </c>
      <c r="D51" s="116">
        <f>IF('ПРАЙС_ЛИСТ'!F1397 &lt;&gt; 'ПРАЙС_ЛИСТ'!H1397, 'ПРАЙС_ЛИСТ'!F1397, "0")</f>
        <v>15100</v>
      </c>
      <c r="E51" s="114" t="s">
        <v>441</v>
      </c>
      <c r="F51" s="117" t="s">
        <v>442</v>
      </c>
      <c r="G51" s="109"/>
      <c r="H51" s="108" t="s">
        <v>393</v>
      </c>
      <c r="I51" s="118" t="s">
        <v>530</v>
      </c>
      <c r="J51" s="119" t="s">
        <v>444</v>
      </c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</row>
    <row r="52">
      <c r="A52" s="120"/>
      <c r="C52" s="108" t="s">
        <v>531</v>
      </c>
      <c r="D52" s="116">
        <f>IF('ПРАЙС_ЛИСТ'!F1398 &lt;&gt; 'ПРАЙС_ЛИСТ'!H1398, 'ПРАЙС_ЛИСТ'!F1398, "0")</f>
        <v>16500</v>
      </c>
      <c r="E52" s="114" t="s">
        <v>446</v>
      </c>
      <c r="F52" s="117" t="s">
        <v>421</v>
      </c>
      <c r="G52" s="109"/>
      <c r="H52" s="108" t="s">
        <v>393</v>
      </c>
      <c r="I52" s="118" t="s">
        <v>532</v>
      </c>
      <c r="J52" s="119" t="s">
        <v>448</v>
      </c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</row>
    <row r="53">
      <c r="A53" s="120"/>
      <c r="C53" s="108" t="s">
        <v>533</v>
      </c>
      <c r="D53" s="116">
        <f>IF('ПРАЙС_ЛИСТ'!F1399 &lt;&gt; 'ПРАЙС_ЛИСТ'!H1399, 'ПРАЙС_ЛИСТ'!F1399, "0")</f>
        <v>7800</v>
      </c>
      <c r="E53" s="114" t="s">
        <v>450</v>
      </c>
      <c r="F53" s="117" t="s">
        <v>421</v>
      </c>
      <c r="G53" s="109"/>
      <c r="H53" s="108" t="s">
        <v>410</v>
      </c>
      <c r="I53" s="122" t="s">
        <v>534</v>
      </c>
      <c r="J53" s="119" t="s">
        <v>452</v>
      </c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</row>
    <row r="54">
      <c r="A54" s="120"/>
      <c r="C54" s="108" t="s">
        <v>535</v>
      </c>
      <c r="D54" s="121">
        <v>0.0</v>
      </c>
      <c r="E54" s="114" t="s">
        <v>454</v>
      </c>
      <c r="F54" s="117" t="s">
        <v>455</v>
      </c>
      <c r="G54" s="108" t="s">
        <v>398</v>
      </c>
      <c r="H54" s="108" t="s">
        <v>410</v>
      </c>
      <c r="I54" s="122" t="s">
        <v>536</v>
      </c>
      <c r="J54" s="119" t="s">
        <v>457</v>
      </c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</row>
    <row r="55">
      <c r="A55" s="120"/>
      <c r="C55" s="108" t="s">
        <v>537</v>
      </c>
      <c r="D55" s="121">
        <v>0.0</v>
      </c>
      <c r="E55" s="114" t="s">
        <v>459</v>
      </c>
      <c r="F55" s="117" t="s">
        <v>442</v>
      </c>
      <c r="G55" s="108" t="s">
        <v>398</v>
      </c>
      <c r="H55" s="108" t="s">
        <v>393</v>
      </c>
      <c r="I55" s="118" t="s">
        <v>538</v>
      </c>
      <c r="J55" s="119" t="s">
        <v>461</v>
      </c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</row>
    <row r="56">
      <c r="A56" s="120"/>
      <c r="C56" s="108" t="s">
        <v>462</v>
      </c>
      <c r="D56" s="116">
        <f>IF('ПРАЙС_ЛИСТ'!F9 &lt;&gt; 'ПРАЙС_ЛИСТ'!H9, 'ПРАЙС_ЛИСТ'!F9, "0")</f>
        <v>1100</v>
      </c>
      <c r="E56" s="114" t="s">
        <v>463</v>
      </c>
      <c r="F56" s="117" t="s">
        <v>409</v>
      </c>
      <c r="G56" s="108"/>
      <c r="H56" s="108"/>
      <c r="I56" s="122" t="s">
        <v>464</v>
      </c>
      <c r="J56" s="119" t="s">
        <v>465</v>
      </c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</row>
    <row r="57">
      <c r="A57" s="120"/>
      <c r="C57" s="113" t="s">
        <v>539</v>
      </c>
      <c r="D57" s="116">
        <f>'ПРАЙС_ЛИСТ'!F1409</f>
        <v>8800</v>
      </c>
      <c r="E57" s="114" t="s">
        <v>467</v>
      </c>
      <c r="F57" s="117" t="s">
        <v>468</v>
      </c>
      <c r="G57" s="108" t="s">
        <v>403</v>
      </c>
      <c r="H57" s="108" t="s">
        <v>393</v>
      </c>
      <c r="I57" s="118" t="s">
        <v>540</v>
      </c>
      <c r="J57" s="119" t="s">
        <v>470</v>
      </c>
      <c r="K57" s="120"/>
      <c r="L57" s="114" t="s">
        <v>418</v>
      </c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</row>
    <row r="58">
      <c r="A58" s="120"/>
      <c r="C58" s="108" t="s">
        <v>541</v>
      </c>
      <c r="D58" s="116">
        <f>'ПРАЙС_ЛИСТ'!F1400</f>
        <v>10800</v>
      </c>
      <c r="E58" s="114" t="s">
        <v>472</v>
      </c>
      <c r="F58" s="117" t="s">
        <v>468</v>
      </c>
      <c r="G58" s="108" t="s">
        <v>403</v>
      </c>
      <c r="H58" s="108" t="s">
        <v>393</v>
      </c>
      <c r="I58" s="122" t="s">
        <v>542</v>
      </c>
      <c r="J58" s="119" t="s">
        <v>474</v>
      </c>
      <c r="K58" s="120"/>
      <c r="L58" s="114" t="s">
        <v>418</v>
      </c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</row>
    <row r="59">
      <c r="A59" s="120"/>
      <c r="B59" s="120"/>
      <c r="C59" s="109"/>
      <c r="D59" s="109"/>
      <c r="E59" s="120"/>
      <c r="F59" s="120"/>
      <c r="G59" s="109"/>
      <c r="H59" s="120"/>
      <c r="I59" s="123"/>
      <c r="J59" s="123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</row>
    <row r="60">
      <c r="A60" s="120"/>
      <c r="B60" s="115" t="s">
        <v>353</v>
      </c>
      <c r="C60" s="108" t="s">
        <v>543</v>
      </c>
      <c r="D60" s="108">
        <f>IF('ПРАЙС_ЛИСТ'!F1359 &lt;&gt; 'ПРАЙС_ЛИСТ'!H1359, IF('ПРАЙС_ЛИСТ'!F1359 = 1, 0, 'ПРАЙС_ЛИСТ'!F1359), 0)</f>
        <v>0</v>
      </c>
      <c r="E60" s="114" t="s">
        <v>391</v>
      </c>
      <c r="F60" s="117" t="s">
        <v>392</v>
      </c>
      <c r="G60" s="108" t="s">
        <v>398</v>
      </c>
      <c r="H60" s="108" t="s">
        <v>393</v>
      </c>
      <c r="I60" s="122" t="s">
        <v>544</v>
      </c>
      <c r="J60" s="119" t="s">
        <v>395</v>
      </c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</row>
    <row r="61">
      <c r="A61" s="120"/>
      <c r="C61" s="108" t="s">
        <v>545</v>
      </c>
      <c r="D61" s="121">
        <v>0.0</v>
      </c>
      <c r="E61" s="114" t="s">
        <v>397</v>
      </c>
      <c r="F61" s="117" t="s">
        <v>392</v>
      </c>
      <c r="G61" s="108" t="s">
        <v>398</v>
      </c>
      <c r="H61" s="108" t="s">
        <v>393</v>
      </c>
      <c r="I61" s="122" t="s">
        <v>546</v>
      </c>
      <c r="J61" s="119" t="s">
        <v>400</v>
      </c>
      <c r="K61" s="120"/>
      <c r="L61" s="114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</row>
    <row r="62">
      <c r="A62" s="120"/>
      <c r="C62" s="108" t="s">
        <v>547</v>
      </c>
      <c r="D62" s="109">
        <f t="array" ref="D62">MIN(IF('ПРАЙС_ЛИСТ'!F1351:F1355 &lt;&gt; 'ПРАЙС_ЛИСТ'!H1351:H1355, 'ПРАЙС_ЛИСТ'!F1351:F1355, ""))</f>
        <v>38700</v>
      </c>
      <c r="E62" s="114" t="s">
        <v>402</v>
      </c>
      <c r="F62" s="117" t="s">
        <v>392</v>
      </c>
      <c r="G62" s="108" t="s">
        <v>403</v>
      </c>
      <c r="H62" s="108" t="s">
        <v>393</v>
      </c>
      <c r="I62" s="118" t="s">
        <v>548</v>
      </c>
      <c r="J62" s="119" t="s">
        <v>405</v>
      </c>
      <c r="K62" s="120"/>
      <c r="L62" s="114" t="s">
        <v>406</v>
      </c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</row>
    <row r="63">
      <c r="A63" s="120"/>
      <c r="C63" s="108" t="s">
        <v>549</v>
      </c>
      <c r="D63" s="109">
        <f t="array" ref="D63">MIN(IF('ПРАЙС_ЛИСТ'!F1364:F1365 &lt;&gt; 'ПРАЙС_ЛИСТ'!H1364:H1365, 'ПРАЙС_ЛИСТ'!F1364:F1365, ""))</f>
        <v>10000</v>
      </c>
      <c r="E63" s="114" t="s">
        <v>408</v>
      </c>
      <c r="F63" s="117" t="s">
        <v>409</v>
      </c>
      <c r="G63" s="108" t="s">
        <v>403</v>
      </c>
      <c r="H63" s="108" t="s">
        <v>410</v>
      </c>
      <c r="I63" s="118" t="s">
        <v>550</v>
      </c>
      <c r="J63" s="119" t="s">
        <v>412</v>
      </c>
      <c r="K63" s="120"/>
      <c r="L63" s="114" t="s">
        <v>413</v>
      </c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</row>
    <row r="64">
      <c r="A64" s="120"/>
      <c r="C64" s="108" t="s">
        <v>551</v>
      </c>
      <c r="D64" s="116">
        <f>'ПРАЙС_ЛИСТ'!F1373</f>
        <v>10300</v>
      </c>
      <c r="E64" s="114" t="s">
        <v>415</v>
      </c>
      <c r="F64" s="117" t="s">
        <v>392</v>
      </c>
      <c r="G64" s="108" t="s">
        <v>403</v>
      </c>
      <c r="H64" s="108" t="s">
        <v>393</v>
      </c>
      <c r="I64" s="122" t="s">
        <v>552</v>
      </c>
      <c r="J64" s="119" t="s">
        <v>417</v>
      </c>
      <c r="K64" s="120"/>
      <c r="L64" s="114" t="s">
        <v>418</v>
      </c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</row>
    <row r="65">
      <c r="A65" s="120"/>
      <c r="C65" s="108" t="s">
        <v>553</v>
      </c>
      <c r="D65" s="108">
        <f t="array" ref="D65">MIN(IF('ПРАЙС_ЛИСТ'!F1344:F1349 &lt;&gt; 'ПРАЙС_ЛИСТ'!H1344:H1349, 'ПРАЙС_ЛИСТ'!F1344:F1349, ""))</f>
        <v>0</v>
      </c>
      <c r="E65" s="114" t="s">
        <v>420</v>
      </c>
      <c r="F65" s="117" t="s">
        <v>421</v>
      </c>
      <c r="G65" s="108" t="s">
        <v>398</v>
      </c>
      <c r="H65" s="108" t="s">
        <v>410</v>
      </c>
      <c r="I65" s="118" t="s">
        <v>554</v>
      </c>
      <c r="J65" s="119" t="s">
        <v>423</v>
      </c>
      <c r="K65" s="120"/>
      <c r="L65" s="114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</row>
    <row r="66">
      <c r="A66" s="120"/>
      <c r="C66" s="108" t="s">
        <v>555</v>
      </c>
      <c r="D66" s="116">
        <f>IF('ПРАЙС_ЛИСТ'!F1350 &lt;&gt; 'ПРАЙС_ЛИСТ'!H1350, 'ПРАЙС_ЛИСТ'!F1350, "0")</f>
        <v>15250</v>
      </c>
      <c r="E66" s="114" t="s">
        <v>425</v>
      </c>
      <c r="F66" s="117" t="s">
        <v>421</v>
      </c>
      <c r="G66" s="109"/>
      <c r="H66" s="108" t="s">
        <v>393</v>
      </c>
      <c r="I66" s="118" t="s">
        <v>556</v>
      </c>
      <c r="J66" s="119" t="s">
        <v>427</v>
      </c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</row>
    <row r="67">
      <c r="A67" s="120"/>
      <c r="C67" s="108" t="s">
        <v>557</v>
      </c>
      <c r="D67" s="116">
        <f>IF('ПРАЙС_ЛИСТ'!F1371 &lt;&gt; 'ПРАЙС_ЛИСТ'!H1371, 'ПРАЙС_ЛИСТ'!F1371, "0")</f>
        <v>13550</v>
      </c>
      <c r="E67" s="114" t="s">
        <v>429</v>
      </c>
      <c r="F67" s="117" t="s">
        <v>392</v>
      </c>
      <c r="G67" s="109"/>
      <c r="H67" s="108" t="s">
        <v>393</v>
      </c>
      <c r="I67" s="122" t="s">
        <v>558</v>
      </c>
      <c r="J67" s="119" t="s">
        <v>431</v>
      </c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</row>
    <row r="68">
      <c r="A68" s="120"/>
      <c r="C68" s="108" t="s">
        <v>559</v>
      </c>
      <c r="D68" s="109" t="str">
        <f>IF('ПРАЙС_ЛИСТ'!F1369 &lt;&gt; 'ПРАЙС_ЛИСТ'!H1369, 'ПРАЙС_ЛИСТ'!F1369, "0")</f>
        <v>0</v>
      </c>
      <c r="E68" s="114" t="s">
        <v>433</v>
      </c>
      <c r="F68" s="117" t="s">
        <v>421</v>
      </c>
      <c r="G68" s="108" t="s">
        <v>398</v>
      </c>
      <c r="H68" s="108" t="s">
        <v>393</v>
      </c>
      <c r="I68" s="118" t="s">
        <v>560</v>
      </c>
      <c r="J68" s="119" t="s">
        <v>435</v>
      </c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</row>
    <row r="69">
      <c r="A69" s="120"/>
      <c r="C69" s="108" t="s">
        <v>561</v>
      </c>
      <c r="D69" s="109" t="str">
        <f>IF('ПРАЙС_ЛИСТ'!F1370 &lt;&gt; 'ПРАЙС_ЛИСТ'!H1370, 'ПРАЙС_ЛИСТ'!F1370, "0")</f>
        <v>0</v>
      </c>
      <c r="E69" s="114" t="s">
        <v>437</v>
      </c>
      <c r="F69" s="117" t="s">
        <v>421</v>
      </c>
      <c r="G69" s="108" t="s">
        <v>398</v>
      </c>
      <c r="H69" s="108" t="s">
        <v>393</v>
      </c>
      <c r="I69" s="122" t="s">
        <v>562</v>
      </c>
      <c r="J69" s="119" t="s">
        <v>439</v>
      </c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</row>
    <row r="70">
      <c r="A70" s="120"/>
      <c r="C70" s="108" t="s">
        <v>563</v>
      </c>
      <c r="D70" s="116">
        <f>IF('ПРАЙС_ЛИСТ'!F1360 &lt;&gt; 'ПРАЙС_ЛИСТ'!H1360, 'ПРАЙС_ЛИСТ'!F1360, "0")</f>
        <v>16200</v>
      </c>
      <c r="E70" s="114" t="s">
        <v>441</v>
      </c>
      <c r="F70" s="117" t="s">
        <v>442</v>
      </c>
      <c r="G70" s="109"/>
      <c r="H70" s="108" t="s">
        <v>393</v>
      </c>
      <c r="I70" s="118" t="s">
        <v>564</v>
      </c>
      <c r="J70" s="119" t="s">
        <v>444</v>
      </c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</row>
    <row r="71">
      <c r="A71" s="120"/>
      <c r="C71" s="108" t="s">
        <v>565</v>
      </c>
      <c r="D71" s="116">
        <f>IF('ПРАЙС_ЛИСТ'!F1361 &lt;&gt; 'ПРАЙС_ЛИСТ'!H1361, 'ПРАЙС_ЛИСТ'!F1361, "0")</f>
        <v>16000</v>
      </c>
      <c r="E71" s="114" t="s">
        <v>446</v>
      </c>
      <c r="F71" s="117" t="s">
        <v>421</v>
      </c>
      <c r="G71" s="109"/>
      <c r="H71" s="108" t="s">
        <v>393</v>
      </c>
      <c r="I71" s="118" t="s">
        <v>566</v>
      </c>
      <c r="J71" s="119" t="s">
        <v>448</v>
      </c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</row>
    <row r="72">
      <c r="A72" s="120"/>
      <c r="C72" s="108" t="s">
        <v>567</v>
      </c>
      <c r="D72" s="116">
        <f>IF('ПРАЙС_ЛИСТ'!F1362 &lt;&gt; 'ПРАЙС_ЛИСТ'!H1362, 'ПРАЙС_ЛИСТ'!F1362, "0")</f>
        <v>7700</v>
      </c>
      <c r="E72" s="114" t="s">
        <v>450</v>
      </c>
      <c r="F72" s="117" t="s">
        <v>421</v>
      </c>
      <c r="G72" s="109"/>
      <c r="H72" s="108" t="s">
        <v>410</v>
      </c>
      <c r="I72" s="122" t="s">
        <v>568</v>
      </c>
      <c r="J72" s="119" t="s">
        <v>452</v>
      </c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</row>
    <row r="73">
      <c r="A73" s="120"/>
      <c r="C73" s="108" t="s">
        <v>569</v>
      </c>
      <c r="D73" s="121">
        <v>0.0</v>
      </c>
      <c r="E73" s="114" t="s">
        <v>454</v>
      </c>
      <c r="F73" s="117" t="s">
        <v>455</v>
      </c>
      <c r="G73" s="108" t="s">
        <v>398</v>
      </c>
      <c r="H73" s="108" t="s">
        <v>410</v>
      </c>
      <c r="I73" s="122" t="s">
        <v>570</v>
      </c>
      <c r="J73" s="119" t="s">
        <v>457</v>
      </c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</row>
    <row r="74">
      <c r="A74" s="120"/>
      <c r="C74" s="108" t="s">
        <v>571</v>
      </c>
      <c r="D74" s="121">
        <v>0.0</v>
      </c>
      <c r="E74" s="114" t="s">
        <v>459</v>
      </c>
      <c r="F74" s="117" t="s">
        <v>442</v>
      </c>
      <c r="G74" s="108" t="s">
        <v>398</v>
      </c>
      <c r="H74" s="108" t="s">
        <v>393</v>
      </c>
      <c r="I74" s="118" t="s">
        <v>572</v>
      </c>
      <c r="J74" s="119" t="s">
        <v>461</v>
      </c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</row>
    <row r="75">
      <c r="A75" s="120"/>
      <c r="C75" s="108" t="s">
        <v>462</v>
      </c>
      <c r="D75" s="116">
        <f>IF('ПРАЙС_ЛИСТ'!F9 &lt;&gt; 'ПРАЙС_ЛИСТ'!H9, 'ПРАЙС_ЛИСТ'!F9, "0")</f>
        <v>1100</v>
      </c>
      <c r="E75" s="114" t="s">
        <v>463</v>
      </c>
      <c r="F75" s="117" t="s">
        <v>409</v>
      </c>
      <c r="G75" s="108"/>
      <c r="H75" s="108"/>
      <c r="I75" s="122" t="s">
        <v>464</v>
      </c>
      <c r="J75" s="119" t="s">
        <v>465</v>
      </c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</row>
    <row r="76">
      <c r="A76" s="120"/>
      <c r="C76" s="113" t="s">
        <v>573</v>
      </c>
      <c r="D76" s="116">
        <f>'ПРАЙС_ЛИСТ'!F1372</f>
        <v>8800</v>
      </c>
      <c r="E76" s="114" t="s">
        <v>467</v>
      </c>
      <c r="F76" s="117" t="s">
        <v>468</v>
      </c>
      <c r="G76" s="108" t="s">
        <v>403</v>
      </c>
      <c r="H76" s="108" t="s">
        <v>393</v>
      </c>
      <c r="I76" s="118" t="s">
        <v>574</v>
      </c>
      <c r="J76" s="119" t="s">
        <v>470</v>
      </c>
      <c r="K76" s="120"/>
      <c r="L76" s="114" t="s">
        <v>418</v>
      </c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</row>
    <row r="77">
      <c r="A77" s="120"/>
      <c r="C77" s="108" t="s">
        <v>575</v>
      </c>
      <c r="D77" s="116">
        <f>'ПРАЙС_ЛИСТ'!F1363</f>
        <v>10800</v>
      </c>
      <c r="E77" s="114" t="s">
        <v>472</v>
      </c>
      <c r="F77" s="117" t="s">
        <v>468</v>
      </c>
      <c r="G77" s="108" t="s">
        <v>403</v>
      </c>
      <c r="H77" s="108" t="s">
        <v>393</v>
      </c>
      <c r="I77" s="122" t="s">
        <v>576</v>
      </c>
      <c r="J77" s="119" t="s">
        <v>474</v>
      </c>
      <c r="K77" s="120"/>
      <c r="L77" s="114" t="s">
        <v>418</v>
      </c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</row>
    <row r="78">
      <c r="A78" s="120"/>
      <c r="B78" s="120"/>
      <c r="C78" s="109"/>
      <c r="D78" s="109"/>
      <c r="E78" s="120"/>
      <c r="F78" s="120"/>
      <c r="G78" s="109"/>
      <c r="H78" s="120"/>
      <c r="I78" s="123"/>
      <c r="J78" s="123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</row>
    <row r="79">
      <c r="A79" s="120"/>
      <c r="B79" s="115" t="s">
        <v>346</v>
      </c>
      <c r="C79" s="108" t="s">
        <v>577</v>
      </c>
      <c r="D79" s="116">
        <f>IF('ПРАЙС_ЛИСТ'!F1322 &lt;&gt; 'ПРАЙС_ЛИСТ'!H1322, IF('ПРАЙС_ЛИСТ'!F1322 = 1, 0, 'ПРАЙС_ЛИСТ'!F1322), 0)</f>
        <v>26000</v>
      </c>
      <c r="E79" s="114" t="s">
        <v>391</v>
      </c>
      <c r="F79" s="117" t="s">
        <v>392</v>
      </c>
      <c r="G79" s="108"/>
      <c r="H79" s="108" t="s">
        <v>393</v>
      </c>
      <c r="I79" s="122" t="s">
        <v>578</v>
      </c>
      <c r="J79" s="119" t="s">
        <v>395</v>
      </c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</row>
    <row r="80">
      <c r="A80" s="120"/>
      <c r="C80" s="108" t="s">
        <v>579</v>
      </c>
      <c r="D80" s="121">
        <v>0.0</v>
      </c>
      <c r="E80" s="114" t="s">
        <v>397</v>
      </c>
      <c r="F80" s="117" t="s">
        <v>392</v>
      </c>
      <c r="G80" s="108" t="s">
        <v>398</v>
      </c>
      <c r="H80" s="108" t="s">
        <v>393</v>
      </c>
      <c r="I80" s="118" t="s">
        <v>580</v>
      </c>
      <c r="J80" s="119" t="s">
        <v>400</v>
      </c>
      <c r="K80" s="120"/>
      <c r="L80" s="114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</row>
    <row r="81">
      <c r="A81" s="120"/>
      <c r="C81" s="108" t="s">
        <v>581</v>
      </c>
      <c r="D81" s="109">
        <f t="array" ref="D81">MIN(IF('ПРАЙС_ЛИСТ'!F1314:F1318 &lt;&gt; 'ПРАЙС_ЛИСТ'!H1314:H1318, 'ПРАЙС_ЛИСТ'!F1314:F1318, ""))</f>
        <v>35000</v>
      </c>
      <c r="E81" s="114" t="s">
        <v>402</v>
      </c>
      <c r="F81" s="117" t="s">
        <v>392</v>
      </c>
      <c r="G81" s="108" t="s">
        <v>403</v>
      </c>
      <c r="H81" s="108" t="s">
        <v>393</v>
      </c>
      <c r="I81" s="118" t="s">
        <v>582</v>
      </c>
      <c r="J81" s="119" t="s">
        <v>405</v>
      </c>
      <c r="K81" s="120"/>
      <c r="L81" s="114" t="s">
        <v>406</v>
      </c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</row>
    <row r="82">
      <c r="A82" s="120"/>
      <c r="C82" s="108" t="s">
        <v>583</v>
      </c>
      <c r="D82" s="109">
        <f t="array" ref="D82">MIN(IF('ПРАЙС_ЛИСТ'!F1327:F1328 &lt;&gt; 'ПРАЙС_ЛИСТ'!H1327:H1328, 'ПРАЙС_ЛИСТ'!F1327:F1328, ""))</f>
        <v>8000</v>
      </c>
      <c r="E82" s="114" t="s">
        <v>408</v>
      </c>
      <c r="F82" s="117" t="s">
        <v>409</v>
      </c>
      <c r="G82" s="108" t="s">
        <v>403</v>
      </c>
      <c r="H82" s="108" t="s">
        <v>410</v>
      </c>
      <c r="I82" s="118" t="s">
        <v>584</v>
      </c>
      <c r="J82" s="119" t="s">
        <v>412</v>
      </c>
      <c r="K82" s="120"/>
      <c r="L82" s="114" t="s">
        <v>413</v>
      </c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</row>
    <row r="83">
      <c r="A83" s="120"/>
      <c r="C83" s="108" t="s">
        <v>585</v>
      </c>
      <c r="D83" s="116">
        <f>'ПРАЙС_ЛИСТ'!F1336</f>
        <v>9000</v>
      </c>
      <c r="E83" s="114" t="s">
        <v>415</v>
      </c>
      <c r="F83" s="117" t="s">
        <v>392</v>
      </c>
      <c r="G83" s="108" t="s">
        <v>403</v>
      </c>
      <c r="H83" s="108" t="s">
        <v>393</v>
      </c>
      <c r="I83" s="122" t="s">
        <v>586</v>
      </c>
      <c r="J83" s="119" t="s">
        <v>417</v>
      </c>
      <c r="K83" s="120"/>
      <c r="L83" s="114" t="s">
        <v>418</v>
      </c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</row>
    <row r="84">
      <c r="A84" s="120"/>
      <c r="C84" s="108" t="s">
        <v>587</v>
      </c>
      <c r="D84" s="108">
        <f t="array" ref="D84">MIN(IF('ПРАЙС_ЛИСТ'!F1307:F1312 &lt;&gt; 'ПРАЙС_ЛИСТ'!H1307:H1312, 'ПРАЙС_ЛИСТ'!F1307:F1312, ""))</f>
        <v>12000</v>
      </c>
      <c r="E84" s="114" t="s">
        <v>420</v>
      </c>
      <c r="F84" s="117" t="s">
        <v>421</v>
      </c>
      <c r="G84" s="108" t="s">
        <v>403</v>
      </c>
      <c r="H84" s="108" t="s">
        <v>410</v>
      </c>
      <c r="I84" s="118" t="s">
        <v>588</v>
      </c>
      <c r="J84" s="119" t="s">
        <v>423</v>
      </c>
      <c r="K84" s="120"/>
      <c r="L84" s="114" t="s">
        <v>413</v>
      </c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</row>
    <row r="85">
      <c r="A85" s="120"/>
      <c r="C85" s="108" t="s">
        <v>589</v>
      </c>
      <c r="D85" s="116">
        <f>IF('ПРАЙС_ЛИСТ'!F1313 &lt;&gt; 'ПРАЙС_ЛИСТ'!H1313, 'ПРАЙС_ЛИСТ'!F1313, "0")</f>
        <v>13750</v>
      </c>
      <c r="E85" s="114" t="s">
        <v>425</v>
      </c>
      <c r="F85" s="117" t="s">
        <v>421</v>
      </c>
      <c r="G85" s="109"/>
      <c r="H85" s="108" t="s">
        <v>393</v>
      </c>
      <c r="I85" s="118" t="s">
        <v>590</v>
      </c>
      <c r="J85" s="119" t="s">
        <v>427</v>
      </c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</row>
    <row r="86">
      <c r="A86" s="120"/>
      <c r="C86" s="108" t="s">
        <v>591</v>
      </c>
      <c r="D86" s="116">
        <f>IF('ПРАЙС_ЛИСТ'!F1334 &lt;&gt; 'ПРАЙС_ЛИСТ'!H1334, 'ПРАЙС_ЛИСТ'!F1334, "0")</f>
        <v>13650</v>
      </c>
      <c r="E86" s="114" t="s">
        <v>429</v>
      </c>
      <c r="F86" s="117" t="s">
        <v>392</v>
      </c>
      <c r="G86" s="109"/>
      <c r="H86" s="108" t="s">
        <v>393</v>
      </c>
      <c r="I86" s="122" t="s">
        <v>592</v>
      </c>
      <c r="J86" s="119" t="s">
        <v>431</v>
      </c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</row>
    <row r="87">
      <c r="A87" s="120"/>
      <c r="C87" s="108" t="s">
        <v>593</v>
      </c>
      <c r="D87" s="109" t="str">
        <f>IF('ПРАЙС_ЛИСТ'!F1332 &lt;&gt; 'ПРАЙС_ЛИСТ'!H1332, 'ПРАЙС_ЛИСТ'!F1332, "0")</f>
        <v>0</v>
      </c>
      <c r="E87" s="114" t="s">
        <v>433</v>
      </c>
      <c r="F87" s="117" t="s">
        <v>421</v>
      </c>
      <c r="G87" s="108" t="s">
        <v>398</v>
      </c>
      <c r="H87" s="108" t="s">
        <v>393</v>
      </c>
      <c r="I87" s="122" t="s">
        <v>594</v>
      </c>
      <c r="J87" s="119" t="s">
        <v>435</v>
      </c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</row>
    <row r="88">
      <c r="A88" s="120"/>
      <c r="C88" s="108" t="s">
        <v>595</v>
      </c>
      <c r="D88" s="116">
        <f>IF('ПРАЙС_ЛИСТ'!F1333 &lt;&gt; 'ПРАЙС_ЛИСТ'!H1333, 'ПРАЙС_ЛИСТ'!F1333, "0")</f>
        <v>10900</v>
      </c>
      <c r="E88" s="114" t="s">
        <v>437</v>
      </c>
      <c r="F88" s="117" t="s">
        <v>421</v>
      </c>
      <c r="G88" s="109"/>
      <c r="H88" s="108" t="s">
        <v>393</v>
      </c>
      <c r="I88" s="122" t="s">
        <v>596</v>
      </c>
      <c r="J88" s="119" t="s">
        <v>439</v>
      </c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</row>
    <row r="89">
      <c r="A89" s="120"/>
      <c r="C89" s="108" t="s">
        <v>597</v>
      </c>
      <c r="D89" s="116">
        <f>IF('ПРАЙС_ЛИСТ'!F1323 &lt;&gt; 'ПРАЙС_ЛИСТ'!H1323, 'ПРАЙС_ЛИСТ'!F1323, "0")</f>
        <v>16100</v>
      </c>
      <c r="E89" s="114" t="s">
        <v>441</v>
      </c>
      <c r="F89" s="117" t="s">
        <v>442</v>
      </c>
      <c r="G89" s="109"/>
      <c r="H89" s="108" t="s">
        <v>393</v>
      </c>
      <c r="I89" s="118" t="s">
        <v>598</v>
      </c>
      <c r="J89" s="119" t="s">
        <v>444</v>
      </c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</row>
    <row r="90">
      <c r="A90" s="120"/>
      <c r="C90" s="108" t="s">
        <v>599</v>
      </c>
      <c r="D90" s="116">
        <f>IF('ПРАЙС_ЛИСТ'!F1324 &lt;&gt; 'ПРАЙС_ЛИСТ'!H1324, 'ПРАЙС_ЛИСТ'!F1324, "0")</f>
        <v>12000</v>
      </c>
      <c r="E90" s="114" t="s">
        <v>446</v>
      </c>
      <c r="F90" s="117" t="s">
        <v>421</v>
      </c>
      <c r="G90" s="109"/>
      <c r="H90" s="108" t="s">
        <v>393</v>
      </c>
      <c r="I90" s="118" t="s">
        <v>600</v>
      </c>
      <c r="J90" s="119" t="s">
        <v>448</v>
      </c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</row>
    <row r="91">
      <c r="A91" s="120"/>
      <c r="C91" s="108" t="s">
        <v>601</v>
      </c>
      <c r="D91" s="116">
        <f>IF('ПРАЙС_ЛИСТ'!F1325 &lt;&gt; 'ПРАЙС_ЛИСТ'!H1325, 'ПРАЙС_ЛИСТ'!F1325, "0")</f>
        <v>6500</v>
      </c>
      <c r="E91" s="114" t="s">
        <v>450</v>
      </c>
      <c r="F91" s="117" t="s">
        <v>421</v>
      </c>
      <c r="G91" s="109"/>
      <c r="H91" s="108" t="s">
        <v>410</v>
      </c>
      <c r="I91" s="122" t="s">
        <v>602</v>
      </c>
      <c r="J91" s="119" t="s">
        <v>452</v>
      </c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</row>
    <row r="92">
      <c r="A92" s="120"/>
      <c r="C92" s="108" t="s">
        <v>603</v>
      </c>
      <c r="D92" s="121">
        <v>0.0</v>
      </c>
      <c r="E92" s="114" t="s">
        <v>454</v>
      </c>
      <c r="F92" s="117" t="s">
        <v>455</v>
      </c>
      <c r="G92" s="108" t="s">
        <v>398</v>
      </c>
      <c r="H92" s="108" t="s">
        <v>410</v>
      </c>
      <c r="I92" s="122" t="s">
        <v>604</v>
      </c>
      <c r="J92" s="119" t="s">
        <v>457</v>
      </c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</row>
    <row r="93">
      <c r="A93" s="120"/>
      <c r="C93" s="108" t="s">
        <v>605</v>
      </c>
      <c r="D93" s="121">
        <v>0.0</v>
      </c>
      <c r="E93" s="114" t="s">
        <v>459</v>
      </c>
      <c r="F93" s="117" t="s">
        <v>442</v>
      </c>
      <c r="G93" s="108" t="s">
        <v>398</v>
      </c>
      <c r="H93" s="108" t="s">
        <v>393</v>
      </c>
      <c r="I93" s="118" t="s">
        <v>606</v>
      </c>
      <c r="J93" s="119" t="s">
        <v>461</v>
      </c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</row>
    <row r="94">
      <c r="A94" s="120"/>
      <c r="C94" s="108" t="s">
        <v>462</v>
      </c>
      <c r="D94" s="116">
        <f>IF('ПРАЙС_ЛИСТ'!F9 &lt;&gt; 'ПРАЙС_ЛИСТ'!H9, 'ПРАЙС_ЛИСТ'!F9, "0")</f>
        <v>1100</v>
      </c>
      <c r="E94" s="114" t="s">
        <v>463</v>
      </c>
      <c r="F94" s="117" t="s">
        <v>409</v>
      </c>
      <c r="G94" s="108"/>
      <c r="H94" s="108"/>
      <c r="I94" s="122" t="s">
        <v>464</v>
      </c>
      <c r="J94" s="119" t="s">
        <v>465</v>
      </c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</row>
    <row r="95">
      <c r="A95" s="120"/>
      <c r="C95" s="113" t="s">
        <v>607</v>
      </c>
      <c r="D95" s="116">
        <f>'ПРАЙС_ЛИСТ'!F1335</f>
        <v>7700</v>
      </c>
      <c r="E95" s="114" t="s">
        <v>467</v>
      </c>
      <c r="F95" s="117" t="s">
        <v>468</v>
      </c>
      <c r="G95" s="108" t="s">
        <v>403</v>
      </c>
      <c r="H95" s="108" t="s">
        <v>393</v>
      </c>
      <c r="I95" s="118" t="s">
        <v>608</v>
      </c>
      <c r="J95" s="119" t="s">
        <v>470</v>
      </c>
      <c r="K95" s="120"/>
      <c r="L95" s="114" t="s">
        <v>418</v>
      </c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</row>
    <row r="96">
      <c r="A96" s="120"/>
      <c r="C96" s="108" t="s">
        <v>609</v>
      </c>
      <c r="D96" s="116">
        <f>'ПРАЙС_ЛИСТ'!F1326</f>
        <v>9700</v>
      </c>
      <c r="E96" s="114" t="s">
        <v>472</v>
      </c>
      <c r="F96" s="117" t="s">
        <v>468</v>
      </c>
      <c r="G96" s="108" t="s">
        <v>403</v>
      </c>
      <c r="H96" s="108" t="s">
        <v>393</v>
      </c>
      <c r="I96" s="122" t="s">
        <v>610</v>
      </c>
      <c r="J96" s="119" t="s">
        <v>474</v>
      </c>
      <c r="K96" s="120"/>
      <c r="L96" s="114" t="s">
        <v>418</v>
      </c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</row>
    <row r="97">
      <c r="A97" s="120"/>
      <c r="B97" s="120"/>
      <c r="C97" s="109"/>
      <c r="D97" s="109"/>
      <c r="E97" s="120"/>
      <c r="F97" s="120"/>
      <c r="G97" s="109"/>
      <c r="H97" s="120"/>
      <c r="I97" s="123"/>
      <c r="J97" s="123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</row>
    <row r="98">
      <c r="A98" s="120"/>
      <c r="B98" s="115" t="s">
        <v>339</v>
      </c>
      <c r="C98" s="108" t="s">
        <v>611</v>
      </c>
      <c r="D98" s="116">
        <f>IF('ПРАЙС_ЛИСТ'!F1285 &lt;&gt; 'ПРАЙС_ЛИСТ'!H1285, IF('ПРАЙС_ЛИСТ'!F1285 = 1, 0, 'ПРАЙС_ЛИСТ'!F1285), 0)</f>
        <v>25000</v>
      </c>
      <c r="E98" s="114" t="s">
        <v>391</v>
      </c>
      <c r="F98" s="117" t="s">
        <v>392</v>
      </c>
      <c r="G98" s="108"/>
      <c r="H98" s="108" t="s">
        <v>393</v>
      </c>
      <c r="I98" s="122" t="s">
        <v>612</v>
      </c>
      <c r="J98" s="119" t="s">
        <v>395</v>
      </c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</row>
    <row r="99">
      <c r="A99" s="120"/>
      <c r="C99" s="108" t="s">
        <v>613</v>
      </c>
      <c r="D99" s="121">
        <v>0.0</v>
      </c>
      <c r="E99" s="114" t="s">
        <v>397</v>
      </c>
      <c r="F99" s="117" t="s">
        <v>392</v>
      </c>
      <c r="G99" s="108" t="s">
        <v>398</v>
      </c>
      <c r="H99" s="108" t="s">
        <v>393</v>
      </c>
      <c r="I99" s="122" t="s">
        <v>614</v>
      </c>
      <c r="J99" s="119" t="s">
        <v>400</v>
      </c>
      <c r="K99" s="120"/>
      <c r="L99" s="114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</row>
    <row r="100">
      <c r="A100" s="120"/>
      <c r="C100" s="108" t="s">
        <v>615</v>
      </c>
      <c r="D100" s="109">
        <f t="array" ref="D100">MIN(IF('ПРАЙС_ЛИСТ'!F1277:F1281 &lt;&gt; 'ПРАЙС_ЛИСТ'!H1277:H1281, 'ПРАЙС_ЛИСТ'!F1277:F1281, ""))</f>
        <v>30000</v>
      </c>
      <c r="E100" s="114" t="s">
        <v>402</v>
      </c>
      <c r="F100" s="117" t="s">
        <v>392</v>
      </c>
      <c r="G100" s="108" t="s">
        <v>403</v>
      </c>
      <c r="H100" s="108" t="s">
        <v>393</v>
      </c>
      <c r="I100" s="118" t="s">
        <v>616</v>
      </c>
      <c r="J100" s="119" t="s">
        <v>405</v>
      </c>
      <c r="K100" s="120"/>
      <c r="L100" s="114" t="s">
        <v>406</v>
      </c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</row>
    <row r="101">
      <c r="A101" s="120"/>
      <c r="C101" s="108" t="s">
        <v>617</v>
      </c>
      <c r="D101" s="109">
        <f t="array" ref="D101">MIN(IF('ПРАЙС_ЛИСТ'!F1290:F1291 &lt;&gt; 'ПРАЙС_ЛИСТ'!H1290:H1291, 'ПРАЙС_ЛИСТ'!F1290:F1291, ""))</f>
        <v>8000</v>
      </c>
      <c r="E101" s="114" t="s">
        <v>408</v>
      </c>
      <c r="F101" s="117" t="s">
        <v>409</v>
      </c>
      <c r="G101" s="108" t="s">
        <v>403</v>
      </c>
      <c r="H101" s="108" t="s">
        <v>410</v>
      </c>
      <c r="I101" s="118" t="s">
        <v>618</v>
      </c>
      <c r="J101" s="119" t="s">
        <v>412</v>
      </c>
      <c r="K101" s="120"/>
      <c r="L101" s="114" t="s">
        <v>413</v>
      </c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</row>
    <row r="102">
      <c r="A102" s="120"/>
      <c r="C102" s="108" t="s">
        <v>619</v>
      </c>
      <c r="D102" s="116">
        <f>'ПРАЙС_ЛИСТ'!F1299</f>
        <v>9000</v>
      </c>
      <c r="E102" s="114" t="s">
        <v>415</v>
      </c>
      <c r="F102" s="117" t="s">
        <v>392</v>
      </c>
      <c r="G102" s="108" t="s">
        <v>403</v>
      </c>
      <c r="H102" s="108" t="s">
        <v>393</v>
      </c>
      <c r="I102" s="122" t="s">
        <v>620</v>
      </c>
      <c r="J102" s="119" t="s">
        <v>417</v>
      </c>
      <c r="K102" s="120"/>
      <c r="L102" s="114" t="s">
        <v>418</v>
      </c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</row>
    <row r="103">
      <c r="A103" s="120"/>
      <c r="C103" s="108" t="s">
        <v>621</v>
      </c>
      <c r="D103" s="108">
        <f t="array" ref="D103">MIN(IF('ПРАЙС_ЛИСТ'!F1270:F1275 &lt;&gt; 'ПРАЙС_ЛИСТ'!H1270:H1275, 'ПРАЙС_ЛИСТ'!F1270:F1275, ""))</f>
        <v>12000</v>
      </c>
      <c r="E103" s="114" t="s">
        <v>420</v>
      </c>
      <c r="F103" s="117" t="s">
        <v>421</v>
      </c>
      <c r="G103" s="108" t="s">
        <v>403</v>
      </c>
      <c r="H103" s="108" t="s">
        <v>410</v>
      </c>
      <c r="I103" s="118" t="s">
        <v>622</v>
      </c>
      <c r="J103" s="119" t="s">
        <v>423</v>
      </c>
      <c r="K103" s="120"/>
      <c r="L103" s="114" t="s">
        <v>413</v>
      </c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</row>
    <row r="104">
      <c r="A104" s="120"/>
      <c r="C104" s="108" t="s">
        <v>623</v>
      </c>
      <c r="D104" s="116">
        <f>IF('ПРАЙС_ЛИСТ'!F1276 &lt;&gt; 'ПРАЙС_ЛИСТ'!H1276, 'ПРАЙС_ЛИСТ'!F1276, "0")</f>
        <v>13000</v>
      </c>
      <c r="E104" s="114" t="s">
        <v>425</v>
      </c>
      <c r="F104" s="117" t="s">
        <v>421</v>
      </c>
      <c r="G104" s="109"/>
      <c r="H104" s="108" t="s">
        <v>393</v>
      </c>
      <c r="I104" s="118" t="s">
        <v>624</v>
      </c>
      <c r="J104" s="119" t="s">
        <v>427</v>
      </c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</row>
    <row r="105">
      <c r="A105" s="120"/>
      <c r="C105" s="108" t="s">
        <v>625</v>
      </c>
      <c r="D105" s="116">
        <f>IF('ПРАЙС_ЛИСТ'!F1297 &lt;&gt; 'ПРАЙС_ЛИСТ'!H1297, 'ПРАЙС_ЛИСТ'!F1297, "0")</f>
        <v>12900</v>
      </c>
      <c r="E105" s="114" t="s">
        <v>429</v>
      </c>
      <c r="F105" s="117" t="s">
        <v>392</v>
      </c>
      <c r="G105" s="109"/>
      <c r="H105" s="108" t="s">
        <v>393</v>
      </c>
      <c r="I105" s="122" t="s">
        <v>626</v>
      </c>
      <c r="J105" s="119" t="s">
        <v>431</v>
      </c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</row>
    <row r="106">
      <c r="A106" s="120"/>
      <c r="C106" s="108" t="s">
        <v>627</v>
      </c>
      <c r="D106" s="109" t="str">
        <f>IF('ПРАЙС_ЛИСТ'!F1295 &lt;&gt; 'ПРАЙС_ЛИСТ'!H1295, 'ПРАЙС_ЛИСТ'!F1295, "0")</f>
        <v>0</v>
      </c>
      <c r="E106" s="114" t="s">
        <v>433</v>
      </c>
      <c r="F106" s="117" t="s">
        <v>421</v>
      </c>
      <c r="G106" s="108" t="s">
        <v>398</v>
      </c>
      <c r="H106" s="108" t="s">
        <v>393</v>
      </c>
      <c r="I106" s="122" t="s">
        <v>628</v>
      </c>
      <c r="J106" s="119" t="s">
        <v>435</v>
      </c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</row>
    <row r="107">
      <c r="A107" s="120"/>
      <c r="C107" s="108" t="s">
        <v>629</v>
      </c>
      <c r="D107" s="116">
        <f>IF('ПРАЙС_ЛИСТ'!F1296 &lt;&gt; 'ПРАЙС_ЛИСТ'!H1296, 'ПРАЙС_ЛИСТ'!F1296, "0")</f>
        <v>10500</v>
      </c>
      <c r="E107" s="114" t="s">
        <v>437</v>
      </c>
      <c r="F107" s="117" t="s">
        <v>421</v>
      </c>
      <c r="G107" s="109"/>
      <c r="H107" s="108" t="s">
        <v>393</v>
      </c>
      <c r="I107" s="122" t="s">
        <v>630</v>
      </c>
      <c r="J107" s="119" t="s">
        <v>439</v>
      </c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</row>
    <row r="108">
      <c r="A108" s="120"/>
      <c r="C108" s="108" t="s">
        <v>631</v>
      </c>
      <c r="D108" s="116">
        <f>IF('ПРАЙС_ЛИСТ'!F1286 &lt;&gt; 'ПРАЙС_ЛИСТ'!H1286, 'ПРАЙС_ЛИСТ'!F1286, "0")</f>
        <v>15900</v>
      </c>
      <c r="E108" s="114" t="s">
        <v>441</v>
      </c>
      <c r="F108" s="117" t="s">
        <v>442</v>
      </c>
      <c r="G108" s="109"/>
      <c r="H108" s="108" t="s">
        <v>393</v>
      </c>
      <c r="I108" s="118" t="s">
        <v>632</v>
      </c>
      <c r="J108" s="119" t="s">
        <v>444</v>
      </c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</row>
    <row r="109">
      <c r="A109" s="120"/>
      <c r="C109" s="108" t="s">
        <v>633</v>
      </c>
      <c r="D109" s="116">
        <f>IF('ПРАЙС_ЛИСТ'!F1287 &lt;&gt; 'ПРАЙС_ЛИСТ'!H1287, 'ПРАЙС_ЛИСТ'!F1287, "0")</f>
        <v>12000</v>
      </c>
      <c r="E109" s="114" t="s">
        <v>446</v>
      </c>
      <c r="F109" s="117" t="s">
        <v>421</v>
      </c>
      <c r="G109" s="109"/>
      <c r="H109" s="108" t="s">
        <v>393</v>
      </c>
      <c r="I109" s="118" t="s">
        <v>634</v>
      </c>
      <c r="J109" s="119" t="s">
        <v>448</v>
      </c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</row>
    <row r="110">
      <c r="A110" s="120"/>
      <c r="C110" s="108" t="s">
        <v>635</v>
      </c>
      <c r="D110" s="116">
        <f>IF('ПРАЙС_ЛИСТ'!F1288 &lt;&gt; 'ПРАЙС_ЛИСТ'!H1288, 'ПРАЙС_ЛИСТ'!F1288, "0")</f>
        <v>6500</v>
      </c>
      <c r="E110" s="114" t="s">
        <v>450</v>
      </c>
      <c r="F110" s="117" t="s">
        <v>421</v>
      </c>
      <c r="G110" s="109"/>
      <c r="H110" s="108" t="s">
        <v>410</v>
      </c>
      <c r="I110" s="122" t="s">
        <v>636</v>
      </c>
      <c r="J110" s="119" t="s">
        <v>452</v>
      </c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</row>
    <row r="111">
      <c r="A111" s="120"/>
      <c r="C111" s="108" t="s">
        <v>637</v>
      </c>
      <c r="D111" s="121">
        <v>0.0</v>
      </c>
      <c r="E111" s="114" t="s">
        <v>454</v>
      </c>
      <c r="F111" s="117" t="s">
        <v>455</v>
      </c>
      <c r="G111" s="108" t="s">
        <v>398</v>
      </c>
      <c r="H111" s="108" t="s">
        <v>410</v>
      </c>
      <c r="I111" s="122" t="s">
        <v>638</v>
      </c>
      <c r="J111" s="119" t="s">
        <v>457</v>
      </c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</row>
    <row r="112">
      <c r="A112" s="120"/>
      <c r="C112" s="108" t="s">
        <v>639</v>
      </c>
      <c r="D112" s="121">
        <v>0.0</v>
      </c>
      <c r="E112" s="114" t="s">
        <v>459</v>
      </c>
      <c r="F112" s="117" t="s">
        <v>442</v>
      </c>
      <c r="G112" s="108" t="s">
        <v>398</v>
      </c>
      <c r="H112" s="108" t="s">
        <v>393</v>
      </c>
      <c r="I112" s="118" t="s">
        <v>640</v>
      </c>
      <c r="J112" s="119" t="s">
        <v>461</v>
      </c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</row>
    <row r="113">
      <c r="A113" s="120"/>
      <c r="C113" s="108" t="s">
        <v>462</v>
      </c>
      <c r="D113" s="116">
        <f>IF('ПРАЙС_ЛИСТ'!F9 &lt;&gt; 'ПРАЙС_ЛИСТ'!H9, 'ПРАЙС_ЛИСТ'!F9, "0")</f>
        <v>1100</v>
      </c>
      <c r="E113" s="114" t="s">
        <v>463</v>
      </c>
      <c r="F113" s="117" t="s">
        <v>409</v>
      </c>
      <c r="G113" s="108"/>
      <c r="H113" s="108"/>
      <c r="I113" s="122" t="s">
        <v>464</v>
      </c>
      <c r="J113" s="119" t="s">
        <v>465</v>
      </c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</row>
    <row r="114">
      <c r="A114" s="120"/>
      <c r="C114" s="113" t="s">
        <v>641</v>
      </c>
      <c r="D114" s="116">
        <f>'ПРАЙС_ЛИСТ'!F1298</f>
        <v>7700</v>
      </c>
      <c r="E114" s="114" t="s">
        <v>467</v>
      </c>
      <c r="F114" s="117" t="s">
        <v>468</v>
      </c>
      <c r="G114" s="108" t="s">
        <v>403</v>
      </c>
      <c r="H114" s="108" t="s">
        <v>393</v>
      </c>
      <c r="I114" s="118" t="s">
        <v>642</v>
      </c>
      <c r="J114" s="119" t="s">
        <v>470</v>
      </c>
      <c r="K114" s="120"/>
      <c r="L114" s="114" t="s">
        <v>418</v>
      </c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</row>
    <row r="115">
      <c r="A115" s="120"/>
      <c r="C115" s="108" t="s">
        <v>643</v>
      </c>
      <c r="D115" s="116">
        <f>'ПРАЙС_ЛИСТ'!F1289</f>
        <v>9700</v>
      </c>
      <c r="E115" s="114" t="s">
        <v>472</v>
      </c>
      <c r="F115" s="117" t="s">
        <v>468</v>
      </c>
      <c r="G115" s="108" t="s">
        <v>403</v>
      </c>
      <c r="H115" s="108" t="s">
        <v>393</v>
      </c>
      <c r="I115" s="122" t="s">
        <v>644</v>
      </c>
      <c r="J115" s="119" t="s">
        <v>474</v>
      </c>
      <c r="K115" s="120"/>
      <c r="L115" s="114" t="s">
        <v>418</v>
      </c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</row>
    <row r="116">
      <c r="A116" s="120"/>
      <c r="B116" s="120"/>
      <c r="C116" s="109"/>
      <c r="D116" s="109"/>
      <c r="E116" s="120"/>
      <c r="F116" s="120"/>
      <c r="G116" s="109"/>
      <c r="H116" s="120"/>
      <c r="I116" s="123"/>
      <c r="J116" s="123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</row>
    <row r="117">
      <c r="A117" s="120"/>
      <c r="B117" s="115" t="s">
        <v>332</v>
      </c>
      <c r="C117" s="108" t="s">
        <v>645</v>
      </c>
      <c r="D117" s="116">
        <f>IF('ПРАЙС_ЛИСТ'!F1248 &lt;&gt; 'ПРАЙС_ЛИСТ'!H1248, IF('ПРАЙС_ЛИСТ'!F1248 = 1, 0, 'ПРАЙС_ЛИСТ'!F1248), 0)</f>
        <v>20000</v>
      </c>
      <c r="E117" s="114" t="s">
        <v>391</v>
      </c>
      <c r="F117" s="117" t="s">
        <v>392</v>
      </c>
      <c r="G117" s="108"/>
      <c r="H117" s="108" t="s">
        <v>393</v>
      </c>
      <c r="I117" s="122" t="s">
        <v>646</v>
      </c>
      <c r="J117" s="119" t="s">
        <v>395</v>
      </c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</row>
    <row r="118">
      <c r="A118" s="120"/>
      <c r="C118" s="108" t="s">
        <v>647</v>
      </c>
      <c r="D118" s="121">
        <v>0.0</v>
      </c>
      <c r="E118" s="114" t="s">
        <v>397</v>
      </c>
      <c r="F118" s="117" t="s">
        <v>392</v>
      </c>
      <c r="G118" s="108" t="s">
        <v>398</v>
      </c>
      <c r="H118" s="108" t="s">
        <v>393</v>
      </c>
      <c r="I118" s="122" t="s">
        <v>648</v>
      </c>
      <c r="J118" s="119" t="s">
        <v>400</v>
      </c>
      <c r="K118" s="120"/>
      <c r="L118" s="114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</row>
    <row r="119">
      <c r="A119" s="120"/>
      <c r="C119" s="108" t="s">
        <v>649</v>
      </c>
      <c r="D119" s="109">
        <f t="array" ref="D119">MIN(IF('ПРАЙС_ЛИСТ'!F1240:F1244 &lt;&gt; 'ПРАЙС_ЛИСТ'!H1240:H1244, 'ПРАЙС_ЛИСТ'!F1240:F1244, ""))</f>
        <v>26600</v>
      </c>
      <c r="E119" s="114" t="s">
        <v>402</v>
      </c>
      <c r="F119" s="117" t="s">
        <v>392</v>
      </c>
      <c r="G119" s="108" t="s">
        <v>403</v>
      </c>
      <c r="H119" s="108" t="s">
        <v>393</v>
      </c>
      <c r="I119" s="118" t="s">
        <v>650</v>
      </c>
      <c r="J119" s="119" t="s">
        <v>405</v>
      </c>
      <c r="K119" s="120"/>
      <c r="L119" s="114" t="s">
        <v>406</v>
      </c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</row>
    <row r="120">
      <c r="A120" s="120"/>
      <c r="C120" s="108" t="s">
        <v>651</v>
      </c>
      <c r="D120" s="109">
        <f t="array" ref="D120">MIN(IF('ПРАЙС_ЛИСТ'!F1253:F1254 &lt;&gt; 'ПРАЙС_ЛИСТ'!H1253:H1254, 'ПРАЙС_ЛИСТ'!F1253:F1254, ""))</f>
        <v>8000</v>
      </c>
      <c r="E120" s="114" t="s">
        <v>408</v>
      </c>
      <c r="F120" s="117" t="s">
        <v>409</v>
      </c>
      <c r="G120" s="108" t="s">
        <v>403</v>
      </c>
      <c r="H120" s="108" t="s">
        <v>410</v>
      </c>
      <c r="I120" s="118" t="s">
        <v>652</v>
      </c>
      <c r="J120" s="119" t="s">
        <v>412</v>
      </c>
      <c r="K120" s="120"/>
      <c r="L120" s="114" t="s">
        <v>413</v>
      </c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</row>
    <row r="121">
      <c r="A121" s="120"/>
      <c r="C121" s="108" t="s">
        <v>653</v>
      </c>
      <c r="D121" s="116">
        <f>'ПРАЙС_ЛИСТ'!F1262</f>
        <v>9000</v>
      </c>
      <c r="E121" s="114" t="s">
        <v>415</v>
      </c>
      <c r="F121" s="117" t="s">
        <v>392</v>
      </c>
      <c r="G121" s="108" t="s">
        <v>403</v>
      </c>
      <c r="H121" s="108" t="s">
        <v>393</v>
      </c>
      <c r="I121" s="122" t="s">
        <v>654</v>
      </c>
      <c r="J121" s="119" t="s">
        <v>417</v>
      </c>
      <c r="K121" s="120"/>
      <c r="L121" s="114" t="s">
        <v>418</v>
      </c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</row>
    <row r="122">
      <c r="A122" s="120"/>
      <c r="C122" s="108" t="s">
        <v>655</v>
      </c>
      <c r="D122" s="108">
        <f t="array" ref="D122">MIN(IF('ПРАЙС_ЛИСТ'!F1233:F1238 &lt;&gt; 'ПРАЙС_ЛИСТ'!H1233:H1238, 'ПРАЙС_ЛИСТ'!F1233:F1238, ""))</f>
        <v>12000</v>
      </c>
      <c r="E122" s="114" t="s">
        <v>420</v>
      </c>
      <c r="F122" s="117" t="s">
        <v>421</v>
      </c>
      <c r="G122" s="108" t="s">
        <v>403</v>
      </c>
      <c r="H122" s="108" t="s">
        <v>410</v>
      </c>
      <c r="I122" s="118" t="s">
        <v>656</v>
      </c>
      <c r="J122" s="119" t="s">
        <v>423</v>
      </c>
      <c r="K122" s="120"/>
      <c r="L122" s="114" t="s">
        <v>413</v>
      </c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</row>
    <row r="123">
      <c r="A123" s="120"/>
      <c r="C123" s="108" t="s">
        <v>657</v>
      </c>
      <c r="D123" s="116">
        <f>IF('ПРАЙС_ЛИСТ'!F1239 &lt;&gt; 'ПРАЙС_ЛИСТ'!H1239, 'ПРАЙС_ЛИСТ'!F1239, "0")</f>
        <v>13250</v>
      </c>
      <c r="E123" s="114" t="s">
        <v>425</v>
      </c>
      <c r="F123" s="117" t="s">
        <v>421</v>
      </c>
      <c r="G123" s="109"/>
      <c r="H123" s="108" t="s">
        <v>393</v>
      </c>
      <c r="I123" s="118" t="s">
        <v>658</v>
      </c>
      <c r="J123" s="119" t="s">
        <v>427</v>
      </c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</row>
    <row r="124">
      <c r="A124" s="120"/>
      <c r="C124" s="108" t="s">
        <v>659</v>
      </c>
      <c r="D124" s="116">
        <f>IF('ПРАЙС_ЛИСТ'!F1260 &lt;&gt; 'ПРАЙС_ЛИСТ'!H1260, 'ПРАЙС_ЛИСТ'!F1260, "0")</f>
        <v>12950</v>
      </c>
      <c r="E124" s="114" t="s">
        <v>429</v>
      </c>
      <c r="F124" s="117" t="s">
        <v>392</v>
      </c>
      <c r="G124" s="109"/>
      <c r="H124" s="108" t="s">
        <v>393</v>
      </c>
      <c r="I124" s="122" t="s">
        <v>660</v>
      </c>
      <c r="J124" s="119" t="s">
        <v>431</v>
      </c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</row>
    <row r="125">
      <c r="A125" s="120"/>
      <c r="C125" s="108" t="s">
        <v>661</v>
      </c>
      <c r="D125" s="109" t="str">
        <f>IF('ПРАЙС_ЛИСТ'!F1258 &lt;&gt; 'ПРАЙС_ЛИСТ'!H1258, 'ПРАЙС_ЛИСТ'!F1258, "0")</f>
        <v>0</v>
      </c>
      <c r="E125" s="114" t="s">
        <v>433</v>
      </c>
      <c r="F125" s="117" t="s">
        <v>421</v>
      </c>
      <c r="G125" s="108" t="s">
        <v>398</v>
      </c>
      <c r="H125" s="108" t="s">
        <v>393</v>
      </c>
      <c r="I125" s="122" t="s">
        <v>662</v>
      </c>
      <c r="J125" s="119" t="s">
        <v>435</v>
      </c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</row>
    <row r="126">
      <c r="A126" s="120"/>
      <c r="C126" s="108" t="s">
        <v>663</v>
      </c>
      <c r="D126" s="116">
        <f>IF('ПРАЙС_ЛИСТ'!F1259 &lt;&gt; 'ПРАЙС_ЛИСТ'!H1259, 'ПРАЙС_ЛИСТ'!F1259, "0")</f>
        <v>10000</v>
      </c>
      <c r="E126" s="114" t="s">
        <v>437</v>
      </c>
      <c r="F126" s="117" t="s">
        <v>421</v>
      </c>
      <c r="G126" s="109"/>
      <c r="H126" s="108" t="s">
        <v>393</v>
      </c>
      <c r="I126" s="122" t="s">
        <v>664</v>
      </c>
      <c r="J126" s="119" t="s">
        <v>439</v>
      </c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</row>
    <row r="127">
      <c r="A127" s="120"/>
      <c r="C127" s="108" t="s">
        <v>665</v>
      </c>
      <c r="D127" s="116">
        <f>IF('ПРАЙС_ЛИСТ'!F1249 &lt;&gt; 'ПРАЙС_ЛИСТ'!H1249, 'ПРАЙС_ЛИСТ'!F1249, "0")</f>
        <v>14100</v>
      </c>
      <c r="E127" s="114" t="s">
        <v>441</v>
      </c>
      <c r="F127" s="117" t="s">
        <v>442</v>
      </c>
      <c r="G127" s="109"/>
      <c r="H127" s="108" t="s">
        <v>393</v>
      </c>
      <c r="I127" s="118" t="s">
        <v>666</v>
      </c>
      <c r="J127" s="119" t="s">
        <v>444</v>
      </c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</row>
    <row r="128">
      <c r="A128" s="120"/>
      <c r="C128" s="108" t="s">
        <v>667</v>
      </c>
      <c r="D128" s="116">
        <f>IF('ПРАЙС_ЛИСТ'!F1250 &lt;&gt; 'ПРАЙС_ЛИСТ'!H1250, 'ПРАЙС_ЛИСТ'!F1250, "0")</f>
        <v>11500</v>
      </c>
      <c r="E128" s="114" t="s">
        <v>446</v>
      </c>
      <c r="F128" s="117" t="s">
        <v>421</v>
      </c>
      <c r="G128" s="109"/>
      <c r="H128" s="108" t="s">
        <v>393</v>
      </c>
      <c r="I128" s="118" t="s">
        <v>668</v>
      </c>
      <c r="J128" s="119" t="s">
        <v>448</v>
      </c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</row>
    <row r="129">
      <c r="A129" s="120"/>
      <c r="C129" s="108" t="s">
        <v>669</v>
      </c>
      <c r="D129" s="116">
        <f>IF('ПРАЙС_ЛИСТ'!F1251 &lt;&gt; 'ПРАЙС_ЛИСТ'!H1251, 'ПРАЙС_ЛИСТ'!F1251, "0")</f>
        <v>6550</v>
      </c>
      <c r="E129" s="114" t="s">
        <v>450</v>
      </c>
      <c r="F129" s="117" t="s">
        <v>421</v>
      </c>
      <c r="G129" s="108"/>
      <c r="H129" s="108" t="s">
        <v>410</v>
      </c>
      <c r="I129" s="122" t="s">
        <v>670</v>
      </c>
      <c r="J129" s="119" t="s">
        <v>452</v>
      </c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</row>
    <row r="130">
      <c r="A130" s="120"/>
      <c r="C130" s="108" t="s">
        <v>671</v>
      </c>
      <c r="D130" s="121">
        <v>0.0</v>
      </c>
      <c r="E130" s="114" t="s">
        <v>454</v>
      </c>
      <c r="F130" s="117" t="s">
        <v>455</v>
      </c>
      <c r="G130" s="108" t="s">
        <v>398</v>
      </c>
      <c r="H130" s="108" t="s">
        <v>410</v>
      </c>
      <c r="I130" s="122" t="s">
        <v>672</v>
      </c>
      <c r="J130" s="119" t="s">
        <v>457</v>
      </c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</row>
    <row r="131">
      <c r="A131" s="120"/>
      <c r="C131" s="108" t="s">
        <v>673</v>
      </c>
      <c r="D131" s="121">
        <v>0.0</v>
      </c>
      <c r="E131" s="114" t="s">
        <v>459</v>
      </c>
      <c r="F131" s="117" t="s">
        <v>442</v>
      </c>
      <c r="G131" s="108" t="s">
        <v>398</v>
      </c>
      <c r="H131" s="108" t="s">
        <v>393</v>
      </c>
      <c r="I131" s="118" t="s">
        <v>674</v>
      </c>
      <c r="J131" s="119" t="s">
        <v>461</v>
      </c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</row>
    <row r="132">
      <c r="A132" s="120"/>
      <c r="C132" s="108" t="s">
        <v>462</v>
      </c>
      <c r="D132" s="116">
        <f>IF('ПРАЙС_ЛИСТ'!F9 &lt;&gt; 'ПРАЙС_ЛИСТ'!H9, 'ПРАЙС_ЛИСТ'!F9, "0")</f>
        <v>1100</v>
      </c>
      <c r="E132" s="114" t="s">
        <v>463</v>
      </c>
      <c r="F132" s="117" t="s">
        <v>409</v>
      </c>
      <c r="G132" s="108"/>
      <c r="H132" s="108"/>
      <c r="I132" s="122" t="s">
        <v>464</v>
      </c>
      <c r="J132" s="119" t="s">
        <v>465</v>
      </c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</row>
    <row r="133">
      <c r="A133" s="120"/>
      <c r="C133" s="113" t="s">
        <v>675</v>
      </c>
      <c r="D133" s="116">
        <f>'ПРАЙС_ЛИСТ'!F1261</f>
        <v>7700</v>
      </c>
      <c r="E133" s="114" t="s">
        <v>467</v>
      </c>
      <c r="F133" s="117" t="s">
        <v>468</v>
      </c>
      <c r="G133" s="108" t="s">
        <v>403</v>
      </c>
      <c r="H133" s="108" t="s">
        <v>393</v>
      </c>
      <c r="I133" s="118" t="s">
        <v>676</v>
      </c>
      <c r="J133" s="119" t="s">
        <v>470</v>
      </c>
      <c r="K133" s="120"/>
      <c r="L133" s="114" t="s">
        <v>418</v>
      </c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</row>
    <row r="134">
      <c r="A134" s="120"/>
      <c r="C134" s="108" t="s">
        <v>677</v>
      </c>
      <c r="D134" s="116">
        <f>'ПРАЙС_ЛИСТ'!F1252</f>
        <v>9700</v>
      </c>
      <c r="E134" s="114" t="s">
        <v>472</v>
      </c>
      <c r="F134" s="117" t="s">
        <v>468</v>
      </c>
      <c r="G134" s="108" t="s">
        <v>403</v>
      </c>
      <c r="H134" s="108" t="s">
        <v>393</v>
      </c>
      <c r="I134" s="122" t="s">
        <v>678</v>
      </c>
      <c r="J134" s="119" t="s">
        <v>474</v>
      </c>
      <c r="K134" s="120"/>
      <c r="L134" s="114" t="s">
        <v>418</v>
      </c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</row>
    <row r="135">
      <c r="A135" s="120"/>
      <c r="B135" s="120"/>
      <c r="C135" s="109"/>
      <c r="D135" s="109"/>
      <c r="E135" s="120"/>
      <c r="F135" s="120"/>
      <c r="G135" s="109"/>
      <c r="H135" s="120"/>
      <c r="I135" s="123"/>
      <c r="J135" s="123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</row>
    <row r="136">
      <c r="A136" s="120"/>
      <c r="B136" s="115" t="s">
        <v>325</v>
      </c>
      <c r="C136" s="108" t="s">
        <v>679</v>
      </c>
      <c r="D136" s="109">
        <f>IF('ПРАЙС_ЛИСТ'!F1211 &lt;&gt; 'ПРАЙС_ЛИСТ'!H1211, IF('ПРАЙС_ЛИСТ'!F1211 = 1, 0, 'ПРАЙС_ЛИСТ'!F1211), 0)</f>
        <v>0</v>
      </c>
      <c r="E136" s="114" t="s">
        <v>391</v>
      </c>
      <c r="F136" s="117" t="s">
        <v>392</v>
      </c>
      <c r="G136" s="108"/>
      <c r="H136" s="108" t="s">
        <v>393</v>
      </c>
      <c r="I136" s="122" t="s">
        <v>680</v>
      </c>
      <c r="J136" s="119" t="s">
        <v>395</v>
      </c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</row>
    <row r="137">
      <c r="A137" s="120"/>
      <c r="C137" s="108" t="s">
        <v>681</v>
      </c>
      <c r="D137" s="121">
        <v>0.0</v>
      </c>
      <c r="E137" s="114" t="s">
        <v>397</v>
      </c>
      <c r="F137" s="117" t="s">
        <v>392</v>
      </c>
      <c r="G137" s="108" t="s">
        <v>398</v>
      </c>
      <c r="H137" s="108" t="s">
        <v>393</v>
      </c>
      <c r="I137" s="118" t="s">
        <v>682</v>
      </c>
      <c r="J137" s="119" t="s">
        <v>400</v>
      </c>
      <c r="K137" s="120"/>
      <c r="L137" s="114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</row>
    <row r="138">
      <c r="A138" s="120"/>
      <c r="C138" s="108" t="s">
        <v>683</v>
      </c>
      <c r="D138" s="109">
        <f t="array" ref="D138">MIN(IF('ПРАЙС_ЛИСТ'!F1203:F1207 &lt;&gt; 'ПРАЙС_ЛИСТ'!H1203:H1207, 'ПРАЙС_ЛИСТ'!F1203:F1207, ""))</f>
        <v>17000</v>
      </c>
      <c r="E138" s="114" t="s">
        <v>402</v>
      </c>
      <c r="F138" s="117" t="s">
        <v>392</v>
      </c>
      <c r="G138" s="108" t="s">
        <v>403</v>
      </c>
      <c r="H138" s="108" t="s">
        <v>393</v>
      </c>
      <c r="I138" s="118" t="s">
        <v>684</v>
      </c>
      <c r="J138" s="119" t="s">
        <v>405</v>
      </c>
      <c r="K138" s="120"/>
      <c r="L138" s="114" t="s">
        <v>406</v>
      </c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</row>
    <row r="139">
      <c r="A139" s="120"/>
      <c r="C139" s="108" t="s">
        <v>685</v>
      </c>
      <c r="D139" s="109">
        <f t="array" ref="D139">MIN(IF('ПРАЙС_ЛИСТ'!F1216:F1217 &lt;&gt; 'ПРАЙС_ЛИСТ'!H1216:H1217, 'ПРАЙС_ЛИСТ'!F1216:F1217, ""))</f>
        <v>0</v>
      </c>
      <c r="E139" s="114" t="s">
        <v>408</v>
      </c>
      <c r="F139" s="117" t="s">
        <v>409</v>
      </c>
      <c r="G139" s="108" t="s">
        <v>398</v>
      </c>
      <c r="H139" s="108" t="s">
        <v>410</v>
      </c>
      <c r="I139" s="118" t="s">
        <v>686</v>
      </c>
      <c r="J139" s="119" t="s">
        <v>412</v>
      </c>
      <c r="K139" s="120"/>
      <c r="L139" s="114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</row>
    <row r="140">
      <c r="A140" s="120"/>
      <c r="C140" s="108" t="s">
        <v>687</v>
      </c>
      <c r="D140" s="116">
        <f>'ПРАЙС_ЛИСТ'!F1225</f>
        <v>9000</v>
      </c>
      <c r="E140" s="114" t="s">
        <v>415</v>
      </c>
      <c r="F140" s="117" t="s">
        <v>392</v>
      </c>
      <c r="G140" s="108" t="s">
        <v>403</v>
      </c>
      <c r="H140" s="108" t="s">
        <v>393</v>
      </c>
      <c r="I140" s="122" t="s">
        <v>688</v>
      </c>
      <c r="J140" s="119" t="s">
        <v>417</v>
      </c>
      <c r="K140" s="120"/>
      <c r="L140" s="114" t="s">
        <v>418</v>
      </c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</row>
    <row r="141">
      <c r="A141" s="120"/>
      <c r="C141" s="108" t="s">
        <v>689</v>
      </c>
      <c r="D141" s="108">
        <f t="array" ref="D141">MIN(IF('ПРАЙС_ЛИСТ'!F1196:F1201 &lt;&gt; 'ПРАЙС_ЛИСТ'!H1196:H1201, 'ПРАЙС_ЛИСТ'!F1196:F1201, ""))</f>
        <v>0</v>
      </c>
      <c r="E141" s="114" t="s">
        <v>420</v>
      </c>
      <c r="F141" s="117" t="s">
        <v>421</v>
      </c>
      <c r="G141" s="108" t="s">
        <v>398</v>
      </c>
      <c r="H141" s="108" t="s">
        <v>410</v>
      </c>
      <c r="I141" s="118" t="s">
        <v>690</v>
      </c>
      <c r="J141" s="119" t="s">
        <v>423</v>
      </c>
      <c r="K141" s="120"/>
      <c r="L141" s="114" t="s">
        <v>413</v>
      </c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</row>
    <row r="142">
      <c r="A142" s="120"/>
      <c r="C142" s="108" t="s">
        <v>691</v>
      </c>
      <c r="D142" s="109" t="str">
        <f>IF('ПРАЙС_ЛИСТ'!F1202 &lt;&gt; 'ПРАЙС_ЛИСТ'!H1202, 'ПРАЙС_ЛИСТ'!F1202, "0")</f>
        <v>0</v>
      </c>
      <c r="E142" s="114" t="s">
        <v>425</v>
      </c>
      <c r="F142" s="117" t="s">
        <v>421</v>
      </c>
      <c r="G142" s="108" t="s">
        <v>398</v>
      </c>
      <c r="H142" s="108" t="s">
        <v>393</v>
      </c>
      <c r="I142" s="118" t="s">
        <v>692</v>
      </c>
      <c r="J142" s="119" t="s">
        <v>427</v>
      </c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</row>
    <row r="143">
      <c r="A143" s="120"/>
      <c r="C143" s="108" t="s">
        <v>693</v>
      </c>
      <c r="D143" s="116">
        <f>IF('ПРАЙС_ЛИСТ'!F1123 &lt;&gt; 'ПРАЙС_ЛИСТ'!H1123, 'ПРАЙС_ЛИСТ'!F1123, "0")</f>
        <v>12000</v>
      </c>
      <c r="E143" s="114" t="s">
        <v>429</v>
      </c>
      <c r="F143" s="117" t="s">
        <v>392</v>
      </c>
      <c r="G143" s="109"/>
      <c r="H143" s="108" t="s">
        <v>393</v>
      </c>
      <c r="I143" s="122" t="s">
        <v>694</v>
      </c>
      <c r="J143" s="119" t="s">
        <v>431</v>
      </c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</row>
    <row r="144">
      <c r="A144" s="120"/>
      <c r="C144" s="108" t="s">
        <v>695</v>
      </c>
      <c r="D144" s="109" t="str">
        <f>IF('ПРАЙС_ЛИСТ'!F1221 &lt;&gt; 'ПРАЙС_ЛИСТ'!H1221, 'ПРАЙС_ЛИСТ'!F1221, "0")</f>
        <v>0</v>
      </c>
      <c r="E144" s="114" t="s">
        <v>433</v>
      </c>
      <c r="F144" s="117" t="s">
        <v>421</v>
      </c>
      <c r="G144" s="108" t="s">
        <v>398</v>
      </c>
      <c r="H144" s="108" t="s">
        <v>393</v>
      </c>
      <c r="I144" s="122" t="s">
        <v>696</v>
      </c>
      <c r="J144" s="119" t="s">
        <v>435</v>
      </c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</row>
    <row r="145">
      <c r="A145" s="120"/>
      <c r="C145" s="108" t="s">
        <v>697</v>
      </c>
      <c r="D145" s="109" t="str">
        <f>IF('ПРАЙС_ЛИСТ'!F1222 &lt;&gt; 'ПРАЙС_ЛИСТ'!H1222, 'ПРАЙС_ЛИСТ'!F1222, "0")</f>
        <v>0</v>
      </c>
      <c r="E145" s="114" t="s">
        <v>437</v>
      </c>
      <c r="F145" s="117" t="s">
        <v>421</v>
      </c>
      <c r="G145" s="108" t="s">
        <v>398</v>
      </c>
      <c r="H145" s="108" t="s">
        <v>393</v>
      </c>
      <c r="I145" s="122" t="s">
        <v>698</v>
      </c>
      <c r="J145" s="119" t="s">
        <v>439</v>
      </c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</row>
    <row r="146">
      <c r="A146" s="120"/>
      <c r="C146" s="108" t="s">
        <v>699</v>
      </c>
      <c r="D146" s="109" t="str">
        <f>IF('ПРАЙС_ЛИСТ'!F1212 &lt;&gt; 'ПРАЙС_ЛИСТ'!H1212, 'ПРАЙС_ЛИСТ'!F1212, "0")</f>
        <v>0</v>
      </c>
      <c r="E146" s="114" t="s">
        <v>441</v>
      </c>
      <c r="F146" s="117" t="s">
        <v>442</v>
      </c>
      <c r="G146" s="108" t="s">
        <v>398</v>
      </c>
      <c r="H146" s="108" t="s">
        <v>393</v>
      </c>
      <c r="I146" s="118" t="s">
        <v>700</v>
      </c>
      <c r="J146" s="119" t="s">
        <v>444</v>
      </c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</row>
    <row r="147">
      <c r="A147" s="120"/>
      <c r="C147" s="108" t="s">
        <v>701</v>
      </c>
      <c r="D147" s="109" t="str">
        <f>IF('ПРАЙС_ЛИСТ'!F1213 &lt;&gt; 'ПРАЙС_ЛИСТ'!H1213, 'ПРАЙС_ЛИСТ'!F1213, "0")</f>
        <v>0</v>
      </c>
      <c r="E147" s="114" t="s">
        <v>446</v>
      </c>
      <c r="F147" s="117" t="s">
        <v>421</v>
      </c>
      <c r="G147" s="108" t="s">
        <v>398</v>
      </c>
      <c r="H147" s="108" t="s">
        <v>393</v>
      </c>
      <c r="I147" s="118" t="s">
        <v>702</v>
      </c>
      <c r="J147" s="119" t="s">
        <v>448</v>
      </c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</row>
    <row r="148">
      <c r="A148" s="120"/>
      <c r="C148" s="108" t="s">
        <v>703</v>
      </c>
      <c r="D148" s="109" t="str">
        <f>IF('ПРАЙС_ЛИСТ'!F1214 &lt;&gt; 'ПРАЙС_ЛИСТ'!H1214, 'ПРАЙС_ЛИСТ'!F1214, "0")</f>
        <v>0</v>
      </c>
      <c r="E148" s="114" t="s">
        <v>450</v>
      </c>
      <c r="F148" s="117" t="s">
        <v>421</v>
      </c>
      <c r="G148" s="108" t="s">
        <v>398</v>
      </c>
      <c r="H148" s="108" t="s">
        <v>410</v>
      </c>
      <c r="I148" s="122" t="s">
        <v>704</v>
      </c>
      <c r="J148" s="119" t="s">
        <v>452</v>
      </c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</row>
    <row r="149">
      <c r="A149" s="120"/>
      <c r="C149" s="108" t="s">
        <v>705</v>
      </c>
      <c r="D149" s="121">
        <v>0.0</v>
      </c>
      <c r="E149" s="114" t="s">
        <v>454</v>
      </c>
      <c r="F149" s="117" t="s">
        <v>455</v>
      </c>
      <c r="G149" s="108" t="s">
        <v>398</v>
      </c>
      <c r="H149" s="108" t="s">
        <v>410</v>
      </c>
      <c r="I149" s="122" t="s">
        <v>706</v>
      </c>
      <c r="J149" s="119" t="s">
        <v>457</v>
      </c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</row>
    <row r="150">
      <c r="A150" s="120"/>
      <c r="C150" s="108" t="s">
        <v>707</v>
      </c>
      <c r="D150" s="121">
        <v>0.0</v>
      </c>
      <c r="E150" s="114" t="s">
        <v>459</v>
      </c>
      <c r="F150" s="117" t="s">
        <v>442</v>
      </c>
      <c r="G150" s="108" t="s">
        <v>398</v>
      </c>
      <c r="H150" s="108" t="s">
        <v>393</v>
      </c>
      <c r="I150" s="124" t="s">
        <v>708</v>
      </c>
      <c r="J150" s="119" t="s">
        <v>461</v>
      </c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</row>
    <row r="151">
      <c r="A151" s="120"/>
      <c r="C151" s="108" t="s">
        <v>462</v>
      </c>
      <c r="D151" s="116">
        <f>IF('ПРАЙС_ЛИСТ'!F9 &lt;&gt; 'ПРАЙС_ЛИСТ'!H9, 'ПРАЙС_ЛИСТ'!F9, "0")</f>
        <v>1100</v>
      </c>
      <c r="E151" s="114" t="s">
        <v>463</v>
      </c>
      <c r="F151" s="117" t="s">
        <v>409</v>
      </c>
      <c r="G151" s="108"/>
      <c r="H151" s="108"/>
      <c r="I151" s="122" t="s">
        <v>464</v>
      </c>
      <c r="J151" s="119" t="s">
        <v>465</v>
      </c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</row>
    <row r="152">
      <c r="A152" s="120"/>
      <c r="C152" s="113" t="s">
        <v>709</v>
      </c>
      <c r="D152" s="116">
        <f>'ПРАЙС_ЛИСТ'!F1224</f>
        <v>7700</v>
      </c>
      <c r="E152" s="114" t="s">
        <v>467</v>
      </c>
      <c r="F152" s="117" t="s">
        <v>468</v>
      </c>
      <c r="G152" s="108" t="s">
        <v>403</v>
      </c>
      <c r="H152" s="108" t="s">
        <v>393</v>
      </c>
      <c r="I152" s="124" t="s">
        <v>710</v>
      </c>
      <c r="J152" s="119" t="s">
        <v>470</v>
      </c>
      <c r="K152" s="120"/>
      <c r="L152" s="114" t="s">
        <v>418</v>
      </c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</row>
    <row r="153">
      <c r="A153" s="120"/>
      <c r="C153" s="108" t="s">
        <v>711</v>
      </c>
      <c r="D153" s="116">
        <f>'ПРАЙС_ЛИСТ'!F1215</f>
        <v>9700</v>
      </c>
      <c r="E153" s="114" t="s">
        <v>472</v>
      </c>
      <c r="F153" s="117" t="s">
        <v>468</v>
      </c>
      <c r="G153" s="108" t="s">
        <v>403</v>
      </c>
      <c r="H153" s="108" t="s">
        <v>393</v>
      </c>
      <c r="I153" s="122" t="s">
        <v>712</v>
      </c>
      <c r="J153" s="119" t="s">
        <v>474</v>
      </c>
      <c r="K153" s="120"/>
      <c r="L153" s="114" t="s">
        <v>418</v>
      </c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</row>
    <row r="154">
      <c r="A154" s="120"/>
      <c r="B154" s="120"/>
      <c r="C154" s="109"/>
      <c r="D154" s="109"/>
      <c r="E154" s="120"/>
      <c r="F154" s="120"/>
      <c r="G154" s="109"/>
      <c r="H154" s="120"/>
      <c r="I154" s="123"/>
      <c r="J154" s="123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</row>
    <row r="155">
      <c r="A155" s="120"/>
      <c r="B155" s="115" t="s">
        <v>318</v>
      </c>
      <c r="C155" s="108" t="s">
        <v>713</v>
      </c>
      <c r="D155" s="116">
        <f>IF('ПРАЙС_ЛИСТ'!F1174 &lt;&gt; 'ПРАЙС_ЛИСТ'!H1174, IF('ПРАЙС_ЛИСТ'!F1174 = 1, 0, 'ПРАЙС_ЛИСТ'!F1174), 0)</f>
        <v>20000</v>
      </c>
      <c r="E155" s="114" t="s">
        <v>391</v>
      </c>
      <c r="F155" s="117" t="s">
        <v>392</v>
      </c>
      <c r="G155" s="108"/>
      <c r="H155" s="108" t="s">
        <v>393</v>
      </c>
      <c r="I155" s="122" t="s">
        <v>714</v>
      </c>
      <c r="J155" s="119" t="s">
        <v>395</v>
      </c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</row>
    <row r="156">
      <c r="A156" s="120"/>
      <c r="C156" s="108" t="s">
        <v>715</v>
      </c>
      <c r="D156" s="121">
        <v>0.0</v>
      </c>
      <c r="E156" s="114" t="s">
        <v>397</v>
      </c>
      <c r="F156" s="117" t="s">
        <v>392</v>
      </c>
      <c r="G156" s="108" t="s">
        <v>398</v>
      </c>
      <c r="H156" s="108" t="s">
        <v>393</v>
      </c>
      <c r="I156" s="122" t="s">
        <v>716</v>
      </c>
      <c r="J156" s="119" t="s">
        <v>400</v>
      </c>
      <c r="K156" s="120"/>
      <c r="L156" s="114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</row>
    <row r="157">
      <c r="A157" s="120"/>
      <c r="C157" s="108" t="s">
        <v>717</v>
      </c>
      <c r="D157" s="109">
        <f t="array" ref="D157">MIN(IF('ПРАЙС_ЛИСТ'!F1166:F1170 &lt;&gt; 'ПРАЙС_ЛИСТ'!H1166:H1170, 'ПРАЙС_ЛИСТ'!F1166:F1170, ""))</f>
        <v>22350</v>
      </c>
      <c r="E157" s="114" t="s">
        <v>402</v>
      </c>
      <c r="F157" s="117" t="s">
        <v>392</v>
      </c>
      <c r="G157" s="108" t="s">
        <v>403</v>
      </c>
      <c r="H157" s="108" t="s">
        <v>393</v>
      </c>
      <c r="I157" s="118" t="s">
        <v>718</v>
      </c>
      <c r="J157" s="119" t="s">
        <v>405</v>
      </c>
      <c r="K157" s="120"/>
      <c r="L157" s="114" t="s">
        <v>406</v>
      </c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</row>
    <row r="158">
      <c r="A158" s="120"/>
      <c r="C158" s="108" t="s">
        <v>719</v>
      </c>
      <c r="D158" s="109">
        <f t="array" ref="D158">MIN(IF('ПРАЙС_ЛИСТ'!F1179:F1180 &lt;&gt; 'ПРАЙС_ЛИСТ'!H1179:H1180, 'ПРАЙС_ЛИСТ'!F1179:F1180, ""))</f>
        <v>8000</v>
      </c>
      <c r="E158" s="114" t="s">
        <v>408</v>
      </c>
      <c r="F158" s="117" t="s">
        <v>409</v>
      </c>
      <c r="G158" s="108" t="s">
        <v>403</v>
      </c>
      <c r="H158" s="108" t="s">
        <v>410</v>
      </c>
      <c r="I158" s="118" t="s">
        <v>720</v>
      </c>
      <c r="J158" s="119" t="s">
        <v>412</v>
      </c>
      <c r="K158" s="120"/>
      <c r="L158" s="114" t="s">
        <v>413</v>
      </c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</row>
    <row r="159">
      <c r="A159" s="120"/>
      <c r="C159" s="108" t="s">
        <v>721</v>
      </c>
      <c r="D159" s="116">
        <f>'ПРАЙС_ЛИСТ'!F1188</f>
        <v>9000</v>
      </c>
      <c r="E159" s="114" t="s">
        <v>415</v>
      </c>
      <c r="F159" s="117" t="s">
        <v>392</v>
      </c>
      <c r="G159" s="108" t="s">
        <v>403</v>
      </c>
      <c r="H159" s="108" t="s">
        <v>393</v>
      </c>
      <c r="I159" s="122" t="s">
        <v>722</v>
      </c>
      <c r="J159" s="119" t="s">
        <v>417</v>
      </c>
      <c r="K159" s="120"/>
      <c r="L159" s="114" t="s">
        <v>418</v>
      </c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</row>
    <row r="160">
      <c r="A160" s="120"/>
      <c r="C160" s="108" t="s">
        <v>723</v>
      </c>
      <c r="D160" s="108">
        <f t="array" ref="D160">MIN(IF('ПРАЙС_ЛИСТ'!F1159:F1164 &lt;&gt; 'ПРАЙС_ЛИСТ'!H1159:H1164, 'ПРАЙС_ЛИСТ'!F1159:F1164, ""))</f>
        <v>12000</v>
      </c>
      <c r="E160" s="114" t="s">
        <v>420</v>
      </c>
      <c r="F160" s="117" t="s">
        <v>421</v>
      </c>
      <c r="G160" s="108" t="s">
        <v>403</v>
      </c>
      <c r="H160" s="108" t="s">
        <v>410</v>
      </c>
      <c r="I160" s="118" t="s">
        <v>724</v>
      </c>
      <c r="J160" s="119" t="s">
        <v>423</v>
      </c>
      <c r="K160" s="120"/>
      <c r="L160" s="114" t="s">
        <v>413</v>
      </c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</row>
    <row r="161">
      <c r="A161" s="120"/>
      <c r="C161" s="108" t="s">
        <v>725</v>
      </c>
      <c r="D161" s="116">
        <f>IF('ПРАЙС_ЛИСТ'!F1165 &lt;&gt; 'ПРАЙС_ЛИСТ'!H1165, 'ПРАЙС_ЛИСТ'!F1165, "0")</f>
        <v>12500</v>
      </c>
      <c r="E161" s="114" t="s">
        <v>425</v>
      </c>
      <c r="F161" s="117" t="s">
        <v>421</v>
      </c>
      <c r="G161" s="109"/>
      <c r="H161" s="108" t="s">
        <v>393</v>
      </c>
      <c r="I161" s="118" t="s">
        <v>726</v>
      </c>
      <c r="J161" s="119" t="s">
        <v>427</v>
      </c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</row>
    <row r="162">
      <c r="A162" s="120"/>
      <c r="C162" s="108" t="s">
        <v>727</v>
      </c>
      <c r="D162" s="116">
        <f>IF('ПРАЙС_ЛИСТ'!F1186 &lt;&gt; 'ПРАЙС_ЛИСТ'!H1186, 'ПРАЙС_ЛИСТ'!F1186, "0")</f>
        <v>12200</v>
      </c>
      <c r="E162" s="114" t="s">
        <v>429</v>
      </c>
      <c r="F162" s="117" t="s">
        <v>392</v>
      </c>
      <c r="G162" s="109"/>
      <c r="H162" s="108" t="s">
        <v>393</v>
      </c>
      <c r="I162" s="122" t="s">
        <v>728</v>
      </c>
      <c r="J162" s="119" t="s">
        <v>431</v>
      </c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</row>
    <row r="163">
      <c r="A163" s="120"/>
      <c r="C163" s="108" t="s">
        <v>729</v>
      </c>
      <c r="D163" s="109" t="str">
        <f>IF('ПРАЙС_ЛИСТ'!F1184 &lt;&gt; 'ПРАЙС_ЛИСТ'!H1184, 'ПРАЙС_ЛИСТ'!F1184, "0")</f>
        <v>0</v>
      </c>
      <c r="E163" s="114" t="s">
        <v>433</v>
      </c>
      <c r="F163" s="117" t="s">
        <v>421</v>
      </c>
      <c r="G163" s="108" t="s">
        <v>398</v>
      </c>
      <c r="H163" s="108" t="s">
        <v>393</v>
      </c>
      <c r="I163" s="122" t="s">
        <v>730</v>
      </c>
      <c r="J163" s="119" t="s">
        <v>435</v>
      </c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</row>
    <row r="164">
      <c r="A164" s="120"/>
      <c r="C164" s="108" t="s">
        <v>731</v>
      </c>
      <c r="D164" s="116">
        <f>IF('ПРАЙС_ЛИСТ'!F1185 &lt;&gt; 'ПРАЙС_ЛИСТ'!H1185, 'ПРАЙС_ЛИСТ'!F1185, "0")</f>
        <v>9850</v>
      </c>
      <c r="E164" s="114" t="s">
        <v>437</v>
      </c>
      <c r="F164" s="117" t="s">
        <v>421</v>
      </c>
      <c r="G164" s="109"/>
      <c r="H164" s="108" t="s">
        <v>393</v>
      </c>
      <c r="I164" s="122" t="s">
        <v>732</v>
      </c>
      <c r="J164" s="119" t="s">
        <v>439</v>
      </c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</row>
    <row r="165">
      <c r="A165" s="120"/>
      <c r="C165" s="108" t="s">
        <v>733</v>
      </c>
      <c r="D165" s="116">
        <f>IF('ПРАЙС_ЛИСТ'!F1175 &lt;&gt; 'ПРАЙС_ЛИСТ'!H1175, 'ПРАЙС_ЛИСТ'!F1175, "0")</f>
        <v>14200</v>
      </c>
      <c r="E165" s="114" t="s">
        <v>441</v>
      </c>
      <c r="F165" s="117" t="s">
        <v>442</v>
      </c>
      <c r="G165" s="109"/>
      <c r="H165" s="108" t="s">
        <v>393</v>
      </c>
      <c r="I165" s="118" t="s">
        <v>734</v>
      </c>
      <c r="J165" s="119" t="s">
        <v>444</v>
      </c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  <c r="AA165" s="120"/>
    </row>
    <row r="166">
      <c r="A166" s="120"/>
      <c r="C166" s="108" t="s">
        <v>735</v>
      </c>
      <c r="D166" s="116">
        <f>IF('ПРАЙС_ЛИСТ'!F1176 &lt;&gt; 'ПРАЙС_ЛИСТ'!H1176, 'ПРАЙС_ЛИСТ'!F1176, "0")</f>
        <v>10900</v>
      </c>
      <c r="E166" s="114" t="s">
        <v>446</v>
      </c>
      <c r="F166" s="117" t="s">
        <v>421</v>
      </c>
      <c r="G166" s="109"/>
      <c r="H166" s="108" t="s">
        <v>393</v>
      </c>
      <c r="I166" s="118" t="s">
        <v>736</v>
      </c>
      <c r="J166" s="119" t="s">
        <v>448</v>
      </c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</row>
    <row r="167">
      <c r="A167" s="120"/>
      <c r="C167" s="108" t="s">
        <v>737</v>
      </c>
      <c r="D167" s="116">
        <f>IF('ПРАЙС_ЛИСТ'!F1177 &lt;&gt; 'ПРАЙС_ЛИСТ'!H1177, 'ПРАЙС_ЛИСТ'!F1177, "0")</f>
        <v>6550</v>
      </c>
      <c r="E167" s="114" t="s">
        <v>450</v>
      </c>
      <c r="F167" s="117" t="s">
        <v>421</v>
      </c>
      <c r="G167" s="109"/>
      <c r="H167" s="108" t="s">
        <v>410</v>
      </c>
      <c r="I167" s="122" t="s">
        <v>738</v>
      </c>
      <c r="J167" s="119" t="s">
        <v>452</v>
      </c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  <c r="AA167" s="120"/>
    </row>
    <row r="168">
      <c r="A168" s="120"/>
      <c r="C168" s="108" t="s">
        <v>739</v>
      </c>
      <c r="D168" s="121">
        <v>0.0</v>
      </c>
      <c r="E168" s="114" t="s">
        <v>454</v>
      </c>
      <c r="F168" s="117" t="s">
        <v>455</v>
      </c>
      <c r="G168" s="108" t="s">
        <v>398</v>
      </c>
      <c r="H168" s="108" t="s">
        <v>410</v>
      </c>
      <c r="I168" s="122" t="s">
        <v>740</v>
      </c>
      <c r="J168" s="119" t="s">
        <v>457</v>
      </c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  <c r="AA168" s="120"/>
    </row>
    <row r="169">
      <c r="A169" s="120"/>
      <c r="C169" s="108" t="s">
        <v>741</v>
      </c>
      <c r="D169" s="121">
        <v>0.0</v>
      </c>
      <c r="E169" s="114" t="s">
        <v>459</v>
      </c>
      <c r="F169" s="117" t="s">
        <v>442</v>
      </c>
      <c r="G169" s="108" t="s">
        <v>398</v>
      </c>
      <c r="H169" s="108" t="s">
        <v>393</v>
      </c>
      <c r="I169" s="118" t="s">
        <v>742</v>
      </c>
      <c r="J169" s="119" t="s">
        <v>461</v>
      </c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  <c r="AA169" s="120"/>
    </row>
    <row r="170">
      <c r="A170" s="120"/>
      <c r="C170" s="108" t="s">
        <v>462</v>
      </c>
      <c r="D170" s="116">
        <f>IF('ПРАЙС_ЛИСТ'!F9 &lt;&gt; 'ПРАЙС_ЛИСТ'!H9, 'ПРАЙС_ЛИСТ'!F9, "0")</f>
        <v>1100</v>
      </c>
      <c r="E170" s="114" t="s">
        <v>463</v>
      </c>
      <c r="F170" s="117" t="s">
        <v>409</v>
      </c>
      <c r="G170" s="108"/>
      <c r="H170" s="108"/>
      <c r="I170" s="122" t="s">
        <v>464</v>
      </c>
      <c r="J170" s="119" t="s">
        <v>465</v>
      </c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  <c r="AA170" s="120"/>
    </row>
    <row r="171">
      <c r="A171" s="120"/>
      <c r="C171" s="113" t="s">
        <v>743</v>
      </c>
      <c r="D171" s="116">
        <f>'ПРАЙС_ЛИСТ'!F1187</f>
        <v>7700</v>
      </c>
      <c r="E171" s="114" t="s">
        <v>467</v>
      </c>
      <c r="F171" s="117" t="s">
        <v>468</v>
      </c>
      <c r="G171" s="108" t="s">
        <v>403</v>
      </c>
      <c r="H171" s="108" t="s">
        <v>393</v>
      </c>
      <c r="I171" s="118" t="s">
        <v>744</v>
      </c>
      <c r="J171" s="119" t="s">
        <v>470</v>
      </c>
      <c r="K171" s="120"/>
      <c r="L171" s="114" t="s">
        <v>418</v>
      </c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  <c r="AA171" s="120"/>
    </row>
    <row r="172">
      <c r="A172" s="120"/>
      <c r="C172" s="108" t="s">
        <v>745</v>
      </c>
      <c r="D172" s="116">
        <f>'ПРАЙС_ЛИСТ'!F1178</f>
        <v>9700</v>
      </c>
      <c r="E172" s="114" t="s">
        <v>472</v>
      </c>
      <c r="F172" s="117" t="s">
        <v>468</v>
      </c>
      <c r="G172" s="108" t="s">
        <v>403</v>
      </c>
      <c r="H172" s="108" t="s">
        <v>393</v>
      </c>
      <c r="I172" s="122" t="s">
        <v>746</v>
      </c>
      <c r="J172" s="119" t="s">
        <v>474</v>
      </c>
      <c r="K172" s="120"/>
      <c r="L172" s="114" t="s">
        <v>418</v>
      </c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  <c r="AA172" s="120"/>
    </row>
    <row r="173">
      <c r="A173" s="120"/>
      <c r="B173" s="120"/>
      <c r="C173" s="109"/>
      <c r="D173" s="109"/>
      <c r="E173" s="120"/>
      <c r="F173" s="120"/>
      <c r="G173" s="109"/>
      <c r="H173" s="120"/>
      <c r="I173" s="123"/>
      <c r="J173" s="123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  <c r="AA173" s="120"/>
    </row>
    <row r="174">
      <c r="A174" s="120"/>
      <c r="B174" s="115" t="s">
        <v>311</v>
      </c>
      <c r="C174" s="108" t="s">
        <v>747</v>
      </c>
      <c r="D174" s="116">
        <f>IF('ПРАЙС_ЛИСТ'!F1137 &lt;&gt; 'ПРАЙС_ЛИСТ'!H1137, IF('ПРАЙС_ЛИСТ'!F1137 = 1, 0, 'ПРАЙС_ЛИСТ'!F1137), 0)</f>
        <v>20000</v>
      </c>
      <c r="E174" s="114" t="s">
        <v>391</v>
      </c>
      <c r="F174" s="117" t="s">
        <v>392</v>
      </c>
      <c r="G174" s="108"/>
      <c r="H174" s="108" t="s">
        <v>393</v>
      </c>
      <c r="I174" s="122" t="s">
        <v>748</v>
      </c>
      <c r="J174" s="119" t="s">
        <v>395</v>
      </c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</row>
    <row r="175">
      <c r="A175" s="120"/>
      <c r="C175" s="108" t="s">
        <v>749</v>
      </c>
      <c r="D175" s="121">
        <v>0.0</v>
      </c>
      <c r="E175" s="114" t="s">
        <v>397</v>
      </c>
      <c r="F175" s="117" t="s">
        <v>392</v>
      </c>
      <c r="G175" s="108" t="s">
        <v>398</v>
      </c>
      <c r="H175" s="108" t="s">
        <v>393</v>
      </c>
      <c r="I175" s="118" t="s">
        <v>750</v>
      </c>
      <c r="J175" s="119" t="s">
        <v>400</v>
      </c>
      <c r="K175" s="120"/>
      <c r="L175" s="114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</row>
    <row r="176">
      <c r="A176" s="120"/>
      <c r="C176" s="108" t="s">
        <v>751</v>
      </c>
      <c r="D176" s="109">
        <f t="array" ref="D176">MIN(IF('ПРАЙС_ЛИСТ'!F1129:F1133 &lt;&gt; 'ПРАЙС_ЛИСТ'!H1129:H1133, 'ПРАЙС_ЛИСТ'!F1129:F1133, ""))</f>
        <v>25000</v>
      </c>
      <c r="E176" s="114" t="s">
        <v>402</v>
      </c>
      <c r="F176" s="117" t="s">
        <v>392</v>
      </c>
      <c r="G176" s="108" t="s">
        <v>403</v>
      </c>
      <c r="H176" s="108" t="s">
        <v>393</v>
      </c>
      <c r="I176" s="118" t="s">
        <v>752</v>
      </c>
      <c r="J176" s="119" t="s">
        <v>405</v>
      </c>
      <c r="K176" s="120"/>
      <c r="L176" s="114" t="s">
        <v>406</v>
      </c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  <c r="AA176" s="120"/>
    </row>
    <row r="177">
      <c r="A177" s="120"/>
      <c r="C177" s="108" t="s">
        <v>753</v>
      </c>
      <c r="D177" s="109">
        <f t="array" ref="D177">MIN(IF('ПРАЙС_ЛИСТ'!F1142:F1143 &lt;&gt; 'ПРАЙС_ЛИСТ'!H1142:H1143, 'ПРАЙС_ЛИСТ'!F1142:F1143, ""))</f>
        <v>8000</v>
      </c>
      <c r="E177" s="114" t="s">
        <v>408</v>
      </c>
      <c r="F177" s="117" t="s">
        <v>409</v>
      </c>
      <c r="G177" s="108" t="s">
        <v>403</v>
      </c>
      <c r="H177" s="108" t="s">
        <v>410</v>
      </c>
      <c r="I177" s="118" t="s">
        <v>754</v>
      </c>
      <c r="J177" s="119" t="s">
        <v>412</v>
      </c>
      <c r="K177" s="120"/>
      <c r="L177" s="114" t="s">
        <v>413</v>
      </c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  <c r="AA177" s="120"/>
    </row>
    <row r="178">
      <c r="A178" s="120"/>
      <c r="C178" s="108" t="s">
        <v>755</v>
      </c>
      <c r="D178" s="116">
        <f>'ПРАЙС_ЛИСТ'!F1151</f>
        <v>7700</v>
      </c>
      <c r="E178" s="114" t="s">
        <v>415</v>
      </c>
      <c r="F178" s="117" t="s">
        <v>392</v>
      </c>
      <c r="G178" s="108" t="s">
        <v>403</v>
      </c>
      <c r="H178" s="108" t="s">
        <v>393</v>
      </c>
      <c r="I178" s="122" t="s">
        <v>756</v>
      </c>
      <c r="J178" s="119" t="s">
        <v>417</v>
      </c>
      <c r="K178" s="120"/>
      <c r="L178" s="114" t="s">
        <v>418</v>
      </c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  <c r="AA178" s="120"/>
    </row>
    <row r="179">
      <c r="A179" s="120"/>
      <c r="C179" s="108" t="s">
        <v>757</v>
      </c>
      <c r="D179" s="108">
        <f t="array" ref="D179">MIN(IF('ПРАЙС_ЛИСТ'!F1122:F1127 &lt;&gt; 'ПРАЙС_ЛИСТ'!H1122:H1127, 'ПРАЙС_ЛИСТ'!F1122:F1127, ""))</f>
        <v>10000</v>
      </c>
      <c r="E179" s="114" t="s">
        <v>420</v>
      </c>
      <c r="F179" s="117" t="s">
        <v>421</v>
      </c>
      <c r="G179" s="108" t="s">
        <v>403</v>
      </c>
      <c r="H179" s="108" t="s">
        <v>410</v>
      </c>
      <c r="I179" s="118" t="s">
        <v>758</v>
      </c>
      <c r="J179" s="119" t="s">
        <v>423</v>
      </c>
      <c r="K179" s="120"/>
      <c r="L179" s="114" t="s">
        <v>413</v>
      </c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</row>
    <row r="180">
      <c r="A180" s="120"/>
      <c r="C180" s="108" t="s">
        <v>759</v>
      </c>
      <c r="D180" s="116">
        <f>IF('ПРАЙС_ЛИСТ'!F1128 &lt;&gt; 'ПРАЙС_ЛИСТ'!H1128, 'ПРАЙС_ЛИСТ'!F1128, "0")</f>
        <v>11500</v>
      </c>
      <c r="E180" s="114" t="s">
        <v>425</v>
      </c>
      <c r="F180" s="117" t="s">
        <v>421</v>
      </c>
      <c r="G180" s="109"/>
      <c r="H180" s="108" t="s">
        <v>393</v>
      </c>
      <c r="I180" s="118" t="s">
        <v>760</v>
      </c>
      <c r="J180" s="119" t="s">
        <v>427</v>
      </c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  <c r="AA180" s="120"/>
    </row>
    <row r="181">
      <c r="A181" s="120"/>
      <c r="C181" s="108" t="s">
        <v>761</v>
      </c>
      <c r="D181" s="116">
        <f>IF('ПРАЙС_ЛИСТ'!F1149 &lt;&gt; 'ПРАЙС_ЛИСТ'!H1149, 'ПРАЙС_ЛИСТ'!F1149, "0")</f>
        <v>11600</v>
      </c>
      <c r="E181" s="114" t="s">
        <v>429</v>
      </c>
      <c r="F181" s="117" t="s">
        <v>392</v>
      </c>
      <c r="G181" s="109"/>
      <c r="H181" s="108" t="s">
        <v>393</v>
      </c>
      <c r="I181" s="122" t="s">
        <v>762</v>
      </c>
      <c r="J181" s="119" t="s">
        <v>431</v>
      </c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  <c r="AA181" s="120"/>
    </row>
    <row r="182">
      <c r="A182" s="120"/>
      <c r="C182" s="108" t="s">
        <v>763</v>
      </c>
      <c r="D182" s="116">
        <f>IF('ПРАЙС_ЛИСТ'!F1147 &lt;&gt; 'ПРАЙС_ЛИСТ'!H1147, 'ПРАЙС_ЛИСТ'!F1147, "0")</f>
        <v>7350</v>
      </c>
      <c r="E182" s="114" t="s">
        <v>433</v>
      </c>
      <c r="F182" s="117" t="s">
        <v>421</v>
      </c>
      <c r="G182" s="109"/>
      <c r="H182" s="108" t="s">
        <v>393</v>
      </c>
      <c r="I182" s="122" t="s">
        <v>764</v>
      </c>
      <c r="J182" s="119" t="s">
        <v>435</v>
      </c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  <c r="AA182" s="120"/>
    </row>
    <row r="183">
      <c r="A183" s="120"/>
      <c r="C183" s="108" t="s">
        <v>765</v>
      </c>
      <c r="D183" s="116">
        <f>IF('ПРАЙС_ЛИСТ'!F1148 &lt;&gt; 'ПРАЙС_ЛИСТ'!H1148, 'ПРАЙС_ЛИСТ'!F1148, "0")</f>
        <v>7350</v>
      </c>
      <c r="E183" s="114" t="s">
        <v>437</v>
      </c>
      <c r="F183" s="117" t="s">
        <v>421</v>
      </c>
      <c r="G183" s="109"/>
      <c r="H183" s="108" t="s">
        <v>393</v>
      </c>
      <c r="I183" s="122" t="s">
        <v>766</v>
      </c>
      <c r="J183" s="119" t="s">
        <v>439</v>
      </c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20"/>
    </row>
    <row r="184">
      <c r="A184" s="120"/>
      <c r="C184" s="108" t="s">
        <v>767</v>
      </c>
      <c r="D184" s="116">
        <f>IF('ПРАЙС_ЛИСТ'!F1138 &lt;&gt; 'ПРАЙС_ЛИСТ'!H1138, 'ПРАЙС_ЛИСТ'!F1138, "0")</f>
        <v>14100</v>
      </c>
      <c r="E184" s="114" t="s">
        <v>441</v>
      </c>
      <c r="F184" s="117" t="s">
        <v>442</v>
      </c>
      <c r="G184" s="109"/>
      <c r="H184" s="108" t="s">
        <v>393</v>
      </c>
      <c r="I184" s="118" t="s">
        <v>768</v>
      </c>
      <c r="J184" s="119" t="s">
        <v>444</v>
      </c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</row>
    <row r="185">
      <c r="A185" s="120"/>
      <c r="C185" s="108" t="s">
        <v>769</v>
      </c>
      <c r="D185" s="116">
        <f>IF('ПРАЙС_ЛИСТ'!F1139 &lt;&gt; 'ПРАЙС_ЛИСТ'!H1139, 'ПРАЙС_ЛИСТ'!F1139, "0")</f>
        <v>11900</v>
      </c>
      <c r="E185" s="114" t="s">
        <v>446</v>
      </c>
      <c r="F185" s="117" t="s">
        <v>421</v>
      </c>
      <c r="G185" s="109"/>
      <c r="H185" s="108" t="s">
        <v>393</v>
      </c>
      <c r="I185" s="118" t="s">
        <v>770</v>
      </c>
      <c r="J185" s="119" t="s">
        <v>448</v>
      </c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</row>
    <row r="186">
      <c r="A186" s="120"/>
      <c r="C186" s="108" t="s">
        <v>771</v>
      </c>
      <c r="D186" s="116">
        <f>IF('ПРАЙС_ЛИСТ'!F1140 &lt;&gt; 'ПРАЙС_ЛИСТ'!H1140, 'ПРАЙС_ЛИСТ'!F1140, "0")</f>
        <v>5500</v>
      </c>
      <c r="E186" s="114" t="s">
        <v>450</v>
      </c>
      <c r="F186" s="117" t="s">
        <v>421</v>
      </c>
      <c r="G186" s="109"/>
      <c r="H186" s="108" t="s">
        <v>410</v>
      </c>
      <c r="I186" s="122" t="s">
        <v>772</v>
      </c>
      <c r="J186" s="119" t="s">
        <v>452</v>
      </c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  <c r="AA186" s="120"/>
    </row>
    <row r="187">
      <c r="A187" s="120"/>
      <c r="C187" s="108" t="s">
        <v>773</v>
      </c>
      <c r="D187" s="121">
        <v>0.0</v>
      </c>
      <c r="E187" s="114" t="s">
        <v>454</v>
      </c>
      <c r="F187" s="117" t="s">
        <v>455</v>
      </c>
      <c r="G187" s="108" t="s">
        <v>398</v>
      </c>
      <c r="H187" s="108" t="s">
        <v>410</v>
      </c>
      <c r="I187" s="122" t="s">
        <v>774</v>
      </c>
      <c r="J187" s="119" t="s">
        <v>457</v>
      </c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  <c r="AA187" s="120"/>
    </row>
    <row r="188">
      <c r="A188" s="120"/>
      <c r="C188" s="108" t="s">
        <v>775</v>
      </c>
      <c r="D188" s="121">
        <v>0.0</v>
      </c>
      <c r="E188" s="114" t="s">
        <v>459</v>
      </c>
      <c r="F188" s="117" t="s">
        <v>442</v>
      </c>
      <c r="G188" s="108" t="s">
        <v>398</v>
      </c>
      <c r="H188" s="108" t="s">
        <v>393</v>
      </c>
      <c r="I188" s="118" t="s">
        <v>776</v>
      </c>
      <c r="J188" s="119" t="s">
        <v>461</v>
      </c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  <c r="AA188" s="120"/>
    </row>
    <row r="189">
      <c r="A189" s="120"/>
      <c r="C189" s="108" t="s">
        <v>462</v>
      </c>
      <c r="D189" s="116">
        <f>IF('ПРАЙС_ЛИСТ'!F9 &lt;&gt; 'ПРАЙС_ЛИСТ'!H9, 'ПРАЙС_ЛИСТ'!F9, "0")</f>
        <v>1100</v>
      </c>
      <c r="E189" s="114" t="s">
        <v>463</v>
      </c>
      <c r="F189" s="117" t="s">
        <v>409</v>
      </c>
      <c r="G189" s="108"/>
      <c r="H189" s="108"/>
      <c r="I189" s="122" t="s">
        <v>464</v>
      </c>
      <c r="J189" s="119" t="s">
        <v>465</v>
      </c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  <c r="AA189" s="120"/>
    </row>
    <row r="190">
      <c r="A190" s="120"/>
      <c r="C190" s="113" t="s">
        <v>777</v>
      </c>
      <c r="D190" s="116">
        <f>'ПРАЙС_ЛИСТ'!F1150</f>
        <v>6500</v>
      </c>
      <c r="E190" s="114" t="s">
        <v>467</v>
      </c>
      <c r="F190" s="117" t="s">
        <v>468</v>
      </c>
      <c r="G190" s="108" t="s">
        <v>403</v>
      </c>
      <c r="H190" s="108" t="s">
        <v>393</v>
      </c>
      <c r="I190" s="118" t="s">
        <v>778</v>
      </c>
      <c r="J190" s="119" t="s">
        <v>470</v>
      </c>
      <c r="K190" s="120"/>
      <c r="L190" s="114" t="s">
        <v>418</v>
      </c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</row>
    <row r="191">
      <c r="A191" s="120"/>
      <c r="C191" s="108" t="s">
        <v>779</v>
      </c>
      <c r="D191" s="116">
        <f>'ПРАЙС_ЛИСТ'!F1141</f>
        <v>8500</v>
      </c>
      <c r="E191" s="114" t="s">
        <v>472</v>
      </c>
      <c r="F191" s="117" t="s">
        <v>468</v>
      </c>
      <c r="G191" s="108" t="s">
        <v>403</v>
      </c>
      <c r="H191" s="108" t="s">
        <v>393</v>
      </c>
      <c r="I191" s="122" t="s">
        <v>780</v>
      </c>
      <c r="J191" s="119" t="s">
        <v>474</v>
      </c>
      <c r="K191" s="120"/>
      <c r="L191" s="114" t="s">
        <v>418</v>
      </c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</row>
    <row r="192">
      <c r="A192" s="120"/>
      <c r="B192" s="120"/>
      <c r="C192" s="109"/>
      <c r="D192" s="109"/>
      <c r="E192" s="120"/>
      <c r="F192" s="120"/>
      <c r="G192" s="109"/>
      <c r="H192" s="120"/>
      <c r="I192" s="123"/>
      <c r="J192" s="123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</row>
    <row r="193">
      <c r="A193" s="120"/>
      <c r="B193" s="115" t="s">
        <v>304</v>
      </c>
      <c r="C193" s="108" t="s">
        <v>781</v>
      </c>
      <c r="D193" s="116">
        <f>IF('ПРАЙС_ЛИСТ'!F1100 &lt;&gt; 'ПРАЙС_ЛИСТ'!H1100, IF('ПРАЙС_ЛИСТ'!F1100 = 1, 0, 'ПРАЙС_ЛИСТ'!F1100), 0)</f>
        <v>18000</v>
      </c>
      <c r="E193" s="114" t="s">
        <v>391</v>
      </c>
      <c r="F193" s="117" t="s">
        <v>392</v>
      </c>
      <c r="G193" s="108"/>
      <c r="H193" s="108" t="s">
        <v>393</v>
      </c>
      <c r="I193" s="122" t="s">
        <v>782</v>
      </c>
      <c r="J193" s="119" t="s">
        <v>395</v>
      </c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  <c r="AA193" s="120"/>
    </row>
    <row r="194">
      <c r="A194" s="120"/>
      <c r="C194" s="108" t="s">
        <v>783</v>
      </c>
      <c r="D194" s="121">
        <v>0.0</v>
      </c>
      <c r="E194" s="114" t="s">
        <v>397</v>
      </c>
      <c r="F194" s="117" t="s">
        <v>392</v>
      </c>
      <c r="G194" s="108" t="s">
        <v>398</v>
      </c>
      <c r="H194" s="108" t="s">
        <v>393</v>
      </c>
      <c r="I194" s="118" t="s">
        <v>784</v>
      </c>
      <c r="J194" s="119" t="s">
        <v>400</v>
      </c>
      <c r="K194" s="120"/>
      <c r="L194" s="114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</row>
    <row r="195">
      <c r="A195" s="120"/>
      <c r="C195" s="108" t="s">
        <v>785</v>
      </c>
      <c r="D195" s="109">
        <f t="array" ref="D195">MIN(IF('ПРАЙС_ЛИСТ'!F1092:F1096 &lt;&gt; 'ПРАЙС_ЛИСТ'!H1092:H1096, 'ПРАЙС_ЛИСТ'!F1092:F1096, ""))</f>
        <v>25000</v>
      </c>
      <c r="E195" s="114" t="s">
        <v>402</v>
      </c>
      <c r="F195" s="117" t="s">
        <v>392</v>
      </c>
      <c r="G195" s="108" t="s">
        <v>403</v>
      </c>
      <c r="H195" s="108" t="s">
        <v>393</v>
      </c>
      <c r="I195" s="118" t="s">
        <v>786</v>
      </c>
      <c r="J195" s="119" t="s">
        <v>405</v>
      </c>
      <c r="K195" s="120"/>
      <c r="L195" s="114" t="s">
        <v>406</v>
      </c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  <c r="AA195" s="120"/>
    </row>
    <row r="196">
      <c r="A196" s="120"/>
      <c r="C196" s="108" t="s">
        <v>787</v>
      </c>
      <c r="D196" s="109">
        <f t="array" ref="D196">MIN(IF('ПРАЙС_ЛИСТ'!F1105:F1106 &lt;&gt; 'ПРАЙС_ЛИСТ'!H1105:H1106, 'ПРАЙС_ЛИСТ'!F1105:F1106, ""))</f>
        <v>8000</v>
      </c>
      <c r="E196" s="114" t="s">
        <v>408</v>
      </c>
      <c r="F196" s="117" t="s">
        <v>409</v>
      </c>
      <c r="G196" s="108" t="s">
        <v>403</v>
      </c>
      <c r="H196" s="108" t="s">
        <v>410</v>
      </c>
      <c r="I196" s="118" t="s">
        <v>788</v>
      </c>
      <c r="J196" s="119" t="s">
        <v>412</v>
      </c>
      <c r="K196" s="120"/>
      <c r="L196" s="114" t="s">
        <v>413</v>
      </c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</row>
    <row r="197">
      <c r="A197" s="120"/>
      <c r="C197" s="108" t="s">
        <v>789</v>
      </c>
      <c r="D197" s="116">
        <f>'ПРАЙС_ЛИСТ'!F1114</f>
        <v>7700</v>
      </c>
      <c r="E197" s="114" t="s">
        <v>415</v>
      </c>
      <c r="F197" s="117" t="s">
        <v>392</v>
      </c>
      <c r="G197" s="108" t="s">
        <v>403</v>
      </c>
      <c r="H197" s="108" t="s">
        <v>393</v>
      </c>
      <c r="I197" s="122" t="s">
        <v>790</v>
      </c>
      <c r="J197" s="119" t="s">
        <v>417</v>
      </c>
      <c r="K197" s="120"/>
      <c r="L197" s="114" t="s">
        <v>418</v>
      </c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</row>
    <row r="198">
      <c r="A198" s="120"/>
      <c r="C198" s="108" t="s">
        <v>791</v>
      </c>
      <c r="D198" s="108">
        <f t="array" ref="D198">MIN(IF('ПРАЙС_ЛИСТ'!F1085:F1090 &lt;&gt; 'ПРАЙС_ЛИСТ'!H1085:H1090, 'ПРАЙС_ЛИСТ'!F1085:F1090, ""))</f>
        <v>9000</v>
      </c>
      <c r="E198" s="114" t="s">
        <v>420</v>
      </c>
      <c r="F198" s="117" t="s">
        <v>421</v>
      </c>
      <c r="G198" s="108" t="s">
        <v>403</v>
      </c>
      <c r="H198" s="108" t="s">
        <v>410</v>
      </c>
      <c r="I198" s="118" t="s">
        <v>792</v>
      </c>
      <c r="J198" s="119" t="s">
        <v>423</v>
      </c>
      <c r="K198" s="120"/>
      <c r="L198" s="114" t="s">
        <v>413</v>
      </c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</row>
    <row r="199">
      <c r="A199" s="120"/>
      <c r="C199" s="108" t="s">
        <v>793</v>
      </c>
      <c r="D199" s="116">
        <f>IF('ПРАЙС_ЛИСТ'!F1091 &lt;&gt; 'ПРАЙС_ЛИСТ'!H1091, 'ПРАЙС_ЛИСТ'!F1091, "0")</f>
        <v>11000</v>
      </c>
      <c r="E199" s="114" t="s">
        <v>425</v>
      </c>
      <c r="F199" s="117" t="s">
        <v>421</v>
      </c>
      <c r="G199" s="109"/>
      <c r="H199" s="108" t="s">
        <v>393</v>
      </c>
      <c r="I199" s="118" t="s">
        <v>794</v>
      </c>
      <c r="J199" s="119" t="s">
        <v>427</v>
      </c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</row>
    <row r="200">
      <c r="A200" s="120"/>
      <c r="C200" s="108" t="s">
        <v>795</v>
      </c>
      <c r="D200" s="116">
        <f>IF('ПРАЙС_ЛИСТ'!F1112 &lt;&gt; 'ПРАЙС_ЛИСТ'!H1112, 'ПРАЙС_ЛИСТ'!F1112, "0")</f>
        <v>11100</v>
      </c>
      <c r="E200" s="114" t="s">
        <v>429</v>
      </c>
      <c r="F200" s="117" t="s">
        <v>392</v>
      </c>
      <c r="G200" s="109"/>
      <c r="H200" s="108" t="s">
        <v>393</v>
      </c>
      <c r="I200" s="122" t="s">
        <v>796</v>
      </c>
      <c r="J200" s="119" t="s">
        <v>431</v>
      </c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</row>
    <row r="201">
      <c r="A201" s="120"/>
      <c r="C201" s="108" t="s">
        <v>797</v>
      </c>
      <c r="D201" s="116">
        <f>IF('ПРАЙС_ЛИСТ'!F1110 &lt;&gt; 'ПРАЙС_ЛИСТ'!H1110, 'ПРАЙС_ЛИСТ'!F1110, "0")</f>
        <v>7350</v>
      </c>
      <c r="E201" s="114" t="s">
        <v>433</v>
      </c>
      <c r="F201" s="117" t="s">
        <v>421</v>
      </c>
      <c r="G201" s="109"/>
      <c r="H201" s="108" t="s">
        <v>393</v>
      </c>
      <c r="I201" s="122" t="s">
        <v>798</v>
      </c>
      <c r="J201" s="119" t="s">
        <v>435</v>
      </c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</row>
    <row r="202">
      <c r="A202" s="120"/>
      <c r="C202" s="108" t="s">
        <v>799</v>
      </c>
      <c r="D202" s="116">
        <f>IF('ПРАЙС_ЛИСТ'!F1111 &lt;&gt; 'ПРАЙС_ЛИСТ'!H1111, 'ПРАЙС_ЛИСТ'!F1111, "0")</f>
        <v>7350</v>
      </c>
      <c r="E202" s="114" t="s">
        <v>437</v>
      </c>
      <c r="F202" s="117" t="s">
        <v>421</v>
      </c>
      <c r="G202" s="109"/>
      <c r="H202" s="108" t="s">
        <v>393</v>
      </c>
      <c r="I202" s="122" t="s">
        <v>800</v>
      </c>
      <c r="J202" s="119" t="s">
        <v>439</v>
      </c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</row>
    <row r="203">
      <c r="A203" s="120"/>
      <c r="C203" s="108" t="s">
        <v>801</v>
      </c>
      <c r="D203" s="116">
        <f>IF('ПРАЙС_ЛИСТ'!F1101 &lt;&gt; 'ПРАЙС_ЛИСТ'!H1101, 'ПРАЙС_ЛИСТ'!F1101, "0")</f>
        <v>13900</v>
      </c>
      <c r="E203" s="114" t="s">
        <v>441</v>
      </c>
      <c r="F203" s="117" t="s">
        <v>442</v>
      </c>
      <c r="G203" s="109"/>
      <c r="H203" s="108" t="s">
        <v>393</v>
      </c>
      <c r="I203" s="118" t="s">
        <v>802</v>
      </c>
      <c r="J203" s="119" t="s">
        <v>444</v>
      </c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  <c r="AA203" s="120"/>
    </row>
    <row r="204">
      <c r="A204" s="120"/>
      <c r="C204" s="108" t="s">
        <v>803</v>
      </c>
      <c r="D204" s="116">
        <f>IF('ПРАЙС_ЛИСТ'!F1102 &lt;&gt; 'ПРАЙС_ЛИСТ'!H1102, 'ПРАЙС_ЛИСТ'!F1102, "0")</f>
        <v>11900</v>
      </c>
      <c r="E204" s="114" t="s">
        <v>446</v>
      </c>
      <c r="F204" s="117" t="s">
        <v>421</v>
      </c>
      <c r="G204" s="109"/>
      <c r="H204" s="108" t="s">
        <v>393</v>
      </c>
      <c r="I204" s="118" t="s">
        <v>804</v>
      </c>
      <c r="J204" s="119" t="s">
        <v>448</v>
      </c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</row>
    <row r="205">
      <c r="A205" s="120"/>
      <c r="C205" s="108" t="s">
        <v>805</v>
      </c>
      <c r="D205" s="116">
        <f>IF('ПРАЙС_ЛИСТ'!F1103 &lt;&gt; 'ПРАЙС_ЛИСТ'!H1103, 'ПРАЙС_ЛИСТ'!F1103, "0")</f>
        <v>5500</v>
      </c>
      <c r="E205" s="114" t="s">
        <v>450</v>
      </c>
      <c r="F205" s="117" t="s">
        <v>421</v>
      </c>
      <c r="G205" s="109"/>
      <c r="H205" s="108" t="s">
        <v>410</v>
      </c>
      <c r="I205" s="122" t="s">
        <v>806</v>
      </c>
      <c r="J205" s="119" t="s">
        <v>452</v>
      </c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  <c r="AA205" s="120"/>
    </row>
    <row r="206">
      <c r="A206" s="120"/>
      <c r="C206" s="108" t="s">
        <v>807</v>
      </c>
      <c r="D206" s="121">
        <v>0.0</v>
      </c>
      <c r="E206" s="114" t="s">
        <v>454</v>
      </c>
      <c r="F206" s="117" t="s">
        <v>455</v>
      </c>
      <c r="G206" s="108" t="s">
        <v>398</v>
      </c>
      <c r="H206" s="108" t="s">
        <v>410</v>
      </c>
      <c r="I206" s="122" t="s">
        <v>808</v>
      </c>
      <c r="J206" s="119" t="s">
        <v>457</v>
      </c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</row>
    <row r="207">
      <c r="A207" s="120"/>
      <c r="C207" s="108" t="s">
        <v>809</v>
      </c>
      <c r="D207" s="121">
        <v>0.0</v>
      </c>
      <c r="E207" s="114" t="s">
        <v>459</v>
      </c>
      <c r="F207" s="117" t="s">
        <v>442</v>
      </c>
      <c r="G207" s="108" t="s">
        <v>398</v>
      </c>
      <c r="H207" s="108" t="s">
        <v>393</v>
      </c>
      <c r="I207" s="118" t="s">
        <v>810</v>
      </c>
      <c r="J207" s="119" t="s">
        <v>461</v>
      </c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  <c r="AA207" s="120"/>
    </row>
    <row r="208">
      <c r="A208" s="120"/>
      <c r="C208" s="108" t="s">
        <v>462</v>
      </c>
      <c r="D208" s="116">
        <f>IF('ПРАЙС_ЛИСТ'!F9 &lt;&gt; 'ПРАЙС_ЛИСТ'!H9, 'ПРАЙС_ЛИСТ'!F9, "0")</f>
        <v>1100</v>
      </c>
      <c r="E208" s="114" t="s">
        <v>463</v>
      </c>
      <c r="F208" s="117" t="s">
        <v>409</v>
      </c>
      <c r="G208" s="108"/>
      <c r="H208" s="108"/>
      <c r="I208" s="122" t="s">
        <v>464</v>
      </c>
      <c r="J208" s="119" t="s">
        <v>465</v>
      </c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</row>
    <row r="209">
      <c r="A209" s="120"/>
      <c r="C209" s="113" t="s">
        <v>811</v>
      </c>
      <c r="D209" s="116">
        <f>'ПРАЙС_ЛИСТ'!F1113</f>
        <v>6500</v>
      </c>
      <c r="E209" s="114" t="s">
        <v>467</v>
      </c>
      <c r="F209" s="117" t="s">
        <v>468</v>
      </c>
      <c r="G209" s="108" t="s">
        <v>403</v>
      </c>
      <c r="H209" s="108" t="s">
        <v>393</v>
      </c>
      <c r="I209" s="118" t="s">
        <v>812</v>
      </c>
      <c r="J209" s="119" t="s">
        <v>470</v>
      </c>
      <c r="K209" s="120"/>
      <c r="L209" s="114" t="s">
        <v>418</v>
      </c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  <c r="AA209" s="120"/>
    </row>
    <row r="210">
      <c r="A210" s="120"/>
      <c r="C210" s="108" t="s">
        <v>813</v>
      </c>
      <c r="D210" s="116">
        <f>'ПРАЙС_ЛИСТ'!F1104</f>
        <v>8500</v>
      </c>
      <c r="E210" s="114" t="s">
        <v>472</v>
      </c>
      <c r="F210" s="117" t="s">
        <v>468</v>
      </c>
      <c r="G210" s="108" t="s">
        <v>403</v>
      </c>
      <c r="H210" s="108" t="s">
        <v>393</v>
      </c>
      <c r="I210" s="122" t="s">
        <v>814</v>
      </c>
      <c r="J210" s="119" t="s">
        <v>474</v>
      </c>
      <c r="K210" s="120"/>
      <c r="L210" s="114" t="s">
        <v>418</v>
      </c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</row>
    <row r="211">
      <c r="A211" s="120"/>
      <c r="B211" s="120"/>
      <c r="C211" s="109"/>
      <c r="D211" s="109"/>
      <c r="E211" s="120"/>
      <c r="F211" s="120"/>
      <c r="G211" s="109"/>
      <c r="H211" s="120"/>
      <c r="I211" s="123"/>
      <c r="J211" s="123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</row>
    <row r="212">
      <c r="A212" s="120"/>
      <c r="B212" s="115" t="s">
        <v>297</v>
      </c>
      <c r="C212" s="108" t="s">
        <v>815</v>
      </c>
      <c r="D212" s="116">
        <f>IF('ПРАЙС_ЛИСТ'!F1063 &lt;&gt; 'ПРАЙС_ЛИСТ'!H1063, IF('ПРАЙС_ЛИСТ'!F1063 = 1, 0, 'ПРАЙС_ЛИСТ'!F1063), 0)</f>
        <v>18000</v>
      </c>
      <c r="E212" s="114" t="s">
        <v>391</v>
      </c>
      <c r="F212" s="117" t="s">
        <v>392</v>
      </c>
      <c r="G212" s="108"/>
      <c r="H212" s="108" t="s">
        <v>393</v>
      </c>
      <c r="I212" s="122" t="s">
        <v>816</v>
      </c>
      <c r="J212" s="119" t="s">
        <v>395</v>
      </c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</row>
    <row r="213">
      <c r="A213" s="120"/>
      <c r="C213" s="108" t="s">
        <v>817</v>
      </c>
      <c r="D213" s="121">
        <v>0.0</v>
      </c>
      <c r="E213" s="114" t="s">
        <v>397</v>
      </c>
      <c r="F213" s="117" t="s">
        <v>392</v>
      </c>
      <c r="G213" s="108" t="s">
        <v>398</v>
      </c>
      <c r="H213" s="108" t="s">
        <v>393</v>
      </c>
      <c r="I213" s="118" t="s">
        <v>818</v>
      </c>
      <c r="J213" s="119" t="s">
        <v>400</v>
      </c>
      <c r="K213" s="120"/>
      <c r="L213" s="114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</row>
    <row r="214">
      <c r="A214" s="120"/>
      <c r="C214" s="108" t="s">
        <v>819</v>
      </c>
      <c r="D214" s="109">
        <f t="array" ref="D214">MIN(IF('ПРАЙС_ЛИСТ'!F1055:F1059 &lt;&gt; 'ПРАЙС_ЛИСТ'!H1055:H1059, 'ПРАЙС_ЛИСТ'!F1055:F1059, ""))</f>
        <v>20600</v>
      </c>
      <c r="E214" s="114" t="s">
        <v>402</v>
      </c>
      <c r="F214" s="117" t="s">
        <v>392</v>
      </c>
      <c r="G214" s="108" t="s">
        <v>403</v>
      </c>
      <c r="H214" s="108" t="s">
        <v>393</v>
      </c>
      <c r="I214" s="118" t="s">
        <v>820</v>
      </c>
      <c r="J214" s="119" t="s">
        <v>405</v>
      </c>
      <c r="K214" s="120"/>
      <c r="L214" s="114" t="s">
        <v>406</v>
      </c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</row>
    <row r="215">
      <c r="A215" s="120"/>
      <c r="C215" s="108" t="s">
        <v>821</v>
      </c>
      <c r="D215" s="109">
        <f t="array" ref="D215">MIN(IF('ПРАЙС_ЛИСТ'!F1068:F1069 &lt;&gt; 'ПРАЙС_ЛИСТ'!H1068:H1069, 'ПРАЙС_ЛИСТ'!F1068:F1069, ""))</f>
        <v>8000</v>
      </c>
      <c r="E215" s="114" t="s">
        <v>408</v>
      </c>
      <c r="F215" s="117" t="s">
        <v>409</v>
      </c>
      <c r="G215" s="108" t="s">
        <v>403</v>
      </c>
      <c r="H215" s="108" t="s">
        <v>410</v>
      </c>
      <c r="I215" s="118" t="s">
        <v>822</v>
      </c>
      <c r="J215" s="119" t="s">
        <v>412</v>
      </c>
      <c r="K215" s="120"/>
      <c r="L215" s="114" t="s">
        <v>413</v>
      </c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  <c r="AA215" s="120"/>
    </row>
    <row r="216">
      <c r="A216" s="120"/>
      <c r="C216" s="108" t="s">
        <v>823</v>
      </c>
      <c r="D216" s="116">
        <f>'ПРАЙС_ЛИСТ'!F1077</f>
        <v>7700</v>
      </c>
      <c r="E216" s="114" t="s">
        <v>415</v>
      </c>
      <c r="F216" s="117" t="s">
        <v>392</v>
      </c>
      <c r="G216" s="108" t="s">
        <v>403</v>
      </c>
      <c r="H216" s="108" t="s">
        <v>393</v>
      </c>
      <c r="I216" s="122" t="s">
        <v>824</v>
      </c>
      <c r="J216" s="119" t="s">
        <v>417</v>
      </c>
      <c r="K216" s="120"/>
      <c r="L216" s="114" t="s">
        <v>418</v>
      </c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</row>
    <row r="217">
      <c r="A217" s="120"/>
      <c r="C217" s="108" t="s">
        <v>825</v>
      </c>
      <c r="D217" s="108">
        <f t="array" ref="D217">MIN(IF('ПРАЙС_ЛИСТ'!F1048:F1053 &lt;&gt; 'ПРАЙС_ЛИСТ'!H1048:H1053, 'ПРАЙС_ЛИСТ'!F1048:F1053, ""))</f>
        <v>9000</v>
      </c>
      <c r="E217" s="114" t="s">
        <v>420</v>
      </c>
      <c r="F217" s="117" t="s">
        <v>421</v>
      </c>
      <c r="G217" s="108" t="s">
        <v>403</v>
      </c>
      <c r="H217" s="108" t="s">
        <v>410</v>
      </c>
      <c r="I217" s="118" t="s">
        <v>826</v>
      </c>
      <c r="J217" s="119" t="s">
        <v>423</v>
      </c>
      <c r="K217" s="120"/>
      <c r="L217" s="114" t="s">
        <v>413</v>
      </c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  <c r="AA217" s="120"/>
    </row>
    <row r="218">
      <c r="A218" s="120"/>
      <c r="C218" s="108" t="s">
        <v>827</v>
      </c>
      <c r="D218" s="116">
        <f>IF('ПРАЙС_ЛИСТ'!F1054 &lt;&gt; 'ПРАЙС_ЛИСТ'!H1054, 'ПРАЙС_ЛИСТ'!F1054, "0")</f>
        <v>10750</v>
      </c>
      <c r="E218" s="114" t="s">
        <v>425</v>
      </c>
      <c r="F218" s="117" t="s">
        <v>421</v>
      </c>
      <c r="G218" s="109"/>
      <c r="H218" s="108" t="s">
        <v>393</v>
      </c>
      <c r="I218" s="118" t="s">
        <v>828</v>
      </c>
      <c r="J218" s="119" t="s">
        <v>427</v>
      </c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  <c r="AA218" s="120"/>
    </row>
    <row r="219">
      <c r="A219" s="120"/>
      <c r="C219" s="108" t="s">
        <v>829</v>
      </c>
      <c r="D219" s="116">
        <f>IF('ПРАЙС_ЛИСТ'!F1075 &lt;&gt; 'ПРАЙС_ЛИСТ'!H1075, 'ПРАЙС_ЛИСТ'!F1075, "0")</f>
        <v>10650</v>
      </c>
      <c r="E219" s="114" t="s">
        <v>429</v>
      </c>
      <c r="F219" s="117" t="s">
        <v>392</v>
      </c>
      <c r="G219" s="109"/>
      <c r="H219" s="108" t="s">
        <v>393</v>
      </c>
      <c r="I219" s="122" t="s">
        <v>830</v>
      </c>
      <c r="J219" s="119" t="s">
        <v>431</v>
      </c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  <c r="AA219" s="120"/>
    </row>
    <row r="220">
      <c r="A220" s="120"/>
      <c r="C220" s="108" t="s">
        <v>831</v>
      </c>
      <c r="D220" s="109" t="str">
        <f>IF('ПРАЙС_ЛИСТ'!F1073 &lt;&gt; 'ПРАЙС_ЛИСТ'!H1073, 'ПРАЙС_ЛИСТ'!F1073, "0")</f>
        <v>0</v>
      </c>
      <c r="E220" s="114" t="s">
        <v>433</v>
      </c>
      <c r="F220" s="117" t="s">
        <v>421</v>
      </c>
      <c r="G220" s="108" t="s">
        <v>398</v>
      </c>
      <c r="H220" s="108" t="s">
        <v>393</v>
      </c>
      <c r="I220" s="122" t="s">
        <v>832</v>
      </c>
      <c r="J220" s="119" t="s">
        <v>435</v>
      </c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  <c r="AA220" s="120"/>
    </row>
    <row r="221">
      <c r="A221" s="120"/>
      <c r="C221" s="108" t="s">
        <v>833</v>
      </c>
      <c r="D221" s="116">
        <f>IF('ПРАЙС_ЛИСТ'!F1074 &lt;&gt; 'ПРАЙС_ЛИСТ'!H1074, 'ПРАЙС_ЛИСТ'!F1074, "0")</f>
        <v>6650</v>
      </c>
      <c r="E221" s="114" t="s">
        <v>437</v>
      </c>
      <c r="F221" s="117" t="s">
        <v>421</v>
      </c>
      <c r="G221" s="109"/>
      <c r="H221" s="108" t="s">
        <v>393</v>
      </c>
      <c r="I221" s="122" t="s">
        <v>834</v>
      </c>
      <c r="J221" s="119" t="s">
        <v>439</v>
      </c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  <c r="AA221" s="120"/>
    </row>
    <row r="222">
      <c r="A222" s="120"/>
      <c r="C222" s="108" t="s">
        <v>835</v>
      </c>
      <c r="D222" s="116">
        <f>IF('ПРАЙС_ЛИСТ'!F1064 &lt;&gt; 'ПРАЙС_ЛИСТ'!H1064, 'ПРАЙС_ЛИСТ'!F1064, "0")</f>
        <v>12000</v>
      </c>
      <c r="E222" s="114" t="s">
        <v>441</v>
      </c>
      <c r="F222" s="117" t="s">
        <v>442</v>
      </c>
      <c r="G222" s="109"/>
      <c r="H222" s="108" t="s">
        <v>393</v>
      </c>
      <c r="I222" s="118" t="s">
        <v>836</v>
      </c>
      <c r="J222" s="119" t="s">
        <v>444</v>
      </c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</row>
    <row r="223">
      <c r="A223" s="120"/>
      <c r="C223" s="108" t="s">
        <v>837</v>
      </c>
      <c r="D223" s="116">
        <f>IF('ПРАЙС_ЛИСТ'!F1065 &lt;&gt; 'ПРАЙС_ЛИСТ'!H1065, 'ПРАЙС_ЛИСТ'!F1065, "0")</f>
        <v>9900</v>
      </c>
      <c r="E223" s="114" t="s">
        <v>446</v>
      </c>
      <c r="F223" s="117" t="s">
        <v>421</v>
      </c>
      <c r="G223" s="109"/>
      <c r="H223" s="108" t="s">
        <v>393</v>
      </c>
      <c r="I223" s="118" t="s">
        <v>838</v>
      </c>
      <c r="J223" s="119" t="s">
        <v>448</v>
      </c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  <c r="AA223" s="120"/>
    </row>
    <row r="224">
      <c r="A224" s="120"/>
      <c r="C224" s="108" t="s">
        <v>839</v>
      </c>
      <c r="D224" s="116">
        <f>IF('ПРАЙС_ЛИСТ'!F1066 &lt;&gt; 'ПРАЙС_ЛИСТ'!H1066, 'ПРАЙС_ЛИСТ'!F1066, "0")</f>
        <v>5000</v>
      </c>
      <c r="E224" s="114" t="s">
        <v>450</v>
      </c>
      <c r="F224" s="117" t="s">
        <v>421</v>
      </c>
      <c r="G224" s="109"/>
      <c r="H224" s="108" t="s">
        <v>410</v>
      </c>
      <c r="I224" s="122" t="s">
        <v>840</v>
      </c>
      <c r="J224" s="119" t="s">
        <v>452</v>
      </c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  <c r="AA224" s="120"/>
    </row>
    <row r="225">
      <c r="A225" s="120"/>
      <c r="C225" s="108" t="s">
        <v>841</v>
      </c>
      <c r="D225" s="121">
        <v>0.0</v>
      </c>
      <c r="E225" s="114" t="s">
        <v>454</v>
      </c>
      <c r="F225" s="117" t="s">
        <v>455</v>
      </c>
      <c r="G225" s="108" t="s">
        <v>398</v>
      </c>
      <c r="H225" s="108" t="s">
        <v>410</v>
      </c>
      <c r="I225" s="122" t="s">
        <v>842</v>
      </c>
      <c r="J225" s="119" t="s">
        <v>457</v>
      </c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  <c r="AA225" s="120"/>
    </row>
    <row r="226">
      <c r="A226" s="120"/>
      <c r="C226" s="108" t="s">
        <v>843</v>
      </c>
      <c r="D226" s="121">
        <v>0.0</v>
      </c>
      <c r="E226" s="114" t="s">
        <v>459</v>
      </c>
      <c r="F226" s="117" t="s">
        <v>442</v>
      </c>
      <c r="G226" s="108" t="s">
        <v>398</v>
      </c>
      <c r="H226" s="108" t="s">
        <v>393</v>
      </c>
      <c r="I226" s="118" t="s">
        <v>844</v>
      </c>
      <c r="J226" s="119" t="s">
        <v>461</v>
      </c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</row>
    <row r="227">
      <c r="A227" s="120"/>
      <c r="C227" s="108" t="s">
        <v>462</v>
      </c>
      <c r="D227" s="116">
        <f>IF('ПРАЙС_ЛИСТ'!F9 &lt;&gt; 'ПРАЙС_ЛИСТ'!H9, 'ПРАЙС_ЛИСТ'!F9, "0")</f>
        <v>1100</v>
      </c>
      <c r="E227" s="114" t="s">
        <v>463</v>
      </c>
      <c r="F227" s="117" t="s">
        <v>409</v>
      </c>
      <c r="G227" s="108"/>
      <c r="H227" s="108"/>
      <c r="I227" s="122" t="s">
        <v>464</v>
      </c>
      <c r="J227" s="119" t="s">
        <v>465</v>
      </c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  <c r="AA227" s="120"/>
    </row>
    <row r="228">
      <c r="A228" s="120"/>
      <c r="C228" s="113" t="s">
        <v>845</v>
      </c>
      <c r="D228" s="116">
        <f>'ПРАЙС_ЛИСТ'!F1076</f>
        <v>6500</v>
      </c>
      <c r="E228" s="114" t="s">
        <v>467</v>
      </c>
      <c r="F228" s="117" t="s">
        <v>468</v>
      </c>
      <c r="G228" s="108" t="s">
        <v>403</v>
      </c>
      <c r="H228" s="108" t="s">
        <v>393</v>
      </c>
      <c r="I228" s="118" t="s">
        <v>846</v>
      </c>
      <c r="J228" s="119" t="s">
        <v>470</v>
      </c>
      <c r="K228" s="120"/>
      <c r="L228" s="114" t="s">
        <v>418</v>
      </c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  <c r="AA228" s="120"/>
    </row>
    <row r="229">
      <c r="A229" s="120"/>
      <c r="C229" s="108" t="s">
        <v>847</v>
      </c>
      <c r="D229" s="116">
        <f>'ПРАЙС_ЛИСТ'!F1067</f>
        <v>8500</v>
      </c>
      <c r="E229" s="114" t="s">
        <v>472</v>
      </c>
      <c r="F229" s="117" t="s">
        <v>468</v>
      </c>
      <c r="G229" s="108" t="s">
        <v>403</v>
      </c>
      <c r="H229" s="108" t="s">
        <v>393</v>
      </c>
      <c r="I229" s="122" t="s">
        <v>848</v>
      </c>
      <c r="J229" s="119" t="s">
        <v>474</v>
      </c>
      <c r="K229" s="120"/>
      <c r="L229" s="114" t="s">
        <v>418</v>
      </c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</row>
    <row r="230">
      <c r="A230" s="120"/>
      <c r="B230" s="120"/>
      <c r="C230" s="109"/>
      <c r="D230" s="109"/>
      <c r="E230" s="120"/>
      <c r="F230" s="120"/>
      <c r="G230" s="109"/>
      <c r="H230" s="120"/>
      <c r="I230" s="123"/>
      <c r="J230" s="123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  <c r="AA230" s="120"/>
    </row>
    <row r="231">
      <c r="A231" s="120"/>
      <c r="B231" s="115" t="s">
        <v>290</v>
      </c>
      <c r="C231" s="108" t="s">
        <v>849</v>
      </c>
      <c r="D231" s="116">
        <f>IF('ПРАЙС_ЛИСТ'!F1026 &lt;&gt; 'ПРАЙС_ЛИСТ'!H1026, IF('ПРАЙС_ЛИСТ'!F1026 = 1, 0, 'ПРАЙС_ЛИСТ'!F1026), 0)</f>
        <v>14000</v>
      </c>
      <c r="E231" s="114" t="s">
        <v>391</v>
      </c>
      <c r="F231" s="117" t="s">
        <v>392</v>
      </c>
      <c r="G231" s="108"/>
      <c r="H231" s="108" t="s">
        <v>393</v>
      </c>
      <c r="I231" s="122" t="s">
        <v>850</v>
      </c>
      <c r="J231" s="119" t="s">
        <v>395</v>
      </c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  <c r="AA231" s="120"/>
    </row>
    <row r="232">
      <c r="A232" s="120"/>
      <c r="C232" s="108" t="s">
        <v>851</v>
      </c>
      <c r="D232" s="121">
        <v>0.0</v>
      </c>
      <c r="E232" s="114" t="s">
        <v>397</v>
      </c>
      <c r="F232" s="117" t="s">
        <v>392</v>
      </c>
      <c r="G232" s="108" t="s">
        <v>398</v>
      </c>
      <c r="H232" s="108" t="s">
        <v>393</v>
      </c>
      <c r="I232" s="122" t="s">
        <v>852</v>
      </c>
      <c r="J232" s="119" t="s">
        <v>400</v>
      </c>
      <c r="K232" s="120"/>
      <c r="L232" s="114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  <c r="AA232" s="120"/>
    </row>
    <row r="233">
      <c r="A233" s="120"/>
      <c r="C233" s="108" t="s">
        <v>853</v>
      </c>
      <c r="D233" s="109">
        <f t="array" ref="D233">MIN(IF('ПРАЙС_ЛИСТ'!F1018:F1022 &lt;&gt; 'ПРАЙС_ЛИСТ'!H1018:H1022, 'ПРАЙС_ЛИСТ'!F1018:F1022, ""))</f>
        <v>20000</v>
      </c>
      <c r="E233" s="114" t="s">
        <v>402</v>
      </c>
      <c r="F233" s="117" t="s">
        <v>392</v>
      </c>
      <c r="G233" s="108" t="s">
        <v>403</v>
      </c>
      <c r="H233" s="108" t="s">
        <v>393</v>
      </c>
      <c r="I233" s="118" t="s">
        <v>854</v>
      </c>
      <c r="J233" s="119" t="s">
        <v>405</v>
      </c>
      <c r="K233" s="120"/>
      <c r="L233" s="114" t="s">
        <v>406</v>
      </c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  <c r="AA233" s="120"/>
    </row>
    <row r="234">
      <c r="A234" s="120"/>
      <c r="C234" s="108" t="s">
        <v>855</v>
      </c>
      <c r="D234" s="109">
        <f t="array" ref="D234">MIN(IF('ПРАЙС_ЛИСТ'!F1031:F1032 &lt;&gt; 'ПРАЙС_ЛИСТ'!H1031:H1032, 'ПРАЙС_ЛИСТ'!F1031:F1032, ""))</f>
        <v>8000</v>
      </c>
      <c r="E234" s="114" t="s">
        <v>408</v>
      </c>
      <c r="F234" s="117" t="s">
        <v>409</v>
      </c>
      <c r="G234" s="108" t="s">
        <v>403</v>
      </c>
      <c r="H234" s="108" t="s">
        <v>410</v>
      </c>
      <c r="I234" s="118" t="s">
        <v>856</v>
      </c>
      <c r="J234" s="119" t="s">
        <v>412</v>
      </c>
      <c r="K234" s="120"/>
      <c r="L234" s="114" t="s">
        <v>413</v>
      </c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  <c r="AA234" s="120"/>
    </row>
    <row r="235">
      <c r="A235" s="120"/>
      <c r="C235" s="108" t="s">
        <v>857</v>
      </c>
      <c r="D235" s="116">
        <f>'ПРАЙС_ЛИСТ'!F1040</f>
        <v>7700</v>
      </c>
      <c r="E235" s="114" t="s">
        <v>415</v>
      </c>
      <c r="F235" s="117" t="s">
        <v>392</v>
      </c>
      <c r="G235" s="108" t="s">
        <v>403</v>
      </c>
      <c r="H235" s="108" t="s">
        <v>393</v>
      </c>
      <c r="I235" s="122" t="s">
        <v>858</v>
      </c>
      <c r="J235" s="119" t="s">
        <v>417</v>
      </c>
      <c r="K235" s="120"/>
      <c r="L235" s="114" t="s">
        <v>418</v>
      </c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  <c r="AA235" s="120"/>
    </row>
    <row r="236">
      <c r="A236" s="120"/>
      <c r="C236" s="108" t="s">
        <v>859</v>
      </c>
      <c r="D236" s="108">
        <f t="array" ref="D236">MIN(IF('ПРАЙС_ЛИСТ'!F1011:F1016 &lt;&gt; 'ПРАЙС_ЛИСТ'!H1011:H1016, 'ПРАЙС_ЛИСТ'!F1011:F1016, ""))</f>
        <v>9000</v>
      </c>
      <c r="E236" s="114" t="s">
        <v>420</v>
      </c>
      <c r="F236" s="117" t="s">
        <v>421</v>
      </c>
      <c r="G236" s="108" t="s">
        <v>403</v>
      </c>
      <c r="H236" s="108" t="s">
        <v>410</v>
      </c>
      <c r="I236" s="118" t="s">
        <v>860</v>
      </c>
      <c r="J236" s="119" t="s">
        <v>423</v>
      </c>
      <c r="K236" s="120"/>
      <c r="L236" s="114" t="s">
        <v>413</v>
      </c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</row>
    <row r="237">
      <c r="A237" s="120"/>
      <c r="C237" s="108" t="s">
        <v>861</v>
      </c>
      <c r="D237" s="116">
        <f>IF('ПРАЙС_ЛИСТ'!F1017 &lt;&gt; 'ПРАЙС_ЛИСТ'!H1017, 'ПРАЙС_ЛИСТ'!F1017, "0")</f>
        <v>7950</v>
      </c>
      <c r="E237" s="114" t="s">
        <v>425</v>
      </c>
      <c r="F237" s="117" t="s">
        <v>421</v>
      </c>
      <c r="G237" s="109"/>
      <c r="H237" s="108" t="s">
        <v>393</v>
      </c>
      <c r="I237" s="118" t="s">
        <v>862</v>
      </c>
      <c r="J237" s="119" t="s">
        <v>427</v>
      </c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  <c r="AA237" s="120"/>
    </row>
    <row r="238">
      <c r="A238" s="120"/>
      <c r="C238" s="108" t="s">
        <v>863</v>
      </c>
      <c r="D238" s="116">
        <f>IF('ПРАЙС_ЛИСТ'!F1038 &lt;&gt; 'ПРАЙС_ЛИСТ'!H1038, 'ПРАЙС_ЛИСТ'!F1038, "0")</f>
        <v>9650</v>
      </c>
      <c r="E238" s="114" t="s">
        <v>429</v>
      </c>
      <c r="F238" s="117" t="s">
        <v>392</v>
      </c>
      <c r="G238" s="109"/>
      <c r="H238" s="108" t="s">
        <v>393</v>
      </c>
      <c r="I238" s="122" t="s">
        <v>864</v>
      </c>
      <c r="J238" s="119" t="s">
        <v>431</v>
      </c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  <c r="AA238" s="120"/>
    </row>
    <row r="239">
      <c r="A239" s="120"/>
      <c r="C239" s="108" t="s">
        <v>865</v>
      </c>
      <c r="D239" s="116">
        <f>IF('ПРАЙС_ЛИСТ'!F1036 &lt;&gt; 'ПРАЙС_ЛИСТ'!H1036, 'ПРАЙС_ЛИСТ'!F1036, "0")</f>
        <v>6650</v>
      </c>
      <c r="E239" s="114" t="s">
        <v>433</v>
      </c>
      <c r="F239" s="117" t="s">
        <v>421</v>
      </c>
      <c r="G239" s="109"/>
      <c r="H239" s="108" t="s">
        <v>393</v>
      </c>
      <c r="I239" s="122" t="s">
        <v>866</v>
      </c>
      <c r="J239" s="119" t="s">
        <v>435</v>
      </c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  <c r="AA239" s="120"/>
    </row>
    <row r="240">
      <c r="A240" s="120"/>
      <c r="C240" s="108" t="s">
        <v>867</v>
      </c>
      <c r="D240" s="116">
        <f>IF('ПРАЙС_ЛИСТ'!F1037 &lt;&gt; 'ПРАЙС_ЛИСТ'!H1037, 'ПРАЙС_ЛИСТ'!F1037, "0")</f>
        <v>6650</v>
      </c>
      <c r="E240" s="114" t="s">
        <v>437</v>
      </c>
      <c r="F240" s="117" t="s">
        <v>421</v>
      </c>
      <c r="G240" s="109"/>
      <c r="H240" s="108" t="s">
        <v>393</v>
      </c>
      <c r="I240" s="122" t="s">
        <v>868</v>
      </c>
      <c r="J240" s="119" t="s">
        <v>439</v>
      </c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  <c r="AA240" s="120"/>
    </row>
    <row r="241">
      <c r="A241" s="120"/>
      <c r="C241" s="108" t="s">
        <v>869</v>
      </c>
      <c r="D241" s="116">
        <f>IF('ПРАЙС_ЛИСТ'!F1027 &lt;&gt; 'ПРАЙС_ЛИСТ'!H1027, 'ПРАЙС_ЛИСТ'!F1027, "0")</f>
        <v>12000</v>
      </c>
      <c r="E241" s="114" t="s">
        <v>441</v>
      </c>
      <c r="F241" s="117" t="s">
        <v>442</v>
      </c>
      <c r="G241" s="109"/>
      <c r="H241" s="108" t="s">
        <v>393</v>
      </c>
      <c r="I241" s="118" t="s">
        <v>870</v>
      </c>
      <c r="J241" s="119" t="s">
        <v>444</v>
      </c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  <c r="AA241" s="120"/>
    </row>
    <row r="242">
      <c r="A242" s="120"/>
      <c r="C242" s="108" t="s">
        <v>871</v>
      </c>
      <c r="D242" s="116">
        <f>IF('ПРАЙС_ЛИСТ'!F1028 &lt;&gt; 'ПРАЙС_ЛИСТ'!H1028, 'ПРАЙС_ЛИСТ'!F1028, "0")</f>
        <v>9900</v>
      </c>
      <c r="E242" s="114" t="s">
        <v>446</v>
      </c>
      <c r="F242" s="117" t="s">
        <v>421</v>
      </c>
      <c r="G242" s="109"/>
      <c r="H242" s="108" t="s">
        <v>393</v>
      </c>
      <c r="I242" s="118" t="s">
        <v>872</v>
      </c>
      <c r="J242" s="119" t="s">
        <v>448</v>
      </c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</row>
    <row r="243">
      <c r="A243" s="120"/>
      <c r="C243" s="108" t="s">
        <v>873</v>
      </c>
      <c r="D243" s="116">
        <f>IF('ПРАЙС_ЛИСТ'!F1029 &lt;&gt; 'ПРАЙС_ЛИСТ'!H1029, 'ПРАЙС_ЛИСТ'!F1029, "0")</f>
        <v>5000</v>
      </c>
      <c r="E243" s="114" t="s">
        <v>450</v>
      </c>
      <c r="F243" s="117" t="s">
        <v>421</v>
      </c>
      <c r="G243" s="109"/>
      <c r="H243" s="108" t="s">
        <v>410</v>
      </c>
      <c r="I243" s="122" t="s">
        <v>874</v>
      </c>
      <c r="J243" s="119" t="s">
        <v>452</v>
      </c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  <c r="AA243" s="120"/>
    </row>
    <row r="244">
      <c r="A244" s="120"/>
      <c r="C244" s="108" t="s">
        <v>875</v>
      </c>
      <c r="D244" s="121">
        <v>0.0</v>
      </c>
      <c r="E244" s="114" t="s">
        <v>454</v>
      </c>
      <c r="F244" s="117" t="s">
        <v>455</v>
      </c>
      <c r="G244" s="108" t="s">
        <v>398</v>
      </c>
      <c r="H244" s="108" t="s">
        <v>410</v>
      </c>
      <c r="I244" s="122" t="s">
        <v>876</v>
      </c>
      <c r="J244" s="119" t="s">
        <v>457</v>
      </c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  <c r="AA244" s="120"/>
    </row>
    <row r="245">
      <c r="A245" s="120"/>
      <c r="C245" s="108" t="s">
        <v>877</v>
      </c>
      <c r="D245" s="121">
        <v>0.0</v>
      </c>
      <c r="E245" s="114" t="s">
        <v>459</v>
      </c>
      <c r="F245" s="117" t="s">
        <v>442</v>
      </c>
      <c r="G245" s="108" t="s">
        <v>398</v>
      </c>
      <c r="H245" s="108" t="s">
        <v>393</v>
      </c>
      <c r="I245" s="118" t="s">
        <v>878</v>
      </c>
      <c r="J245" s="119" t="s">
        <v>461</v>
      </c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  <c r="AA245" s="120"/>
    </row>
    <row r="246">
      <c r="A246" s="120"/>
      <c r="C246" s="108" t="s">
        <v>462</v>
      </c>
      <c r="D246" s="116">
        <f>IF('ПРАЙС_ЛИСТ'!F9 &lt;&gt; 'ПРАЙС_ЛИСТ'!H9, 'ПРАЙС_ЛИСТ'!F9, "0")</f>
        <v>1100</v>
      </c>
      <c r="E246" s="114" t="s">
        <v>463</v>
      </c>
      <c r="F246" s="117" t="s">
        <v>409</v>
      </c>
      <c r="G246" s="108"/>
      <c r="H246" s="108"/>
      <c r="I246" s="122" t="s">
        <v>464</v>
      </c>
      <c r="J246" s="119" t="s">
        <v>465</v>
      </c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  <c r="AA246" s="120"/>
    </row>
    <row r="247">
      <c r="A247" s="120"/>
      <c r="C247" s="113" t="s">
        <v>879</v>
      </c>
      <c r="D247" s="116">
        <f>'ПРАЙС_ЛИСТ'!F1039</f>
        <v>6500</v>
      </c>
      <c r="E247" s="114" t="s">
        <v>467</v>
      </c>
      <c r="F247" s="117" t="s">
        <v>468</v>
      </c>
      <c r="G247" s="108" t="s">
        <v>403</v>
      </c>
      <c r="H247" s="108" t="s">
        <v>393</v>
      </c>
      <c r="I247" s="118" t="s">
        <v>880</v>
      </c>
      <c r="J247" s="119" t="s">
        <v>470</v>
      </c>
      <c r="K247" s="120"/>
      <c r="L247" s="114" t="s">
        <v>418</v>
      </c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</row>
    <row r="248">
      <c r="A248" s="120"/>
      <c r="C248" s="108" t="s">
        <v>881</v>
      </c>
      <c r="D248" s="116">
        <f>'ПРАЙС_ЛИСТ'!F1030</f>
        <v>8500</v>
      </c>
      <c r="E248" s="114" t="s">
        <v>472</v>
      </c>
      <c r="F248" s="117" t="s">
        <v>468</v>
      </c>
      <c r="G248" s="108" t="s">
        <v>403</v>
      </c>
      <c r="H248" s="108" t="s">
        <v>393</v>
      </c>
      <c r="I248" s="122" t="s">
        <v>882</v>
      </c>
      <c r="J248" s="119" t="s">
        <v>474</v>
      </c>
      <c r="K248" s="120"/>
      <c r="L248" s="114" t="s">
        <v>418</v>
      </c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  <c r="AA248" s="120"/>
    </row>
    <row r="249">
      <c r="A249" s="120"/>
      <c r="B249" s="120"/>
      <c r="C249" s="109"/>
      <c r="D249" s="109"/>
      <c r="E249" s="120"/>
      <c r="F249" s="120"/>
      <c r="G249" s="109"/>
      <c r="H249" s="120"/>
      <c r="I249" s="123"/>
      <c r="J249" s="123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</row>
    <row r="250">
      <c r="A250" s="120"/>
      <c r="B250" s="115" t="s">
        <v>283</v>
      </c>
      <c r="C250" s="108">
        <v>6.756746522869E12</v>
      </c>
      <c r="D250" s="116">
        <f>IF('ПРАЙС_ЛИСТ'!F991 &lt;&gt; 'ПРАЙС_ЛИСТ'!H991, IF('ПРАЙС_ЛИСТ'!F991 = 1, 0, 'ПРАЙС_ЛИСТ'!F991), 0)</f>
        <v>15000</v>
      </c>
      <c r="E250" s="114" t="s">
        <v>391</v>
      </c>
      <c r="F250" s="117" t="s">
        <v>392</v>
      </c>
      <c r="G250" s="108"/>
      <c r="H250" s="108" t="s">
        <v>393</v>
      </c>
      <c r="I250" s="122" t="s">
        <v>883</v>
      </c>
      <c r="J250" s="119" t="s">
        <v>395</v>
      </c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  <c r="AA250" s="120"/>
    </row>
    <row r="251">
      <c r="A251" s="120"/>
      <c r="C251" s="108">
        <v>6.756746522868E12</v>
      </c>
      <c r="D251" s="121">
        <v>0.0</v>
      </c>
      <c r="E251" s="114" t="s">
        <v>397</v>
      </c>
      <c r="F251" s="117" t="s">
        <v>392</v>
      </c>
      <c r="G251" s="108" t="s">
        <v>398</v>
      </c>
      <c r="H251" s="108" t="s">
        <v>393</v>
      </c>
      <c r="I251" s="118" t="s">
        <v>884</v>
      </c>
      <c r="J251" s="119" t="s">
        <v>400</v>
      </c>
      <c r="K251" s="120"/>
      <c r="L251" s="114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</row>
    <row r="252">
      <c r="A252" s="120"/>
      <c r="C252" s="108">
        <v>6.756746522866E12</v>
      </c>
      <c r="D252" s="109">
        <f t="array" ref="D252">MIN(IF('ПРАЙС_ЛИСТ'!F983:F987 &lt;&gt; 'ПРАЙС_ЛИСТ'!H983:H987, 'ПРАЙС_ЛИСТ'!F983:F987, ""))</f>
        <v>20000</v>
      </c>
      <c r="E252" s="114" t="s">
        <v>402</v>
      </c>
      <c r="F252" s="117" t="s">
        <v>392</v>
      </c>
      <c r="G252" s="108" t="s">
        <v>403</v>
      </c>
      <c r="H252" s="108" t="s">
        <v>393</v>
      </c>
      <c r="I252" s="118" t="s">
        <v>885</v>
      </c>
      <c r="J252" s="119" t="s">
        <v>405</v>
      </c>
      <c r="K252" s="120"/>
      <c r="L252" s="114" t="s">
        <v>406</v>
      </c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  <c r="AA252" s="120"/>
    </row>
    <row r="253">
      <c r="A253" s="120"/>
      <c r="C253" s="108">
        <v>6.756746522874E12</v>
      </c>
      <c r="D253" s="116">
        <f>'ПРАЙС_ЛИСТ'!F996</f>
        <v>8200</v>
      </c>
      <c r="E253" s="114" t="s">
        <v>408</v>
      </c>
      <c r="F253" s="117" t="s">
        <v>409</v>
      </c>
      <c r="G253" s="108"/>
      <c r="H253" s="108" t="s">
        <v>410</v>
      </c>
      <c r="I253" s="118" t="s">
        <v>886</v>
      </c>
      <c r="J253" s="119" t="s">
        <v>412</v>
      </c>
      <c r="K253" s="120"/>
      <c r="L253" s="114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  <c r="AA253" s="120"/>
    </row>
    <row r="254">
      <c r="A254" s="120"/>
      <c r="C254" s="108">
        <v>6.756746522876E12</v>
      </c>
      <c r="D254" s="116">
        <f>'ПРАЙС_ЛИСТ'!F1003</f>
        <v>6500</v>
      </c>
      <c r="E254" s="114" t="s">
        <v>415</v>
      </c>
      <c r="F254" s="117" t="s">
        <v>392</v>
      </c>
      <c r="G254" s="108" t="s">
        <v>403</v>
      </c>
      <c r="H254" s="108" t="s">
        <v>393</v>
      </c>
      <c r="I254" s="122" t="s">
        <v>887</v>
      </c>
      <c r="J254" s="119" t="s">
        <v>417</v>
      </c>
      <c r="K254" s="120"/>
      <c r="L254" s="114" t="s">
        <v>418</v>
      </c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  <c r="AA254" s="120"/>
    </row>
    <row r="255">
      <c r="A255" s="120"/>
      <c r="C255" s="108">
        <v>6.756746522858E12</v>
      </c>
      <c r="D255" s="108">
        <f t="array" ref="D255">MIN(IF('ПРАЙС_ЛИСТ'!F976:F981 &lt;&gt; 'ПРАЙС_ЛИСТ'!H976:H981, 'ПРАЙС_ЛИСТ'!F976:F981, ""))</f>
        <v>7500</v>
      </c>
      <c r="E255" s="114" t="s">
        <v>420</v>
      </c>
      <c r="F255" s="117" t="s">
        <v>421</v>
      </c>
      <c r="G255" s="108" t="s">
        <v>403</v>
      </c>
      <c r="H255" s="108" t="s">
        <v>410</v>
      </c>
      <c r="I255" s="118" t="s">
        <v>888</v>
      </c>
      <c r="J255" s="119" t="s">
        <v>423</v>
      </c>
      <c r="K255" s="120"/>
      <c r="L255" s="114" t="s">
        <v>413</v>
      </c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  <c r="AA255" s="120"/>
    </row>
    <row r="256">
      <c r="A256" s="120"/>
      <c r="C256" s="108">
        <v>6.756746522877E12</v>
      </c>
      <c r="D256" s="116">
        <f>IF('ПРАЙС_ЛИСТ'!F982 &lt;&gt; 'ПРАЙС_ЛИСТ'!H982, 'ПРАЙС_ЛИСТ'!F982, "0")</f>
        <v>9850</v>
      </c>
      <c r="E256" s="114" t="s">
        <v>425</v>
      </c>
      <c r="F256" s="117" t="s">
        <v>421</v>
      </c>
      <c r="G256" s="109"/>
      <c r="H256" s="108" t="s">
        <v>393</v>
      </c>
      <c r="I256" s="118" t="s">
        <v>889</v>
      </c>
      <c r="J256" s="119" t="s">
        <v>427</v>
      </c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  <c r="AA256" s="120"/>
    </row>
    <row r="257">
      <c r="A257" s="120"/>
      <c r="C257" s="108">
        <v>6.756746522865E12</v>
      </c>
      <c r="D257" s="116">
        <f>IF('ПРАЙС_ЛИСТ'!F1001 &lt;&gt; 'ПРАЙС_ЛИСТ'!H1001, 'ПРАЙС_ЛИСТ'!F1001, "0")</f>
        <v>10250</v>
      </c>
      <c r="E257" s="114" t="s">
        <v>429</v>
      </c>
      <c r="F257" s="117" t="s">
        <v>392</v>
      </c>
      <c r="G257" s="109"/>
      <c r="H257" s="108" t="s">
        <v>393</v>
      </c>
      <c r="I257" s="122" t="s">
        <v>890</v>
      </c>
      <c r="J257" s="119" t="s">
        <v>431</v>
      </c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  <c r="AA257" s="120"/>
    </row>
    <row r="258">
      <c r="A258" s="120"/>
      <c r="C258" s="108">
        <v>6.756746522863E12</v>
      </c>
      <c r="D258" s="116">
        <f>IF('ПРАЙС_ЛИСТ'!F999 &lt;&gt; 'ПРАЙС_ЛИСТ'!H999, 'ПРАЙС_ЛИСТ'!F999, "0")</f>
        <v>6350</v>
      </c>
      <c r="E258" s="114" t="s">
        <v>433</v>
      </c>
      <c r="F258" s="117" t="s">
        <v>421</v>
      </c>
      <c r="G258" s="109"/>
      <c r="H258" s="108" t="s">
        <v>393</v>
      </c>
      <c r="I258" s="122" t="s">
        <v>891</v>
      </c>
      <c r="J258" s="119" t="s">
        <v>435</v>
      </c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  <c r="AA258" s="120"/>
    </row>
    <row r="259">
      <c r="A259" s="120"/>
      <c r="C259" s="108">
        <v>6.756746522864E12</v>
      </c>
      <c r="D259" s="116">
        <f>IF('ПРАЙС_ЛИСТ'!F1000 &lt;&gt; 'ПРАЙС_ЛИСТ'!H1000, 'ПРАЙС_ЛИСТ'!F1000, "0")</f>
        <v>6200</v>
      </c>
      <c r="E259" s="114" t="s">
        <v>437</v>
      </c>
      <c r="F259" s="117" t="s">
        <v>421</v>
      </c>
      <c r="G259" s="109"/>
      <c r="H259" s="108" t="s">
        <v>393</v>
      </c>
      <c r="I259" s="122" t="s">
        <v>892</v>
      </c>
      <c r="J259" s="119" t="s">
        <v>439</v>
      </c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  <c r="AA259" s="120"/>
    </row>
    <row r="260">
      <c r="A260" s="120"/>
      <c r="C260" s="108">
        <v>6.756746522871E12</v>
      </c>
      <c r="D260" s="116">
        <f>IF('ПРАЙС_ЛИСТ'!F992 &lt;&gt; 'ПРАЙС_ЛИСТ'!H992, 'ПРАЙС_ЛИСТ'!F992, "0")</f>
        <v>12000</v>
      </c>
      <c r="E260" s="114" t="s">
        <v>441</v>
      </c>
      <c r="F260" s="117" t="s">
        <v>442</v>
      </c>
      <c r="G260" s="109"/>
      <c r="H260" s="108" t="s">
        <v>393</v>
      </c>
      <c r="I260" s="118" t="s">
        <v>893</v>
      </c>
      <c r="J260" s="119" t="s">
        <v>444</v>
      </c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  <c r="AA260" s="120"/>
    </row>
    <row r="261">
      <c r="A261" s="120"/>
      <c r="C261" s="108">
        <v>6.756746522872E12</v>
      </c>
      <c r="D261" s="116">
        <f>IF('ПРАЙС_ЛИСТ'!F993 &lt;&gt; 'ПРАЙС_ЛИСТ'!H993, 'ПРАЙС_ЛИСТ'!F993, "0")</f>
        <v>9600</v>
      </c>
      <c r="E261" s="114" t="s">
        <v>446</v>
      </c>
      <c r="F261" s="117" t="s">
        <v>421</v>
      </c>
      <c r="G261" s="109"/>
      <c r="H261" s="108" t="s">
        <v>393</v>
      </c>
      <c r="I261" s="118" t="s">
        <v>894</v>
      </c>
      <c r="J261" s="119" t="s">
        <v>448</v>
      </c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  <c r="AA261" s="120"/>
    </row>
    <row r="262">
      <c r="A262" s="120"/>
      <c r="C262" s="108">
        <v>6.75674652287E12</v>
      </c>
      <c r="D262" s="116">
        <f>IF('ПРАЙС_ЛИСТ'!F994 &lt;&gt; 'ПРАЙС_ЛИСТ'!H994, 'ПРАЙС_ЛИСТ'!F994, "0")</f>
        <v>4450</v>
      </c>
      <c r="E262" s="114" t="s">
        <v>450</v>
      </c>
      <c r="F262" s="117" t="s">
        <v>421</v>
      </c>
      <c r="G262" s="109"/>
      <c r="H262" s="108" t="s">
        <v>410</v>
      </c>
      <c r="I262" s="122" t="s">
        <v>895</v>
      </c>
      <c r="J262" s="119" t="s">
        <v>452</v>
      </c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  <c r="AA262" s="120"/>
    </row>
    <row r="263">
      <c r="A263" s="120"/>
      <c r="C263" s="108">
        <v>6.756746522873E12</v>
      </c>
      <c r="D263" s="121">
        <v>0.0</v>
      </c>
      <c r="E263" s="114" t="s">
        <v>454</v>
      </c>
      <c r="F263" s="117" t="s">
        <v>455</v>
      </c>
      <c r="G263" s="108" t="s">
        <v>398</v>
      </c>
      <c r="H263" s="108" t="s">
        <v>410</v>
      </c>
      <c r="I263" s="122" t="s">
        <v>896</v>
      </c>
      <c r="J263" s="119" t="s">
        <v>457</v>
      </c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  <c r="AA263" s="120"/>
    </row>
    <row r="264">
      <c r="A264" s="120"/>
      <c r="C264" s="108">
        <v>6.756746522887E12</v>
      </c>
      <c r="D264" s="121">
        <v>0.0</v>
      </c>
      <c r="E264" s="114" t="s">
        <v>459</v>
      </c>
      <c r="F264" s="117" t="s">
        <v>442</v>
      </c>
      <c r="G264" s="108" t="s">
        <v>398</v>
      </c>
      <c r="H264" s="108" t="s">
        <v>393</v>
      </c>
      <c r="I264" s="118" t="s">
        <v>897</v>
      </c>
      <c r="J264" s="119" t="s">
        <v>461</v>
      </c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  <c r="AA264" s="120"/>
    </row>
    <row r="265">
      <c r="A265" s="120"/>
      <c r="C265" s="108" t="s">
        <v>462</v>
      </c>
      <c r="D265" s="116">
        <f>IF('ПРАЙС_ЛИСТ'!F9 &lt;&gt; 'ПРАЙС_ЛИСТ'!H9, 'ПРАЙС_ЛИСТ'!F9, "0")</f>
        <v>1100</v>
      </c>
      <c r="E265" s="114" t="s">
        <v>463</v>
      </c>
      <c r="F265" s="117" t="s">
        <v>409</v>
      </c>
      <c r="G265" s="108"/>
      <c r="H265" s="108"/>
      <c r="I265" s="122" t="s">
        <v>464</v>
      </c>
      <c r="J265" s="119" t="s">
        <v>465</v>
      </c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  <c r="AA265" s="120"/>
    </row>
    <row r="266">
      <c r="A266" s="120"/>
      <c r="C266" s="113" t="s">
        <v>898</v>
      </c>
      <c r="D266" s="116">
        <f>'ПРАЙС_ЛИСТ'!F1002</f>
        <v>5500</v>
      </c>
      <c r="E266" s="114" t="s">
        <v>467</v>
      </c>
      <c r="F266" s="117" t="s">
        <v>468</v>
      </c>
      <c r="G266" s="108" t="s">
        <v>403</v>
      </c>
      <c r="H266" s="108" t="s">
        <v>393</v>
      </c>
      <c r="I266" s="118" t="s">
        <v>899</v>
      </c>
      <c r="J266" s="119" t="s">
        <v>470</v>
      </c>
      <c r="K266" s="120"/>
      <c r="L266" s="114" t="s">
        <v>418</v>
      </c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  <c r="AA266" s="120"/>
    </row>
    <row r="267">
      <c r="A267" s="120"/>
      <c r="C267" s="108">
        <v>6.756746522878E12</v>
      </c>
      <c r="D267" s="116">
        <f>'ПРАЙС_ЛИСТ'!F995</f>
        <v>7500</v>
      </c>
      <c r="E267" s="114" t="s">
        <v>472</v>
      </c>
      <c r="F267" s="117" t="s">
        <v>468</v>
      </c>
      <c r="G267" s="108" t="s">
        <v>403</v>
      </c>
      <c r="H267" s="108" t="s">
        <v>393</v>
      </c>
      <c r="I267" s="122" t="s">
        <v>900</v>
      </c>
      <c r="J267" s="119" t="s">
        <v>474</v>
      </c>
      <c r="K267" s="120"/>
      <c r="L267" s="114" t="s">
        <v>418</v>
      </c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  <c r="AA267" s="120"/>
    </row>
    <row r="268">
      <c r="A268" s="120"/>
      <c r="B268" s="120"/>
      <c r="C268" s="109"/>
      <c r="D268" s="109"/>
      <c r="E268" s="120"/>
      <c r="F268" s="120"/>
      <c r="G268" s="109"/>
      <c r="H268" s="120"/>
      <c r="I268" s="123"/>
      <c r="J268" s="123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  <c r="AA268" s="120"/>
    </row>
    <row r="269">
      <c r="A269" s="120"/>
      <c r="B269" s="115" t="s">
        <v>276</v>
      </c>
      <c r="C269" s="108">
        <v>6.75674652291E12</v>
      </c>
      <c r="D269" s="116">
        <f>IF('ПРАЙС_ЛИСТ'!F956 &lt;&gt; 'ПРАЙС_ЛИСТ'!H956, IF('ПРАЙС_ЛИСТ'!F956 = 1, 0, 'ПРАЙС_ЛИСТ'!F956), 0)</f>
        <v>13000</v>
      </c>
      <c r="E269" s="114" t="s">
        <v>391</v>
      </c>
      <c r="F269" s="117" t="s">
        <v>392</v>
      </c>
      <c r="G269" s="108"/>
      <c r="H269" s="108" t="s">
        <v>393</v>
      </c>
      <c r="I269" s="122" t="s">
        <v>901</v>
      </c>
      <c r="J269" s="119" t="s">
        <v>395</v>
      </c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  <c r="AA269" s="120"/>
    </row>
    <row r="270">
      <c r="A270" s="120"/>
      <c r="C270" s="108">
        <v>6.756746522909E12</v>
      </c>
      <c r="D270" s="121">
        <v>0.0</v>
      </c>
      <c r="E270" s="114" t="s">
        <v>397</v>
      </c>
      <c r="F270" s="117" t="s">
        <v>392</v>
      </c>
      <c r="G270" s="108" t="s">
        <v>398</v>
      </c>
      <c r="H270" s="108" t="s">
        <v>393</v>
      </c>
      <c r="I270" s="118" t="s">
        <v>902</v>
      </c>
      <c r="J270" s="119" t="s">
        <v>400</v>
      </c>
      <c r="K270" s="120"/>
      <c r="L270" s="114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  <c r="AA270" s="120"/>
    </row>
    <row r="271">
      <c r="A271" s="120"/>
      <c r="C271" s="108">
        <v>6.756746522907E12</v>
      </c>
      <c r="D271" s="109">
        <f t="array" ref="D271">MIN(IF('ПРАЙС_ЛИСТ'!F948:F952 &lt;&gt; 'ПРАЙС_ЛИСТ'!H948:H952, 'ПРАЙС_ЛИСТ'!F948:F952, ""))</f>
        <v>20000</v>
      </c>
      <c r="E271" s="114" t="s">
        <v>402</v>
      </c>
      <c r="F271" s="117" t="s">
        <v>392</v>
      </c>
      <c r="G271" s="108" t="s">
        <v>403</v>
      </c>
      <c r="H271" s="108" t="s">
        <v>393</v>
      </c>
      <c r="I271" s="118" t="s">
        <v>903</v>
      </c>
      <c r="J271" s="119" t="s">
        <v>405</v>
      </c>
      <c r="K271" s="120"/>
      <c r="L271" s="114" t="s">
        <v>406</v>
      </c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  <c r="AA271" s="120"/>
    </row>
    <row r="272">
      <c r="A272" s="120"/>
      <c r="C272" s="108">
        <v>6.756746522915E12</v>
      </c>
      <c r="D272" s="116">
        <f>'ПРАЙС_ЛИСТ'!F961</f>
        <v>8150</v>
      </c>
      <c r="E272" s="114" t="s">
        <v>408</v>
      </c>
      <c r="F272" s="117" t="s">
        <v>409</v>
      </c>
      <c r="G272" s="108"/>
      <c r="H272" s="108" t="s">
        <v>410</v>
      </c>
      <c r="I272" s="118" t="s">
        <v>904</v>
      </c>
      <c r="J272" s="119" t="s">
        <v>412</v>
      </c>
      <c r="K272" s="120"/>
      <c r="L272" s="114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  <c r="AA272" s="120"/>
    </row>
    <row r="273">
      <c r="A273" s="120"/>
      <c r="C273" s="108">
        <v>6.756746522917E12</v>
      </c>
      <c r="D273" s="116">
        <f>'ПРАЙС_ЛИСТ'!F968</f>
        <v>6500</v>
      </c>
      <c r="E273" s="114" t="s">
        <v>415</v>
      </c>
      <c r="F273" s="117" t="s">
        <v>392</v>
      </c>
      <c r="G273" s="108" t="s">
        <v>403</v>
      </c>
      <c r="H273" s="108" t="s">
        <v>393</v>
      </c>
      <c r="I273" s="122" t="s">
        <v>905</v>
      </c>
      <c r="J273" s="119" t="s">
        <v>417</v>
      </c>
      <c r="K273" s="120"/>
      <c r="L273" s="114" t="s">
        <v>418</v>
      </c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  <c r="AA273" s="120"/>
    </row>
    <row r="274">
      <c r="A274" s="120"/>
      <c r="C274" s="108">
        <v>6.756746522899E12</v>
      </c>
      <c r="D274" s="108">
        <f t="array" ref="D274">MIN(IF('ПРАЙС_ЛИСТ'!F941:F946 &lt;&gt; 'ПРАЙС_ЛИСТ'!H941:H946, 'ПРАЙС_ЛИСТ'!F941:F946, ""))</f>
        <v>7500</v>
      </c>
      <c r="E274" s="114" t="s">
        <v>420</v>
      </c>
      <c r="F274" s="117" t="s">
        <v>421</v>
      </c>
      <c r="G274" s="108" t="s">
        <v>403</v>
      </c>
      <c r="H274" s="108" t="s">
        <v>410</v>
      </c>
      <c r="I274" s="118" t="s">
        <v>906</v>
      </c>
      <c r="J274" s="119" t="s">
        <v>423</v>
      </c>
      <c r="K274" s="120"/>
      <c r="L274" s="114" t="s">
        <v>413</v>
      </c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  <c r="AA274" s="120"/>
    </row>
    <row r="275">
      <c r="A275" s="120"/>
      <c r="C275" s="108">
        <v>6.756746522918E12</v>
      </c>
      <c r="D275" s="116">
        <f>IF('ПРАЙС_ЛИСТ'!F947 &lt;&gt; 'ПРАЙС_ЛИСТ'!H947, 'ПРАЙС_ЛИСТ'!F947, "0")</f>
        <v>9200</v>
      </c>
      <c r="E275" s="114" t="s">
        <v>425</v>
      </c>
      <c r="F275" s="117" t="s">
        <v>421</v>
      </c>
      <c r="G275" s="109"/>
      <c r="H275" s="108" t="s">
        <v>393</v>
      </c>
      <c r="I275" s="118" t="s">
        <v>907</v>
      </c>
      <c r="J275" s="119" t="s">
        <v>427</v>
      </c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</row>
    <row r="276">
      <c r="A276" s="120"/>
      <c r="C276" s="108">
        <v>6.756746522906E12</v>
      </c>
      <c r="D276" s="116">
        <f>IF('ПРАЙС_ЛИСТ'!F966 &lt;&gt; 'ПРАЙС_ЛИСТ'!H966, 'ПРАЙС_ЛИСТ'!F966, "0")</f>
        <v>9600</v>
      </c>
      <c r="E276" s="114" t="s">
        <v>429</v>
      </c>
      <c r="F276" s="117" t="s">
        <v>392</v>
      </c>
      <c r="G276" s="109"/>
      <c r="H276" s="108" t="s">
        <v>393</v>
      </c>
      <c r="I276" s="122" t="s">
        <v>908</v>
      </c>
      <c r="J276" s="119" t="s">
        <v>431</v>
      </c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</row>
    <row r="277">
      <c r="A277" s="120"/>
      <c r="C277" s="108">
        <v>6.756746522904E12</v>
      </c>
      <c r="D277" s="116">
        <f>IF('ПРАЙС_ЛИСТ'!F964 &lt;&gt; 'ПРАЙС_ЛИСТ'!H964, 'ПРАЙС_ЛИСТ'!F964, "0")</f>
        <v>6350</v>
      </c>
      <c r="E277" s="114" t="s">
        <v>433</v>
      </c>
      <c r="F277" s="117" t="s">
        <v>421</v>
      </c>
      <c r="G277" s="109"/>
      <c r="H277" s="108" t="s">
        <v>393</v>
      </c>
      <c r="I277" s="122" t="s">
        <v>909</v>
      </c>
      <c r="J277" s="119" t="s">
        <v>435</v>
      </c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</row>
    <row r="278">
      <c r="A278" s="120"/>
      <c r="C278" s="108">
        <v>6.756746522905E12</v>
      </c>
      <c r="D278" s="116">
        <f>IF('ПРАЙС_ЛИСТ'!F965 &lt;&gt; 'ПРАЙС_ЛИСТ'!H965, 'ПРАЙС_ЛИСТ'!F965, "0")</f>
        <v>6200</v>
      </c>
      <c r="E278" s="114" t="s">
        <v>437</v>
      </c>
      <c r="F278" s="117" t="s">
        <v>421</v>
      </c>
      <c r="G278" s="109"/>
      <c r="H278" s="108" t="s">
        <v>393</v>
      </c>
      <c r="I278" s="122" t="s">
        <v>910</v>
      </c>
      <c r="J278" s="119" t="s">
        <v>439</v>
      </c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</row>
    <row r="279">
      <c r="A279" s="120"/>
      <c r="C279" s="108">
        <v>6.756746522912E12</v>
      </c>
      <c r="D279" s="116">
        <f>IF('ПРАЙС_ЛИСТ'!F957 &lt;&gt; 'ПРАЙС_ЛИСТ'!H957, 'ПРАЙС_ЛИСТ'!F957, "0")</f>
        <v>12000</v>
      </c>
      <c r="E279" s="114" t="s">
        <v>441</v>
      </c>
      <c r="F279" s="117" t="s">
        <v>442</v>
      </c>
      <c r="G279" s="109"/>
      <c r="H279" s="108" t="s">
        <v>393</v>
      </c>
      <c r="I279" s="118" t="s">
        <v>911</v>
      </c>
      <c r="J279" s="119" t="s">
        <v>444</v>
      </c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</row>
    <row r="280">
      <c r="A280" s="120"/>
      <c r="C280" s="108">
        <v>6.756746522913E12</v>
      </c>
      <c r="D280" s="116">
        <f>IF('ПРАЙС_ЛИСТ'!F958 &lt;&gt; 'ПРАЙС_ЛИСТ'!H958, 'ПРАЙС_ЛИСТ'!F958, "0")</f>
        <v>8900</v>
      </c>
      <c r="E280" s="114" t="s">
        <v>446</v>
      </c>
      <c r="F280" s="117" t="s">
        <v>421</v>
      </c>
      <c r="G280" s="109"/>
      <c r="H280" s="108" t="s">
        <v>393</v>
      </c>
      <c r="I280" s="118" t="s">
        <v>912</v>
      </c>
      <c r="J280" s="119" t="s">
        <v>448</v>
      </c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</row>
    <row r="281">
      <c r="A281" s="120"/>
      <c r="C281" s="108">
        <v>6.756746522911E12</v>
      </c>
      <c r="D281" s="116">
        <f>IF('ПРАЙС_ЛИСТ'!F959 &lt;&gt; 'ПРАЙС_ЛИСТ'!H959, 'ПРАЙС_ЛИСТ'!F959, "0")</f>
        <v>4450</v>
      </c>
      <c r="E281" s="114" t="s">
        <v>450</v>
      </c>
      <c r="F281" s="117" t="s">
        <v>421</v>
      </c>
      <c r="G281" s="109"/>
      <c r="H281" s="108" t="s">
        <v>410</v>
      </c>
      <c r="I281" s="122" t="s">
        <v>913</v>
      </c>
      <c r="J281" s="119" t="s">
        <v>452</v>
      </c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</row>
    <row r="282">
      <c r="A282" s="120"/>
      <c r="C282" s="108">
        <v>6.756746522914E12</v>
      </c>
      <c r="D282" s="121">
        <v>0.0</v>
      </c>
      <c r="E282" s="114" t="s">
        <v>454</v>
      </c>
      <c r="F282" s="117" t="s">
        <v>455</v>
      </c>
      <c r="G282" s="108" t="s">
        <v>398</v>
      </c>
      <c r="H282" s="108" t="s">
        <v>410</v>
      </c>
      <c r="I282" s="122" t="s">
        <v>914</v>
      </c>
      <c r="J282" s="119" t="s">
        <v>457</v>
      </c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</row>
    <row r="283">
      <c r="A283" s="120"/>
      <c r="C283" s="108">
        <v>6.75674652293E12</v>
      </c>
      <c r="D283" s="121">
        <v>0.0</v>
      </c>
      <c r="E283" s="114" t="s">
        <v>459</v>
      </c>
      <c r="F283" s="117" t="s">
        <v>442</v>
      </c>
      <c r="G283" s="108" t="s">
        <v>398</v>
      </c>
      <c r="H283" s="108" t="s">
        <v>393</v>
      </c>
      <c r="I283" s="118" t="s">
        <v>915</v>
      </c>
      <c r="J283" s="119" t="s">
        <v>461</v>
      </c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</row>
    <row r="284">
      <c r="A284" s="120"/>
      <c r="C284" s="108" t="s">
        <v>462</v>
      </c>
      <c r="D284" s="116">
        <f>IF('ПРАЙС_ЛИСТ'!F9 &lt;&gt; 'ПРАЙС_ЛИСТ'!H9, 'ПРАЙС_ЛИСТ'!F9, "0")</f>
        <v>1100</v>
      </c>
      <c r="E284" s="114" t="s">
        <v>463</v>
      </c>
      <c r="F284" s="117" t="s">
        <v>409</v>
      </c>
      <c r="G284" s="108"/>
      <c r="H284" s="108"/>
      <c r="I284" s="122" t="s">
        <v>464</v>
      </c>
      <c r="J284" s="119" t="s">
        <v>465</v>
      </c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</row>
    <row r="285">
      <c r="A285" s="120"/>
      <c r="C285" s="113" t="s">
        <v>916</v>
      </c>
      <c r="D285" s="116">
        <f>'ПРАЙС_ЛИСТ'!F967</f>
        <v>5500</v>
      </c>
      <c r="E285" s="114" t="s">
        <v>467</v>
      </c>
      <c r="F285" s="117" t="s">
        <v>468</v>
      </c>
      <c r="G285" s="108" t="s">
        <v>403</v>
      </c>
      <c r="H285" s="108" t="s">
        <v>393</v>
      </c>
      <c r="I285" s="118" t="s">
        <v>917</v>
      </c>
      <c r="J285" s="119" t="s">
        <v>470</v>
      </c>
      <c r="K285" s="120"/>
      <c r="L285" s="114" t="s">
        <v>418</v>
      </c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</row>
    <row r="286">
      <c r="A286" s="120"/>
      <c r="C286" s="108">
        <v>6.756746522919E12</v>
      </c>
      <c r="D286" s="116">
        <f>'ПРАЙС_ЛИСТ'!F960</f>
        <v>7500</v>
      </c>
      <c r="E286" s="114" t="s">
        <v>472</v>
      </c>
      <c r="F286" s="117" t="s">
        <v>468</v>
      </c>
      <c r="G286" s="108" t="s">
        <v>403</v>
      </c>
      <c r="H286" s="108" t="s">
        <v>393</v>
      </c>
      <c r="I286" s="122" t="s">
        <v>918</v>
      </c>
      <c r="J286" s="119" t="s">
        <v>474</v>
      </c>
      <c r="K286" s="120"/>
      <c r="L286" s="114" t="s">
        <v>418</v>
      </c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</row>
    <row r="287">
      <c r="A287" s="120"/>
      <c r="B287" s="120"/>
      <c r="C287" s="109"/>
      <c r="D287" s="109"/>
      <c r="E287" s="120"/>
      <c r="F287" s="120"/>
      <c r="G287" s="109"/>
      <c r="H287" s="120"/>
      <c r="I287" s="123"/>
      <c r="J287" s="123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</row>
    <row r="288">
      <c r="A288" s="120"/>
      <c r="B288" s="115" t="s">
        <v>269</v>
      </c>
      <c r="C288" s="108">
        <v>6.756746522953E12</v>
      </c>
      <c r="D288" s="116">
        <f>IF('ПРАЙС_ЛИСТ'!F919 &lt;&gt; 'ПРАЙС_ЛИСТ'!H919, IF('ПРАЙС_ЛИСТ'!F919 = 1, 0, 'ПРАЙС_ЛИСТ'!F919), 0)</f>
        <v>10000</v>
      </c>
      <c r="E288" s="114" t="s">
        <v>391</v>
      </c>
      <c r="F288" s="117" t="s">
        <v>392</v>
      </c>
      <c r="G288" s="108"/>
      <c r="H288" s="108" t="s">
        <v>393</v>
      </c>
      <c r="I288" s="122" t="s">
        <v>919</v>
      </c>
      <c r="J288" s="119" t="s">
        <v>395</v>
      </c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</row>
    <row r="289">
      <c r="A289" s="120"/>
      <c r="C289" s="108">
        <v>6.756746522952E12</v>
      </c>
      <c r="D289" s="121">
        <v>0.0</v>
      </c>
      <c r="E289" s="114" t="s">
        <v>397</v>
      </c>
      <c r="F289" s="117" t="s">
        <v>392</v>
      </c>
      <c r="G289" s="108" t="s">
        <v>398</v>
      </c>
      <c r="H289" s="108" t="s">
        <v>393</v>
      </c>
      <c r="I289" s="118" t="s">
        <v>920</v>
      </c>
      <c r="J289" s="119" t="s">
        <v>400</v>
      </c>
      <c r="K289" s="120"/>
      <c r="L289" s="114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</row>
    <row r="290">
      <c r="A290" s="120"/>
      <c r="C290" s="108">
        <v>6.75674652295E12</v>
      </c>
      <c r="D290" s="109">
        <f t="array" ref="D290">MIN(IF('ПРАЙС_ЛИСТ'!F911:F915 &lt;&gt; 'ПРАЙС_ЛИСТ'!H911:H915, 'ПРАЙС_ЛИСТ'!F911:F915, ""))</f>
        <v>18800</v>
      </c>
      <c r="E290" s="114" t="s">
        <v>402</v>
      </c>
      <c r="F290" s="117" t="s">
        <v>392</v>
      </c>
      <c r="G290" s="108" t="s">
        <v>403</v>
      </c>
      <c r="H290" s="108" t="s">
        <v>393</v>
      </c>
      <c r="I290" s="118" t="s">
        <v>921</v>
      </c>
      <c r="J290" s="119" t="s">
        <v>405</v>
      </c>
      <c r="K290" s="120"/>
      <c r="L290" s="114" t="s">
        <v>406</v>
      </c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</row>
    <row r="291">
      <c r="A291" s="120"/>
      <c r="C291" s="108">
        <v>6.756746522958E12</v>
      </c>
      <c r="D291" s="109">
        <f t="array" ref="D291">MIN(IF('ПРАЙС_ЛИСТ'!F924:F925 &lt;&gt; 'ПРАЙС_ЛИСТ'!H924:H925, 'ПРАЙС_ЛИСТ'!F924:F925, ""))</f>
        <v>8000</v>
      </c>
      <c r="E291" s="114" t="s">
        <v>408</v>
      </c>
      <c r="F291" s="117" t="s">
        <v>409</v>
      </c>
      <c r="G291" s="108" t="s">
        <v>403</v>
      </c>
      <c r="H291" s="108" t="s">
        <v>410</v>
      </c>
      <c r="I291" s="118" t="s">
        <v>922</v>
      </c>
      <c r="J291" s="119" t="s">
        <v>412</v>
      </c>
      <c r="K291" s="120"/>
      <c r="L291" s="114" t="s">
        <v>413</v>
      </c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</row>
    <row r="292">
      <c r="A292" s="120"/>
      <c r="C292" s="108">
        <v>6.75674652296E12</v>
      </c>
      <c r="D292" s="116">
        <f>'ПРАЙС_ЛИСТ'!F933</f>
        <v>6500</v>
      </c>
      <c r="E292" s="114" t="s">
        <v>415</v>
      </c>
      <c r="F292" s="117" t="s">
        <v>392</v>
      </c>
      <c r="G292" s="108" t="s">
        <v>403</v>
      </c>
      <c r="H292" s="108" t="s">
        <v>393</v>
      </c>
      <c r="I292" s="122" t="s">
        <v>923</v>
      </c>
      <c r="J292" s="119" t="s">
        <v>417</v>
      </c>
      <c r="K292" s="120"/>
      <c r="L292" s="114" t="s">
        <v>418</v>
      </c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</row>
    <row r="293">
      <c r="A293" s="120"/>
      <c r="C293" s="108">
        <v>6.756746522942E12</v>
      </c>
      <c r="D293" s="108">
        <f t="array" ref="D293">MIN(IF('ПРАЙС_ЛИСТ'!F904:F909 &lt;&gt; 'ПРАЙС_ЛИСТ'!H904:H909, 'ПРАЙС_ЛИСТ'!F904:F909, ""))</f>
        <v>7000</v>
      </c>
      <c r="E293" s="114" t="s">
        <v>420</v>
      </c>
      <c r="F293" s="117" t="s">
        <v>421</v>
      </c>
      <c r="G293" s="108" t="s">
        <v>403</v>
      </c>
      <c r="H293" s="108" t="s">
        <v>410</v>
      </c>
      <c r="I293" s="118" t="s">
        <v>924</v>
      </c>
      <c r="J293" s="119" t="s">
        <v>423</v>
      </c>
      <c r="K293" s="120"/>
      <c r="L293" s="114" t="s">
        <v>413</v>
      </c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  <c r="AA293" s="120"/>
    </row>
    <row r="294">
      <c r="A294" s="120"/>
      <c r="C294" s="108">
        <v>6.756746522961E12</v>
      </c>
      <c r="D294" s="116">
        <f>IF('ПРАЙС_ЛИСТ'!F910 &lt;&gt; 'ПРАЙС_ЛИСТ'!H910, 'ПРАЙС_ЛИСТ'!F910, "0")</f>
        <v>7950</v>
      </c>
      <c r="E294" s="114" t="s">
        <v>425</v>
      </c>
      <c r="F294" s="117" t="s">
        <v>421</v>
      </c>
      <c r="G294" s="109"/>
      <c r="H294" s="108" t="s">
        <v>393</v>
      </c>
      <c r="I294" s="118" t="s">
        <v>925</v>
      </c>
      <c r="J294" s="119" t="s">
        <v>427</v>
      </c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  <c r="AA294" s="120"/>
    </row>
    <row r="295">
      <c r="A295" s="120"/>
      <c r="C295" s="108">
        <v>6.756746522949E12</v>
      </c>
      <c r="D295" s="116">
        <f>IF('ПРАЙС_ЛИСТ'!F931 &lt;&gt; 'ПРАЙС_ЛИСТ'!H931, 'ПРАЙС_ЛИСТ'!F931, "0")</f>
        <v>8150</v>
      </c>
      <c r="E295" s="114" t="s">
        <v>429</v>
      </c>
      <c r="F295" s="117" t="s">
        <v>392</v>
      </c>
      <c r="G295" s="109"/>
      <c r="H295" s="108" t="s">
        <v>393</v>
      </c>
      <c r="I295" s="122" t="s">
        <v>926</v>
      </c>
      <c r="J295" s="119" t="s">
        <v>431</v>
      </c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  <c r="AA295" s="120"/>
    </row>
    <row r="296">
      <c r="A296" s="120"/>
      <c r="C296" s="108">
        <v>6.756746522947E12</v>
      </c>
      <c r="D296" s="109" t="str">
        <f>IF('ПРАЙС_ЛИСТ'!F929 &lt;&gt; 'ПРАЙС_ЛИСТ'!H929, 'ПРАЙС_ЛИСТ'!F929, "0")</f>
        <v>0</v>
      </c>
      <c r="E296" s="114" t="s">
        <v>433</v>
      </c>
      <c r="F296" s="117" t="s">
        <v>421</v>
      </c>
      <c r="G296" s="108" t="s">
        <v>398</v>
      </c>
      <c r="H296" s="108" t="s">
        <v>393</v>
      </c>
      <c r="I296" s="122" t="s">
        <v>927</v>
      </c>
      <c r="J296" s="119" t="s">
        <v>435</v>
      </c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  <c r="AA296" s="120"/>
    </row>
    <row r="297">
      <c r="A297" s="120"/>
      <c r="C297" s="108">
        <v>6.756746522948E12</v>
      </c>
      <c r="D297" s="116">
        <f>IF('ПРАЙС_ЛИСТ'!F930 &lt;&gt; 'ПРАЙС_ЛИСТ'!H930, 'ПРАЙС_ЛИСТ'!F930, "0")</f>
        <v>5650</v>
      </c>
      <c r="E297" s="114" t="s">
        <v>437</v>
      </c>
      <c r="F297" s="117" t="s">
        <v>421</v>
      </c>
      <c r="G297" s="109"/>
      <c r="H297" s="108" t="s">
        <v>393</v>
      </c>
      <c r="I297" s="122" t="s">
        <v>928</v>
      </c>
      <c r="J297" s="119" t="s">
        <v>439</v>
      </c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  <c r="AA297" s="120"/>
    </row>
    <row r="298">
      <c r="A298" s="120"/>
      <c r="C298" s="108">
        <v>6.756746522955E12</v>
      </c>
      <c r="D298" s="116">
        <f>IF('ПРАЙС_ЛИСТ'!F920 &lt;&gt; 'ПРАЙС_ЛИСТ'!H920, 'ПРАЙС_ЛИСТ'!F920, "0")</f>
        <v>9000</v>
      </c>
      <c r="E298" s="114" t="s">
        <v>441</v>
      </c>
      <c r="F298" s="117" t="s">
        <v>442</v>
      </c>
      <c r="G298" s="109"/>
      <c r="H298" s="108" t="s">
        <v>393</v>
      </c>
      <c r="I298" s="118" t="s">
        <v>929</v>
      </c>
      <c r="J298" s="119" t="s">
        <v>444</v>
      </c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  <c r="AA298" s="120"/>
    </row>
    <row r="299">
      <c r="A299" s="120"/>
      <c r="C299" s="108">
        <v>6.756746522956E12</v>
      </c>
      <c r="D299" s="116">
        <f>IF('ПРАЙС_ЛИСТ'!F921 &lt;&gt; 'ПРАЙС_ЛИСТ'!H921, 'ПРАЙС_ЛИСТ'!F921, "0")</f>
        <v>8900</v>
      </c>
      <c r="E299" s="114" t="s">
        <v>446</v>
      </c>
      <c r="F299" s="117" t="s">
        <v>421</v>
      </c>
      <c r="G299" s="109"/>
      <c r="H299" s="108" t="s">
        <v>393</v>
      </c>
      <c r="I299" s="118" t="s">
        <v>930</v>
      </c>
      <c r="J299" s="119" t="s">
        <v>448</v>
      </c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  <c r="AA299" s="120"/>
    </row>
    <row r="300">
      <c r="A300" s="120"/>
      <c r="C300" s="108">
        <v>6.756746522954E12</v>
      </c>
      <c r="D300" s="116">
        <f>IF('ПРАЙС_ЛИСТ'!F922 &lt;&gt; 'ПРАЙС_ЛИСТ'!H922, 'ПРАЙС_ЛИСТ'!F922, "0")</f>
        <v>3900</v>
      </c>
      <c r="E300" s="114" t="s">
        <v>450</v>
      </c>
      <c r="F300" s="117" t="s">
        <v>421</v>
      </c>
      <c r="G300" s="109"/>
      <c r="H300" s="108" t="s">
        <v>410</v>
      </c>
      <c r="I300" s="122" t="s">
        <v>931</v>
      </c>
      <c r="J300" s="119" t="s">
        <v>452</v>
      </c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  <c r="AA300" s="120"/>
    </row>
    <row r="301">
      <c r="A301" s="120"/>
      <c r="C301" s="108">
        <v>6.756746522957E12</v>
      </c>
      <c r="D301" s="121">
        <v>0.0</v>
      </c>
      <c r="E301" s="114" t="s">
        <v>454</v>
      </c>
      <c r="F301" s="117" t="s">
        <v>455</v>
      </c>
      <c r="G301" s="108" t="s">
        <v>398</v>
      </c>
      <c r="H301" s="108" t="s">
        <v>410</v>
      </c>
      <c r="I301" s="122" t="s">
        <v>932</v>
      </c>
      <c r="J301" s="119" t="s">
        <v>457</v>
      </c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  <c r="AA301" s="120"/>
    </row>
    <row r="302">
      <c r="A302" s="120"/>
      <c r="C302" s="108">
        <v>6.756746522972E12</v>
      </c>
      <c r="D302" s="121">
        <v>0.0</v>
      </c>
      <c r="E302" s="114" t="s">
        <v>459</v>
      </c>
      <c r="F302" s="117" t="s">
        <v>442</v>
      </c>
      <c r="G302" s="108" t="s">
        <v>398</v>
      </c>
      <c r="H302" s="108" t="s">
        <v>393</v>
      </c>
      <c r="I302" s="118" t="s">
        <v>933</v>
      </c>
      <c r="J302" s="119" t="s">
        <v>461</v>
      </c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  <c r="AA302" s="120"/>
    </row>
    <row r="303">
      <c r="A303" s="120"/>
      <c r="C303" s="108" t="s">
        <v>462</v>
      </c>
      <c r="D303" s="116">
        <f>IF('ПРАЙС_ЛИСТ'!F9 &lt;&gt; 'ПРАЙС_ЛИСТ'!H9, 'ПРАЙС_ЛИСТ'!F9, "0")</f>
        <v>1100</v>
      </c>
      <c r="E303" s="114" t="s">
        <v>463</v>
      </c>
      <c r="F303" s="117" t="s">
        <v>409</v>
      </c>
      <c r="G303" s="108"/>
      <c r="H303" s="108"/>
      <c r="I303" s="122" t="s">
        <v>464</v>
      </c>
      <c r="J303" s="119" t="s">
        <v>465</v>
      </c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  <c r="AA303" s="120"/>
    </row>
    <row r="304">
      <c r="A304" s="120"/>
      <c r="C304" s="113" t="s">
        <v>934</v>
      </c>
      <c r="D304" s="116">
        <f>'ПРАЙС_ЛИСТ'!F932</f>
        <v>5500</v>
      </c>
      <c r="E304" s="114" t="s">
        <v>467</v>
      </c>
      <c r="F304" s="117" t="s">
        <v>468</v>
      </c>
      <c r="G304" s="108" t="s">
        <v>403</v>
      </c>
      <c r="H304" s="108" t="s">
        <v>393</v>
      </c>
      <c r="I304" s="118" t="s">
        <v>935</v>
      </c>
      <c r="J304" s="119" t="s">
        <v>470</v>
      </c>
      <c r="K304" s="120"/>
      <c r="L304" s="114" t="s">
        <v>418</v>
      </c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  <c r="AA304" s="120"/>
    </row>
    <row r="305">
      <c r="A305" s="120"/>
      <c r="C305" s="108">
        <v>6.756746522962E12</v>
      </c>
      <c r="D305" s="116">
        <f>'ПРАЙС_ЛИСТ'!F923</f>
        <v>7500</v>
      </c>
      <c r="E305" s="114" t="s">
        <v>472</v>
      </c>
      <c r="F305" s="117" t="s">
        <v>468</v>
      </c>
      <c r="G305" s="108" t="s">
        <v>403</v>
      </c>
      <c r="H305" s="108" t="s">
        <v>393</v>
      </c>
      <c r="I305" s="122" t="s">
        <v>936</v>
      </c>
      <c r="J305" s="119" t="s">
        <v>474</v>
      </c>
      <c r="K305" s="120"/>
      <c r="L305" s="114" t="s">
        <v>418</v>
      </c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  <c r="AA305" s="120"/>
    </row>
    <row r="306">
      <c r="A306" s="120"/>
      <c r="B306" s="115"/>
      <c r="C306" s="108"/>
      <c r="D306" s="109"/>
      <c r="E306" s="114"/>
      <c r="F306" s="117"/>
      <c r="G306" s="108"/>
      <c r="H306" s="108"/>
      <c r="I306" s="119"/>
      <c r="J306" s="119"/>
      <c r="K306" s="120"/>
      <c r="L306" s="114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  <c r="AA306" s="120"/>
    </row>
    <row r="307">
      <c r="A307" s="120"/>
      <c r="B307" s="115" t="s">
        <v>262</v>
      </c>
      <c r="C307" s="108">
        <v>6.756746522995E12</v>
      </c>
      <c r="D307" s="116">
        <f>IF('ПРАЙС_ЛИСТ'!F882 &lt;&gt; 'ПРАЙС_ЛИСТ'!H882, IF('ПРАЙС_ЛИСТ'!F882 = 1, 0, 'ПРАЙС_ЛИСТ'!F882), 0)</f>
        <v>9000</v>
      </c>
      <c r="E307" s="114" t="s">
        <v>391</v>
      </c>
      <c r="F307" s="117" t="s">
        <v>392</v>
      </c>
      <c r="G307" s="108"/>
      <c r="H307" s="108" t="s">
        <v>393</v>
      </c>
      <c r="I307" s="122" t="s">
        <v>937</v>
      </c>
      <c r="J307" s="119" t="s">
        <v>395</v>
      </c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  <c r="AA307" s="120"/>
    </row>
    <row r="308">
      <c r="A308" s="120"/>
      <c r="C308" s="108">
        <v>6.756746522994E12</v>
      </c>
      <c r="D308" s="121">
        <v>0.0</v>
      </c>
      <c r="E308" s="114" t="s">
        <v>397</v>
      </c>
      <c r="F308" s="117" t="s">
        <v>392</v>
      </c>
      <c r="G308" s="108" t="s">
        <v>398</v>
      </c>
      <c r="H308" s="108" t="s">
        <v>393</v>
      </c>
      <c r="I308" s="118" t="s">
        <v>938</v>
      </c>
      <c r="J308" s="119" t="s">
        <v>400</v>
      </c>
      <c r="K308" s="120"/>
      <c r="L308" s="114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  <c r="AA308" s="120"/>
    </row>
    <row r="309">
      <c r="A309" s="120"/>
      <c r="C309" s="108">
        <v>6.756746522992E12</v>
      </c>
      <c r="D309" s="109">
        <f t="array" ref="D309">MIN(IF('ПРАЙС_ЛИСТ'!F874:F878 &lt;&gt; 'ПРАЙС_ЛИСТ'!H874:H878, 'ПРАЙС_ЛИСТ'!F874:F878, ""))</f>
        <v>13000</v>
      </c>
      <c r="E309" s="114" t="s">
        <v>402</v>
      </c>
      <c r="F309" s="117" t="s">
        <v>392</v>
      </c>
      <c r="G309" s="108" t="s">
        <v>403</v>
      </c>
      <c r="H309" s="108" t="s">
        <v>393</v>
      </c>
      <c r="I309" s="118" t="s">
        <v>939</v>
      </c>
      <c r="J309" s="119" t="s">
        <v>405</v>
      </c>
      <c r="K309" s="120"/>
      <c r="L309" s="114" t="s">
        <v>406</v>
      </c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  <c r="AA309" s="120"/>
    </row>
    <row r="310">
      <c r="A310" s="120"/>
      <c r="C310" s="108">
        <v>6.756746523E12</v>
      </c>
      <c r="D310" s="109">
        <f t="array" ref="D310">MIN(IF('ПРАЙС_ЛИСТ'!F887:F888 &lt;&gt; 'ПРАЙС_ЛИСТ'!H887:H888, 'ПРАЙС_ЛИСТ'!F887:F888, ""))</f>
        <v>8000</v>
      </c>
      <c r="E310" s="114" t="s">
        <v>408</v>
      </c>
      <c r="F310" s="117" t="s">
        <v>409</v>
      </c>
      <c r="G310" s="108" t="s">
        <v>403</v>
      </c>
      <c r="H310" s="108" t="s">
        <v>410</v>
      </c>
      <c r="I310" s="118" t="s">
        <v>940</v>
      </c>
      <c r="J310" s="119" t="s">
        <v>412</v>
      </c>
      <c r="K310" s="120"/>
      <c r="L310" s="114" t="s">
        <v>413</v>
      </c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  <c r="AA310" s="120"/>
    </row>
    <row r="311">
      <c r="A311" s="120"/>
      <c r="C311" s="108">
        <v>6.756746523002E12</v>
      </c>
      <c r="D311" s="116">
        <f>'ПРАЙС_ЛИСТ'!F896</f>
        <v>6500</v>
      </c>
      <c r="E311" s="114" t="s">
        <v>415</v>
      </c>
      <c r="F311" s="117" t="s">
        <v>392</v>
      </c>
      <c r="G311" s="108" t="s">
        <v>403</v>
      </c>
      <c r="H311" s="108" t="s">
        <v>393</v>
      </c>
      <c r="I311" s="122" t="s">
        <v>941</v>
      </c>
      <c r="J311" s="119" t="s">
        <v>417</v>
      </c>
      <c r="K311" s="120"/>
      <c r="L311" s="114" t="s">
        <v>418</v>
      </c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  <c r="AA311" s="120"/>
    </row>
    <row r="312">
      <c r="A312" s="120"/>
      <c r="C312" s="108">
        <v>6.756746522984E12</v>
      </c>
      <c r="D312" s="108">
        <f t="array" ref="D312">MIN(IF('ПРАЙС_ЛИСТ'!F867:F872 &lt;&gt; 'ПРАЙС_ЛИСТ'!H867:H872, 'ПРАЙС_ЛИСТ'!F867:F872, ""))</f>
        <v>7000</v>
      </c>
      <c r="E312" s="114" t="s">
        <v>420</v>
      </c>
      <c r="F312" s="117" t="s">
        <v>421</v>
      </c>
      <c r="G312" s="108" t="s">
        <v>403</v>
      </c>
      <c r="H312" s="108" t="s">
        <v>410</v>
      </c>
      <c r="I312" s="118" t="s">
        <v>942</v>
      </c>
      <c r="J312" s="119" t="s">
        <v>423</v>
      </c>
      <c r="K312" s="120"/>
      <c r="L312" s="114" t="s">
        <v>413</v>
      </c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  <c r="AA312" s="120"/>
    </row>
    <row r="313">
      <c r="A313" s="120"/>
      <c r="C313" s="108">
        <v>6.756746523003E12</v>
      </c>
      <c r="D313" s="116">
        <f>IF('ПРАЙС_ЛИСТ'!F873 &lt;&gt; 'ПРАЙС_ЛИСТ'!H873, 'ПРАЙС_ЛИСТ'!F873, "0")</f>
        <v>7450</v>
      </c>
      <c r="E313" s="114" t="s">
        <v>425</v>
      </c>
      <c r="F313" s="117" t="s">
        <v>421</v>
      </c>
      <c r="G313" s="109"/>
      <c r="H313" s="108" t="s">
        <v>393</v>
      </c>
      <c r="I313" s="118" t="s">
        <v>943</v>
      </c>
      <c r="J313" s="119" t="s">
        <v>427</v>
      </c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  <c r="AA313" s="120"/>
    </row>
    <row r="314">
      <c r="A314" s="120"/>
      <c r="C314" s="108">
        <v>6.756746522991E12</v>
      </c>
      <c r="D314" s="116">
        <f>IF('ПРАЙС_ЛИСТ'!F894 &lt;&gt; 'ПРАЙС_ЛИСТ'!H894, 'ПРАЙС_ЛИСТ'!F894, "0")</f>
        <v>7650</v>
      </c>
      <c r="E314" s="114" t="s">
        <v>429</v>
      </c>
      <c r="F314" s="117" t="s">
        <v>392</v>
      </c>
      <c r="G314" s="109"/>
      <c r="H314" s="108" t="s">
        <v>393</v>
      </c>
      <c r="I314" s="122" t="s">
        <v>944</v>
      </c>
      <c r="J314" s="119" t="s">
        <v>431</v>
      </c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  <c r="AA314" s="120"/>
    </row>
    <row r="315">
      <c r="A315" s="120"/>
      <c r="C315" s="108">
        <v>6.756746522989E12</v>
      </c>
      <c r="D315" s="116">
        <f>IF('ПРАЙС_ЛИСТ'!F892 &lt;&gt; 'ПРАЙС_ЛИСТ'!H892, 'ПРАЙС_ЛИСТ'!F892, "0")</f>
        <v>5050</v>
      </c>
      <c r="E315" s="114" t="s">
        <v>433</v>
      </c>
      <c r="F315" s="117" t="s">
        <v>421</v>
      </c>
      <c r="G315" s="109"/>
      <c r="H315" s="108" t="s">
        <v>393</v>
      </c>
      <c r="I315" s="122" t="s">
        <v>945</v>
      </c>
      <c r="J315" s="119" t="s">
        <v>435</v>
      </c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  <c r="AA315" s="120"/>
    </row>
    <row r="316">
      <c r="A316" s="120"/>
      <c r="C316" s="108">
        <v>6.75674652299E12</v>
      </c>
      <c r="D316" s="109" t="str">
        <f>IF('ПРАЙС_ЛИСТ'!F893 &lt;&gt; 'ПРАЙС_ЛИСТ'!H893, 'ПРАЙС_ЛИСТ'!F893, "0")</f>
        <v>0</v>
      </c>
      <c r="E316" s="114" t="s">
        <v>437</v>
      </c>
      <c r="F316" s="117" t="s">
        <v>421</v>
      </c>
      <c r="G316" s="108" t="s">
        <v>398</v>
      </c>
      <c r="H316" s="108" t="s">
        <v>393</v>
      </c>
      <c r="I316" s="122" t="s">
        <v>946</v>
      </c>
      <c r="J316" s="119" t="s">
        <v>439</v>
      </c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  <c r="AA316" s="120"/>
    </row>
    <row r="317">
      <c r="A317" s="120"/>
      <c r="C317" s="108">
        <v>6.756746522997E12</v>
      </c>
      <c r="D317" s="116">
        <f>IF('ПРАЙС_ЛИСТ'!F883 &lt;&gt; 'ПРАЙС_ЛИСТ'!H883, 'ПРАЙС_ЛИСТ'!F883, "0")</f>
        <v>10000</v>
      </c>
      <c r="E317" s="114" t="s">
        <v>441</v>
      </c>
      <c r="F317" s="117" t="s">
        <v>442</v>
      </c>
      <c r="G317" s="109"/>
      <c r="H317" s="108" t="s">
        <v>393</v>
      </c>
      <c r="I317" s="118" t="s">
        <v>947</v>
      </c>
      <c r="J317" s="119" t="s">
        <v>444</v>
      </c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  <c r="AA317" s="120"/>
    </row>
    <row r="318">
      <c r="A318" s="120"/>
      <c r="C318" s="108">
        <v>6.756746522998E12</v>
      </c>
      <c r="D318" s="116">
        <f>IF('ПРАЙС_ЛИСТ'!F884 &lt;&gt; 'ПРАЙС_ЛИСТ'!H884, 'ПРАЙС_ЛИСТ'!F884, "0")</f>
        <v>8900</v>
      </c>
      <c r="E318" s="114" t="s">
        <v>446</v>
      </c>
      <c r="F318" s="117" t="s">
        <v>421</v>
      </c>
      <c r="G318" s="109"/>
      <c r="H318" s="108" t="s">
        <v>393</v>
      </c>
      <c r="I318" s="118" t="s">
        <v>948</v>
      </c>
      <c r="J318" s="119" t="s">
        <v>448</v>
      </c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  <c r="AA318" s="120"/>
    </row>
    <row r="319">
      <c r="A319" s="120"/>
      <c r="C319" s="108">
        <v>6.756746522996E12</v>
      </c>
      <c r="D319" s="116">
        <f>IF('ПРАЙС_ЛИСТ'!F885 &lt;&gt; 'ПРАЙС_ЛИСТ'!H885, 'ПРАЙС_ЛИСТ'!F885, "0")</f>
        <v>3900</v>
      </c>
      <c r="E319" s="114" t="s">
        <v>450</v>
      </c>
      <c r="F319" s="117" t="s">
        <v>421</v>
      </c>
      <c r="G319" s="109"/>
      <c r="H319" s="108" t="s">
        <v>410</v>
      </c>
      <c r="I319" s="122" t="s">
        <v>949</v>
      </c>
      <c r="J319" s="119" t="s">
        <v>452</v>
      </c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  <c r="AA319" s="120"/>
    </row>
    <row r="320">
      <c r="A320" s="120"/>
      <c r="C320" s="108">
        <v>6.756746522999E12</v>
      </c>
      <c r="D320" s="121">
        <v>0.0</v>
      </c>
      <c r="E320" s="114" t="s">
        <v>454</v>
      </c>
      <c r="F320" s="117" t="s">
        <v>455</v>
      </c>
      <c r="G320" s="108" t="s">
        <v>398</v>
      </c>
      <c r="H320" s="108" t="s">
        <v>410</v>
      </c>
      <c r="I320" s="122" t="s">
        <v>950</v>
      </c>
      <c r="J320" s="119" t="s">
        <v>457</v>
      </c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  <c r="AA320" s="120"/>
    </row>
    <row r="321">
      <c r="A321" s="120"/>
      <c r="C321" s="108">
        <v>6.756746523014E12</v>
      </c>
      <c r="D321" s="121">
        <v>0.0</v>
      </c>
      <c r="E321" s="114" t="s">
        <v>459</v>
      </c>
      <c r="F321" s="117" t="s">
        <v>442</v>
      </c>
      <c r="G321" s="108" t="s">
        <v>398</v>
      </c>
      <c r="H321" s="108" t="s">
        <v>393</v>
      </c>
      <c r="I321" s="118" t="s">
        <v>951</v>
      </c>
      <c r="J321" s="119" t="s">
        <v>461</v>
      </c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  <c r="AA321" s="120"/>
    </row>
    <row r="322">
      <c r="A322" s="120"/>
      <c r="C322" s="108" t="s">
        <v>462</v>
      </c>
      <c r="D322" s="116">
        <f>IF('ПРАЙС_ЛИСТ'!F9 &lt;&gt; 'ПРАЙС_ЛИСТ'!H9, 'ПРАЙС_ЛИСТ'!F9, "0")</f>
        <v>1100</v>
      </c>
      <c r="E322" s="114" t="s">
        <v>463</v>
      </c>
      <c r="F322" s="117" t="s">
        <v>409</v>
      </c>
      <c r="G322" s="108"/>
      <c r="H322" s="108"/>
      <c r="I322" s="122" t="s">
        <v>464</v>
      </c>
      <c r="J322" s="119" t="s">
        <v>465</v>
      </c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  <c r="AA322" s="120"/>
    </row>
    <row r="323">
      <c r="A323" s="120"/>
      <c r="C323" s="113" t="s">
        <v>952</v>
      </c>
      <c r="D323" s="116">
        <f>'ПРАЙС_ЛИСТ'!F895</f>
        <v>5500</v>
      </c>
      <c r="E323" s="114" t="s">
        <v>467</v>
      </c>
      <c r="F323" s="117" t="s">
        <v>468</v>
      </c>
      <c r="G323" s="108" t="s">
        <v>403</v>
      </c>
      <c r="H323" s="108" t="s">
        <v>393</v>
      </c>
      <c r="I323" s="118" t="s">
        <v>953</v>
      </c>
      <c r="J323" s="119" t="s">
        <v>470</v>
      </c>
      <c r="K323" s="120"/>
      <c r="L323" s="114" t="s">
        <v>418</v>
      </c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  <c r="AA323" s="120"/>
    </row>
    <row r="324">
      <c r="A324" s="120"/>
      <c r="C324" s="108">
        <v>6.756746523004E12</v>
      </c>
      <c r="D324" s="116">
        <f>'ПРАЙС_ЛИСТ'!F886</f>
        <v>7500</v>
      </c>
      <c r="E324" s="114" t="s">
        <v>472</v>
      </c>
      <c r="F324" s="117" t="s">
        <v>468</v>
      </c>
      <c r="G324" s="108" t="s">
        <v>403</v>
      </c>
      <c r="H324" s="108" t="s">
        <v>393</v>
      </c>
      <c r="I324" s="122" t="s">
        <v>954</v>
      </c>
      <c r="J324" s="119" t="s">
        <v>474</v>
      </c>
      <c r="K324" s="120"/>
      <c r="L324" s="114" t="s">
        <v>418</v>
      </c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  <c r="AA324" s="120"/>
    </row>
    <row r="325">
      <c r="A325" s="120"/>
      <c r="B325" s="115"/>
      <c r="C325" s="108"/>
      <c r="D325" s="109"/>
      <c r="E325" s="114"/>
      <c r="F325" s="117"/>
      <c r="G325" s="108"/>
      <c r="H325" s="108"/>
      <c r="I325" s="119"/>
      <c r="J325" s="119"/>
      <c r="K325" s="120"/>
      <c r="L325" s="114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  <c r="AA325" s="120"/>
    </row>
    <row r="326">
      <c r="A326" s="120"/>
      <c r="B326" s="115" t="s">
        <v>254</v>
      </c>
      <c r="C326" s="108">
        <v>6.756746523037E12</v>
      </c>
      <c r="D326" s="116">
        <f>IF('ПРАЙС_ЛИСТ'!F846 &lt;&gt; 'ПРАЙС_ЛИСТ'!H846, IF('ПРАЙС_ЛИСТ'!F846 = 1, 0, 'ПРАЙС_ЛИСТ'!F846), 0)</f>
        <v>12000</v>
      </c>
      <c r="E326" s="114" t="s">
        <v>391</v>
      </c>
      <c r="F326" s="117" t="s">
        <v>392</v>
      </c>
      <c r="G326" s="108"/>
      <c r="H326" s="108" t="s">
        <v>393</v>
      </c>
      <c r="I326" s="122" t="s">
        <v>955</v>
      </c>
      <c r="J326" s="119" t="s">
        <v>395</v>
      </c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  <c r="AA326" s="120"/>
    </row>
    <row r="327">
      <c r="A327" s="120"/>
      <c r="C327" s="108">
        <v>6.756746523036E12</v>
      </c>
      <c r="D327" s="121">
        <v>0.0</v>
      </c>
      <c r="E327" s="114" t="s">
        <v>397</v>
      </c>
      <c r="F327" s="117" t="s">
        <v>392</v>
      </c>
      <c r="G327" s="108" t="s">
        <v>398</v>
      </c>
      <c r="H327" s="108" t="s">
        <v>393</v>
      </c>
      <c r="I327" s="118" t="s">
        <v>956</v>
      </c>
      <c r="J327" s="119" t="s">
        <v>400</v>
      </c>
      <c r="K327" s="120"/>
      <c r="L327" s="114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  <c r="AA327" s="120"/>
    </row>
    <row r="328">
      <c r="A328" s="120"/>
      <c r="C328" s="108">
        <v>6.756746523034E12</v>
      </c>
      <c r="D328" s="109">
        <f t="array" ref="D328">MIN(IF('ПРАЙС_ЛИСТ'!F838:F842 &lt;&gt; 'ПРАЙС_ЛИСТ'!H838:H842, 'ПРАЙС_ЛИСТ'!F838:F842, ""))</f>
        <v>15000</v>
      </c>
      <c r="E328" s="114" t="s">
        <v>402</v>
      </c>
      <c r="F328" s="117" t="s">
        <v>392</v>
      </c>
      <c r="G328" s="108" t="s">
        <v>403</v>
      </c>
      <c r="H328" s="108" t="s">
        <v>393</v>
      </c>
      <c r="I328" s="118" t="s">
        <v>957</v>
      </c>
      <c r="J328" s="119" t="s">
        <v>405</v>
      </c>
      <c r="K328" s="120"/>
      <c r="L328" s="114" t="s">
        <v>406</v>
      </c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  <c r="AA328" s="120"/>
    </row>
    <row r="329">
      <c r="A329" s="120"/>
      <c r="C329" s="108">
        <v>6.756746523042E12</v>
      </c>
      <c r="D329" s="116">
        <f>'ПРАЙС_ЛИСТ'!F852</f>
        <v>7050</v>
      </c>
      <c r="E329" s="114" t="s">
        <v>408</v>
      </c>
      <c r="F329" s="117" t="s">
        <v>409</v>
      </c>
      <c r="G329" s="108"/>
      <c r="H329" s="108" t="s">
        <v>410</v>
      </c>
      <c r="I329" s="118" t="s">
        <v>958</v>
      </c>
      <c r="J329" s="119" t="s">
        <v>412</v>
      </c>
      <c r="K329" s="120"/>
      <c r="L329" s="114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  <c r="AA329" s="120"/>
    </row>
    <row r="330">
      <c r="A330" s="120"/>
      <c r="C330" s="108">
        <v>6.756746523044E12</v>
      </c>
      <c r="D330" s="116">
        <f>'ПРАЙС_ЛИСТ'!F859</f>
        <v>5500</v>
      </c>
      <c r="E330" s="114" t="s">
        <v>415</v>
      </c>
      <c r="F330" s="117" t="s">
        <v>392</v>
      </c>
      <c r="G330" s="108" t="s">
        <v>403</v>
      </c>
      <c r="H330" s="108" t="s">
        <v>393</v>
      </c>
      <c r="I330" s="122" t="s">
        <v>959</v>
      </c>
      <c r="J330" s="119" t="s">
        <v>417</v>
      </c>
      <c r="K330" s="120"/>
      <c r="L330" s="114" t="s">
        <v>418</v>
      </c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  <c r="AA330" s="120"/>
    </row>
    <row r="331">
      <c r="A331" s="120"/>
      <c r="C331" s="108">
        <v>6.756746523026E12</v>
      </c>
      <c r="D331" s="108">
        <f t="array" ref="D331">MIN(IF('ПРАЙС_ЛИСТ'!F831:F836 &lt;&gt; 'ПРАЙС_ЛИСТ'!H831:H836, 'ПРАЙС_ЛИСТ'!F831:F836, ""))</f>
        <v>6000</v>
      </c>
      <c r="E331" s="114" t="s">
        <v>420</v>
      </c>
      <c r="F331" s="117" t="s">
        <v>421</v>
      </c>
      <c r="G331" s="108" t="s">
        <v>403</v>
      </c>
      <c r="H331" s="108" t="s">
        <v>410</v>
      </c>
      <c r="I331" s="118" t="s">
        <v>960</v>
      </c>
      <c r="J331" s="119" t="s">
        <v>423</v>
      </c>
      <c r="K331" s="120"/>
      <c r="L331" s="114" t="s">
        <v>413</v>
      </c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  <c r="AA331" s="120"/>
    </row>
    <row r="332">
      <c r="A332" s="120"/>
      <c r="C332" s="108">
        <v>6.756746523045E12</v>
      </c>
      <c r="D332" s="116">
        <f>IF('ПРАЙС_ЛИСТ'!F837 &lt;&gt; 'ПРАЙС_ЛИСТ'!H837, 'ПРАЙС_ЛИСТ'!F837, "0")</f>
        <v>8000</v>
      </c>
      <c r="E332" s="114" t="s">
        <v>425</v>
      </c>
      <c r="F332" s="117" t="s">
        <v>421</v>
      </c>
      <c r="G332" s="109"/>
      <c r="H332" s="108" t="s">
        <v>393</v>
      </c>
      <c r="I332" s="118" t="s">
        <v>961</v>
      </c>
      <c r="J332" s="119" t="s">
        <v>427</v>
      </c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  <c r="AA332" s="120"/>
    </row>
    <row r="333">
      <c r="A333" s="120"/>
      <c r="C333" s="108">
        <v>6.756746523033E12</v>
      </c>
      <c r="D333" s="116">
        <f>IF('ПРАЙС_ЛИСТ'!F857 &lt;&gt; 'ПРАЙС_ЛИСТ'!H857, 'ПРАЙС_ЛИСТ'!F857, "0")</f>
        <v>8400</v>
      </c>
      <c r="E333" s="114" t="s">
        <v>429</v>
      </c>
      <c r="F333" s="117" t="s">
        <v>392</v>
      </c>
      <c r="G333" s="109"/>
      <c r="H333" s="108" t="s">
        <v>393</v>
      </c>
      <c r="I333" s="122" t="s">
        <v>962</v>
      </c>
      <c r="J333" s="119" t="s">
        <v>431</v>
      </c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  <c r="AA333" s="120"/>
    </row>
    <row r="334">
      <c r="A334" s="120"/>
      <c r="C334" s="108">
        <v>6.756746523031E12</v>
      </c>
      <c r="D334" s="116">
        <f>IF('ПРАЙС_ЛИСТ'!F855 &lt;&gt; 'ПРАЙС_ЛИСТ'!H855, 'ПРАЙС_ЛИСТ'!F855, "0")</f>
        <v>5500</v>
      </c>
      <c r="E334" s="114" t="s">
        <v>433</v>
      </c>
      <c r="F334" s="117" t="s">
        <v>421</v>
      </c>
      <c r="G334" s="109"/>
      <c r="H334" s="108" t="s">
        <v>393</v>
      </c>
      <c r="I334" s="122" t="s">
        <v>963</v>
      </c>
      <c r="J334" s="119" t="s">
        <v>435</v>
      </c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  <c r="AA334" s="120"/>
    </row>
    <row r="335">
      <c r="A335" s="120"/>
      <c r="C335" s="108">
        <v>6.756746523032E12</v>
      </c>
      <c r="D335" s="116">
        <f>IF('ПРАЙС_ЛИСТ'!F856 &lt;&gt; 'ПРАЙС_ЛИСТ'!H856, 'ПРАЙС_ЛИСТ'!F856, "0")</f>
        <v>5500</v>
      </c>
      <c r="E335" s="114" t="s">
        <v>437</v>
      </c>
      <c r="F335" s="117" t="s">
        <v>421</v>
      </c>
      <c r="G335" s="109"/>
      <c r="H335" s="108" t="s">
        <v>393</v>
      </c>
      <c r="I335" s="122" t="s">
        <v>964</v>
      </c>
      <c r="J335" s="119" t="s">
        <v>439</v>
      </c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  <c r="AA335" s="120"/>
    </row>
    <row r="336">
      <c r="A336" s="120"/>
      <c r="C336" s="108">
        <v>6.756746523039E12</v>
      </c>
      <c r="D336" s="116">
        <f>IF('ПРАЙС_ЛИСТ'!F848 &lt;&gt; 'ПРАЙС_ЛИСТ'!H848, 'ПРАЙС_ЛИСТ'!F848, "0")</f>
        <v>9900</v>
      </c>
      <c r="E336" s="114" t="s">
        <v>441</v>
      </c>
      <c r="F336" s="117" t="s">
        <v>442</v>
      </c>
      <c r="G336" s="109"/>
      <c r="H336" s="108" t="s">
        <v>393</v>
      </c>
      <c r="I336" s="118" t="s">
        <v>965</v>
      </c>
      <c r="J336" s="119" t="s">
        <v>444</v>
      </c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  <c r="AA336" s="120"/>
    </row>
    <row r="337">
      <c r="A337" s="120"/>
      <c r="C337" s="108">
        <v>6.75674652304E12</v>
      </c>
      <c r="D337" s="116">
        <f>IF('ПРАЙС_ЛИСТ'!F849 &lt;&gt; 'ПРАЙС_ЛИСТ'!H849, 'ПРАЙС_ЛИСТ'!F849, "0")</f>
        <v>7900</v>
      </c>
      <c r="E337" s="114" t="s">
        <v>446</v>
      </c>
      <c r="F337" s="117" t="s">
        <v>421</v>
      </c>
      <c r="G337" s="109"/>
      <c r="H337" s="108" t="s">
        <v>393</v>
      </c>
      <c r="I337" s="118" t="s">
        <v>966</v>
      </c>
      <c r="J337" s="119" t="s">
        <v>448</v>
      </c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  <c r="AA337" s="120"/>
    </row>
    <row r="338">
      <c r="A338" s="120"/>
      <c r="C338" s="108">
        <v>6.756746523038E12</v>
      </c>
      <c r="D338" s="116">
        <f>IF('ПРАЙС_ЛИСТ'!F850 &lt;&gt; 'ПРАЙС_ЛИСТ'!H850, 'ПРАЙС_ЛИСТ'!F850, "0")</f>
        <v>3750</v>
      </c>
      <c r="E338" s="114" t="s">
        <v>450</v>
      </c>
      <c r="F338" s="117" t="s">
        <v>421</v>
      </c>
      <c r="G338" s="109"/>
      <c r="H338" s="108" t="s">
        <v>410</v>
      </c>
      <c r="I338" s="122" t="s">
        <v>967</v>
      </c>
      <c r="J338" s="119" t="s">
        <v>452</v>
      </c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  <c r="AA338" s="120"/>
    </row>
    <row r="339">
      <c r="A339" s="120"/>
      <c r="C339" s="108">
        <v>6.756746523041E12</v>
      </c>
      <c r="D339" s="121">
        <v>0.0</v>
      </c>
      <c r="E339" s="114" t="s">
        <v>454</v>
      </c>
      <c r="F339" s="117" t="s">
        <v>455</v>
      </c>
      <c r="G339" s="108" t="s">
        <v>398</v>
      </c>
      <c r="H339" s="108" t="s">
        <v>410</v>
      </c>
      <c r="I339" s="122" t="s">
        <v>968</v>
      </c>
      <c r="J339" s="119" t="s">
        <v>457</v>
      </c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  <c r="AA339" s="120"/>
    </row>
    <row r="340">
      <c r="A340" s="120"/>
      <c r="C340" s="108">
        <v>6.756746523055E12</v>
      </c>
      <c r="D340" s="121">
        <v>0.0</v>
      </c>
      <c r="E340" s="114" t="s">
        <v>459</v>
      </c>
      <c r="F340" s="117" t="s">
        <v>442</v>
      </c>
      <c r="G340" s="108" t="s">
        <v>398</v>
      </c>
      <c r="H340" s="108" t="s">
        <v>393</v>
      </c>
      <c r="I340" s="118" t="s">
        <v>969</v>
      </c>
      <c r="J340" s="119" t="s">
        <v>461</v>
      </c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  <c r="AA340" s="120"/>
    </row>
    <row r="341">
      <c r="A341" s="120"/>
      <c r="C341" s="108" t="s">
        <v>462</v>
      </c>
      <c r="D341" s="116">
        <f>IF('ПРАЙС_ЛИСТ'!F9 &lt;&gt; 'ПРАЙС_ЛИСТ'!H9, 'ПРАЙС_ЛИСТ'!F9, "0")</f>
        <v>1100</v>
      </c>
      <c r="E341" s="114" t="s">
        <v>463</v>
      </c>
      <c r="F341" s="117" t="s">
        <v>409</v>
      </c>
      <c r="G341" s="108"/>
      <c r="H341" s="108"/>
      <c r="I341" s="122" t="s">
        <v>464</v>
      </c>
      <c r="J341" s="119" t="s">
        <v>465</v>
      </c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  <c r="AA341" s="120"/>
    </row>
    <row r="342">
      <c r="A342" s="120"/>
      <c r="C342" s="113" t="s">
        <v>970</v>
      </c>
      <c r="D342" s="116">
        <f>'ПРАЙС_ЛИСТ'!F858</f>
        <v>4700</v>
      </c>
      <c r="E342" s="114" t="s">
        <v>467</v>
      </c>
      <c r="F342" s="117" t="s">
        <v>468</v>
      </c>
      <c r="G342" s="108" t="s">
        <v>403</v>
      </c>
      <c r="H342" s="108" t="s">
        <v>393</v>
      </c>
      <c r="I342" s="118" t="s">
        <v>971</v>
      </c>
      <c r="J342" s="119" t="s">
        <v>470</v>
      </c>
      <c r="K342" s="120"/>
      <c r="L342" s="114" t="s">
        <v>418</v>
      </c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  <c r="AA342" s="120"/>
    </row>
    <row r="343">
      <c r="A343" s="120"/>
      <c r="C343" s="108">
        <v>6.756746523046E12</v>
      </c>
      <c r="D343" s="116">
        <f>'ПРАЙС_ЛИСТ'!F851</f>
        <v>6700</v>
      </c>
      <c r="E343" s="114" t="s">
        <v>472</v>
      </c>
      <c r="F343" s="117" t="s">
        <v>468</v>
      </c>
      <c r="G343" s="108" t="s">
        <v>403</v>
      </c>
      <c r="H343" s="108" t="s">
        <v>393</v>
      </c>
      <c r="I343" s="122" t="s">
        <v>972</v>
      </c>
      <c r="J343" s="119" t="s">
        <v>474</v>
      </c>
      <c r="K343" s="120"/>
      <c r="L343" s="114" t="s">
        <v>418</v>
      </c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  <c r="AA343" s="120"/>
    </row>
    <row r="344">
      <c r="A344" s="120"/>
      <c r="B344" s="115"/>
      <c r="C344" s="108"/>
      <c r="D344" s="109"/>
      <c r="E344" s="114"/>
      <c r="F344" s="117"/>
      <c r="G344" s="108"/>
      <c r="H344" s="108"/>
      <c r="I344" s="119"/>
      <c r="J344" s="119"/>
      <c r="K344" s="120"/>
      <c r="L344" s="114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  <c r="AA344" s="120"/>
    </row>
    <row r="345">
      <c r="A345" s="120"/>
      <c r="B345" s="115" t="s">
        <v>246</v>
      </c>
      <c r="C345" s="108">
        <v>6.756746523078E12</v>
      </c>
      <c r="D345" s="116">
        <f>IF('ПРАЙС_ЛИСТ'!F810 &lt;&gt; 'ПРАЙС_ЛИСТ'!H810, IF('ПРАЙС_ЛИСТ'!F810 = 1, 0, 'ПРАЙС_ЛИСТ'!F810), 0)</f>
        <v>10000</v>
      </c>
      <c r="E345" s="114" t="s">
        <v>391</v>
      </c>
      <c r="F345" s="117" t="s">
        <v>392</v>
      </c>
      <c r="G345" s="108"/>
      <c r="H345" s="108" t="s">
        <v>393</v>
      </c>
      <c r="I345" s="122" t="s">
        <v>973</v>
      </c>
      <c r="J345" s="119" t="s">
        <v>395</v>
      </c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  <c r="AA345" s="120"/>
    </row>
    <row r="346">
      <c r="A346" s="120"/>
      <c r="C346" s="108">
        <v>6.756746523077E12</v>
      </c>
      <c r="D346" s="121">
        <v>0.0</v>
      </c>
      <c r="E346" s="114" t="s">
        <v>397</v>
      </c>
      <c r="F346" s="117" t="s">
        <v>392</v>
      </c>
      <c r="G346" s="108" t="s">
        <v>398</v>
      </c>
      <c r="H346" s="108" t="s">
        <v>393</v>
      </c>
      <c r="I346" s="118" t="s">
        <v>974</v>
      </c>
      <c r="J346" s="119" t="s">
        <v>400</v>
      </c>
      <c r="K346" s="120"/>
      <c r="L346" s="114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  <c r="AA346" s="120"/>
    </row>
    <row r="347">
      <c r="A347" s="120"/>
      <c r="C347" s="108">
        <v>6.756746523075E12</v>
      </c>
      <c r="D347" s="109">
        <f t="array" ref="D347">MIN(IF('ПРАЙС_ЛИСТ'!F802:F806 &lt;&gt; 'ПРАЙС_ЛИСТ'!H802:H806, 'ПРАЙС_ЛИСТ'!F802:F806, ""))</f>
        <v>15000</v>
      </c>
      <c r="E347" s="114" t="s">
        <v>402</v>
      </c>
      <c r="F347" s="117" t="s">
        <v>392</v>
      </c>
      <c r="G347" s="108" t="s">
        <v>403</v>
      </c>
      <c r="H347" s="108" t="s">
        <v>393</v>
      </c>
      <c r="I347" s="118" t="s">
        <v>975</v>
      </c>
      <c r="J347" s="119" t="s">
        <v>405</v>
      </c>
      <c r="K347" s="120"/>
      <c r="L347" s="114" t="s">
        <v>406</v>
      </c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  <c r="AA347" s="120"/>
    </row>
    <row r="348">
      <c r="A348" s="120"/>
      <c r="C348" s="108">
        <v>6.756746523083E12</v>
      </c>
      <c r="D348" s="116">
        <f>'ПРАЙС_ЛИСТ'!F816</f>
        <v>7000</v>
      </c>
      <c r="E348" s="114" t="s">
        <v>408</v>
      </c>
      <c r="F348" s="117" t="s">
        <v>409</v>
      </c>
      <c r="G348" s="108"/>
      <c r="H348" s="108" t="s">
        <v>410</v>
      </c>
      <c r="I348" s="118" t="s">
        <v>976</v>
      </c>
      <c r="J348" s="119" t="s">
        <v>412</v>
      </c>
      <c r="K348" s="120"/>
      <c r="L348" s="114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  <c r="AA348" s="120"/>
    </row>
    <row r="349">
      <c r="A349" s="120"/>
      <c r="C349" s="108">
        <v>6.756746523085E12</v>
      </c>
      <c r="D349" s="116">
        <f>'ПРАЙС_ЛИСТ'!F823</f>
        <v>5500</v>
      </c>
      <c r="E349" s="114" t="s">
        <v>415</v>
      </c>
      <c r="F349" s="117" t="s">
        <v>392</v>
      </c>
      <c r="G349" s="108" t="s">
        <v>403</v>
      </c>
      <c r="H349" s="108" t="s">
        <v>393</v>
      </c>
      <c r="I349" s="122" t="s">
        <v>977</v>
      </c>
      <c r="J349" s="119" t="s">
        <v>417</v>
      </c>
      <c r="K349" s="120"/>
      <c r="L349" s="114" t="s">
        <v>418</v>
      </c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  <c r="AA349" s="120"/>
    </row>
    <row r="350">
      <c r="A350" s="120"/>
      <c r="C350" s="108">
        <v>6.756746523067E12</v>
      </c>
      <c r="D350" s="108">
        <f t="array" ref="D350">MIN(IF('ПРАЙС_ЛИСТ'!F795:F800 &lt;&gt; 'ПРАЙС_ЛИСТ'!H795:H800, 'ПРАЙС_ЛИСТ'!F795:F800, ""))</f>
        <v>5500</v>
      </c>
      <c r="E350" s="114" t="s">
        <v>420</v>
      </c>
      <c r="F350" s="117" t="s">
        <v>421</v>
      </c>
      <c r="G350" s="108" t="s">
        <v>403</v>
      </c>
      <c r="H350" s="108" t="s">
        <v>410</v>
      </c>
      <c r="I350" s="118" t="s">
        <v>978</v>
      </c>
      <c r="J350" s="119" t="s">
        <v>423</v>
      </c>
      <c r="K350" s="120"/>
      <c r="L350" s="114" t="s">
        <v>413</v>
      </c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  <c r="AA350" s="120"/>
    </row>
    <row r="351">
      <c r="A351" s="120"/>
      <c r="C351" s="108">
        <v>6.756746523086E12</v>
      </c>
      <c r="D351" s="116">
        <f>IF('ПРАЙС_ЛИСТ'!F801 &lt;&gt; 'ПРАЙС_ЛИСТ'!H801, 'ПРАЙС_ЛИСТ'!F801, "0")</f>
        <v>7500</v>
      </c>
      <c r="E351" s="114" t="s">
        <v>425</v>
      </c>
      <c r="F351" s="117" t="s">
        <v>421</v>
      </c>
      <c r="G351" s="109"/>
      <c r="H351" s="108" t="s">
        <v>393</v>
      </c>
      <c r="I351" s="118" t="s">
        <v>979</v>
      </c>
      <c r="J351" s="119" t="s">
        <v>427</v>
      </c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  <c r="AA351" s="120"/>
    </row>
    <row r="352">
      <c r="A352" s="120"/>
      <c r="C352" s="108">
        <v>6.756746523074E12</v>
      </c>
      <c r="D352" s="116">
        <f>IF('ПРАЙС_ЛИСТ'!F821 &lt;&gt; 'ПРАЙС_ЛИСТ'!H821, 'ПРАЙС_ЛИСТ'!F821, "0")</f>
        <v>7900</v>
      </c>
      <c r="E352" s="114" t="s">
        <v>429</v>
      </c>
      <c r="F352" s="117" t="s">
        <v>392</v>
      </c>
      <c r="G352" s="109"/>
      <c r="H352" s="108" t="s">
        <v>393</v>
      </c>
      <c r="I352" s="122" t="s">
        <v>980</v>
      </c>
      <c r="J352" s="119" t="s">
        <v>431</v>
      </c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  <c r="AA352" s="120"/>
    </row>
    <row r="353">
      <c r="A353" s="120"/>
      <c r="C353" s="108">
        <v>6.756746523072E12</v>
      </c>
      <c r="D353" s="116">
        <f>IF('ПРАЙС_ЛИСТ'!F819 &lt;&gt; 'ПРАЙС_ЛИСТ'!H819, 'ПРАЙС_ЛИСТ'!F819, "0")</f>
        <v>5350</v>
      </c>
      <c r="E353" s="114" t="s">
        <v>433</v>
      </c>
      <c r="F353" s="117" t="s">
        <v>421</v>
      </c>
      <c r="G353" s="109"/>
      <c r="H353" s="108" t="s">
        <v>393</v>
      </c>
      <c r="I353" s="122" t="s">
        <v>981</v>
      </c>
      <c r="J353" s="119" t="s">
        <v>435</v>
      </c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  <c r="AA353" s="120"/>
    </row>
    <row r="354">
      <c r="A354" s="120"/>
      <c r="C354" s="108">
        <v>6.756746523073E12</v>
      </c>
      <c r="D354" s="116">
        <f>IF('ПРАЙС_ЛИСТ'!F820 &lt;&gt; 'ПРАЙС_ЛИСТ'!H820, 'ПРАЙС_ЛИСТ'!F820, "0")</f>
        <v>5350</v>
      </c>
      <c r="E354" s="114" t="s">
        <v>437</v>
      </c>
      <c r="F354" s="117" t="s">
        <v>421</v>
      </c>
      <c r="G354" s="109"/>
      <c r="H354" s="108" t="s">
        <v>393</v>
      </c>
      <c r="I354" s="122" t="s">
        <v>982</v>
      </c>
      <c r="J354" s="119" t="s">
        <v>439</v>
      </c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  <c r="AA354" s="120"/>
    </row>
    <row r="355">
      <c r="A355" s="120"/>
      <c r="C355" s="108">
        <v>6.75674652308E12</v>
      </c>
      <c r="D355" s="116">
        <f>IF('ПРАЙС_ЛИСТ'!F812 &lt;&gt; 'ПРАЙС_ЛИСТ'!H812, 'ПРАЙС_ЛИСТ'!F812, "0")</f>
        <v>9900</v>
      </c>
      <c r="E355" s="114" t="s">
        <v>441</v>
      </c>
      <c r="F355" s="117" t="s">
        <v>442</v>
      </c>
      <c r="G355" s="109"/>
      <c r="H355" s="108" t="s">
        <v>393</v>
      </c>
      <c r="I355" s="118" t="s">
        <v>983</v>
      </c>
      <c r="J355" s="119" t="s">
        <v>444</v>
      </c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  <c r="AA355" s="120"/>
    </row>
    <row r="356">
      <c r="A356" s="120"/>
      <c r="C356" s="108">
        <v>6.756746523081E12</v>
      </c>
      <c r="D356" s="116">
        <f>IF('ПРАЙС_ЛИСТ'!F813 &lt;&gt; 'ПРАЙС_ЛИСТ'!H813, 'ПРАЙС_ЛИСТ'!F813, "0")</f>
        <v>7900</v>
      </c>
      <c r="E356" s="114" t="s">
        <v>446</v>
      </c>
      <c r="F356" s="117" t="s">
        <v>421</v>
      </c>
      <c r="G356" s="109"/>
      <c r="H356" s="108" t="s">
        <v>393</v>
      </c>
      <c r="I356" s="118" t="s">
        <v>984</v>
      </c>
      <c r="J356" s="119" t="s">
        <v>448</v>
      </c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  <c r="AA356" s="120"/>
    </row>
    <row r="357">
      <c r="A357" s="120"/>
      <c r="C357" s="108">
        <v>6.756746523079E12</v>
      </c>
      <c r="D357" s="116">
        <f>IF('ПРАЙС_ЛИСТ'!F814 &lt;&gt; 'ПРАЙС_ЛИСТ'!H814, 'ПРАЙС_ЛИСТ'!F814, "0")</f>
        <v>3750</v>
      </c>
      <c r="E357" s="114" t="s">
        <v>450</v>
      </c>
      <c r="F357" s="117" t="s">
        <v>421</v>
      </c>
      <c r="G357" s="109"/>
      <c r="H357" s="108" t="s">
        <v>410</v>
      </c>
      <c r="I357" s="122" t="s">
        <v>985</v>
      </c>
      <c r="J357" s="119" t="s">
        <v>452</v>
      </c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  <c r="AA357" s="120"/>
    </row>
    <row r="358">
      <c r="A358" s="120"/>
      <c r="C358" s="108">
        <v>6.756746523082E12</v>
      </c>
      <c r="D358" s="121">
        <v>0.0</v>
      </c>
      <c r="E358" s="114" t="s">
        <v>454</v>
      </c>
      <c r="F358" s="117" t="s">
        <v>455</v>
      </c>
      <c r="G358" s="108" t="s">
        <v>398</v>
      </c>
      <c r="H358" s="108" t="s">
        <v>410</v>
      </c>
      <c r="I358" s="122" t="s">
        <v>986</v>
      </c>
      <c r="J358" s="119" t="s">
        <v>457</v>
      </c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  <c r="AA358" s="120"/>
    </row>
    <row r="359">
      <c r="A359" s="120"/>
      <c r="C359" s="108">
        <v>6.756746523098E12</v>
      </c>
      <c r="D359" s="121">
        <v>0.0</v>
      </c>
      <c r="E359" s="114" t="s">
        <v>459</v>
      </c>
      <c r="F359" s="117" t="s">
        <v>442</v>
      </c>
      <c r="G359" s="108" t="s">
        <v>398</v>
      </c>
      <c r="H359" s="108" t="s">
        <v>393</v>
      </c>
      <c r="I359" s="118" t="s">
        <v>987</v>
      </c>
      <c r="J359" s="119" t="s">
        <v>461</v>
      </c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  <c r="AA359" s="120"/>
    </row>
    <row r="360">
      <c r="A360" s="120"/>
      <c r="C360" s="108" t="s">
        <v>462</v>
      </c>
      <c r="D360" s="116">
        <f>IF('ПРАЙС_ЛИСТ'!F9 &lt;&gt; 'ПРАЙС_ЛИСТ'!H9, 'ПРАЙС_ЛИСТ'!F9, "0")</f>
        <v>1100</v>
      </c>
      <c r="E360" s="114" t="s">
        <v>463</v>
      </c>
      <c r="F360" s="117" t="s">
        <v>409</v>
      </c>
      <c r="G360" s="108"/>
      <c r="H360" s="108"/>
      <c r="I360" s="122" t="s">
        <v>464</v>
      </c>
      <c r="J360" s="119" t="s">
        <v>465</v>
      </c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  <c r="AA360" s="120"/>
    </row>
    <row r="361">
      <c r="A361" s="120"/>
      <c r="C361" s="113" t="s">
        <v>988</v>
      </c>
      <c r="D361" s="116">
        <f>'ПРАЙС_ЛИСТ'!F822</f>
        <v>4700</v>
      </c>
      <c r="E361" s="114" t="s">
        <v>467</v>
      </c>
      <c r="F361" s="117" t="s">
        <v>468</v>
      </c>
      <c r="G361" s="108" t="s">
        <v>403</v>
      </c>
      <c r="H361" s="108" t="s">
        <v>393</v>
      </c>
      <c r="I361" s="118" t="s">
        <v>989</v>
      </c>
      <c r="J361" s="119" t="s">
        <v>470</v>
      </c>
      <c r="K361" s="120"/>
      <c r="L361" s="114" t="s">
        <v>418</v>
      </c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  <c r="AA361" s="120"/>
    </row>
    <row r="362">
      <c r="A362" s="120"/>
      <c r="C362" s="108">
        <v>6.756746523087E12</v>
      </c>
      <c r="D362" s="116">
        <f>'ПРАЙС_ЛИСТ'!F815</f>
        <v>6700</v>
      </c>
      <c r="E362" s="114" t="s">
        <v>472</v>
      </c>
      <c r="F362" s="117" t="s">
        <v>468</v>
      </c>
      <c r="G362" s="108" t="s">
        <v>403</v>
      </c>
      <c r="H362" s="108" t="s">
        <v>393</v>
      </c>
      <c r="I362" s="122" t="s">
        <v>990</v>
      </c>
      <c r="J362" s="119" t="s">
        <v>474</v>
      </c>
      <c r="K362" s="120"/>
      <c r="L362" s="114" t="s">
        <v>418</v>
      </c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  <c r="AA362" s="120"/>
    </row>
    <row r="363">
      <c r="A363" s="120"/>
      <c r="B363" s="115"/>
      <c r="C363" s="108"/>
      <c r="D363" s="109"/>
      <c r="E363" s="114"/>
      <c r="F363" s="117"/>
      <c r="G363" s="108"/>
      <c r="H363" s="108"/>
      <c r="I363" s="119"/>
      <c r="J363" s="119"/>
      <c r="K363" s="120"/>
      <c r="L363" s="114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  <c r="AA363" s="120"/>
    </row>
    <row r="364">
      <c r="A364" s="120"/>
      <c r="B364" s="115" t="s">
        <v>991</v>
      </c>
      <c r="C364" s="108">
        <v>6.756746523165E12</v>
      </c>
      <c r="D364" s="116">
        <f>IF('ПРАЙС_ЛИСТ'!F774 &lt;&gt; 'ПРАЙС_ЛИСТ'!H774, IF('ПРАЙС_ЛИСТ'!F774 = 1, 0, 'ПРАЙС_ЛИСТ'!F774), 0)</f>
        <v>8500</v>
      </c>
      <c r="E364" s="114" t="s">
        <v>391</v>
      </c>
      <c r="F364" s="117" t="s">
        <v>392</v>
      </c>
      <c r="G364" s="108"/>
      <c r="H364" s="108" t="s">
        <v>393</v>
      </c>
      <c r="I364" s="122" t="s">
        <v>992</v>
      </c>
      <c r="J364" s="119" t="s">
        <v>395</v>
      </c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  <c r="AA364" s="120"/>
    </row>
    <row r="365">
      <c r="A365" s="120"/>
      <c r="C365" s="108">
        <v>6.756746523164E12</v>
      </c>
      <c r="D365" s="121">
        <v>0.0</v>
      </c>
      <c r="E365" s="114" t="s">
        <v>397</v>
      </c>
      <c r="F365" s="117" t="s">
        <v>392</v>
      </c>
      <c r="G365" s="108" t="s">
        <v>398</v>
      </c>
      <c r="H365" s="108" t="s">
        <v>393</v>
      </c>
      <c r="I365" s="118" t="s">
        <v>993</v>
      </c>
      <c r="J365" s="119" t="s">
        <v>400</v>
      </c>
      <c r="K365" s="120"/>
      <c r="L365" s="114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  <c r="AA365" s="120"/>
    </row>
    <row r="366">
      <c r="A366" s="120"/>
      <c r="C366" s="108">
        <v>6.756746523162E12</v>
      </c>
      <c r="D366" s="109">
        <f t="array" ref="D366">MIN(IF('ПРАЙС_ЛИСТ'!F766:F770 &lt;&gt; 'ПРАЙС_ЛИСТ'!H766:H770, 'ПРАЙС_ЛИСТ'!F766:F770, ""))</f>
        <v>15650</v>
      </c>
      <c r="E366" s="114" t="s">
        <v>402</v>
      </c>
      <c r="F366" s="117" t="s">
        <v>392</v>
      </c>
      <c r="G366" s="108" t="s">
        <v>403</v>
      </c>
      <c r="H366" s="108" t="s">
        <v>393</v>
      </c>
      <c r="I366" s="118" t="s">
        <v>994</v>
      </c>
      <c r="J366" s="119" t="s">
        <v>405</v>
      </c>
      <c r="K366" s="120"/>
      <c r="L366" s="114" t="s">
        <v>406</v>
      </c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  <c r="AA366" s="120"/>
    </row>
    <row r="367">
      <c r="A367" s="120"/>
      <c r="C367" s="108">
        <v>6.756746523171E12</v>
      </c>
      <c r="D367" s="116">
        <f>'ПРАЙС_ЛИСТ'!F780</f>
        <v>6450</v>
      </c>
      <c r="E367" s="114" t="s">
        <v>408</v>
      </c>
      <c r="F367" s="117" t="s">
        <v>409</v>
      </c>
      <c r="G367" s="108"/>
      <c r="H367" s="108" t="s">
        <v>410</v>
      </c>
      <c r="I367" s="118" t="s">
        <v>995</v>
      </c>
      <c r="J367" s="119" t="s">
        <v>412</v>
      </c>
      <c r="K367" s="120"/>
      <c r="L367" s="114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  <c r="AA367" s="120"/>
    </row>
    <row r="368">
      <c r="A368" s="120"/>
      <c r="C368" s="108">
        <v>6.756746523173E12</v>
      </c>
      <c r="D368" s="116">
        <f>'ПРАЙС_ЛИСТ'!F787</f>
        <v>5500</v>
      </c>
      <c r="E368" s="114" t="s">
        <v>415</v>
      </c>
      <c r="F368" s="117" t="s">
        <v>392</v>
      </c>
      <c r="G368" s="108" t="s">
        <v>403</v>
      </c>
      <c r="H368" s="108" t="s">
        <v>393</v>
      </c>
      <c r="I368" s="122" t="s">
        <v>996</v>
      </c>
      <c r="J368" s="119" t="s">
        <v>417</v>
      </c>
      <c r="K368" s="120"/>
      <c r="L368" s="114" t="s">
        <v>418</v>
      </c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  <c r="AA368" s="120"/>
    </row>
    <row r="369">
      <c r="A369" s="120"/>
      <c r="C369" s="108">
        <v>6.756746523154E12</v>
      </c>
      <c r="D369" s="108">
        <f t="array" ref="D369">MIN(IF('ПРАЙС_ЛИСТ'!F760:F764 &lt;&gt; 'ПРАЙС_ЛИСТ'!H760:H764, 'ПРАЙС_ЛИСТ'!F760:F764, ""))</f>
        <v>5000</v>
      </c>
      <c r="E369" s="114" t="s">
        <v>420</v>
      </c>
      <c r="F369" s="117" t="s">
        <v>421</v>
      </c>
      <c r="G369" s="108" t="s">
        <v>403</v>
      </c>
      <c r="H369" s="108" t="s">
        <v>410</v>
      </c>
      <c r="I369" s="118" t="s">
        <v>997</v>
      </c>
      <c r="J369" s="119" t="s">
        <v>423</v>
      </c>
      <c r="K369" s="120"/>
      <c r="L369" s="114" t="s">
        <v>413</v>
      </c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  <c r="AA369" s="120"/>
    </row>
    <row r="370">
      <c r="A370" s="120"/>
      <c r="C370" s="108">
        <v>6.756746523174E12</v>
      </c>
      <c r="D370" s="116">
        <f>IF('ПРАЙС_ЛИСТ'!F765 &lt;&gt; 'ПРАЙС_ЛИСТ'!H765, 'ПРАЙС_ЛИСТ'!F765, "0")</f>
        <v>6600</v>
      </c>
      <c r="E370" s="114" t="s">
        <v>425</v>
      </c>
      <c r="F370" s="117" t="s">
        <v>421</v>
      </c>
      <c r="G370" s="109"/>
      <c r="H370" s="108" t="s">
        <v>393</v>
      </c>
      <c r="I370" s="118" t="s">
        <v>998</v>
      </c>
      <c r="J370" s="119" t="s">
        <v>427</v>
      </c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  <c r="AA370" s="120"/>
    </row>
    <row r="371">
      <c r="A371" s="120"/>
      <c r="C371" s="108">
        <v>6.756746523161E12</v>
      </c>
      <c r="D371" s="116">
        <f>IF('ПРАЙС_ЛИСТ'!F785 &lt;&gt; 'ПРАЙС_ЛИСТ'!H785, 'ПРАЙС_ЛИСТ'!F785, "0")</f>
        <v>6800</v>
      </c>
      <c r="E371" s="114" t="s">
        <v>429</v>
      </c>
      <c r="F371" s="117" t="s">
        <v>392</v>
      </c>
      <c r="G371" s="109"/>
      <c r="H371" s="108" t="s">
        <v>393</v>
      </c>
      <c r="I371" s="122" t="s">
        <v>999</v>
      </c>
      <c r="J371" s="119" t="s">
        <v>431</v>
      </c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  <c r="AA371" s="120"/>
    </row>
    <row r="372">
      <c r="A372" s="120"/>
      <c r="C372" s="108">
        <v>6.756746523159E12</v>
      </c>
      <c r="D372" s="109" t="str">
        <f>IF('ПРАЙС_ЛИСТ'!F783 &lt;&gt; 'ПРАЙС_ЛИСТ'!H783, 'ПРАЙС_ЛИСТ'!F783, "0")</f>
        <v>0</v>
      </c>
      <c r="E372" s="114" t="s">
        <v>433</v>
      </c>
      <c r="F372" s="117" t="s">
        <v>421</v>
      </c>
      <c r="G372" s="108" t="s">
        <v>398</v>
      </c>
      <c r="H372" s="108" t="s">
        <v>393</v>
      </c>
      <c r="I372" s="122" t="s">
        <v>1000</v>
      </c>
      <c r="J372" s="119" t="s">
        <v>435</v>
      </c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  <c r="AA372" s="120"/>
    </row>
    <row r="373">
      <c r="A373" s="120"/>
      <c r="C373" s="108">
        <v>6.75674652316E12</v>
      </c>
      <c r="D373" s="109" t="str">
        <f>IF('ПРАЙС_ЛИСТ'!F784 &lt;&gt; 'ПРАЙС_ЛИСТ'!H784, 'ПРАЙС_ЛИСТ'!F784, "0")</f>
        <v>0</v>
      </c>
      <c r="E373" s="114" t="s">
        <v>437</v>
      </c>
      <c r="F373" s="117" t="s">
        <v>421</v>
      </c>
      <c r="G373" s="108" t="s">
        <v>398</v>
      </c>
      <c r="H373" s="108" t="s">
        <v>393</v>
      </c>
      <c r="I373" s="122" t="s">
        <v>1001</v>
      </c>
      <c r="J373" s="119" t="s">
        <v>439</v>
      </c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  <c r="AA373" s="120"/>
    </row>
    <row r="374">
      <c r="A374" s="120"/>
      <c r="C374" s="108">
        <v>6.756746523167E12</v>
      </c>
      <c r="D374" s="116">
        <f>IF('ПРАЙС_ЛИСТ'!F776 &lt;&gt; 'ПРАЙС_ЛИСТ'!H776, 'ПРАЙС_ЛИСТ'!F776, "0")</f>
        <v>6500</v>
      </c>
      <c r="E374" s="114" t="s">
        <v>441</v>
      </c>
      <c r="F374" s="117" t="s">
        <v>442</v>
      </c>
      <c r="G374" s="109"/>
      <c r="H374" s="108" t="s">
        <v>393</v>
      </c>
      <c r="I374" s="118" t="s">
        <v>1002</v>
      </c>
      <c r="J374" s="119" t="s">
        <v>444</v>
      </c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  <c r="AA374" s="120"/>
    </row>
    <row r="375">
      <c r="A375" s="120"/>
      <c r="C375" s="108">
        <v>6.756746523168E12</v>
      </c>
      <c r="D375" s="109" t="str">
        <f>IF('ПРАЙС_ЛИСТ'!F777 &lt;&gt; 'ПРАЙС_ЛИСТ'!H777, 'ПРАЙС_ЛИСТ'!F777, "0")</f>
        <v>0</v>
      </c>
      <c r="E375" s="114" t="s">
        <v>446</v>
      </c>
      <c r="F375" s="117" t="s">
        <v>421</v>
      </c>
      <c r="G375" s="108" t="s">
        <v>398</v>
      </c>
      <c r="H375" s="108" t="s">
        <v>393</v>
      </c>
      <c r="I375" s="118" t="s">
        <v>1003</v>
      </c>
      <c r="J375" s="119" t="s">
        <v>448</v>
      </c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  <c r="AA375" s="120"/>
    </row>
    <row r="376">
      <c r="A376" s="120"/>
      <c r="C376" s="108">
        <v>6.756746523166E12</v>
      </c>
      <c r="D376" s="116">
        <f>IF('ПРАЙС_ЛИСТ'!F778 &lt;&gt; 'ПРАЙС_ЛИСТ'!H778, 'ПРАЙС_ЛИСТ'!F778, "0")</f>
        <v>3200</v>
      </c>
      <c r="E376" s="114" t="s">
        <v>450</v>
      </c>
      <c r="F376" s="117" t="s">
        <v>421</v>
      </c>
      <c r="G376" s="109"/>
      <c r="H376" s="108" t="s">
        <v>410</v>
      </c>
      <c r="I376" s="122" t="s">
        <v>1004</v>
      </c>
      <c r="J376" s="119" t="s">
        <v>452</v>
      </c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  <c r="AA376" s="120"/>
    </row>
    <row r="377">
      <c r="A377" s="120"/>
      <c r="C377" s="108">
        <v>6.756746523169E12</v>
      </c>
      <c r="D377" s="121">
        <v>0.0</v>
      </c>
      <c r="E377" s="114" t="s">
        <v>454</v>
      </c>
      <c r="F377" s="117" t="s">
        <v>455</v>
      </c>
      <c r="G377" s="108" t="s">
        <v>398</v>
      </c>
      <c r="H377" s="108" t="s">
        <v>410</v>
      </c>
      <c r="I377" s="122" t="s">
        <v>1005</v>
      </c>
      <c r="J377" s="119" t="s">
        <v>457</v>
      </c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  <c r="AA377" s="120"/>
    </row>
    <row r="378">
      <c r="A378" s="120"/>
      <c r="C378" s="108">
        <v>6.756746523185E12</v>
      </c>
      <c r="D378" s="121">
        <v>0.0</v>
      </c>
      <c r="E378" s="114" t="s">
        <v>459</v>
      </c>
      <c r="F378" s="117" t="s">
        <v>442</v>
      </c>
      <c r="G378" s="108" t="s">
        <v>398</v>
      </c>
      <c r="H378" s="108" t="s">
        <v>393</v>
      </c>
      <c r="I378" s="118" t="s">
        <v>1006</v>
      </c>
      <c r="J378" s="119" t="s">
        <v>461</v>
      </c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  <c r="AA378" s="120"/>
    </row>
    <row r="379">
      <c r="A379" s="120"/>
      <c r="C379" s="108" t="s">
        <v>462</v>
      </c>
      <c r="D379" s="116">
        <f>IF('ПРАЙС_ЛИСТ'!F9 &lt;&gt; 'ПРАЙС_ЛИСТ'!H9, 'ПРАЙС_ЛИСТ'!F9, "0")</f>
        <v>1100</v>
      </c>
      <c r="E379" s="114" t="s">
        <v>463</v>
      </c>
      <c r="F379" s="117" t="s">
        <v>409</v>
      </c>
      <c r="G379" s="108"/>
      <c r="H379" s="108"/>
      <c r="I379" s="122" t="s">
        <v>464</v>
      </c>
      <c r="J379" s="119" t="s">
        <v>465</v>
      </c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  <c r="AA379" s="120"/>
    </row>
    <row r="380">
      <c r="A380" s="120"/>
      <c r="C380" s="113" t="s">
        <v>1007</v>
      </c>
      <c r="D380" s="116">
        <f>'ПРАЙС_ЛИСТ'!F786</f>
        <v>4700</v>
      </c>
      <c r="E380" s="114" t="s">
        <v>467</v>
      </c>
      <c r="F380" s="117" t="s">
        <v>468</v>
      </c>
      <c r="G380" s="108" t="s">
        <v>403</v>
      </c>
      <c r="H380" s="108" t="s">
        <v>393</v>
      </c>
      <c r="I380" s="118" t="s">
        <v>1008</v>
      </c>
      <c r="J380" s="119" t="s">
        <v>470</v>
      </c>
      <c r="K380" s="120"/>
      <c r="L380" s="114" t="s">
        <v>418</v>
      </c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  <c r="AA380" s="120"/>
    </row>
    <row r="381">
      <c r="A381" s="120"/>
      <c r="C381" s="108">
        <v>6.756746523175E12</v>
      </c>
      <c r="D381" s="116">
        <f>'ПРАЙС_ЛИСТ'!F779</f>
        <v>6700</v>
      </c>
      <c r="E381" s="114" t="s">
        <v>472</v>
      </c>
      <c r="F381" s="117" t="s">
        <v>468</v>
      </c>
      <c r="G381" s="108" t="s">
        <v>403</v>
      </c>
      <c r="H381" s="108" t="s">
        <v>393</v>
      </c>
      <c r="I381" s="122" t="s">
        <v>1009</v>
      </c>
      <c r="J381" s="119" t="s">
        <v>474</v>
      </c>
      <c r="K381" s="120"/>
      <c r="L381" s="114" t="s">
        <v>418</v>
      </c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  <c r="AA381" s="120"/>
    </row>
    <row r="382">
      <c r="A382" s="120"/>
      <c r="B382" s="115"/>
      <c r="C382" s="108"/>
      <c r="D382" s="109"/>
      <c r="E382" s="114"/>
      <c r="F382" s="117"/>
      <c r="G382" s="108"/>
      <c r="H382" s="108"/>
      <c r="I382" s="119"/>
      <c r="J382" s="119"/>
      <c r="K382" s="120"/>
      <c r="L382" s="114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  <c r="AA382" s="120"/>
    </row>
    <row r="383">
      <c r="A383" s="120"/>
      <c r="B383" s="115" t="s">
        <v>236</v>
      </c>
      <c r="C383" s="108">
        <v>6.756746523121E12</v>
      </c>
      <c r="D383" s="116">
        <f>IF('ПРАЙС_ЛИСТ'!F739 &lt;&gt; 'ПРАЙС_ЛИСТ'!H739, IF('ПРАЙС_ЛИСТ'!F739 = 1, 0, 'ПРАЙС_ЛИСТ'!F739), 0)</f>
        <v>8000</v>
      </c>
      <c r="E383" s="114" t="s">
        <v>391</v>
      </c>
      <c r="F383" s="117" t="s">
        <v>392</v>
      </c>
      <c r="G383" s="108"/>
      <c r="H383" s="108" t="s">
        <v>393</v>
      </c>
      <c r="I383" s="122" t="s">
        <v>1010</v>
      </c>
      <c r="J383" s="119" t="s">
        <v>395</v>
      </c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  <c r="AA383" s="120"/>
    </row>
    <row r="384">
      <c r="A384" s="120"/>
      <c r="C384" s="108">
        <v>6.75674652312E12</v>
      </c>
      <c r="D384" s="121">
        <v>0.0</v>
      </c>
      <c r="E384" s="114" t="s">
        <v>397</v>
      </c>
      <c r="F384" s="117" t="s">
        <v>392</v>
      </c>
      <c r="G384" s="108" t="s">
        <v>398</v>
      </c>
      <c r="H384" s="108" t="s">
        <v>393</v>
      </c>
      <c r="I384" s="118" t="s">
        <v>1011</v>
      </c>
      <c r="J384" s="119" t="s">
        <v>400</v>
      </c>
      <c r="K384" s="120"/>
      <c r="L384" s="114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  <c r="AA384" s="120"/>
    </row>
    <row r="385">
      <c r="A385" s="120"/>
      <c r="C385" s="108">
        <v>6.756746523118E12</v>
      </c>
      <c r="D385" s="109">
        <f t="array" ref="D385">MIN(IF('ПРАЙС_ЛИСТ'!F731:F735 &lt;&gt; 'ПРАЙС_ЛИСТ'!H731:H735, 'ПРАЙС_ЛИСТ'!F731:F735, ""))</f>
        <v>10700</v>
      </c>
      <c r="E385" s="114" t="s">
        <v>402</v>
      </c>
      <c r="F385" s="117" t="s">
        <v>392</v>
      </c>
      <c r="G385" s="108" t="s">
        <v>403</v>
      </c>
      <c r="H385" s="108" t="s">
        <v>393</v>
      </c>
      <c r="I385" s="118" t="s">
        <v>1012</v>
      </c>
      <c r="J385" s="119" t="s">
        <v>405</v>
      </c>
      <c r="K385" s="120"/>
      <c r="L385" s="114" t="s">
        <v>406</v>
      </c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  <c r="AA385" s="120"/>
    </row>
    <row r="386">
      <c r="A386" s="120"/>
      <c r="C386" s="108">
        <v>6.756746523127E12</v>
      </c>
      <c r="D386" s="116">
        <f>'ПРАЙС_ЛИСТ'!F745</f>
        <v>6500</v>
      </c>
      <c r="E386" s="114" t="s">
        <v>408</v>
      </c>
      <c r="F386" s="117" t="s">
        <v>409</v>
      </c>
      <c r="G386" s="108"/>
      <c r="H386" s="108" t="s">
        <v>410</v>
      </c>
      <c r="I386" s="118" t="s">
        <v>1013</v>
      </c>
      <c r="J386" s="119" t="s">
        <v>412</v>
      </c>
      <c r="K386" s="120"/>
      <c r="L386" s="114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  <c r="AA386" s="120"/>
    </row>
    <row r="387">
      <c r="A387" s="120"/>
      <c r="C387" s="108">
        <v>6.75674652313E12</v>
      </c>
      <c r="D387" s="116">
        <f>'ПРАЙС_ЛИСТ'!F752</f>
        <v>5500</v>
      </c>
      <c r="E387" s="114" t="s">
        <v>415</v>
      </c>
      <c r="F387" s="117" t="s">
        <v>392</v>
      </c>
      <c r="G387" s="108" t="s">
        <v>403</v>
      </c>
      <c r="H387" s="108" t="s">
        <v>393</v>
      </c>
      <c r="I387" s="122" t="s">
        <v>1014</v>
      </c>
      <c r="J387" s="119" t="s">
        <v>417</v>
      </c>
      <c r="K387" s="120"/>
      <c r="L387" s="114" t="s">
        <v>418</v>
      </c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  <c r="AA387" s="120"/>
    </row>
    <row r="388">
      <c r="A388" s="120"/>
      <c r="C388" s="108">
        <v>6.75674652311E12</v>
      </c>
      <c r="D388" s="108">
        <f t="array" ref="D388">MIN(IF('ПРАЙС_ЛИСТ'!F724:F729 &lt;&gt; 'ПРАЙС_ЛИСТ'!H724:H729, 'ПРАЙС_ЛИСТ'!F724:F729, ""))</f>
        <v>5000</v>
      </c>
      <c r="E388" s="114" t="s">
        <v>420</v>
      </c>
      <c r="F388" s="117" t="s">
        <v>421</v>
      </c>
      <c r="G388" s="108" t="s">
        <v>403</v>
      </c>
      <c r="H388" s="108" t="s">
        <v>410</v>
      </c>
      <c r="I388" s="118" t="s">
        <v>1015</v>
      </c>
      <c r="J388" s="119" t="s">
        <v>423</v>
      </c>
      <c r="K388" s="120"/>
      <c r="L388" s="114" t="s">
        <v>413</v>
      </c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  <c r="AA388" s="120"/>
    </row>
    <row r="389">
      <c r="A389" s="120"/>
      <c r="C389" s="108">
        <v>6.756746523131E12</v>
      </c>
      <c r="D389" s="116">
        <f>IF('ПРАЙС_ЛИСТ'!F730 &lt;&gt; 'ПРАЙС_ЛИСТ'!H730, 'ПРАЙС_ЛИСТ'!F730, "0")</f>
        <v>6550</v>
      </c>
      <c r="E389" s="114" t="s">
        <v>425</v>
      </c>
      <c r="F389" s="117" t="s">
        <v>421</v>
      </c>
      <c r="G389" s="109"/>
      <c r="H389" s="108" t="s">
        <v>393</v>
      </c>
      <c r="I389" s="118" t="s">
        <v>1016</v>
      </c>
      <c r="J389" s="119" t="s">
        <v>427</v>
      </c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  <c r="AA389" s="120"/>
    </row>
    <row r="390">
      <c r="A390" s="120"/>
      <c r="C390" s="108">
        <v>6.756746523117E12</v>
      </c>
      <c r="D390" s="116">
        <f>IF('ПРАЙС_ЛИСТ'!F750 &lt;&gt; 'ПРАЙС_ЛИСТ'!H750, 'ПРАЙС_ЛИСТ'!F750, "0")</f>
        <v>6750</v>
      </c>
      <c r="E390" s="114" t="s">
        <v>429</v>
      </c>
      <c r="F390" s="117" t="s">
        <v>392</v>
      </c>
      <c r="G390" s="109"/>
      <c r="H390" s="108" t="s">
        <v>393</v>
      </c>
      <c r="I390" s="122" t="s">
        <v>1017</v>
      </c>
      <c r="J390" s="119" t="s">
        <v>431</v>
      </c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  <c r="AA390" s="120"/>
    </row>
    <row r="391">
      <c r="A391" s="120"/>
      <c r="C391" s="108">
        <v>6.756746523115E12</v>
      </c>
      <c r="D391" s="116">
        <f>IF('ПРАЙС_ЛИСТ'!F748 &lt;&gt; 'ПРАЙС_ЛИСТ'!H748, 'ПРАЙС_ЛИСТ'!F748, "0")</f>
        <v>4500</v>
      </c>
      <c r="E391" s="114" t="s">
        <v>433</v>
      </c>
      <c r="F391" s="117" t="s">
        <v>421</v>
      </c>
      <c r="G391" s="109"/>
      <c r="H391" s="108" t="s">
        <v>393</v>
      </c>
      <c r="I391" s="122" t="s">
        <v>1018</v>
      </c>
      <c r="J391" s="119" t="s">
        <v>435</v>
      </c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  <c r="AA391" s="120"/>
    </row>
    <row r="392">
      <c r="A392" s="120"/>
      <c r="C392" s="108">
        <v>6.756746523116E12</v>
      </c>
      <c r="D392" s="116">
        <f>IF('ПРАЙС_ЛИСТ'!F749 &lt;&gt; 'ПРАЙС_ЛИСТ'!H749, 'ПРАЙС_ЛИСТ'!F749, "0")</f>
        <v>4650</v>
      </c>
      <c r="E392" s="114" t="s">
        <v>437</v>
      </c>
      <c r="F392" s="117" t="s">
        <v>421</v>
      </c>
      <c r="G392" s="109"/>
      <c r="H392" s="108" t="s">
        <v>393</v>
      </c>
      <c r="I392" s="122" t="s">
        <v>1019</v>
      </c>
      <c r="J392" s="119" t="s">
        <v>439</v>
      </c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  <c r="AA392" s="120"/>
    </row>
    <row r="393">
      <c r="A393" s="120"/>
      <c r="C393" s="108">
        <v>6.756746523123E12</v>
      </c>
      <c r="D393" s="116">
        <f>IF('ПРАЙС_ЛИСТ'!F741 &lt;&gt; 'ПРАЙС_ЛИСТ'!H741, 'ПРАЙС_ЛИСТ'!F741, "0")</f>
        <v>6500</v>
      </c>
      <c r="E393" s="114" t="s">
        <v>441</v>
      </c>
      <c r="F393" s="117" t="s">
        <v>442</v>
      </c>
      <c r="G393" s="109"/>
      <c r="H393" s="108" t="s">
        <v>393</v>
      </c>
      <c r="I393" s="118" t="s">
        <v>1020</v>
      </c>
      <c r="J393" s="119" t="s">
        <v>444</v>
      </c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  <c r="AA393" s="120"/>
    </row>
    <row r="394">
      <c r="A394" s="120"/>
      <c r="C394" s="108">
        <v>6.756746523124E12</v>
      </c>
      <c r="D394" s="116">
        <f>IF('ПРАЙС_ЛИСТ'!F742 &lt;&gt; 'ПРАЙС_ЛИСТ'!H742, 'ПРАЙС_ЛИСТ'!F742, "0")</f>
        <v>7900</v>
      </c>
      <c r="E394" s="114" t="s">
        <v>446</v>
      </c>
      <c r="F394" s="117" t="s">
        <v>421</v>
      </c>
      <c r="G394" s="109"/>
      <c r="H394" s="108" t="s">
        <v>393</v>
      </c>
      <c r="I394" s="118" t="s">
        <v>1021</v>
      </c>
      <c r="J394" s="119" t="s">
        <v>448</v>
      </c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  <c r="AA394" s="120"/>
    </row>
    <row r="395">
      <c r="A395" s="120"/>
      <c r="C395" s="108">
        <v>6.756746523122E12</v>
      </c>
      <c r="D395" s="116">
        <f>IF('ПРАЙС_ЛИСТ'!F743 &lt;&gt; 'ПРАЙС_ЛИСТ'!H743, 'ПРАЙС_ЛИСТ'!F743, "0")</f>
        <v>3200</v>
      </c>
      <c r="E395" s="114" t="s">
        <v>450</v>
      </c>
      <c r="F395" s="117" t="s">
        <v>421</v>
      </c>
      <c r="G395" s="109"/>
      <c r="H395" s="108" t="s">
        <v>410</v>
      </c>
      <c r="I395" s="122" t="s">
        <v>1022</v>
      </c>
      <c r="J395" s="119" t="s">
        <v>452</v>
      </c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  <c r="AA395" s="120"/>
    </row>
    <row r="396">
      <c r="A396" s="120"/>
      <c r="C396" s="108">
        <v>6.756746523125E12</v>
      </c>
      <c r="D396" s="121">
        <v>0.0</v>
      </c>
      <c r="E396" s="114" t="s">
        <v>454</v>
      </c>
      <c r="F396" s="117" t="s">
        <v>455</v>
      </c>
      <c r="G396" s="108" t="s">
        <v>398</v>
      </c>
      <c r="H396" s="108" t="s">
        <v>410</v>
      </c>
      <c r="I396" s="122" t="s">
        <v>1023</v>
      </c>
      <c r="J396" s="119" t="s">
        <v>457</v>
      </c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  <c r="AA396" s="120"/>
    </row>
    <row r="397">
      <c r="A397" s="120"/>
      <c r="C397" s="108">
        <v>6.756746523142E12</v>
      </c>
      <c r="D397" s="121">
        <v>0.0</v>
      </c>
      <c r="E397" s="114" t="s">
        <v>459</v>
      </c>
      <c r="F397" s="117" t="s">
        <v>442</v>
      </c>
      <c r="G397" s="108" t="s">
        <v>398</v>
      </c>
      <c r="H397" s="108" t="s">
        <v>393</v>
      </c>
      <c r="I397" s="118" t="s">
        <v>1024</v>
      </c>
      <c r="J397" s="119" t="s">
        <v>461</v>
      </c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  <c r="AA397" s="120"/>
    </row>
    <row r="398">
      <c r="A398" s="120"/>
      <c r="C398" s="108" t="s">
        <v>462</v>
      </c>
      <c r="D398" s="116">
        <f>IF('ПРАЙС_ЛИСТ'!F9 &lt;&gt; 'ПРАЙС_ЛИСТ'!H9, 'ПРАЙС_ЛИСТ'!F9, "0")</f>
        <v>1100</v>
      </c>
      <c r="E398" s="114" t="s">
        <v>463</v>
      </c>
      <c r="F398" s="117" t="s">
        <v>409</v>
      </c>
      <c r="G398" s="108"/>
      <c r="H398" s="108"/>
      <c r="I398" s="122" t="s">
        <v>464</v>
      </c>
      <c r="J398" s="119" t="s">
        <v>465</v>
      </c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  <c r="AA398" s="120"/>
    </row>
    <row r="399">
      <c r="A399" s="120"/>
      <c r="C399" s="113" t="s">
        <v>1025</v>
      </c>
      <c r="D399" s="116">
        <f>'ПРАЙС_ЛИСТ'!F751</f>
        <v>4700</v>
      </c>
      <c r="E399" s="114" t="s">
        <v>467</v>
      </c>
      <c r="F399" s="117" t="s">
        <v>468</v>
      </c>
      <c r="G399" s="108" t="s">
        <v>403</v>
      </c>
      <c r="H399" s="108" t="s">
        <v>393</v>
      </c>
      <c r="I399" s="118" t="s">
        <v>1026</v>
      </c>
      <c r="J399" s="119" t="s">
        <v>470</v>
      </c>
      <c r="K399" s="120"/>
      <c r="L399" s="114" t="s">
        <v>418</v>
      </c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  <c r="AA399" s="120"/>
    </row>
    <row r="400">
      <c r="A400" s="120"/>
      <c r="C400" s="108">
        <v>6.756746523132E12</v>
      </c>
      <c r="D400" s="116">
        <f>'ПРАЙС_ЛИСТ'!F744</f>
        <v>6700</v>
      </c>
      <c r="E400" s="114" t="s">
        <v>472</v>
      </c>
      <c r="F400" s="117" t="s">
        <v>468</v>
      </c>
      <c r="G400" s="108" t="s">
        <v>403</v>
      </c>
      <c r="H400" s="108" t="s">
        <v>393</v>
      </c>
      <c r="I400" s="122" t="s">
        <v>1027</v>
      </c>
      <c r="J400" s="119" t="s">
        <v>474</v>
      </c>
      <c r="K400" s="120"/>
      <c r="L400" s="114" t="s">
        <v>418</v>
      </c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  <c r="AA400" s="120"/>
    </row>
    <row r="401">
      <c r="A401" s="120"/>
      <c r="B401" s="115"/>
      <c r="C401" s="108"/>
      <c r="D401" s="109"/>
      <c r="E401" s="114"/>
      <c r="F401" s="117"/>
      <c r="G401" s="108"/>
      <c r="H401" s="108"/>
      <c r="I401" s="119"/>
      <c r="J401" s="119"/>
      <c r="K401" s="120"/>
      <c r="L401" s="114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  <c r="AA401" s="120"/>
    </row>
    <row r="402">
      <c r="A402" s="120"/>
      <c r="B402" s="115" t="s">
        <v>228</v>
      </c>
      <c r="C402" s="108">
        <v>6.756746523208E12</v>
      </c>
      <c r="D402" s="116">
        <f>IF('ПРАЙС_ЛИСТ'!F703 &lt;&gt; 'ПРАЙС_ЛИСТ'!H703, IF('ПРАЙС_ЛИСТ'!F703 = 1, 0, 'ПРАЙС_ЛИСТ'!F703), 0)</f>
        <v>8500</v>
      </c>
      <c r="E402" s="114" t="s">
        <v>391</v>
      </c>
      <c r="F402" s="117" t="s">
        <v>392</v>
      </c>
      <c r="G402" s="108"/>
      <c r="H402" s="108" t="s">
        <v>393</v>
      </c>
      <c r="I402" s="122" t="s">
        <v>1028</v>
      </c>
      <c r="J402" s="119" t="s">
        <v>395</v>
      </c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  <c r="AA402" s="120"/>
    </row>
    <row r="403">
      <c r="A403" s="120"/>
      <c r="C403" s="108">
        <v>6.756746523207E12</v>
      </c>
      <c r="D403" s="121">
        <v>0.0</v>
      </c>
      <c r="E403" s="114" t="s">
        <v>397</v>
      </c>
      <c r="F403" s="117" t="s">
        <v>392</v>
      </c>
      <c r="G403" s="108" t="s">
        <v>398</v>
      </c>
      <c r="H403" s="108" t="s">
        <v>393</v>
      </c>
      <c r="I403" s="118" t="s">
        <v>1029</v>
      </c>
      <c r="J403" s="119" t="s">
        <v>400</v>
      </c>
      <c r="K403" s="120"/>
      <c r="L403" s="114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  <c r="AA403" s="120"/>
    </row>
    <row r="404">
      <c r="A404" s="120"/>
      <c r="C404" s="108">
        <v>6.756746523205E12</v>
      </c>
      <c r="D404" s="109">
        <f t="array" ref="D404">MIN(IF('ПРАЙС_ЛИСТ'!F695:F699 &lt;&gt; 'ПРАЙС_ЛИСТ'!H695:H699, 'ПРАЙС_ЛИСТ'!F695:F699, ""))</f>
        <v>16000</v>
      </c>
      <c r="E404" s="114" t="s">
        <v>402</v>
      </c>
      <c r="F404" s="117" t="s">
        <v>392</v>
      </c>
      <c r="G404" s="108" t="s">
        <v>403</v>
      </c>
      <c r="H404" s="108" t="s">
        <v>393</v>
      </c>
      <c r="I404" s="118" t="s">
        <v>1030</v>
      </c>
      <c r="J404" s="119" t="s">
        <v>405</v>
      </c>
      <c r="K404" s="120"/>
      <c r="L404" s="114" t="s">
        <v>406</v>
      </c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  <c r="AA404" s="120"/>
    </row>
    <row r="405">
      <c r="A405" s="120"/>
      <c r="C405" s="108">
        <v>6.756746523213E12</v>
      </c>
      <c r="D405" s="116">
        <f>'ПРАЙС_ЛИСТ'!F709</f>
        <v>6000</v>
      </c>
      <c r="E405" s="114" t="s">
        <v>408</v>
      </c>
      <c r="F405" s="117" t="s">
        <v>409</v>
      </c>
      <c r="G405" s="108"/>
      <c r="H405" s="108" t="s">
        <v>410</v>
      </c>
      <c r="I405" s="118" t="s">
        <v>1031</v>
      </c>
      <c r="J405" s="119" t="s">
        <v>412</v>
      </c>
      <c r="K405" s="120"/>
      <c r="L405" s="114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  <c r="AA405" s="120"/>
    </row>
    <row r="406">
      <c r="A406" s="120"/>
      <c r="C406" s="108">
        <v>6.756746523215E12</v>
      </c>
      <c r="D406" s="116">
        <f>'ПРАЙС_ЛИСТ'!F716</f>
        <v>4500</v>
      </c>
      <c r="E406" s="114" t="s">
        <v>415</v>
      </c>
      <c r="F406" s="117" t="s">
        <v>392</v>
      </c>
      <c r="G406" s="108" t="s">
        <v>403</v>
      </c>
      <c r="H406" s="108" t="s">
        <v>393</v>
      </c>
      <c r="I406" s="122" t="s">
        <v>1032</v>
      </c>
      <c r="J406" s="119" t="s">
        <v>417</v>
      </c>
      <c r="K406" s="120"/>
      <c r="L406" s="114" t="s">
        <v>418</v>
      </c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  <c r="AA406" s="120"/>
    </row>
    <row r="407">
      <c r="A407" s="120"/>
      <c r="C407" s="108">
        <v>6.756746523197E12</v>
      </c>
      <c r="D407" s="108">
        <f t="array" ref="D407">MIN(IF('ПРАЙС_ЛИСТ'!F688:F693 &lt;&gt; 'ПРАЙС_ЛИСТ'!H688:H693, 'ПРАЙС_ЛИСТ'!F688:F693, ""))</f>
        <v>5000</v>
      </c>
      <c r="E407" s="114" t="s">
        <v>420</v>
      </c>
      <c r="F407" s="117" t="s">
        <v>421</v>
      </c>
      <c r="G407" s="108" t="s">
        <v>403</v>
      </c>
      <c r="H407" s="108" t="s">
        <v>410</v>
      </c>
      <c r="I407" s="118" t="s">
        <v>1033</v>
      </c>
      <c r="J407" s="119" t="s">
        <v>423</v>
      </c>
      <c r="K407" s="120"/>
      <c r="L407" s="114" t="s">
        <v>413</v>
      </c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  <c r="AA407" s="120"/>
    </row>
    <row r="408">
      <c r="A408" s="120"/>
      <c r="C408" s="108">
        <v>6.756746523216E12</v>
      </c>
      <c r="D408" s="116">
        <f>IF('ПРАЙС_ЛИСТ'!F694 &lt;&gt; 'ПРАЙС_ЛИСТ'!H694, 'ПРАЙС_ЛИСТ'!F694, "0")</f>
        <v>6500</v>
      </c>
      <c r="E408" s="114" t="s">
        <v>425</v>
      </c>
      <c r="F408" s="117" t="s">
        <v>421</v>
      </c>
      <c r="G408" s="109"/>
      <c r="H408" s="108" t="s">
        <v>393</v>
      </c>
      <c r="I408" s="118" t="s">
        <v>1034</v>
      </c>
      <c r="J408" s="119" t="s">
        <v>427</v>
      </c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  <c r="AA408" s="120"/>
    </row>
    <row r="409">
      <c r="A409" s="120"/>
      <c r="C409" s="108">
        <v>6.756746523204E12</v>
      </c>
      <c r="D409" s="116">
        <f>IF('ПРАЙС_ЛИСТ'!F714 &lt;&gt; 'ПРАЙС_ЛИСТ'!H714, 'ПРАЙС_ЛИСТ'!F714, "0")</f>
        <v>6900</v>
      </c>
      <c r="E409" s="114" t="s">
        <v>429</v>
      </c>
      <c r="F409" s="117" t="s">
        <v>392</v>
      </c>
      <c r="G409" s="109"/>
      <c r="H409" s="108" t="s">
        <v>393</v>
      </c>
      <c r="I409" s="122" t="s">
        <v>1035</v>
      </c>
      <c r="J409" s="119" t="s">
        <v>431</v>
      </c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  <c r="AA409" s="120"/>
    </row>
    <row r="410">
      <c r="A410" s="120"/>
      <c r="C410" s="108">
        <v>6.756746523202E12</v>
      </c>
      <c r="D410" s="116">
        <f>IF('ПРАЙС_ЛИСТ'!F712 &lt;&gt; 'ПРАЙС_ЛИСТ'!H712, 'ПРАЙС_ЛИСТ'!F712, "0")</f>
        <v>4700</v>
      </c>
      <c r="E410" s="114" t="s">
        <v>433</v>
      </c>
      <c r="F410" s="117" t="s">
        <v>421</v>
      </c>
      <c r="G410" s="109"/>
      <c r="H410" s="108" t="s">
        <v>393</v>
      </c>
      <c r="I410" s="122" t="s">
        <v>1036</v>
      </c>
      <c r="J410" s="119" t="s">
        <v>435</v>
      </c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  <c r="AA410" s="120"/>
    </row>
    <row r="411">
      <c r="A411" s="120"/>
      <c r="C411" s="108">
        <v>6.756746523203E12</v>
      </c>
      <c r="D411" s="116">
        <f>IF('ПРАЙС_ЛИСТ'!F713 &lt;&gt; 'ПРАЙС_ЛИСТ'!H713, 'ПРАЙС_ЛИСТ'!F713, "0")</f>
        <v>4750</v>
      </c>
      <c r="E411" s="114" t="s">
        <v>437</v>
      </c>
      <c r="F411" s="117" t="s">
        <v>421</v>
      </c>
      <c r="G411" s="109"/>
      <c r="H411" s="108" t="s">
        <v>393</v>
      </c>
      <c r="I411" s="122" t="s">
        <v>1037</v>
      </c>
      <c r="J411" s="119" t="s">
        <v>439</v>
      </c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  <c r="AA411" s="120"/>
    </row>
    <row r="412">
      <c r="A412" s="120"/>
      <c r="C412" s="108">
        <v>6.75674652321E12</v>
      </c>
      <c r="D412" s="116">
        <f>IF('ПРАЙС_ЛИСТ'!F705 &lt;&gt; 'ПРАЙС_ЛИСТ'!H705, 'ПРАЙС_ЛИСТ'!F705, "0")</f>
        <v>9500</v>
      </c>
      <c r="E412" s="114" t="s">
        <v>441</v>
      </c>
      <c r="F412" s="117" t="s">
        <v>442</v>
      </c>
      <c r="G412" s="109"/>
      <c r="H412" s="108" t="s">
        <v>393</v>
      </c>
      <c r="I412" s="118" t="s">
        <v>1038</v>
      </c>
      <c r="J412" s="119" t="s">
        <v>444</v>
      </c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  <c r="AA412" s="120"/>
    </row>
    <row r="413">
      <c r="A413" s="120"/>
      <c r="C413" s="108">
        <v>6.756746523211E12</v>
      </c>
      <c r="D413" s="116">
        <f>IF('ПРАЙС_ЛИСТ'!F706 &lt;&gt; 'ПРАЙС_ЛИСТ'!H706, 'ПРАЙС_ЛИСТ'!F706, "0")</f>
        <v>6900</v>
      </c>
      <c r="E413" s="114" t="s">
        <v>446</v>
      </c>
      <c r="F413" s="117" t="s">
        <v>421</v>
      </c>
      <c r="G413" s="109"/>
      <c r="H413" s="108" t="s">
        <v>393</v>
      </c>
      <c r="I413" s="118" t="s">
        <v>1039</v>
      </c>
      <c r="J413" s="119" t="s">
        <v>448</v>
      </c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  <c r="AA413" s="120"/>
    </row>
    <row r="414">
      <c r="A414" s="120"/>
      <c r="C414" s="108">
        <v>6.756746523209E12</v>
      </c>
      <c r="D414" s="116">
        <f>IF('ПРАЙС_ЛИСТ'!F707 &lt;&gt; 'ПРАЙС_ЛИСТ'!H707, 'ПРАЙС_ЛИСТ'!F707, "0")</f>
        <v>3100</v>
      </c>
      <c r="E414" s="114" t="s">
        <v>450</v>
      </c>
      <c r="F414" s="117" t="s">
        <v>421</v>
      </c>
      <c r="G414" s="109"/>
      <c r="H414" s="108" t="s">
        <v>410</v>
      </c>
      <c r="I414" s="122" t="s">
        <v>1040</v>
      </c>
      <c r="J414" s="119" t="s">
        <v>452</v>
      </c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  <c r="AA414" s="120"/>
    </row>
    <row r="415">
      <c r="A415" s="120"/>
      <c r="C415" s="108">
        <v>6.756746523212E12</v>
      </c>
      <c r="D415" s="121">
        <v>0.0</v>
      </c>
      <c r="E415" s="114" t="s">
        <v>454</v>
      </c>
      <c r="F415" s="117" t="s">
        <v>455</v>
      </c>
      <c r="G415" s="108" t="s">
        <v>398</v>
      </c>
      <c r="H415" s="108" t="s">
        <v>410</v>
      </c>
      <c r="I415" s="122" t="s">
        <v>1041</v>
      </c>
      <c r="J415" s="119" t="s">
        <v>457</v>
      </c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  <c r="AA415" s="120"/>
    </row>
    <row r="416">
      <c r="A416" s="120"/>
      <c r="C416" s="108">
        <v>6.756746523226E12</v>
      </c>
      <c r="D416" s="121">
        <v>0.0</v>
      </c>
      <c r="E416" s="114" t="s">
        <v>459</v>
      </c>
      <c r="F416" s="117" t="s">
        <v>442</v>
      </c>
      <c r="G416" s="108" t="s">
        <v>398</v>
      </c>
      <c r="H416" s="108" t="s">
        <v>393</v>
      </c>
      <c r="I416" s="118" t="s">
        <v>1042</v>
      </c>
      <c r="J416" s="119" t="s">
        <v>461</v>
      </c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  <c r="AA416" s="120"/>
    </row>
    <row r="417">
      <c r="A417" s="120"/>
      <c r="C417" s="108" t="s">
        <v>462</v>
      </c>
      <c r="D417" s="116">
        <f>IF('ПРАЙС_ЛИСТ'!F9 &lt;&gt; 'ПРАЙС_ЛИСТ'!H9, 'ПРАЙС_ЛИСТ'!F9, "0")</f>
        <v>1100</v>
      </c>
      <c r="E417" s="114" t="s">
        <v>463</v>
      </c>
      <c r="F417" s="117" t="s">
        <v>409</v>
      </c>
      <c r="G417" s="108"/>
      <c r="H417" s="108"/>
      <c r="I417" s="122" t="s">
        <v>464</v>
      </c>
      <c r="J417" s="119" t="s">
        <v>465</v>
      </c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  <c r="AA417" s="120"/>
    </row>
    <row r="418">
      <c r="A418" s="120"/>
      <c r="C418" s="113" t="s">
        <v>1043</v>
      </c>
      <c r="D418" s="116">
        <f>'ПРАЙС_ЛИСТ'!F715</f>
        <v>3800</v>
      </c>
      <c r="E418" s="114" t="s">
        <v>467</v>
      </c>
      <c r="F418" s="117" t="s">
        <v>468</v>
      </c>
      <c r="G418" s="108" t="s">
        <v>403</v>
      </c>
      <c r="H418" s="108" t="s">
        <v>393</v>
      </c>
      <c r="I418" s="118" t="s">
        <v>1044</v>
      </c>
      <c r="J418" s="119" t="s">
        <v>470</v>
      </c>
      <c r="K418" s="120"/>
      <c r="L418" s="114" t="s">
        <v>418</v>
      </c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  <c r="AA418" s="120"/>
    </row>
    <row r="419">
      <c r="A419" s="120"/>
      <c r="C419" s="108">
        <v>6.756746523217E12</v>
      </c>
      <c r="D419" s="116">
        <f>'ПРАЙС_ЛИСТ'!F708</f>
        <v>5800</v>
      </c>
      <c r="E419" s="114" t="s">
        <v>472</v>
      </c>
      <c r="F419" s="117" t="s">
        <v>468</v>
      </c>
      <c r="G419" s="108" t="s">
        <v>403</v>
      </c>
      <c r="H419" s="108" t="s">
        <v>393</v>
      </c>
      <c r="I419" s="122" t="s">
        <v>1045</v>
      </c>
      <c r="J419" s="119" t="s">
        <v>474</v>
      </c>
      <c r="K419" s="120"/>
      <c r="L419" s="114" t="s">
        <v>418</v>
      </c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  <c r="AA419" s="120"/>
    </row>
    <row r="420">
      <c r="A420" s="120"/>
      <c r="B420" s="115"/>
      <c r="C420" s="108"/>
      <c r="D420" s="109"/>
      <c r="E420" s="114"/>
      <c r="F420" s="117"/>
      <c r="G420" s="108"/>
      <c r="H420" s="108"/>
      <c r="I420" s="119"/>
      <c r="J420" s="119"/>
      <c r="K420" s="120"/>
      <c r="L420" s="114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  <c r="AA420" s="120"/>
    </row>
    <row r="421">
      <c r="A421" s="120"/>
      <c r="B421" s="115" t="s">
        <v>220</v>
      </c>
      <c r="C421" s="108">
        <v>6.756746523248E12</v>
      </c>
      <c r="D421" s="116">
        <f>IF('ПРАЙС_ЛИСТ'!F667 &lt;&gt; 'ПРАЙС_ЛИСТ'!H667, IF('ПРАЙС_ЛИСТ'!F667 = 1, 0, 'ПРАЙС_ЛИСТ'!F667), 0)</f>
        <v>6500</v>
      </c>
      <c r="E421" s="114" t="s">
        <v>391</v>
      </c>
      <c r="F421" s="117" t="s">
        <v>392</v>
      </c>
      <c r="G421" s="108"/>
      <c r="H421" s="108" t="s">
        <v>393</v>
      </c>
      <c r="I421" s="122" t="s">
        <v>1046</v>
      </c>
      <c r="J421" s="119" t="s">
        <v>395</v>
      </c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  <c r="AA421" s="120"/>
    </row>
    <row r="422">
      <c r="A422" s="120"/>
      <c r="C422" s="108">
        <v>6.756746523247E12</v>
      </c>
      <c r="D422" s="121">
        <v>0.0</v>
      </c>
      <c r="E422" s="114" t="s">
        <v>397</v>
      </c>
      <c r="F422" s="117" t="s">
        <v>392</v>
      </c>
      <c r="G422" s="108" t="s">
        <v>398</v>
      </c>
      <c r="H422" s="108" t="s">
        <v>393</v>
      </c>
      <c r="I422" s="118" t="s">
        <v>1047</v>
      </c>
      <c r="J422" s="119" t="s">
        <v>400</v>
      </c>
      <c r="K422" s="120"/>
      <c r="L422" s="114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  <c r="AA422" s="120"/>
    </row>
    <row r="423">
      <c r="A423" s="120"/>
      <c r="C423" s="108">
        <v>6.756746523245E12</v>
      </c>
      <c r="D423" s="109">
        <f t="array" ref="D423">MIN(IF('ПРАЙС_ЛИСТ'!F659:F663 &lt;&gt; 'ПРАЙС_ЛИСТ'!H659:H663, 'ПРАЙС_ЛИСТ'!F659:F663, ""))</f>
        <v>9800</v>
      </c>
      <c r="E423" s="114" t="s">
        <v>402</v>
      </c>
      <c r="F423" s="117" t="s">
        <v>392</v>
      </c>
      <c r="G423" s="108" t="s">
        <v>403</v>
      </c>
      <c r="H423" s="108" t="s">
        <v>393</v>
      </c>
      <c r="I423" s="118" t="s">
        <v>1048</v>
      </c>
      <c r="J423" s="119" t="s">
        <v>405</v>
      </c>
      <c r="K423" s="120"/>
      <c r="L423" s="114" t="s">
        <v>406</v>
      </c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  <c r="AA423" s="120"/>
    </row>
    <row r="424">
      <c r="A424" s="120"/>
      <c r="C424" s="108">
        <v>6.756746523253E12</v>
      </c>
      <c r="D424" s="116">
        <f>'ПРАЙС_ЛИСТ'!F673</f>
        <v>7000</v>
      </c>
      <c r="E424" s="114" t="s">
        <v>408</v>
      </c>
      <c r="F424" s="117" t="s">
        <v>409</v>
      </c>
      <c r="G424" s="108"/>
      <c r="H424" s="108" t="s">
        <v>410</v>
      </c>
      <c r="I424" s="118" t="s">
        <v>1049</v>
      </c>
      <c r="J424" s="119" t="s">
        <v>412</v>
      </c>
      <c r="K424" s="120"/>
      <c r="L424" s="114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  <c r="AA424" s="120"/>
    </row>
    <row r="425">
      <c r="A425" s="120"/>
      <c r="C425" s="108">
        <v>6.756746523255E12</v>
      </c>
      <c r="D425" s="116">
        <f>'ПРАЙС_ЛИСТ'!F680</f>
        <v>4500</v>
      </c>
      <c r="E425" s="114" t="s">
        <v>415</v>
      </c>
      <c r="F425" s="117" t="s">
        <v>392</v>
      </c>
      <c r="G425" s="108" t="s">
        <v>403</v>
      </c>
      <c r="H425" s="108" t="s">
        <v>393</v>
      </c>
      <c r="I425" s="122" t="s">
        <v>1050</v>
      </c>
      <c r="J425" s="119" t="s">
        <v>417</v>
      </c>
      <c r="K425" s="120"/>
      <c r="L425" s="114" t="s">
        <v>418</v>
      </c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  <c r="AA425" s="120"/>
    </row>
    <row r="426">
      <c r="A426" s="120"/>
      <c r="C426" s="108">
        <v>6.756746523237E12</v>
      </c>
      <c r="D426" s="108">
        <f t="array" ref="D426">MIN(IF('ПРАЙС_ЛИСТ'!F652:F657 &lt;&gt; 'ПРАЙС_ЛИСТ'!H652:H657, 'ПРАЙС_ЛИСТ'!F652:F657, ""))</f>
        <v>4400</v>
      </c>
      <c r="E426" s="114" t="s">
        <v>420</v>
      </c>
      <c r="F426" s="117" t="s">
        <v>421</v>
      </c>
      <c r="G426" s="108" t="s">
        <v>403</v>
      </c>
      <c r="H426" s="108" t="s">
        <v>410</v>
      </c>
      <c r="I426" s="118" t="s">
        <v>1051</v>
      </c>
      <c r="J426" s="119" t="s">
        <v>423</v>
      </c>
      <c r="K426" s="120"/>
      <c r="L426" s="114" t="s">
        <v>413</v>
      </c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  <c r="AA426" s="120"/>
    </row>
    <row r="427">
      <c r="A427" s="120"/>
      <c r="C427" s="108">
        <v>6.756746523256E12</v>
      </c>
      <c r="D427" s="116">
        <f>IF('ПРАЙС_ЛИСТ'!F658 &lt;&gt; 'ПРАЙС_ЛИСТ'!H658, 'ПРАЙС_ЛИСТ'!F658, "0")</f>
        <v>6000</v>
      </c>
      <c r="E427" s="114" t="s">
        <v>425</v>
      </c>
      <c r="F427" s="117" t="s">
        <v>421</v>
      </c>
      <c r="G427" s="109"/>
      <c r="H427" s="108" t="s">
        <v>393</v>
      </c>
      <c r="I427" s="118" t="s">
        <v>1052</v>
      </c>
      <c r="J427" s="119" t="s">
        <v>427</v>
      </c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  <c r="AA427" s="120"/>
    </row>
    <row r="428">
      <c r="A428" s="120"/>
      <c r="C428" s="108">
        <v>6.756746523244E12</v>
      </c>
      <c r="D428" s="116">
        <f>IF('ПРАЙС_ЛИСТ'!F678 &lt;&gt; 'ПРАЙС_ЛИСТ'!H678, 'ПРАЙС_ЛИСТ'!F678, "0")</f>
        <v>6400</v>
      </c>
      <c r="E428" s="114" t="s">
        <v>429</v>
      </c>
      <c r="F428" s="117" t="s">
        <v>392</v>
      </c>
      <c r="G428" s="109"/>
      <c r="H428" s="108" t="s">
        <v>393</v>
      </c>
      <c r="I428" s="122" t="s">
        <v>1053</v>
      </c>
      <c r="J428" s="119" t="s">
        <v>431</v>
      </c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  <c r="AA428" s="120"/>
    </row>
    <row r="429">
      <c r="A429" s="120"/>
      <c r="C429" s="108">
        <v>6.756746523242E12</v>
      </c>
      <c r="D429" s="116">
        <f>IF('ПРАЙС_ЛИСТ'!F676 &lt;&gt; 'ПРАЙС_ЛИСТ'!H676, 'ПРАЙС_ЛИСТ'!F676, "0")</f>
        <v>4700</v>
      </c>
      <c r="E429" s="114" t="s">
        <v>433</v>
      </c>
      <c r="F429" s="117" t="s">
        <v>421</v>
      </c>
      <c r="G429" s="109"/>
      <c r="H429" s="108" t="s">
        <v>393</v>
      </c>
      <c r="I429" s="122" t="s">
        <v>1054</v>
      </c>
      <c r="J429" s="119" t="s">
        <v>435</v>
      </c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  <c r="AA429" s="120"/>
    </row>
    <row r="430">
      <c r="A430" s="120"/>
      <c r="C430" s="108">
        <v>6.756746523243E12</v>
      </c>
      <c r="D430" s="116">
        <f>IF('ПРАЙС_ЛИСТ'!F677 &lt;&gt; 'ПРАЙС_ЛИСТ'!H677, 'ПРАЙС_ЛИСТ'!F677, "0")</f>
        <v>5050</v>
      </c>
      <c r="E430" s="114" t="s">
        <v>437</v>
      </c>
      <c r="F430" s="117" t="s">
        <v>421</v>
      </c>
      <c r="G430" s="109"/>
      <c r="H430" s="108" t="s">
        <v>393</v>
      </c>
      <c r="I430" s="122" t="s">
        <v>1055</v>
      </c>
      <c r="J430" s="119" t="s">
        <v>439</v>
      </c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  <c r="AA430" s="120"/>
    </row>
    <row r="431">
      <c r="A431" s="120"/>
      <c r="C431" s="108">
        <v>6.75674652325E12</v>
      </c>
      <c r="D431" s="116">
        <f>IF('ПРАЙС_ЛИСТ'!F669 &lt;&gt; 'ПРАЙС_ЛИСТ'!H669, 'ПРАЙС_ЛИСТ'!F669, "0")</f>
        <v>9500</v>
      </c>
      <c r="E431" s="114" t="s">
        <v>441</v>
      </c>
      <c r="F431" s="117" t="s">
        <v>442</v>
      </c>
      <c r="G431" s="109"/>
      <c r="H431" s="108" t="s">
        <v>393</v>
      </c>
      <c r="I431" s="118" t="s">
        <v>1056</v>
      </c>
      <c r="J431" s="119" t="s">
        <v>444</v>
      </c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  <c r="AA431" s="120"/>
    </row>
    <row r="432">
      <c r="A432" s="120"/>
      <c r="C432" s="108">
        <v>6.756746523251E12</v>
      </c>
      <c r="D432" s="116">
        <f>IF('ПРАЙС_ЛИСТ'!F670 &lt;&gt; 'ПРАЙС_ЛИСТ'!H670, 'ПРАЙС_ЛИСТ'!F670, "0")</f>
        <v>6600</v>
      </c>
      <c r="E432" s="114" t="s">
        <v>446</v>
      </c>
      <c r="F432" s="117" t="s">
        <v>421</v>
      </c>
      <c r="G432" s="109"/>
      <c r="H432" s="108" t="s">
        <v>393</v>
      </c>
      <c r="I432" s="118" t="s">
        <v>1057</v>
      </c>
      <c r="J432" s="119" t="s">
        <v>448</v>
      </c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  <c r="AA432" s="120"/>
    </row>
    <row r="433">
      <c r="A433" s="120"/>
      <c r="C433" s="108">
        <v>6.756746523249E12</v>
      </c>
      <c r="D433" s="116">
        <f>IF('ПРАЙС_ЛИСТ'!F671 &lt;&gt; 'ПРАЙС_ЛИСТ'!H671, 'ПРАЙС_ЛИСТ'!F671, "0")</f>
        <v>3100</v>
      </c>
      <c r="E433" s="114" t="s">
        <v>450</v>
      </c>
      <c r="F433" s="117" t="s">
        <v>421</v>
      </c>
      <c r="G433" s="109"/>
      <c r="H433" s="108" t="s">
        <v>410</v>
      </c>
      <c r="I433" s="122" t="s">
        <v>1058</v>
      </c>
      <c r="J433" s="119" t="s">
        <v>452</v>
      </c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  <c r="AA433" s="120"/>
    </row>
    <row r="434">
      <c r="A434" s="120"/>
      <c r="C434" s="108">
        <v>6.756746523252E12</v>
      </c>
      <c r="D434" s="121">
        <v>0.0</v>
      </c>
      <c r="E434" s="114" t="s">
        <v>454</v>
      </c>
      <c r="F434" s="117" t="s">
        <v>455</v>
      </c>
      <c r="G434" s="108" t="s">
        <v>398</v>
      </c>
      <c r="H434" s="108" t="s">
        <v>410</v>
      </c>
      <c r="I434" s="122" t="s">
        <v>1059</v>
      </c>
      <c r="J434" s="119" t="s">
        <v>457</v>
      </c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  <c r="AA434" s="120"/>
    </row>
    <row r="435">
      <c r="A435" s="120"/>
      <c r="C435" s="108">
        <v>6.756746523266E12</v>
      </c>
      <c r="D435" s="121">
        <v>0.0</v>
      </c>
      <c r="E435" s="114" t="s">
        <v>459</v>
      </c>
      <c r="F435" s="117" t="s">
        <v>442</v>
      </c>
      <c r="G435" s="108" t="s">
        <v>398</v>
      </c>
      <c r="H435" s="108" t="s">
        <v>393</v>
      </c>
      <c r="I435" s="118" t="s">
        <v>1060</v>
      </c>
      <c r="J435" s="119" t="s">
        <v>461</v>
      </c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  <c r="AA435" s="120"/>
    </row>
    <row r="436">
      <c r="A436" s="120"/>
      <c r="C436" s="108" t="s">
        <v>462</v>
      </c>
      <c r="D436" s="116">
        <f>IF('ПРАЙС_ЛИСТ'!F9 &lt;&gt; 'ПРАЙС_ЛИСТ'!H9, 'ПРАЙС_ЛИСТ'!F9, "0")</f>
        <v>1100</v>
      </c>
      <c r="E436" s="114" t="s">
        <v>463</v>
      </c>
      <c r="F436" s="117" t="s">
        <v>409</v>
      </c>
      <c r="G436" s="108"/>
      <c r="H436" s="108"/>
      <c r="I436" s="122" t="s">
        <v>464</v>
      </c>
      <c r="J436" s="119" t="s">
        <v>465</v>
      </c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  <c r="AA436" s="120"/>
    </row>
    <row r="437">
      <c r="A437" s="120"/>
      <c r="C437" s="113" t="s">
        <v>1061</v>
      </c>
      <c r="D437" s="116">
        <f>'ПРАЙС_ЛИСТ'!F679</f>
        <v>3800</v>
      </c>
      <c r="E437" s="114" t="s">
        <v>467</v>
      </c>
      <c r="F437" s="117" t="s">
        <v>468</v>
      </c>
      <c r="G437" s="108" t="s">
        <v>403</v>
      </c>
      <c r="H437" s="108" t="s">
        <v>393</v>
      </c>
      <c r="I437" s="118" t="s">
        <v>1062</v>
      </c>
      <c r="J437" s="119" t="s">
        <v>470</v>
      </c>
      <c r="K437" s="120"/>
      <c r="L437" s="114" t="s">
        <v>418</v>
      </c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  <c r="AA437" s="120"/>
    </row>
    <row r="438">
      <c r="A438" s="120"/>
      <c r="C438" s="108">
        <v>6.756746523257E12</v>
      </c>
      <c r="D438" s="116">
        <f>'ПРАЙС_ЛИСТ'!F672</f>
        <v>5800</v>
      </c>
      <c r="E438" s="114" t="s">
        <v>472</v>
      </c>
      <c r="F438" s="117" t="s">
        <v>468</v>
      </c>
      <c r="G438" s="108" t="s">
        <v>403</v>
      </c>
      <c r="H438" s="108" t="s">
        <v>393</v>
      </c>
      <c r="I438" s="122" t="s">
        <v>1063</v>
      </c>
      <c r="J438" s="119" t="s">
        <v>474</v>
      </c>
      <c r="K438" s="120"/>
      <c r="L438" s="114" t="s">
        <v>418</v>
      </c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  <c r="AA438" s="120"/>
    </row>
    <row r="439">
      <c r="A439" s="120"/>
      <c r="B439" s="115"/>
      <c r="C439" s="108"/>
      <c r="D439" s="109"/>
      <c r="E439" s="114"/>
      <c r="F439" s="117"/>
      <c r="G439" s="108"/>
      <c r="H439" s="108"/>
      <c r="I439" s="119"/>
      <c r="J439" s="119"/>
      <c r="K439" s="120"/>
      <c r="L439" s="114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  <c r="AA439" s="120"/>
    </row>
    <row r="440">
      <c r="A440" s="120"/>
      <c r="B440" s="115" t="s">
        <v>1064</v>
      </c>
      <c r="C440" s="108">
        <v>6.756746523328E12</v>
      </c>
      <c r="D440" s="116">
        <f>IF('ПРАЙС_ЛИСТ'!F631 &lt;&gt; 'ПРАЙС_ЛИСТ'!H631, IF('ПРАЙС_ЛИСТ'!F631 = 1, 0, 'ПРАЙС_ЛИСТ'!F631), 0)</f>
        <v>6500</v>
      </c>
      <c r="E440" s="114" t="s">
        <v>391</v>
      </c>
      <c r="F440" s="117" t="s">
        <v>392</v>
      </c>
      <c r="G440" s="108"/>
      <c r="H440" s="108" t="s">
        <v>393</v>
      </c>
      <c r="I440" s="122" t="s">
        <v>1065</v>
      </c>
      <c r="J440" s="119" t="s">
        <v>395</v>
      </c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  <c r="AA440" s="120"/>
    </row>
    <row r="441">
      <c r="A441" s="120"/>
      <c r="C441" s="108">
        <v>6.756746523327E12</v>
      </c>
      <c r="D441" s="121">
        <v>0.0</v>
      </c>
      <c r="E441" s="114" t="s">
        <v>397</v>
      </c>
      <c r="F441" s="117" t="s">
        <v>392</v>
      </c>
      <c r="G441" s="108" t="s">
        <v>398</v>
      </c>
      <c r="H441" s="108" t="s">
        <v>393</v>
      </c>
      <c r="I441" s="118" t="s">
        <v>1066</v>
      </c>
      <c r="J441" s="119" t="s">
        <v>400</v>
      </c>
      <c r="K441" s="120"/>
      <c r="L441" s="114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  <c r="AA441" s="120"/>
    </row>
    <row r="442">
      <c r="A442" s="120"/>
      <c r="C442" s="108">
        <v>6.756746523325E12</v>
      </c>
      <c r="D442" s="109">
        <f t="array" ref="D442">MIN(IF('ПРАЙС_ЛИСТ'!F623:F627 &lt;&gt; 'ПРАЙС_ЛИСТ'!H623:H627, 'ПРАЙС_ЛИСТ'!F623:F627, ""))</f>
        <v>9550</v>
      </c>
      <c r="E442" s="114" t="s">
        <v>402</v>
      </c>
      <c r="F442" s="117" t="s">
        <v>392</v>
      </c>
      <c r="G442" s="108" t="s">
        <v>403</v>
      </c>
      <c r="H442" s="108" t="s">
        <v>393</v>
      </c>
      <c r="I442" s="118" t="s">
        <v>1067</v>
      </c>
      <c r="J442" s="119" t="s">
        <v>405</v>
      </c>
      <c r="K442" s="120"/>
      <c r="L442" s="114" t="s">
        <v>406</v>
      </c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  <c r="AA442" s="120"/>
    </row>
    <row r="443">
      <c r="A443" s="120"/>
      <c r="C443" s="108">
        <v>6.756746523333E12</v>
      </c>
      <c r="D443" s="116">
        <f>'ПРАЙС_ЛИСТ'!F637</f>
        <v>6500</v>
      </c>
      <c r="E443" s="114" t="s">
        <v>408</v>
      </c>
      <c r="F443" s="117" t="s">
        <v>409</v>
      </c>
      <c r="G443" s="108"/>
      <c r="H443" s="108" t="s">
        <v>410</v>
      </c>
      <c r="I443" s="118" t="s">
        <v>1068</v>
      </c>
      <c r="J443" s="119" t="s">
        <v>412</v>
      </c>
      <c r="K443" s="120"/>
      <c r="L443" s="114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  <c r="AA443" s="120"/>
    </row>
    <row r="444">
      <c r="A444" s="120"/>
      <c r="C444" s="108">
        <v>6.756746523335E12</v>
      </c>
      <c r="D444" s="116">
        <f>'ПРАЙС_ЛИСТ'!F644</f>
        <v>4500</v>
      </c>
      <c r="E444" s="114" t="s">
        <v>415</v>
      </c>
      <c r="F444" s="117" t="s">
        <v>392</v>
      </c>
      <c r="G444" s="108" t="s">
        <v>403</v>
      </c>
      <c r="H444" s="108" t="s">
        <v>393</v>
      </c>
      <c r="I444" s="122" t="s">
        <v>1069</v>
      </c>
      <c r="J444" s="119" t="s">
        <v>417</v>
      </c>
      <c r="K444" s="120"/>
      <c r="L444" s="114" t="s">
        <v>418</v>
      </c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  <c r="AA444" s="120"/>
    </row>
    <row r="445">
      <c r="A445" s="120"/>
      <c r="C445" s="108">
        <v>6.756746523317E12</v>
      </c>
      <c r="D445" s="108">
        <f t="array" ref="D445">MIN(IF('ПРАЙС_ЛИСТ'!F617:F621 &lt;&gt; 'ПРАЙС_ЛИСТ'!H617:H621, 'ПРАЙС_ЛИСТ'!F617:F621, ""))</f>
        <v>4000</v>
      </c>
      <c r="E445" s="114" t="s">
        <v>420</v>
      </c>
      <c r="F445" s="117" t="s">
        <v>421</v>
      </c>
      <c r="G445" s="108" t="s">
        <v>403</v>
      </c>
      <c r="H445" s="108" t="s">
        <v>410</v>
      </c>
      <c r="I445" s="118" t="s">
        <v>1070</v>
      </c>
      <c r="J445" s="119" t="s">
        <v>423</v>
      </c>
      <c r="K445" s="120"/>
      <c r="L445" s="114" t="s">
        <v>413</v>
      </c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  <c r="AA445" s="120"/>
    </row>
    <row r="446">
      <c r="A446" s="120"/>
      <c r="C446" s="108">
        <v>6.756746523336E12</v>
      </c>
      <c r="D446" s="116">
        <f>IF('ПРАЙС_ЛИСТ'!F622 &lt;&gt; 'ПРАЙС_ЛИСТ'!H622, 'ПРАЙС_ЛИСТ'!F622, "0")</f>
        <v>5000</v>
      </c>
      <c r="E446" s="114" t="s">
        <v>425</v>
      </c>
      <c r="F446" s="117" t="s">
        <v>421</v>
      </c>
      <c r="G446" s="109"/>
      <c r="H446" s="108" t="s">
        <v>393</v>
      </c>
      <c r="I446" s="118" t="s">
        <v>1071</v>
      </c>
      <c r="J446" s="119" t="s">
        <v>427</v>
      </c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  <c r="AA446" s="120"/>
    </row>
    <row r="447">
      <c r="A447" s="120"/>
      <c r="C447" s="108">
        <v>6.756746523324E12</v>
      </c>
      <c r="D447" s="116">
        <f>IF('ПРАЙС_ЛИСТ'!F642 &lt;&gt; 'ПРАЙС_ЛИСТ'!H642, 'ПРАЙС_ЛИСТ'!F642, "0")</f>
        <v>5200</v>
      </c>
      <c r="E447" s="114" t="s">
        <v>429</v>
      </c>
      <c r="F447" s="117" t="s">
        <v>392</v>
      </c>
      <c r="G447" s="109"/>
      <c r="H447" s="108" t="s">
        <v>393</v>
      </c>
      <c r="I447" s="122" t="s">
        <v>1072</v>
      </c>
      <c r="J447" s="119" t="s">
        <v>431</v>
      </c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  <c r="AA447" s="120"/>
    </row>
    <row r="448">
      <c r="A448" s="120"/>
      <c r="C448" s="108">
        <v>6.756746523322E12</v>
      </c>
      <c r="D448" s="109" t="str">
        <f>IF('ПРАЙС_ЛИСТ'!F640 &lt;&gt; 'ПРАЙС_ЛИСТ'!H640, 'ПРАЙС_ЛИСТ'!F640, "0")</f>
        <v>0</v>
      </c>
      <c r="E448" s="114" t="s">
        <v>433</v>
      </c>
      <c r="F448" s="117" t="s">
        <v>421</v>
      </c>
      <c r="G448" s="108" t="s">
        <v>398</v>
      </c>
      <c r="H448" s="108" t="s">
        <v>393</v>
      </c>
      <c r="I448" s="122" t="s">
        <v>1073</v>
      </c>
      <c r="J448" s="119" t="s">
        <v>435</v>
      </c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  <c r="AA448" s="120"/>
    </row>
    <row r="449">
      <c r="A449" s="120"/>
      <c r="C449" s="108">
        <v>6.756746523323E12</v>
      </c>
      <c r="D449" s="109" t="str">
        <f>IF('ПРАЙС_ЛИСТ'!F641 &lt;&gt; 'ПРАЙС_ЛИСТ'!H641, 'ПРАЙС_ЛИСТ'!F641, "0")</f>
        <v>0</v>
      </c>
      <c r="E449" s="114" t="s">
        <v>437</v>
      </c>
      <c r="F449" s="117" t="s">
        <v>421</v>
      </c>
      <c r="G449" s="108" t="s">
        <v>398</v>
      </c>
      <c r="H449" s="108" t="s">
        <v>393</v>
      </c>
      <c r="I449" s="122" t="s">
        <v>1074</v>
      </c>
      <c r="J449" s="119" t="s">
        <v>439</v>
      </c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  <c r="AA449" s="120"/>
    </row>
    <row r="450">
      <c r="A450" s="120"/>
      <c r="C450" s="108">
        <v>6.75674652333E12</v>
      </c>
      <c r="D450" s="116">
        <f>IF('ПРАЙС_ЛИСТ'!F633 &lt;&gt; 'ПРАЙС_ЛИСТ'!H633, 'ПРАЙС_ЛИСТ'!F633, "0")</f>
        <v>7500</v>
      </c>
      <c r="E450" s="114" t="s">
        <v>441</v>
      </c>
      <c r="F450" s="117" t="s">
        <v>442</v>
      </c>
      <c r="G450" s="109"/>
      <c r="H450" s="108" t="s">
        <v>393</v>
      </c>
      <c r="I450" s="118" t="s">
        <v>1075</v>
      </c>
      <c r="J450" s="119" t="s">
        <v>444</v>
      </c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  <c r="AA450" s="120"/>
    </row>
    <row r="451">
      <c r="A451" s="120"/>
      <c r="C451" s="108">
        <v>6.756746523331E12</v>
      </c>
      <c r="D451" s="109" t="str">
        <f>IF('ПРАЙС_ЛИСТ'!F634 &lt;&gt; 'ПРАЙС_ЛИСТ'!H634, 'ПРАЙС_ЛИСТ'!F634, "0")</f>
        <v>0</v>
      </c>
      <c r="E451" s="114" t="s">
        <v>446</v>
      </c>
      <c r="F451" s="117" t="s">
        <v>421</v>
      </c>
      <c r="G451" s="108" t="s">
        <v>398</v>
      </c>
      <c r="H451" s="108" t="s">
        <v>393</v>
      </c>
      <c r="I451" s="118" t="s">
        <v>1076</v>
      </c>
      <c r="J451" s="119" t="s">
        <v>448</v>
      </c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  <c r="AA451" s="120"/>
    </row>
    <row r="452">
      <c r="A452" s="120"/>
      <c r="C452" s="108">
        <v>6.756746523329E12</v>
      </c>
      <c r="D452" s="116">
        <f>IF('ПРАЙС_ЛИСТ'!F635 &lt;&gt; 'ПРАЙС_ЛИСТ'!H635, 'ПРАЙС_ЛИСТ'!F635, "0")</f>
        <v>2600</v>
      </c>
      <c r="E452" s="114" t="s">
        <v>450</v>
      </c>
      <c r="F452" s="117" t="s">
        <v>421</v>
      </c>
      <c r="G452" s="109"/>
      <c r="H452" s="108" t="s">
        <v>410</v>
      </c>
      <c r="I452" s="122" t="s">
        <v>1077</v>
      </c>
      <c r="J452" s="119" t="s">
        <v>452</v>
      </c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  <c r="AA452" s="120"/>
    </row>
    <row r="453">
      <c r="A453" s="120"/>
      <c r="C453" s="108">
        <v>6.756746523332E12</v>
      </c>
      <c r="D453" s="121">
        <v>0.0</v>
      </c>
      <c r="E453" s="114" t="s">
        <v>454</v>
      </c>
      <c r="F453" s="117" t="s">
        <v>455</v>
      </c>
      <c r="G453" s="108" t="s">
        <v>398</v>
      </c>
      <c r="H453" s="108" t="s">
        <v>410</v>
      </c>
      <c r="I453" s="122" t="s">
        <v>1078</v>
      </c>
      <c r="J453" s="119" t="s">
        <v>457</v>
      </c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  <c r="AA453" s="120"/>
    </row>
    <row r="454">
      <c r="A454" s="120"/>
      <c r="C454" s="108">
        <v>6.756746523346E12</v>
      </c>
      <c r="D454" s="121">
        <v>0.0</v>
      </c>
      <c r="E454" s="114" t="s">
        <v>459</v>
      </c>
      <c r="F454" s="117" t="s">
        <v>442</v>
      </c>
      <c r="G454" s="108" t="s">
        <v>398</v>
      </c>
      <c r="H454" s="108" t="s">
        <v>393</v>
      </c>
      <c r="I454" s="118" t="s">
        <v>1079</v>
      </c>
      <c r="J454" s="119" t="s">
        <v>461</v>
      </c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  <c r="AA454" s="120"/>
    </row>
    <row r="455">
      <c r="A455" s="120"/>
      <c r="C455" s="108" t="s">
        <v>462</v>
      </c>
      <c r="D455" s="116">
        <f>IF('ПРАЙС_ЛИСТ'!F9 &lt;&gt; 'ПРАЙС_ЛИСТ'!H9, 'ПРАЙС_ЛИСТ'!F9, "0")</f>
        <v>1100</v>
      </c>
      <c r="E455" s="114" t="s">
        <v>463</v>
      </c>
      <c r="F455" s="117" t="s">
        <v>409</v>
      </c>
      <c r="G455" s="108"/>
      <c r="H455" s="108"/>
      <c r="I455" s="122" t="s">
        <v>464</v>
      </c>
      <c r="J455" s="119" t="s">
        <v>465</v>
      </c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  <c r="AA455" s="120"/>
    </row>
    <row r="456">
      <c r="A456" s="120"/>
      <c r="C456" s="113" t="s">
        <v>1080</v>
      </c>
      <c r="D456" s="116">
        <f>'ПРАЙС_ЛИСТ'!F643</f>
        <v>3800</v>
      </c>
      <c r="E456" s="114" t="s">
        <v>467</v>
      </c>
      <c r="F456" s="117" t="s">
        <v>468</v>
      </c>
      <c r="G456" s="108" t="s">
        <v>403</v>
      </c>
      <c r="H456" s="108" t="s">
        <v>393</v>
      </c>
      <c r="I456" s="118" t="s">
        <v>1081</v>
      </c>
      <c r="J456" s="119" t="s">
        <v>470</v>
      </c>
      <c r="K456" s="120"/>
      <c r="L456" s="114" t="s">
        <v>418</v>
      </c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  <c r="AA456" s="120"/>
    </row>
    <row r="457">
      <c r="A457" s="120"/>
      <c r="C457" s="108">
        <v>6.756746523337E12</v>
      </c>
      <c r="D457" s="116">
        <f>'ПРАЙС_ЛИСТ'!F636</f>
        <v>5800</v>
      </c>
      <c r="E457" s="114" t="s">
        <v>472</v>
      </c>
      <c r="F457" s="117" t="s">
        <v>468</v>
      </c>
      <c r="G457" s="108" t="s">
        <v>403</v>
      </c>
      <c r="H457" s="108" t="s">
        <v>393</v>
      </c>
      <c r="I457" s="122" t="s">
        <v>1082</v>
      </c>
      <c r="J457" s="119" t="s">
        <v>474</v>
      </c>
      <c r="K457" s="120"/>
      <c r="L457" s="114" t="s">
        <v>418</v>
      </c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  <c r="AA457" s="120"/>
    </row>
    <row r="458">
      <c r="A458" s="120"/>
      <c r="B458" s="115"/>
      <c r="C458" s="108"/>
      <c r="D458" s="109"/>
      <c r="E458" s="114"/>
      <c r="F458" s="117"/>
      <c r="G458" s="108"/>
      <c r="H458" s="108"/>
      <c r="I458" s="119"/>
      <c r="J458" s="119"/>
      <c r="K458" s="120"/>
      <c r="L458" s="114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  <c r="AA458" s="120"/>
    </row>
    <row r="459">
      <c r="A459" s="120"/>
      <c r="B459" s="115" t="s">
        <v>201</v>
      </c>
      <c r="C459" s="108">
        <v>6.756746523288E12</v>
      </c>
      <c r="D459" s="116">
        <f>IF('ПРАЙС_ЛИСТ'!F596 &lt;&gt; 'ПРАЙС_ЛИСТ'!H596, IF('ПРАЙС_ЛИСТ'!F596 = 1, 0, 'ПРАЙС_ЛИСТ'!F596), 0)</f>
        <v>6500</v>
      </c>
      <c r="E459" s="114" t="s">
        <v>391</v>
      </c>
      <c r="F459" s="117" t="s">
        <v>392</v>
      </c>
      <c r="G459" s="108"/>
      <c r="H459" s="108" t="s">
        <v>393</v>
      </c>
      <c r="I459" s="122" t="s">
        <v>1083</v>
      </c>
      <c r="J459" s="119" t="s">
        <v>395</v>
      </c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  <c r="AA459" s="120"/>
    </row>
    <row r="460">
      <c r="A460" s="120"/>
      <c r="C460" s="108">
        <v>6.756746523287E12</v>
      </c>
      <c r="D460" s="121">
        <v>0.0</v>
      </c>
      <c r="E460" s="114" t="s">
        <v>397</v>
      </c>
      <c r="F460" s="117" t="s">
        <v>392</v>
      </c>
      <c r="G460" s="108" t="s">
        <v>398</v>
      </c>
      <c r="H460" s="108" t="s">
        <v>393</v>
      </c>
      <c r="I460" s="118" t="s">
        <v>1084</v>
      </c>
      <c r="J460" s="119" t="s">
        <v>400</v>
      </c>
      <c r="K460" s="120"/>
      <c r="L460" s="114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  <c r="AA460" s="120"/>
    </row>
    <row r="461">
      <c r="A461" s="120"/>
      <c r="C461" s="108">
        <v>6.756746523285E12</v>
      </c>
      <c r="D461" s="109">
        <f t="array" ref="D461">MIN(IF('ПРАЙС_ЛИСТ'!F588:F592 &lt;&gt; 'ПРАЙС_ЛИСТ'!H588:H592, 'ПРАЙС_ЛИСТ'!F588:F592, ""))</f>
        <v>9500</v>
      </c>
      <c r="E461" s="114" t="s">
        <v>402</v>
      </c>
      <c r="F461" s="117" t="s">
        <v>392</v>
      </c>
      <c r="G461" s="108" t="s">
        <v>403</v>
      </c>
      <c r="H461" s="108" t="s">
        <v>393</v>
      </c>
      <c r="I461" s="118" t="s">
        <v>1085</v>
      </c>
      <c r="J461" s="119" t="s">
        <v>405</v>
      </c>
      <c r="K461" s="120"/>
      <c r="L461" s="114" t="s">
        <v>406</v>
      </c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  <c r="AA461" s="120"/>
    </row>
    <row r="462">
      <c r="A462" s="120"/>
      <c r="C462" s="108">
        <v>6.756746523293E12</v>
      </c>
      <c r="D462" s="116">
        <f>'ПРАЙС_ЛИСТ'!F602</f>
        <v>6500</v>
      </c>
      <c r="E462" s="114" t="s">
        <v>408</v>
      </c>
      <c r="F462" s="117" t="s">
        <v>409</v>
      </c>
      <c r="G462" s="108"/>
      <c r="H462" s="108" t="s">
        <v>410</v>
      </c>
      <c r="I462" s="118" t="s">
        <v>1086</v>
      </c>
      <c r="J462" s="119" t="s">
        <v>412</v>
      </c>
      <c r="K462" s="120"/>
      <c r="L462" s="114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  <c r="AA462" s="120"/>
    </row>
    <row r="463">
      <c r="A463" s="120"/>
      <c r="C463" s="108">
        <v>6.756746523295E12</v>
      </c>
      <c r="D463" s="116">
        <f>'ПРАЙС_ЛИСТ'!F609</f>
        <v>4500</v>
      </c>
      <c r="E463" s="114" t="s">
        <v>415</v>
      </c>
      <c r="F463" s="117" t="s">
        <v>392</v>
      </c>
      <c r="G463" s="108" t="s">
        <v>403</v>
      </c>
      <c r="H463" s="108" t="s">
        <v>393</v>
      </c>
      <c r="I463" s="122" t="s">
        <v>1087</v>
      </c>
      <c r="J463" s="119" t="s">
        <v>417</v>
      </c>
      <c r="K463" s="120"/>
      <c r="L463" s="114" t="s">
        <v>418</v>
      </c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  <c r="AA463" s="120"/>
    </row>
    <row r="464">
      <c r="A464" s="120"/>
      <c r="C464" s="108">
        <v>6.756746523277E12</v>
      </c>
      <c r="D464" s="108">
        <f t="array" ref="D464">MIN(IF('ПРАЙС_ЛИСТ'!F581:F586 &lt;&gt; 'ПРАЙС_ЛИСТ'!H581:H586, 'ПРАЙС_ЛИСТ'!F581:F586, ""))</f>
        <v>4100</v>
      </c>
      <c r="E464" s="114" t="s">
        <v>420</v>
      </c>
      <c r="F464" s="117" t="s">
        <v>421</v>
      </c>
      <c r="G464" s="108" t="s">
        <v>403</v>
      </c>
      <c r="H464" s="108" t="s">
        <v>410</v>
      </c>
      <c r="I464" s="118" t="s">
        <v>1088</v>
      </c>
      <c r="J464" s="119" t="s">
        <v>423</v>
      </c>
      <c r="K464" s="120"/>
      <c r="L464" s="114" t="s">
        <v>413</v>
      </c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  <c r="AA464" s="120"/>
    </row>
    <row r="465">
      <c r="A465" s="120"/>
      <c r="C465" s="108">
        <v>6.756746523296E12</v>
      </c>
      <c r="D465" s="116">
        <f>IF('ПРАЙС_ЛИСТ'!F587 &lt;&gt; 'ПРАЙС_ЛИСТ'!H587, 'ПРАЙС_ЛИСТ'!F587, "0")</f>
        <v>5500</v>
      </c>
      <c r="E465" s="114" t="s">
        <v>425</v>
      </c>
      <c r="F465" s="117" t="s">
        <v>421</v>
      </c>
      <c r="G465" s="109"/>
      <c r="H465" s="108" t="s">
        <v>393</v>
      </c>
      <c r="I465" s="118" t="s">
        <v>1089</v>
      </c>
      <c r="J465" s="119" t="s">
        <v>427</v>
      </c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  <c r="AA465" s="120"/>
    </row>
    <row r="466">
      <c r="A466" s="120"/>
      <c r="C466" s="108">
        <v>6.756746523284E12</v>
      </c>
      <c r="D466" s="116">
        <f>IF('ПРАЙС_ЛИСТ'!F607 &lt;&gt; 'ПРАЙС_ЛИСТ'!H607, 'ПРАЙС_ЛИСТ'!F607, "0")</f>
        <v>5700</v>
      </c>
      <c r="E466" s="114" t="s">
        <v>429</v>
      </c>
      <c r="F466" s="117" t="s">
        <v>392</v>
      </c>
      <c r="G466" s="109"/>
      <c r="H466" s="108" t="s">
        <v>393</v>
      </c>
      <c r="I466" s="122" t="s">
        <v>1090</v>
      </c>
      <c r="J466" s="119" t="s">
        <v>431</v>
      </c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  <c r="AA466" s="120"/>
    </row>
    <row r="467">
      <c r="A467" s="120"/>
      <c r="C467" s="108">
        <v>6.756746523282E12</v>
      </c>
      <c r="D467" s="116">
        <f>IF('ПРАЙС_ЛИСТ'!F605 &lt;&gt; 'ПРАЙС_ЛИСТ'!H605, 'ПРАЙС_ЛИСТ'!F605, "0")</f>
        <v>4000</v>
      </c>
      <c r="E467" s="114" t="s">
        <v>433</v>
      </c>
      <c r="F467" s="117" t="s">
        <v>421</v>
      </c>
      <c r="G467" s="109"/>
      <c r="H467" s="108" t="s">
        <v>393</v>
      </c>
      <c r="I467" s="122" t="s">
        <v>1091</v>
      </c>
      <c r="J467" s="119" t="s">
        <v>435</v>
      </c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  <c r="AA467" s="120"/>
    </row>
    <row r="468">
      <c r="A468" s="120"/>
      <c r="C468" s="108">
        <v>6.756746523283E12</v>
      </c>
      <c r="D468" s="116">
        <f>IF('ПРАЙС_ЛИСТ'!F606 &lt;&gt; 'ПРАЙС_ЛИСТ'!H606, 'ПРАЙС_ЛИСТ'!F606, "0")</f>
        <v>5050</v>
      </c>
      <c r="E468" s="114" t="s">
        <v>437</v>
      </c>
      <c r="F468" s="117" t="s">
        <v>421</v>
      </c>
      <c r="G468" s="109"/>
      <c r="H468" s="108" t="s">
        <v>393</v>
      </c>
      <c r="I468" s="122" t="s">
        <v>1092</v>
      </c>
      <c r="J468" s="119" t="s">
        <v>439</v>
      </c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  <c r="AA468" s="120"/>
    </row>
    <row r="469">
      <c r="A469" s="120"/>
      <c r="C469" s="108">
        <v>6.75674652329E12</v>
      </c>
      <c r="D469" s="116">
        <f>IF('ПРАЙС_ЛИСТ'!F598 &lt;&gt; 'ПРАЙС_ЛИСТ'!H598, 'ПРАЙС_ЛИСТ'!F598, "0")</f>
        <v>6500</v>
      </c>
      <c r="E469" s="114" t="s">
        <v>441</v>
      </c>
      <c r="F469" s="117" t="s">
        <v>442</v>
      </c>
      <c r="G469" s="109"/>
      <c r="H469" s="108" t="s">
        <v>393</v>
      </c>
      <c r="I469" s="118" t="s">
        <v>1093</v>
      </c>
      <c r="J469" s="119" t="s">
        <v>444</v>
      </c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  <c r="AA469" s="120"/>
    </row>
    <row r="470">
      <c r="A470" s="120"/>
      <c r="C470" s="108">
        <v>6.756746523291E12</v>
      </c>
      <c r="D470" s="116">
        <f>IF('ПРАЙС_ЛИСТ'!F599 &lt;&gt; 'ПРАЙС_ЛИСТ'!H599, 'ПРАЙС_ЛИСТ'!F599, "0")</f>
        <v>6900</v>
      </c>
      <c r="E470" s="114" t="s">
        <v>446</v>
      </c>
      <c r="F470" s="117" t="s">
        <v>421</v>
      </c>
      <c r="G470" s="109"/>
      <c r="H470" s="108" t="s">
        <v>393</v>
      </c>
      <c r="I470" s="118" t="s">
        <v>1094</v>
      </c>
      <c r="J470" s="119" t="s">
        <v>448</v>
      </c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  <c r="AA470" s="120"/>
    </row>
    <row r="471">
      <c r="A471" s="120"/>
      <c r="C471" s="108">
        <v>6.756746523289E12</v>
      </c>
      <c r="D471" s="116">
        <f>IF('ПРАЙС_ЛИСТ'!F600 &lt;&gt; 'ПРАЙС_ЛИСТ'!H600, 'ПРАЙС_ЛИСТ'!F600, "0")</f>
        <v>2600</v>
      </c>
      <c r="E471" s="114" t="s">
        <v>450</v>
      </c>
      <c r="F471" s="117" t="s">
        <v>421</v>
      </c>
      <c r="G471" s="109"/>
      <c r="H471" s="108" t="s">
        <v>410</v>
      </c>
      <c r="I471" s="122" t="s">
        <v>1095</v>
      </c>
      <c r="J471" s="119" t="s">
        <v>452</v>
      </c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  <c r="AA471" s="120"/>
    </row>
    <row r="472">
      <c r="A472" s="120"/>
      <c r="C472" s="108">
        <v>6.756746523292E12</v>
      </c>
      <c r="D472" s="121">
        <v>0.0</v>
      </c>
      <c r="E472" s="114" t="s">
        <v>454</v>
      </c>
      <c r="F472" s="117" t="s">
        <v>455</v>
      </c>
      <c r="G472" s="108" t="s">
        <v>398</v>
      </c>
      <c r="H472" s="108" t="s">
        <v>410</v>
      </c>
      <c r="I472" s="122" t="s">
        <v>1096</v>
      </c>
      <c r="J472" s="119" t="s">
        <v>457</v>
      </c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  <c r="AA472" s="120"/>
    </row>
    <row r="473">
      <c r="A473" s="120"/>
      <c r="C473" s="108">
        <v>6.756746523306E12</v>
      </c>
      <c r="D473" s="121">
        <v>0.0</v>
      </c>
      <c r="E473" s="114" t="s">
        <v>459</v>
      </c>
      <c r="F473" s="117" t="s">
        <v>442</v>
      </c>
      <c r="G473" s="108" t="s">
        <v>398</v>
      </c>
      <c r="H473" s="108" t="s">
        <v>393</v>
      </c>
      <c r="I473" s="118" t="s">
        <v>1097</v>
      </c>
      <c r="J473" s="119" t="s">
        <v>461</v>
      </c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  <c r="AA473" s="120"/>
    </row>
    <row r="474">
      <c r="A474" s="120"/>
      <c r="C474" s="108" t="s">
        <v>462</v>
      </c>
      <c r="D474" s="116">
        <f>IF('ПРАЙС_ЛИСТ'!F9 &lt;&gt; 'ПРАЙС_ЛИСТ'!H9, 'ПРАЙС_ЛИСТ'!F9, "0")</f>
        <v>1100</v>
      </c>
      <c r="E474" s="114" t="s">
        <v>463</v>
      </c>
      <c r="F474" s="117" t="s">
        <v>409</v>
      </c>
      <c r="G474" s="108"/>
      <c r="H474" s="108"/>
      <c r="I474" s="122" t="s">
        <v>464</v>
      </c>
      <c r="J474" s="119" t="s">
        <v>465</v>
      </c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  <c r="AA474" s="120"/>
    </row>
    <row r="475">
      <c r="A475" s="120"/>
      <c r="C475" s="113" t="s">
        <v>1098</v>
      </c>
      <c r="D475" s="116">
        <f>'ПРАЙС_ЛИСТ'!F608</f>
        <v>3800</v>
      </c>
      <c r="E475" s="114" t="s">
        <v>467</v>
      </c>
      <c r="F475" s="117" t="s">
        <v>468</v>
      </c>
      <c r="G475" s="108" t="s">
        <v>403</v>
      </c>
      <c r="H475" s="108" t="s">
        <v>393</v>
      </c>
      <c r="I475" s="118" t="s">
        <v>1099</v>
      </c>
      <c r="J475" s="119" t="s">
        <v>470</v>
      </c>
      <c r="K475" s="120"/>
      <c r="L475" s="114" t="s">
        <v>418</v>
      </c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  <c r="AA475" s="120"/>
    </row>
    <row r="476">
      <c r="A476" s="120"/>
      <c r="C476" s="108">
        <v>6.756746523297E12</v>
      </c>
      <c r="D476" s="116">
        <f>'ПРАЙС_ЛИСТ'!F601</f>
        <v>5800</v>
      </c>
      <c r="E476" s="114" t="s">
        <v>472</v>
      </c>
      <c r="F476" s="117" t="s">
        <v>468</v>
      </c>
      <c r="G476" s="108" t="s">
        <v>403</v>
      </c>
      <c r="H476" s="108" t="s">
        <v>393</v>
      </c>
      <c r="I476" s="122" t="s">
        <v>1100</v>
      </c>
      <c r="J476" s="119" t="s">
        <v>474</v>
      </c>
      <c r="K476" s="120"/>
      <c r="L476" s="114" t="s">
        <v>418</v>
      </c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  <c r="AA476" s="120"/>
    </row>
    <row r="477">
      <c r="A477" s="120"/>
      <c r="B477" s="115"/>
      <c r="C477" s="108"/>
      <c r="D477" s="109"/>
      <c r="E477" s="114"/>
      <c r="F477" s="117"/>
      <c r="G477" s="108"/>
      <c r="H477" s="108"/>
      <c r="I477" s="119"/>
      <c r="J477" s="119"/>
      <c r="K477" s="120"/>
      <c r="L477" s="114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  <c r="AA477" s="120"/>
    </row>
    <row r="478">
      <c r="A478" s="120"/>
      <c r="B478" s="115" t="s">
        <v>193</v>
      </c>
      <c r="C478" s="108">
        <v>6.756746523408E12</v>
      </c>
      <c r="D478" s="116">
        <f>IF('ПРАЙС_ЛИСТ'!F560 &lt;&gt; 'ПРАЙС_ЛИСТ'!H560, IF('ПРАЙС_ЛИСТ'!F560 = 1, 0, 'ПРАЙС_ЛИСТ'!F560), 0)</f>
        <v>6500</v>
      </c>
      <c r="E478" s="114" t="s">
        <v>391</v>
      </c>
      <c r="F478" s="117" t="s">
        <v>392</v>
      </c>
      <c r="G478" s="108"/>
      <c r="H478" s="108" t="s">
        <v>393</v>
      </c>
      <c r="I478" s="122" t="s">
        <v>1101</v>
      </c>
      <c r="J478" s="119" t="s">
        <v>395</v>
      </c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  <c r="AA478" s="120"/>
    </row>
    <row r="479">
      <c r="A479" s="120"/>
      <c r="C479" s="108">
        <v>6.756746523407E12</v>
      </c>
      <c r="D479" s="121">
        <v>0.0</v>
      </c>
      <c r="E479" s="114" t="s">
        <v>397</v>
      </c>
      <c r="F479" s="117" t="s">
        <v>392</v>
      </c>
      <c r="G479" s="108" t="s">
        <v>398</v>
      </c>
      <c r="H479" s="108" t="s">
        <v>393</v>
      </c>
      <c r="I479" s="118" t="s">
        <v>1102</v>
      </c>
      <c r="J479" s="119" t="s">
        <v>400</v>
      </c>
      <c r="K479" s="120"/>
      <c r="L479" s="114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  <c r="AA479" s="120"/>
    </row>
    <row r="480">
      <c r="A480" s="120"/>
      <c r="C480" s="108">
        <v>6.756746523405E12</v>
      </c>
      <c r="D480" s="109">
        <f t="array" ref="D480">MIN(IF('ПРАЙС_ЛИСТ'!F556:F557 &lt;&gt; 'ПРАЙС_ЛИСТ'!H556:H557, 'ПРАЙС_ЛИСТ'!F556:F557, ""))</f>
        <v>9700</v>
      </c>
      <c r="E480" s="114" t="s">
        <v>402</v>
      </c>
      <c r="F480" s="117" t="s">
        <v>392</v>
      </c>
      <c r="G480" s="108" t="s">
        <v>403</v>
      </c>
      <c r="H480" s="108" t="s">
        <v>393</v>
      </c>
      <c r="I480" s="118" t="s">
        <v>1103</v>
      </c>
      <c r="J480" s="119" t="s">
        <v>405</v>
      </c>
      <c r="K480" s="120"/>
      <c r="L480" s="114" t="s">
        <v>406</v>
      </c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  <c r="AA480" s="120"/>
    </row>
    <row r="481">
      <c r="A481" s="120"/>
      <c r="C481" s="108">
        <v>6.756746523413E12</v>
      </c>
      <c r="D481" s="116">
        <f>'ПРАЙС_ЛИСТ'!F566</f>
        <v>6000</v>
      </c>
      <c r="E481" s="114" t="s">
        <v>408</v>
      </c>
      <c r="F481" s="117" t="s">
        <v>409</v>
      </c>
      <c r="G481" s="108"/>
      <c r="H481" s="108" t="s">
        <v>410</v>
      </c>
      <c r="I481" s="118" t="s">
        <v>1104</v>
      </c>
      <c r="J481" s="119" t="s">
        <v>412</v>
      </c>
      <c r="K481" s="120"/>
      <c r="L481" s="114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  <c r="AA481" s="120"/>
    </row>
    <row r="482">
      <c r="A482" s="120"/>
      <c r="C482" s="108">
        <v>6.756746523415E12</v>
      </c>
      <c r="D482" s="116">
        <f>'ПРАЙС_ЛИСТ'!F573</f>
        <v>3500</v>
      </c>
      <c r="E482" s="114" t="s">
        <v>415</v>
      </c>
      <c r="F482" s="117" t="s">
        <v>392</v>
      </c>
      <c r="G482" s="108" t="s">
        <v>403</v>
      </c>
      <c r="H482" s="108" t="s">
        <v>393</v>
      </c>
      <c r="I482" s="122" t="s">
        <v>1105</v>
      </c>
      <c r="J482" s="119" t="s">
        <v>417</v>
      </c>
      <c r="K482" s="120"/>
      <c r="L482" s="114" t="s">
        <v>418</v>
      </c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  <c r="AA482" s="120"/>
    </row>
    <row r="483">
      <c r="A483" s="120"/>
      <c r="C483" s="108">
        <v>6.756746523397E12</v>
      </c>
      <c r="D483" s="108">
        <f t="array" ref="D483">MIN(IF('ПРАЙС_ЛИСТ'!F553:F554 &lt;&gt; 'ПРАЙС_ЛИСТ'!H553:H554, 'ПРАЙС_ЛИСТ'!F553:F554, ""))</f>
        <v>4000</v>
      </c>
      <c r="E483" s="114" t="s">
        <v>420</v>
      </c>
      <c r="F483" s="117" t="s">
        <v>421</v>
      </c>
      <c r="G483" s="108" t="s">
        <v>403</v>
      </c>
      <c r="H483" s="108" t="s">
        <v>410</v>
      </c>
      <c r="I483" s="118" t="s">
        <v>1106</v>
      </c>
      <c r="J483" s="119" t="s">
        <v>423</v>
      </c>
      <c r="K483" s="120"/>
      <c r="L483" s="114" t="s">
        <v>413</v>
      </c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  <c r="AA483" s="120"/>
    </row>
    <row r="484">
      <c r="A484" s="120"/>
      <c r="C484" s="108">
        <v>6.756746523416E12</v>
      </c>
      <c r="D484" s="116">
        <f>IF('ПРАЙС_ЛИСТ'!F555 &lt;&gt; 'ПРАЙС_ЛИСТ'!H555, 'ПРАЙС_ЛИСТ'!F555, "0")</f>
        <v>5550</v>
      </c>
      <c r="E484" s="114" t="s">
        <v>425</v>
      </c>
      <c r="F484" s="117" t="s">
        <v>421</v>
      </c>
      <c r="G484" s="109"/>
      <c r="H484" s="108" t="s">
        <v>393</v>
      </c>
      <c r="I484" s="118" t="s">
        <v>1107</v>
      </c>
      <c r="J484" s="119" t="s">
        <v>427</v>
      </c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  <c r="AA484" s="120"/>
    </row>
    <row r="485">
      <c r="A485" s="120"/>
      <c r="C485" s="108">
        <v>6.756746523404E12</v>
      </c>
      <c r="D485" s="116">
        <f>IF('ПРАЙС_ЛИСТ'!F571 &lt;&gt; 'ПРАЙС_ЛИСТ'!H571, 'ПРАЙС_ЛИСТ'!F571, "0")</f>
        <v>5950</v>
      </c>
      <c r="E485" s="114" t="s">
        <v>429</v>
      </c>
      <c r="F485" s="117" t="s">
        <v>392</v>
      </c>
      <c r="G485" s="109"/>
      <c r="H485" s="108" t="s">
        <v>393</v>
      </c>
      <c r="I485" s="122" t="s">
        <v>1108</v>
      </c>
      <c r="J485" s="119" t="s">
        <v>431</v>
      </c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  <c r="AA485" s="120"/>
    </row>
    <row r="486">
      <c r="A486" s="120"/>
      <c r="C486" s="108">
        <v>6.756746523402E12</v>
      </c>
      <c r="D486" s="116">
        <f>IF('ПРАЙС_ЛИСТ'!F569 &lt;&gt; 'ПРАЙС_ЛИСТ'!H569, 'ПРАЙС_ЛИСТ'!F569, "0")</f>
        <v>4500</v>
      </c>
      <c r="E486" s="114" t="s">
        <v>433</v>
      </c>
      <c r="F486" s="117" t="s">
        <v>421</v>
      </c>
      <c r="G486" s="109"/>
      <c r="H486" s="108" t="s">
        <v>393</v>
      </c>
      <c r="I486" s="122" t="s">
        <v>1109</v>
      </c>
      <c r="J486" s="119" t="s">
        <v>435</v>
      </c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  <c r="AA486" s="120"/>
    </row>
    <row r="487">
      <c r="A487" s="120"/>
      <c r="C487" s="108">
        <v>6.756746523403E12</v>
      </c>
      <c r="D487" s="116">
        <f>IF('ПРАЙС_ЛИСТ'!F570 &lt;&gt; 'ПРАЙС_ЛИСТ'!H570, 'ПРАЙС_ЛИСТ'!F570, "0")</f>
        <v>4500</v>
      </c>
      <c r="E487" s="114" t="s">
        <v>437</v>
      </c>
      <c r="F487" s="117" t="s">
        <v>421</v>
      </c>
      <c r="G487" s="109"/>
      <c r="H487" s="108" t="s">
        <v>393</v>
      </c>
      <c r="I487" s="122" t="s">
        <v>1110</v>
      </c>
      <c r="J487" s="119" t="s">
        <v>439</v>
      </c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  <c r="AA487" s="120"/>
    </row>
    <row r="488">
      <c r="A488" s="120"/>
      <c r="C488" s="108">
        <v>6.75674652341E12</v>
      </c>
      <c r="D488" s="116">
        <f>IF('ПРАЙС_ЛИСТ'!F562 &lt;&gt; 'ПРАЙС_ЛИСТ'!H562, 'ПРАЙС_ЛИСТ'!F562, "0")</f>
        <v>7500</v>
      </c>
      <c r="E488" s="114" t="s">
        <v>441</v>
      </c>
      <c r="F488" s="117" t="s">
        <v>442</v>
      </c>
      <c r="G488" s="109"/>
      <c r="H488" s="108" t="s">
        <v>393</v>
      </c>
      <c r="I488" s="118" t="s">
        <v>1111</v>
      </c>
      <c r="J488" s="119" t="s">
        <v>444</v>
      </c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  <c r="AA488" s="120"/>
    </row>
    <row r="489">
      <c r="A489" s="120"/>
      <c r="C489" s="108">
        <v>6.756746523411E12</v>
      </c>
      <c r="D489" s="116">
        <f>IF('ПРАЙС_ЛИСТ'!F563 &lt;&gt; 'ПРАЙС_ЛИСТ'!H563, 'ПРАЙС_ЛИСТ'!F563, "0")</f>
        <v>5900</v>
      </c>
      <c r="E489" s="114" t="s">
        <v>446</v>
      </c>
      <c r="F489" s="117" t="s">
        <v>421</v>
      </c>
      <c r="G489" s="109"/>
      <c r="H489" s="108" t="s">
        <v>393</v>
      </c>
      <c r="I489" s="118" t="s">
        <v>1112</v>
      </c>
      <c r="J489" s="119" t="s">
        <v>448</v>
      </c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  <c r="AA489" s="120"/>
    </row>
    <row r="490">
      <c r="A490" s="120"/>
      <c r="C490" s="108">
        <v>6.756746523409E12</v>
      </c>
      <c r="D490" s="116">
        <f>IF('ПРАЙС_ЛИСТ'!F564 &lt;&gt; 'ПРАЙС_ЛИСТ'!H564, 'ПРАЙС_ЛИСТ'!F564, "0")</f>
        <v>2500</v>
      </c>
      <c r="E490" s="114" t="s">
        <v>450</v>
      </c>
      <c r="F490" s="117" t="s">
        <v>421</v>
      </c>
      <c r="G490" s="109"/>
      <c r="H490" s="108" t="s">
        <v>410</v>
      </c>
      <c r="I490" s="122" t="s">
        <v>1113</v>
      </c>
      <c r="J490" s="119" t="s">
        <v>452</v>
      </c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  <c r="AA490" s="120"/>
    </row>
    <row r="491">
      <c r="A491" s="120"/>
      <c r="C491" s="108">
        <v>6.756746523412E12</v>
      </c>
      <c r="D491" s="121">
        <v>0.0</v>
      </c>
      <c r="E491" s="114" t="s">
        <v>454</v>
      </c>
      <c r="F491" s="117" t="s">
        <v>455</v>
      </c>
      <c r="G491" s="108" t="s">
        <v>398</v>
      </c>
      <c r="H491" s="108" t="s">
        <v>410</v>
      </c>
      <c r="I491" s="122" t="s">
        <v>1114</v>
      </c>
      <c r="J491" s="119" t="s">
        <v>457</v>
      </c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  <c r="AA491" s="120"/>
    </row>
    <row r="492">
      <c r="A492" s="120"/>
      <c r="C492" s="108">
        <v>6.756746523426E12</v>
      </c>
      <c r="D492" s="121">
        <v>0.0</v>
      </c>
      <c r="E492" s="114" t="s">
        <v>459</v>
      </c>
      <c r="F492" s="117" t="s">
        <v>442</v>
      </c>
      <c r="G492" s="108" t="s">
        <v>398</v>
      </c>
      <c r="H492" s="108" t="s">
        <v>393</v>
      </c>
      <c r="I492" s="118" t="s">
        <v>1115</v>
      </c>
      <c r="J492" s="119" t="s">
        <v>461</v>
      </c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  <c r="AA492" s="120"/>
    </row>
    <row r="493">
      <c r="A493" s="120"/>
      <c r="C493" s="108" t="s">
        <v>462</v>
      </c>
      <c r="D493" s="116">
        <f>IF('ПРАЙС_ЛИСТ'!F9 &lt;&gt; 'ПРАЙС_ЛИСТ'!H9, 'ПРАЙС_ЛИСТ'!F9, "0")</f>
        <v>1100</v>
      </c>
      <c r="E493" s="114" t="s">
        <v>463</v>
      </c>
      <c r="F493" s="117" t="s">
        <v>409</v>
      </c>
      <c r="G493" s="108"/>
      <c r="H493" s="108"/>
      <c r="I493" s="122" t="s">
        <v>464</v>
      </c>
      <c r="J493" s="119" t="s">
        <v>465</v>
      </c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  <c r="AA493" s="120"/>
    </row>
    <row r="494">
      <c r="A494" s="120"/>
      <c r="C494" s="113" t="s">
        <v>1116</v>
      </c>
      <c r="D494" s="116">
        <f>'ПРАЙС_ЛИСТ'!F572</f>
        <v>3000</v>
      </c>
      <c r="E494" s="114" t="s">
        <v>467</v>
      </c>
      <c r="F494" s="117" t="s">
        <v>468</v>
      </c>
      <c r="G494" s="108" t="s">
        <v>403</v>
      </c>
      <c r="H494" s="108" t="s">
        <v>393</v>
      </c>
      <c r="I494" s="118" t="s">
        <v>1117</v>
      </c>
      <c r="J494" s="119" t="s">
        <v>470</v>
      </c>
      <c r="K494" s="120"/>
      <c r="L494" s="114" t="s">
        <v>418</v>
      </c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  <c r="AA494" s="120"/>
    </row>
    <row r="495">
      <c r="A495" s="120"/>
      <c r="C495" s="108">
        <v>6.756746523417E12</v>
      </c>
      <c r="D495" s="116">
        <f>'ПРАЙС_ЛИСТ'!F565</f>
        <v>5000</v>
      </c>
      <c r="E495" s="114" t="s">
        <v>472</v>
      </c>
      <c r="F495" s="117" t="s">
        <v>468</v>
      </c>
      <c r="G495" s="108" t="s">
        <v>403</v>
      </c>
      <c r="H495" s="108" t="s">
        <v>393</v>
      </c>
      <c r="I495" s="122" t="s">
        <v>1118</v>
      </c>
      <c r="J495" s="119" t="s">
        <v>474</v>
      </c>
      <c r="K495" s="120"/>
      <c r="L495" s="114" t="s">
        <v>418</v>
      </c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  <c r="AA495" s="120"/>
    </row>
    <row r="496">
      <c r="A496" s="120"/>
      <c r="B496" s="115"/>
      <c r="C496" s="108"/>
      <c r="D496" s="109"/>
      <c r="E496" s="114"/>
      <c r="F496" s="117"/>
      <c r="G496" s="108"/>
      <c r="H496" s="108"/>
      <c r="I496" s="119"/>
      <c r="J496" s="119"/>
      <c r="K496" s="120"/>
      <c r="L496" s="114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  <c r="AA496" s="120"/>
    </row>
    <row r="497">
      <c r="A497" s="120"/>
      <c r="B497" s="115" t="s">
        <v>185</v>
      </c>
      <c r="C497" s="108">
        <v>6.756746523368E12</v>
      </c>
      <c r="D497" s="116">
        <f>IF('ПРАЙС_ЛИСТ'!F532 &lt;&gt; 'ПРАЙС_ЛИСТ'!H532, IF('ПРАЙС_ЛИСТ'!F532 = 1, 0, 'ПРАЙС_ЛИСТ'!F532), 0)</f>
        <v>6000</v>
      </c>
      <c r="E497" s="114" t="s">
        <v>391</v>
      </c>
      <c r="F497" s="117" t="s">
        <v>392</v>
      </c>
      <c r="G497" s="108"/>
      <c r="H497" s="108" t="s">
        <v>393</v>
      </c>
      <c r="I497" s="122" t="s">
        <v>1119</v>
      </c>
      <c r="J497" s="119" t="s">
        <v>395</v>
      </c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  <c r="AA497" s="120"/>
    </row>
    <row r="498">
      <c r="A498" s="120"/>
      <c r="C498" s="108">
        <v>6.756746523367E12</v>
      </c>
      <c r="D498" s="121">
        <v>0.0</v>
      </c>
      <c r="E498" s="114" t="s">
        <v>397</v>
      </c>
      <c r="F498" s="117" t="s">
        <v>392</v>
      </c>
      <c r="G498" s="108" t="s">
        <v>398</v>
      </c>
      <c r="H498" s="108" t="s">
        <v>393</v>
      </c>
      <c r="I498" s="118" t="s">
        <v>1120</v>
      </c>
      <c r="J498" s="119" t="s">
        <v>400</v>
      </c>
      <c r="K498" s="120"/>
      <c r="L498" s="114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  <c r="AA498" s="120"/>
    </row>
    <row r="499">
      <c r="A499" s="120"/>
      <c r="C499" s="108">
        <v>6.756746523365E12</v>
      </c>
      <c r="D499" s="109">
        <f t="array" ref="D499">MIN(IF('ПРАЙС_ЛИСТ'!F528:F529 &lt;&gt; 'ПРАЙС_ЛИСТ'!H528:H529, 'ПРАЙС_ЛИСТ'!F528:F529, ""))</f>
        <v>9000</v>
      </c>
      <c r="E499" s="114" t="s">
        <v>402</v>
      </c>
      <c r="F499" s="117" t="s">
        <v>392</v>
      </c>
      <c r="G499" s="108" t="s">
        <v>403</v>
      </c>
      <c r="H499" s="108" t="s">
        <v>393</v>
      </c>
      <c r="I499" s="118" t="s">
        <v>1121</v>
      </c>
      <c r="J499" s="119" t="s">
        <v>405</v>
      </c>
      <c r="K499" s="120"/>
      <c r="L499" s="114" t="s">
        <v>406</v>
      </c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  <c r="AA499" s="120"/>
    </row>
    <row r="500">
      <c r="A500" s="120"/>
      <c r="C500" s="108">
        <v>6.756746523373E12</v>
      </c>
      <c r="D500" s="116">
        <f>'ПРАЙС_ЛИСТ'!F538</f>
        <v>6000</v>
      </c>
      <c r="E500" s="114" t="s">
        <v>408</v>
      </c>
      <c r="F500" s="117" t="s">
        <v>409</v>
      </c>
      <c r="G500" s="108"/>
      <c r="H500" s="108" t="s">
        <v>410</v>
      </c>
      <c r="I500" s="118" t="s">
        <v>1122</v>
      </c>
      <c r="J500" s="119" t="s">
        <v>412</v>
      </c>
      <c r="K500" s="120"/>
      <c r="L500" s="114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  <c r="AA500" s="120"/>
    </row>
    <row r="501">
      <c r="A501" s="120"/>
      <c r="C501" s="108">
        <v>6.756746523375E12</v>
      </c>
      <c r="D501" s="116">
        <f>'ПРАЙС_ЛИСТ'!F545</f>
        <v>3500</v>
      </c>
      <c r="E501" s="114" t="s">
        <v>415</v>
      </c>
      <c r="F501" s="117" t="s">
        <v>392</v>
      </c>
      <c r="G501" s="108" t="s">
        <v>403</v>
      </c>
      <c r="H501" s="108" t="s">
        <v>393</v>
      </c>
      <c r="I501" s="122" t="s">
        <v>1123</v>
      </c>
      <c r="J501" s="119" t="s">
        <v>417</v>
      </c>
      <c r="K501" s="120"/>
      <c r="L501" s="114" t="s">
        <v>418</v>
      </c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  <c r="AA501" s="120"/>
    </row>
    <row r="502">
      <c r="A502" s="120"/>
      <c r="C502" s="108">
        <v>6.756746523357E12</v>
      </c>
      <c r="D502" s="108">
        <f t="array" ref="D502">MIN(IF('ПРАЙС_ЛИСТ'!F525:F526 &lt;&gt; 'ПРАЙС_ЛИСТ'!H525:H526, 'ПРАЙС_ЛИСТ'!F525:F526, ""))</f>
        <v>4000</v>
      </c>
      <c r="E502" s="114" t="s">
        <v>420</v>
      </c>
      <c r="F502" s="117" t="s">
        <v>421</v>
      </c>
      <c r="G502" s="108" t="s">
        <v>403</v>
      </c>
      <c r="H502" s="108" t="s">
        <v>410</v>
      </c>
      <c r="I502" s="118" t="s">
        <v>1124</v>
      </c>
      <c r="J502" s="119" t="s">
        <v>423</v>
      </c>
      <c r="K502" s="120"/>
      <c r="L502" s="114" t="s">
        <v>413</v>
      </c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  <c r="AA502" s="120"/>
    </row>
    <row r="503">
      <c r="A503" s="120"/>
      <c r="C503" s="108">
        <v>6.756746523376E12</v>
      </c>
      <c r="D503" s="116">
        <f>IF('ПРАЙС_ЛИСТ'!F527 &lt;&gt; 'ПРАЙС_ЛИСТ'!H527, 'ПРАЙС_ЛИСТ'!F527, "0")</f>
        <v>4850</v>
      </c>
      <c r="E503" s="114" t="s">
        <v>425</v>
      </c>
      <c r="F503" s="117" t="s">
        <v>421</v>
      </c>
      <c r="G503" s="109"/>
      <c r="H503" s="108" t="s">
        <v>393</v>
      </c>
      <c r="I503" s="118" t="s">
        <v>1125</v>
      </c>
      <c r="J503" s="119" t="s">
        <v>427</v>
      </c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  <c r="AA503" s="120"/>
    </row>
    <row r="504">
      <c r="A504" s="120"/>
      <c r="C504" s="108">
        <v>6.756746523364E12</v>
      </c>
      <c r="D504" s="116">
        <f>IF('ПРАЙС_ЛИСТ'!F543 &lt;&gt; 'ПРАЙС_ЛИСТ'!H543, 'ПРАЙС_ЛИСТ'!F543, "0")</f>
        <v>5250</v>
      </c>
      <c r="E504" s="114" t="s">
        <v>429</v>
      </c>
      <c r="F504" s="117" t="s">
        <v>392</v>
      </c>
      <c r="G504" s="109"/>
      <c r="H504" s="108" t="s">
        <v>393</v>
      </c>
      <c r="I504" s="122" t="s">
        <v>1126</v>
      </c>
      <c r="J504" s="119" t="s">
        <v>431</v>
      </c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  <c r="AA504" s="120"/>
    </row>
    <row r="505">
      <c r="A505" s="120"/>
      <c r="C505" s="108">
        <v>6.756746523362E12</v>
      </c>
      <c r="D505" s="116">
        <f>IF('ПРАЙС_ЛИСТ'!F541 &lt;&gt; 'ПРАЙС_ЛИСТ'!H541, 'ПРАЙС_ЛИСТ'!F541, "0")</f>
        <v>4000</v>
      </c>
      <c r="E505" s="114" t="s">
        <v>433</v>
      </c>
      <c r="F505" s="117" t="s">
        <v>421</v>
      </c>
      <c r="G505" s="109"/>
      <c r="H505" s="108" t="s">
        <v>393</v>
      </c>
      <c r="I505" s="122" t="s">
        <v>1127</v>
      </c>
      <c r="J505" s="119" t="s">
        <v>435</v>
      </c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  <c r="AA505" s="120"/>
    </row>
    <row r="506">
      <c r="A506" s="120"/>
      <c r="C506" s="108">
        <v>6.756746523363E12</v>
      </c>
      <c r="D506" s="116">
        <f>IF('ПРАЙС_ЛИСТ'!F542 &lt;&gt; 'ПРАЙС_ЛИСТ'!H542, 'ПРАЙС_ЛИСТ'!F542, "0")</f>
        <v>4000</v>
      </c>
      <c r="E506" s="114" t="s">
        <v>437</v>
      </c>
      <c r="F506" s="117" t="s">
        <v>421</v>
      </c>
      <c r="G506" s="109"/>
      <c r="H506" s="108" t="s">
        <v>393</v>
      </c>
      <c r="I506" s="122" t="s">
        <v>1128</v>
      </c>
      <c r="J506" s="119" t="s">
        <v>439</v>
      </c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  <c r="AA506" s="120"/>
    </row>
    <row r="507">
      <c r="A507" s="120"/>
      <c r="C507" s="108">
        <v>6.75674652337E12</v>
      </c>
      <c r="D507" s="116">
        <f>IF('ПРАЙС_ЛИСТ'!F534 &lt;&gt; 'ПРАЙС_ЛИСТ'!H534, 'ПРАЙС_ЛИСТ'!F534, "0")</f>
        <v>7500</v>
      </c>
      <c r="E507" s="114" t="s">
        <v>441</v>
      </c>
      <c r="F507" s="117" t="s">
        <v>442</v>
      </c>
      <c r="G507" s="109"/>
      <c r="H507" s="108" t="s">
        <v>393</v>
      </c>
      <c r="I507" s="118" t="s">
        <v>1129</v>
      </c>
      <c r="J507" s="119" t="s">
        <v>444</v>
      </c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  <c r="AA507" s="120"/>
    </row>
    <row r="508">
      <c r="A508" s="120"/>
      <c r="C508" s="108">
        <v>6.756746523371E12</v>
      </c>
      <c r="D508" s="116">
        <f>IF('ПРАЙС_ЛИСТ'!F535 &lt;&gt; 'ПРАЙС_ЛИСТ'!H535, 'ПРАЙС_ЛИСТ'!F535, "0")</f>
        <v>5900</v>
      </c>
      <c r="E508" s="114" t="s">
        <v>446</v>
      </c>
      <c r="F508" s="117" t="s">
        <v>421</v>
      </c>
      <c r="G508" s="109"/>
      <c r="H508" s="108" t="s">
        <v>393</v>
      </c>
      <c r="I508" s="118" t="s">
        <v>1130</v>
      </c>
      <c r="J508" s="119" t="s">
        <v>448</v>
      </c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  <c r="AA508" s="120"/>
    </row>
    <row r="509">
      <c r="A509" s="120"/>
      <c r="C509" s="108">
        <v>6.756746523369E12</v>
      </c>
      <c r="D509" s="116">
        <f>IF('ПРАЙС_ЛИСТ'!F536 &lt;&gt; 'ПРАЙС_ЛИСТ'!H536, 'ПРАЙС_ЛИСТ'!F536, "0")</f>
        <v>2500</v>
      </c>
      <c r="E509" s="114" t="s">
        <v>450</v>
      </c>
      <c r="F509" s="117" t="s">
        <v>421</v>
      </c>
      <c r="G509" s="109"/>
      <c r="H509" s="108" t="s">
        <v>410</v>
      </c>
      <c r="I509" s="122" t="s">
        <v>1131</v>
      </c>
      <c r="J509" s="119" t="s">
        <v>452</v>
      </c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  <c r="AA509" s="120"/>
    </row>
    <row r="510">
      <c r="A510" s="120"/>
      <c r="C510" s="108">
        <v>6.756746523372E12</v>
      </c>
      <c r="D510" s="121">
        <v>0.0</v>
      </c>
      <c r="E510" s="114" t="s">
        <v>454</v>
      </c>
      <c r="F510" s="117" t="s">
        <v>455</v>
      </c>
      <c r="G510" s="108" t="s">
        <v>398</v>
      </c>
      <c r="H510" s="108" t="s">
        <v>410</v>
      </c>
      <c r="I510" s="122" t="s">
        <v>1132</v>
      </c>
      <c r="J510" s="119" t="s">
        <v>457</v>
      </c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  <c r="AA510" s="120"/>
    </row>
    <row r="511">
      <c r="A511" s="120"/>
      <c r="C511" s="108">
        <v>6.756746523386E12</v>
      </c>
      <c r="D511" s="121">
        <v>0.0</v>
      </c>
      <c r="E511" s="114" t="s">
        <v>459</v>
      </c>
      <c r="F511" s="117" t="s">
        <v>442</v>
      </c>
      <c r="G511" s="108" t="s">
        <v>398</v>
      </c>
      <c r="H511" s="108" t="s">
        <v>393</v>
      </c>
      <c r="I511" s="118" t="s">
        <v>1133</v>
      </c>
      <c r="J511" s="119" t="s">
        <v>461</v>
      </c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  <c r="AA511" s="120"/>
    </row>
    <row r="512">
      <c r="A512" s="120"/>
      <c r="C512" s="108" t="s">
        <v>462</v>
      </c>
      <c r="D512" s="116">
        <f>IF('ПРАЙС_ЛИСТ'!F9 &lt;&gt; 'ПРАЙС_ЛИСТ'!H9, 'ПРАЙС_ЛИСТ'!F9, "0")</f>
        <v>1100</v>
      </c>
      <c r="E512" s="114" t="s">
        <v>463</v>
      </c>
      <c r="F512" s="117" t="s">
        <v>409</v>
      </c>
      <c r="G512" s="108"/>
      <c r="H512" s="108"/>
      <c r="I512" s="122" t="s">
        <v>464</v>
      </c>
      <c r="J512" s="119" t="s">
        <v>465</v>
      </c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  <c r="AA512" s="120"/>
    </row>
    <row r="513">
      <c r="A513" s="120"/>
      <c r="C513" s="113" t="s">
        <v>1134</v>
      </c>
      <c r="D513" s="116">
        <f>'ПРАЙС_ЛИСТ'!F544</f>
        <v>3000</v>
      </c>
      <c r="E513" s="114" t="s">
        <v>467</v>
      </c>
      <c r="F513" s="117" t="s">
        <v>468</v>
      </c>
      <c r="G513" s="108" t="s">
        <v>403</v>
      </c>
      <c r="H513" s="108" t="s">
        <v>393</v>
      </c>
      <c r="I513" s="118" t="s">
        <v>1135</v>
      </c>
      <c r="J513" s="119" t="s">
        <v>470</v>
      </c>
      <c r="K513" s="120"/>
      <c r="L513" s="114" t="s">
        <v>418</v>
      </c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  <c r="AA513" s="120"/>
    </row>
    <row r="514">
      <c r="A514" s="120"/>
      <c r="C514" s="108">
        <v>6.756746523377E12</v>
      </c>
      <c r="D514" s="116">
        <f>'ПРАЙС_ЛИСТ'!F537</f>
        <v>5000</v>
      </c>
      <c r="E514" s="114" t="s">
        <v>472</v>
      </c>
      <c r="F514" s="117" t="s">
        <v>468</v>
      </c>
      <c r="G514" s="108" t="s">
        <v>403</v>
      </c>
      <c r="H514" s="108" t="s">
        <v>393</v>
      </c>
      <c r="I514" s="122" t="s">
        <v>1136</v>
      </c>
      <c r="J514" s="119" t="s">
        <v>474</v>
      </c>
      <c r="K514" s="120"/>
      <c r="L514" s="114" t="s">
        <v>418</v>
      </c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  <c r="AA514" s="120"/>
    </row>
    <row r="515">
      <c r="A515" s="120"/>
      <c r="B515" s="115"/>
      <c r="C515" s="108"/>
      <c r="D515" s="109"/>
      <c r="E515" s="114"/>
      <c r="F515" s="117"/>
      <c r="G515" s="108"/>
      <c r="H515" s="108"/>
      <c r="I515" s="119"/>
      <c r="J515" s="119"/>
      <c r="K515" s="120"/>
      <c r="L515" s="114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  <c r="AA515" s="120"/>
    </row>
    <row r="516">
      <c r="A516" s="120"/>
      <c r="B516" s="115" t="s">
        <v>183</v>
      </c>
      <c r="C516" s="108">
        <v>6.756746522799E12</v>
      </c>
      <c r="D516" s="116">
        <f>IF('ПРАЙС_ЛИСТ'!F504 &lt;&gt; 'ПРАЙС_ЛИСТ'!H504, IF('ПРАЙС_ЛИСТ'!F504 = 1, 0, 'ПРАЙС_ЛИСТ'!F504), 0)</f>
        <v>4000</v>
      </c>
      <c r="E516" s="114" t="s">
        <v>391</v>
      </c>
      <c r="F516" s="117" t="s">
        <v>392</v>
      </c>
      <c r="G516" s="108"/>
      <c r="H516" s="108" t="s">
        <v>393</v>
      </c>
      <c r="I516" s="122" t="s">
        <v>1137</v>
      </c>
      <c r="J516" s="119" t="s">
        <v>395</v>
      </c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  <c r="AA516" s="120"/>
    </row>
    <row r="517">
      <c r="A517" s="120"/>
      <c r="C517" s="108">
        <v>6.756746522798E12</v>
      </c>
      <c r="D517" s="121">
        <v>0.0</v>
      </c>
      <c r="E517" s="114" t="s">
        <v>397</v>
      </c>
      <c r="F517" s="117" t="s">
        <v>392</v>
      </c>
      <c r="G517" s="108" t="s">
        <v>398</v>
      </c>
      <c r="H517" s="108" t="s">
        <v>393</v>
      </c>
      <c r="I517" s="118" t="s">
        <v>1138</v>
      </c>
      <c r="J517" s="119" t="s">
        <v>400</v>
      </c>
      <c r="K517" s="120"/>
      <c r="L517" s="114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  <c r="AA517" s="120"/>
    </row>
    <row r="518">
      <c r="A518" s="120"/>
      <c r="C518" s="108" t="s">
        <v>1139</v>
      </c>
      <c r="D518" s="109">
        <f t="array" ref="D518">MIN(IF('ПРАЙС_ЛИСТ'!F500:F501 &lt;&gt; 'ПРАЙС_ЛИСТ'!H500:H501, 'ПРАЙС_ЛИСТ'!F500:F501, ""))</f>
        <v>5500</v>
      </c>
      <c r="E518" s="114" t="s">
        <v>402</v>
      </c>
      <c r="F518" s="117" t="s">
        <v>392</v>
      </c>
      <c r="G518" s="108" t="s">
        <v>403</v>
      </c>
      <c r="H518" s="108" t="s">
        <v>393</v>
      </c>
      <c r="I518" s="118" t="s">
        <v>1140</v>
      </c>
      <c r="J518" s="119" t="s">
        <v>405</v>
      </c>
      <c r="K518" s="120"/>
      <c r="L518" s="114" t="s">
        <v>406</v>
      </c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  <c r="AA518" s="120"/>
    </row>
    <row r="519">
      <c r="A519" s="120"/>
      <c r="C519" s="108">
        <v>6.756746522804E12</v>
      </c>
      <c r="D519" s="116">
        <f>'ПРАЙС_ЛИСТ'!F510</f>
        <v>6000</v>
      </c>
      <c r="E519" s="114" t="s">
        <v>408</v>
      </c>
      <c r="F519" s="117" t="s">
        <v>409</v>
      </c>
      <c r="G519" s="108"/>
      <c r="H519" s="108" t="s">
        <v>410</v>
      </c>
      <c r="I519" s="118" t="s">
        <v>1141</v>
      </c>
      <c r="J519" s="119" t="s">
        <v>412</v>
      </c>
      <c r="K519" s="120"/>
      <c r="L519" s="114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  <c r="AA519" s="120"/>
    </row>
    <row r="520">
      <c r="A520" s="120"/>
      <c r="C520" s="108">
        <v>6.756746522806E12</v>
      </c>
      <c r="D520" s="116">
        <f>'ПРАЙС_ЛИСТ'!F517</f>
        <v>3500</v>
      </c>
      <c r="E520" s="114" t="s">
        <v>415</v>
      </c>
      <c r="F520" s="117" t="s">
        <v>392</v>
      </c>
      <c r="G520" s="108" t="s">
        <v>403</v>
      </c>
      <c r="H520" s="108" t="s">
        <v>393</v>
      </c>
      <c r="I520" s="122" t="s">
        <v>1142</v>
      </c>
      <c r="J520" s="119" t="s">
        <v>417</v>
      </c>
      <c r="K520" s="120"/>
      <c r="L520" s="114" t="s">
        <v>418</v>
      </c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  <c r="AA520" s="120"/>
    </row>
    <row r="521">
      <c r="A521" s="120"/>
      <c r="C521" s="108">
        <v>6.756746522788E12</v>
      </c>
      <c r="D521" s="108">
        <f t="array" ref="D521">MIN(IF('ПРАЙС_ЛИСТ'!F497:F498 &lt;&gt; 'ПРАЙС_ЛИСТ'!H497:H498, 'ПРАЙС_ЛИСТ'!F497:F498, ""))</f>
        <v>3200</v>
      </c>
      <c r="E521" s="114" t="s">
        <v>420</v>
      </c>
      <c r="F521" s="117" t="s">
        <v>421</v>
      </c>
      <c r="G521" s="108" t="s">
        <v>403</v>
      </c>
      <c r="H521" s="108" t="s">
        <v>410</v>
      </c>
      <c r="I521" s="118" t="s">
        <v>1143</v>
      </c>
      <c r="J521" s="119" t="s">
        <v>423</v>
      </c>
      <c r="K521" s="120"/>
      <c r="L521" s="114" t="s">
        <v>413</v>
      </c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  <c r="AA521" s="120"/>
    </row>
    <row r="522">
      <c r="A522" s="120"/>
      <c r="C522" s="108">
        <v>6.756746522807E12</v>
      </c>
      <c r="D522" s="116">
        <f>IF('ПРАЙС_ЛИСТ'!F499 &lt;&gt; 'ПРАЙС_ЛИСТ'!H499, 'ПРАЙС_ЛИСТ'!F499, "0")</f>
        <v>3500</v>
      </c>
      <c r="E522" s="114" t="s">
        <v>425</v>
      </c>
      <c r="F522" s="117" t="s">
        <v>421</v>
      </c>
      <c r="G522" s="109"/>
      <c r="H522" s="108" t="s">
        <v>393</v>
      </c>
      <c r="I522" s="118" t="s">
        <v>1144</v>
      </c>
      <c r="J522" s="119" t="s">
        <v>427</v>
      </c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  <c r="AA522" s="120"/>
    </row>
    <row r="523">
      <c r="A523" s="120"/>
      <c r="C523" s="108">
        <v>6.756746522795E12</v>
      </c>
      <c r="D523" s="116">
        <f>IF('ПРАЙС_ЛИСТ'!F515 &lt;&gt; 'ПРАЙС_ЛИСТ'!H515, 'ПРАЙС_ЛИСТ'!F515, "0")</f>
        <v>3700</v>
      </c>
      <c r="E523" s="114" t="s">
        <v>429</v>
      </c>
      <c r="F523" s="117" t="s">
        <v>392</v>
      </c>
      <c r="G523" s="109"/>
      <c r="H523" s="108" t="s">
        <v>393</v>
      </c>
      <c r="I523" s="122" t="s">
        <v>1145</v>
      </c>
      <c r="J523" s="119" t="s">
        <v>431</v>
      </c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  <c r="AA523" s="120"/>
    </row>
    <row r="524">
      <c r="A524" s="120"/>
      <c r="C524" s="108">
        <v>6.756746522793E12</v>
      </c>
      <c r="D524" s="116">
        <f>IF('ПРАЙС_ЛИСТ'!F513 &lt;&gt; 'ПРАЙС_ЛИСТ'!H513, 'ПРАЙС_ЛИСТ'!F513, "0")</f>
        <v>3500</v>
      </c>
      <c r="E524" s="114" t="s">
        <v>433</v>
      </c>
      <c r="F524" s="117" t="s">
        <v>421</v>
      </c>
      <c r="G524" s="109"/>
      <c r="H524" s="108" t="s">
        <v>393</v>
      </c>
      <c r="I524" s="122" t="s">
        <v>1146</v>
      </c>
      <c r="J524" s="119" t="s">
        <v>435</v>
      </c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  <c r="AA524" s="120"/>
    </row>
    <row r="525">
      <c r="A525" s="120"/>
      <c r="C525" s="108">
        <v>6.756746522794E12</v>
      </c>
      <c r="D525" s="116">
        <f>IF('ПРАЙС_ЛИСТ'!F514 &lt;&gt; 'ПРАЙС_ЛИСТ'!H514, 'ПРАЙС_ЛИСТ'!F514, "0")</f>
        <v>3500</v>
      </c>
      <c r="E525" s="114" t="s">
        <v>437</v>
      </c>
      <c r="F525" s="117" t="s">
        <v>421</v>
      </c>
      <c r="G525" s="109"/>
      <c r="H525" s="108" t="s">
        <v>393</v>
      </c>
      <c r="I525" s="122" t="s">
        <v>1147</v>
      </c>
      <c r="J525" s="119" t="s">
        <v>439</v>
      </c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  <c r="AA525" s="120"/>
    </row>
    <row r="526">
      <c r="A526" s="120"/>
      <c r="C526" s="108">
        <v>6.756746522801E12</v>
      </c>
      <c r="D526" s="116">
        <f>IF('ПРАЙС_ЛИСТ'!F506 &lt;&gt; 'ПРАЙС_ЛИСТ'!H506, 'ПРАЙС_ЛИСТ'!F506, "0")</f>
        <v>4500</v>
      </c>
      <c r="E526" s="114" t="s">
        <v>441</v>
      </c>
      <c r="F526" s="117" t="s">
        <v>442</v>
      </c>
      <c r="G526" s="109"/>
      <c r="H526" s="108" t="s">
        <v>393</v>
      </c>
      <c r="I526" s="118" t="s">
        <v>1148</v>
      </c>
      <c r="J526" s="119" t="s">
        <v>444</v>
      </c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  <c r="AA526" s="120"/>
    </row>
    <row r="527">
      <c r="A527" s="120"/>
      <c r="C527" s="108">
        <v>6.756746522802E12</v>
      </c>
      <c r="D527" s="116">
        <f>IF('ПРАЙС_ЛИСТ'!F507 &lt;&gt; 'ПРАЙС_ЛИСТ'!H507, 'ПРАЙС_ЛИСТ'!F507, "0")</f>
        <v>5900</v>
      </c>
      <c r="E527" s="114" t="s">
        <v>446</v>
      </c>
      <c r="F527" s="117" t="s">
        <v>421</v>
      </c>
      <c r="G527" s="109"/>
      <c r="H527" s="108" t="s">
        <v>393</v>
      </c>
      <c r="I527" s="118" t="s">
        <v>1149</v>
      </c>
      <c r="J527" s="119" t="s">
        <v>448</v>
      </c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  <c r="AA527" s="120"/>
    </row>
    <row r="528">
      <c r="A528" s="120"/>
      <c r="C528" s="108">
        <v>6.7567465228E12</v>
      </c>
      <c r="D528" s="116">
        <f>IF('ПРАЙС_ЛИСТ'!F508 &lt;&gt; 'ПРАЙС_ЛИСТ'!H508, 'ПРАЙС_ЛИСТ'!F508, "0")</f>
        <v>2000</v>
      </c>
      <c r="E528" s="114" t="s">
        <v>450</v>
      </c>
      <c r="F528" s="117" t="s">
        <v>421</v>
      </c>
      <c r="G528" s="109"/>
      <c r="H528" s="108" t="s">
        <v>410</v>
      </c>
      <c r="I528" s="122" t="s">
        <v>1150</v>
      </c>
      <c r="J528" s="119" t="s">
        <v>452</v>
      </c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  <c r="AA528" s="120"/>
    </row>
    <row r="529">
      <c r="A529" s="120"/>
      <c r="C529" s="108">
        <v>6.756746522803E12</v>
      </c>
      <c r="D529" s="121">
        <v>0.0</v>
      </c>
      <c r="E529" s="114" t="s">
        <v>454</v>
      </c>
      <c r="F529" s="117" t="s">
        <v>455</v>
      </c>
      <c r="G529" s="108" t="s">
        <v>398</v>
      </c>
      <c r="H529" s="108" t="s">
        <v>410</v>
      </c>
      <c r="I529" s="122" t="s">
        <v>1151</v>
      </c>
      <c r="J529" s="119" t="s">
        <v>457</v>
      </c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  <c r="AA529" s="120"/>
    </row>
    <row r="530">
      <c r="A530" s="120"/>
      <c r="C530" s="108">
        <v>6.756746522817E12</v>
      </c>
      <c r="D530" s="121">
        <v>0.0</v>
      </c>
      <c r="E530" s="114" t="s">
        <v>459</v>
      </c>
      <c r="F530" s="117" t="s">
        <v>442</v>
      </c>
      <c r="G530" s="108" t="s">
        <v>398</v>
      </c>
      <c r="H530" s="108" t="s">
        <v>393</v>
      </c>
      <c r="I530" s="118" t="s">
        <v>1152</v>
      </c>
      <c r="J530" s="119" t="s">
        <v>461</v>
      </c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  <c r="AA530" s="120"/>
    </row>
    <row r="531">
      <c r="A531" s="120"/>
      <c r="C531" s="108" t="s">
        <v>462</v>
      </c>
      <c r="D531" s="116">
        <f>IF('ПРАЙС_ЛИСТ'!F9 &lt;&gt; 'ПРАЙС_ЛИСТ'!H9, 'ПРАЙС_ЛИСТ'!F9, "0")</f>
        <v>1100</v>
      </c>
      <c r="E531" s="114" t="s">
        <v>463</v>
      </c>
      <c r="F531" s="117" t="s">
        <v>409</v>
      </c>
      <c r="G531" s="108"/>
      <c r="H531" s="108"/>
      <c r="I531" s="122" t="s">
        <v>464</v>
      </c>
      <c r="J531" s="119" t="s">
        <v>465</v>
      </c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  <c r="AA531" s="120"/>
    </row>
    <row r="532">
      <c r="A532" s="120"/>
      <c r="C532" s="113" t="s">
        <v>1153</v>
      </c>
      <c r="D532" s="116">
        <f>'ПРАЙС_ЛИСТ'!F516</f>
        <v>3000</v>
      </c>
      <c r="E532" s="114" t="s">
        <v>467</v>
      </c>
      <c r="F532" s="117" t="s">
        <v>468</v>
      </c>
      <c r="G532" s="108" t="s">
        <v>403</v>
      </c>
      <c r="H532" s="108" t="s">
        <v>393</v>
      </c>
      <c r="I532" s="118" t="s">
        <v>1154</v>
      </c>
      <c r="J532" s="119" t="s">
        <v>470</v>
      </c>
      <c r="K532" s="120"/>
      <c r="L532" s="114" t="s">
        <v>418</v>
      </c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  <c r="AA532" s="120"/>
    </row>
    <row r="533">
      <c r="A533" s="120"/>
      <c r="C533" s="108">
        <v>6.756746522808E12</v>
      </c>
      <c r="D533" s="116">
        <f>'ПРАЙС_ЛИСТ'!F509</f>
        <v>5000</v>
      </c>
      <c r="E533" s="114" t="s">
        <v>472</v>
      </c>
      <c r="F533" s="117" t="s">
        <v>468</v>
      </c>
      <c r="G533" s="108" t="s">
        <v>403</v>
      </c>
      <c r="H533" s="108" t="s">
        <v>393</v>
      </c>
      <c r="I533" s="122" t="s">
        <v>1155</v>
      </c>
      <c r="J533" s="119" t="s">
        <v>474</v>
      </c>
      <c r="K533" s="120"/>
      <c r="L533" s="114" t="s">
        <v>418</v>
      </c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  <c r="AA533" s="120"/>
    </row>
    <row r="534">
      <c r="A534" s="120"/>
      <c r="B534" s="115"/>
      <c r="C534" s="108"/>
      <c r="D534" s="109"/>
      <c r="E534" s="114"/>
      <c r="F534" s="117"/>
      <c r="G534" s="108"/>
      <c r="H534" s="108"/>
      <c r="I534" s="119"/>
      <c r="J534" s="119"/>
      <c r="K534" s="120"/>
      <c r="L534" s="114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  <c r="AA534" s="120"/>
    </row>
    <row r="535">
      <c r="A535" s="120"/>
      <c r="B535" s="115" t="s">
        <v>175</v>
      </c>
      <c r="C535" s="108">
        <v>6.756746523448E12</v>
      </c>
      <c r="D535" s="116">
        <f>IF('ПРАЙС_ЛИСТ'!F476 &lt;&gt; 'ПРАЙС_ЛИСТ'!H476, IF('ПРАЙС_ЛИСТ'!F476 = 1, 0, 'ПРАЙС_ЛИСТ'!F476), 0)</f>
        <v>6000</v>
      </c>
      <c r="E535" s="114" t="s">
        <v>391</v>
      </c>
      <c r="F535" s="117" t="s">
        <v>392</v>
      </c>
      <c r="G535" s="108"/>
      <c r="H535" s="108" t="s">
        <v>393</v>
      </c>
      <c r="I535" s="122" t="s">
        <v>1156</v>
      </c>
      <c r="J535" s="119" t="s">
        <v>395</v>
      </c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  <c r="AA535" s="120"/>
    </row>
    <row r="536">
      <c r="A536" s="120"/>
      <c r="C536" s="108">
        <v>6.756746523447E12</v>
      </c>
      <c r="D536" s="121">
        <v>0.0</v>
      </c>
      <c r="E536" s="114" t="s">
        <v>397</v>
      </c>
      <c r="F536" s="117" t="s">
        <v>392</v>
      </c>
      <c r="G536" s="108" t="s">
        <v>398</v>
      </c>
      <c r="H536" s="108" t="s">
        <v>393</v>
      </c>
      <c r="I536" s="118" t="s">
        <v>1157</v>
      </c>
      <c r="J536" s="119" t="s">
        <v>400</v>
      </c>
      <c r="K536" s="120"/>
      <c r="L536" s="114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  <c r="AA536" s="120"/>
    </row>
    <row r="537">
      <c r="A537" s="120"/>
      <c r="C537" s="108">
        <v>6.756746523445E12</v>
      </c>
      <c r="D537" s="109">
        <f t="array" ref="D537">MIN(IF('ПРАЙС_ЛИСТ'!F473:F474 &lt;&gt; 'ПРАЙС_ЛИСТ'!H473:H474, 'ПРАЙС_ЛИСТ'!F473:F474, ""))</f>
        <v>9000</v>
      </c>
      <c r="E537" s="114" t="s">
        <v>402</v>
      </c>
      <c r="F537" s="117" t="s">
        <v>392</v>
      </c>
      <c r="G537" s="108" t="s">
        <v>403</v>
      </c>
      <c r="H537" s="108" t="s">
        <v>393</v>
      </c>
      <c r="I537" s="118" t="s">
        <v>1158</v>
      </c>
      <c r="J537" s="119" t="s">
        <v>405</v>
      </c>
      <c r="K537" s="120"/>
      <c r="L537" s="114" t="s">
        <v>406</v>
      </c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  <c r="AA537" s="120"/>
    </row>
    <row r="538">
      <c r="A538" s="120"/>
      <c r="C538" s="108">
        <v>6.756746523453E12</v>
      </c>
      <c r="D538" s="116">
        <f>'ПРАЙС_ЛИСТ'!F482</f>
        <v>5000</v>
      </c>
      <c r="E538" s="114" t="s">
        <v>408</v>
      </c>
      <c r="F538" s="117" t="s">
        <v>409</v>
      </c>
      <c r="G538" s="108"/>
      <c r="H538" s="108" t="s">
        <v>410</v>
      </c>
      <c r="I538" s="118" t="s">
        <v>1159</v>
      </c>
      <c r="J538" s="119" t="s">
        <v>412</v>
      </c>
      <c r="K538" s="120"/>
      <c r="L538" s="114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  <c r="AA538" s="120"/>
    </row>
    <row r="539">
      <c r="A539" s="120"/>
      <c r="C539" s="108">
        <v>6.756746523455E12</v>
      </c>
      <c r="D539" s="116">
        <f>'ПРАЙС_ЛИСТ'!F489</f>
        <v>2500</v>
      </c>
      <c r="E539" s="114" t="s">
        <v>415</v>
      </c>
      <c r="F539" s="117" t="s">
        <v>392</v>
      </c>
      <c r="G539" s="108" t="s">
        <v>403</v>
      </c>
      <c r="H539" s="108" t="s">
        <v>393</v>
      </c>
      <c r="I539" s="122" t="s">
        <v>1160</v>
      </c>
      <c r="J539" s="119" t="s">
        <v>417</v>
      </c>
      <c r="K539" s="120"/>
      <c r="L539" s="114" t="s">
        <v>418</v>
      </c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  <c r="AA539" s="120"/>
    </row>
    <row r="540">
      <c r="A540" s="120"/>
      <c r="C540" s="108">
        <v>6.756746523437E12</v>
      </c>
      <c r="D540" s="125">
        <f t="array" ref="D540">MIN(IF('ПРАЙС_ЛИСТ'!F470 &lt;&gt; 'ПРАЙС_ЛИСТ'!H470, 'ПРАЙС_ЛИСТ'!F470, ""))</f>
        <v>3500</v>
      </c>
      <c r="E540" s="114" t="s">
        <v>420</v>
      </c>
      <c r="F540" s="117" t="s">
        <v>421</v>
      </c>
      <c r="G540" s="108" t="s">
        <v>403</v>
      </c>
      <c r="H540" s="108" t="s">
        <v>410</v>
      </c>
      <c r="I540" s="118" t="s">
        <v>1161</v>
      </c>
      <c r="J540" s="119" t="s">
        <v>423</v>
      </c>
      <c r="K540" s="120"/>
      <c r="L540" s="114" t="s">
        <v>413</v>
      </c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  <c r="AA540" s="120"/>
    </row>
    <row r="541">
      <c r="A541" s="120"/>
      <c r="C541" s="108">
        <v>6.756746523456E12</v>
      </c>
      <c r="D541" s="116">
        <f>IF('ПРАЙС_ЛИСТ'!F472 &lt;&gt; 'ПРАЙС_ЛИСТ'!H472, 'ПРАЙС_ЛИСТ'!F472, "0")</f>
        <v>4000</v>
      </c>
      <c r="E541" s="114" t="s">
        <v>425</v>
      </c>
      <c r="F541" s="117" t="s">
        <v>421</v>
      </c>
      <c r="G541" s="109"/>
      <c r="H541" s="108" t="s">
        <v>393</v>
      </c>
      <c r="I541" s="118" t="s">
        <v>1162</v>
      </c>
      <c r="J541" s="119" t="s">
        <v>427</v>
      </c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  <c r="AA541" s="120"/>
    </row>
    <row r="542">
      <c r="A542" s="120"/>
      <c r="C542" s="108">
        <v>6.756746523444E12</v>
      </c>
      <c r="D542" s="116">
        <f>IF('ПРАЙС_ЛИСТ'!F487 &lt;&gt; 'ПРАЙС_ЛИСТ'!H487, 'ПРАЙС_ЛИСТ'!F487, "0")</f>
        <v>4400</v>
      </c>
      <c r="E542" s="114" t="s">
        <v>429</v>
      </c>
      <c r="F542" s="117" t="s">
        <v>392</v>
      </c>
      <c r="G542" s="109"/>
      <c r="H542" s="108" t="s">
        <v>393</v>
      </c>
      <c r="I542" s="122" t="s">
        <v>1163</v>
      </c>
      <c r="J542" s="119" t="s">
        <v>431</v>
      </c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  <c r="AA542" s="120"/>
    </row>
    <row r="543">
      <c r="A543" s="120"/>
      <c r="C543" s="108">
        <v>6.756746523442E12</v>
      </c>
      <c r="D543" s="116">
        <f>IF('ПРАЙС_ЛИСТ'!F485 &lt;&gt; 'ПРАЙС_ЛИСТ'!H485, 'ПРАЙС_ЛИСТ'!F485, "0")</f>
        <v>4000</v>
      </c>
      <c r="E543" s="114" t="s">
        <v>433</v>
      </c>
      <c r="F543" s="117" t="s">
        <v>421</v>
      </c>
      <c r="G543" s="109"/>
      <c r="H543" s="108" t="s">
        <v>393</v>
      </c>
      <c r="I543" s="122" t="s">
        <v>1164</v>
      </c>
      <c r="J543" s="119" t="s">
        <v>435</v>
      </c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  <c r="AA543" s="120"/>
    </row>
    <row r="544">
      <c r="A544" s="120"/>
      <c r="C544" s="108">
        <v>6.756746523443E12</v>
      </c>
      <c r="D544" s="116">
        <f>IF('ПРАЙС_ЛИСТ'!F486 &lt;&gt; 'ПРАЙС_ЛИСТ'!H486, 'ПРАЙС_ЛИСТ'!F486, "0")</f>
        <v>4000</v>
      </c>
      <c r="E544" s="114" t="s">
        <v>437</v>
      </c>
      <c r="F544" s="117" t="s">
        <v>421</v>
      </c>
      <c r="G544" s="109"/>
      <c r="H544" s="108" t="s">
        <v>393</v>
      </c>
      <c r="I544" s="122" t="s">
        <v>1165</v>
      </c>
      <c r="J544" s="119" t="s">
        <v>439</v>
      </c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  <c r="AA544" s="120"/>
    </row>
    <row r="545">
      <c r="A545" s="120"/>
      <c r="C545" s="108">
        <v>6.75674652345E12</v>
      </c>
      <c r="D545" s="116">
        <f>IF('ПРАЙС_ЛИСТ'!F478 &lt;&gt; 'ПРАЙС_ЛИСТ'!H478, 'ПРАЙС_ЛИСТ'!F478, "0")</f>
        <v>4500</v>
      </c>
      <c r="E545" s="114" t="s">
        <v>441</v>
      </c>
      <c r="F545" s="117" t="s">
        <v>442</v>
      </c>
      <c r="G545" s="109"/>
      <c r="H545" s="108" t="s">
        <v>393</v>
      </c>
      <c r="I545" s="118" t="s">
        <v>1166</v>
      </c>
      <c r="J545" s="119" t="s">
        <v>444</v>
      </c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  <c r="AA545" s="120"/>
    </row>
    <row r="546">
      <c r="A546" s="120"/>
      <c r="C546" s="108">
        <v>6.756746523451E12</v>
      </c>
      <c r="D546" s="116">
        <f>IF('ПРАЙС_ЛИСТ'!F479 &lt;&gt; 'ПРАЙС_ЛИСТ'!H479, 'ПРАЙС_ЛИСТ'!F479, "0")</f>
        <v>4900</v>
      </c>
      <c r="E546" s="114" t="s">
        <v>446</v>
      </c>
      <c r="F546" s="117" t="s">
        <v>421</v>
      </c>
      <c r="G546" s="109"/>
      <c r="H546" s="108" t="s">
        <v>393</v>
      </c>
      <c r="I546" s="118" t="s">
        <v>1167</v>
      </c>
      <c r="J546" s="119" t="s">
        <v>448</v>
      </c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  <c r="AA546" s="120"/>
    </row>
    <row r="547">
      <c r="A547" s="120"/>
      <c r="C547" s="108">
        <v>6.756746523449E12</v>
      </c>
      <c r="D547" s="116">
        <f>IF('ПРАЙС_ЛИСТ'!F480 &lt;&gt; 'ПРАЙС_ЛИСТ'!H480, 'ПРАЙС_ЛИСТ'!F480, "0")</f>
        <v>2000</v>
      </c>
      <c r="E547" s="114" t="s">
        <v>450</v>
      </c>
      <c r="F547" s="117" t="s">
        <v>421</v>
      </c>
      <c r="G547" s="109"/>
      <c r="H547" s="108" t="s">
        <v>410</v>
      </c>
      <c r="I547" s="122" t="s">
        <v>1168</v>
      </c>
      <c r="J547" s="119" t="s">
        <v>452</v>
      </c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  <c r="AA547" s="120"/>
    </row>
    <row r="548">
      <c r="A548" s="120"/>
      <c r="C548" s="108">
        <v>6.756746523452E12</v>
      </c>
      <c r="D548" s="121">
        <v>0.0</v>
      </c>
      <c r="E548" s="114" t="s">
        <v>454</v>
      </c>
      <c r="F548" s="117" t="s">
        <v>455</v>
      </c>
      <c r="G548" s="108" t="s">
        <v>398</v>
      </c>
      <c r="H548" s="108" t="s">
        <v>410</v>
      </c>
      <c r="I548" s="122" t="s">
        <v>1169</v>
      </c>
      <c r="J548" s="119" t="s">
        <v>457</v>
      </c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  <c r="AA548" s="120"/>
    </row>
    <row r="549">
      <c r="A549" s="120"/>
      <c r="C549" s="108">
        <v>6.756746523466E12</v>
      </c>
      <c r="D549" s="121">
        <v>0.0</v>
      </c>
      <c r="E549" s="114" t="s">
        <v>459</v>
      </c>
      <c r="F549" s="117" t="s">
        <v>442</v>
      </c>
      <c r="G549" s="108" t="s">
        <v>398</v>
      </c>
      <c r="H549" s="108" t="s">
        <v>393</v>
      </c>
      <c r="I549" s="118" t="s">
        <v>1170</v>
      </c>
      <c r="J549" s="119" t="s">
        <v>461</v>
      </c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  <c r="AA549" s="120"/>
    </row>
    <row r="550">
      <c r="A550" s="120"/>
      <c r="C550" s="108" t="s">
        <v>462</v>
      </c>
      <c r="D550" s="116">
        <f>IF('ПРАЙС_ЛИСТ'!F9 &lt;&gt; 'ПРАЙС_ЛИСТ'!H9, 'ПРАЙС_ЛИСТ'!F9, "0")</f>
        <v>1100</v>
      </c>
      <c r="E550" s="114" t="s">
        <v>463</v>
      </c>
      <c r="F550" s="117" t="s">
        <v>409</v>
      </c>
      <c r="G550" s="108"/>
      <c r="H550" s="108"/>
      <c r="I550" s="122" t="s">
        <v>464</v>
      </c>
      <c r="J550" s="119" t="s">
        <v>465</v>
      </c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  <c r="AA550" s="120"/>
    </row>
    <row r="551">
      <c r="A551" s="120"/>
      <c r="C551" s="113" t="s">
        <v>1171</v>
      </c>
      <c r="D551" s="116">
        <f>'ПРАЙС_ЛИСТ'!F488</f>
        <v>2200</v>
      </c>
      <c r="E551" s="114" t="s">
        <v>467</v>
      </c>
      <c r="F551" s="117" t="s">
        <v>468</v>
      </c>
      <c r="G551" s="108" t="s">
        <v>403</v>
      </c>
      <c r="H551" s="108" t="s">
        <v>393</v>
      </c>
      <c r="I551" s="118" t="s">
        <v>1172</v>
      </c>
      <c r="J551" s="119" t="s">
        <v>470</v>
      </c>
      <c r="K551" s="120"/>
      <c r="L551" s="114" t="s">
        <v>418</v>
      </c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  <c r="AA551" s="120"/>
    </row>
    <row r="552">
      <c r="A552" s="120"/>
      <c r="C552" s="108">
        <v>6.756746523457E12</v>
      </c>
      <c r="D552" s="116">
        <f>'ПРАЙС_ЛИСТ'!F481</f>
        <v>4200</v>
      </c>
      <c r="E552" s="114" t="s">
        <v>472</v>
      </c>
      <c r="F552" s="117" t="s">
        <v>468</v>
      </c>
      <c r="G552" s="108" t="s">
        <v>403</v>
      </c>
      <c r="H552" s="108" t="s">
        <v>393</v>
      </c>
      <c r="I552" s="122" t="s">
        <v>1173</v>
      </c>
      <c r="J552" s="119" t="s">
        <v>474</v>
      </c>
      <c r="K552" s="120"/>
      <c r="L552" s="114" t="s">
        <v>418</v>
      </c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  <c r="AA552" s="120"/>
    </row>
    <row r="553">
      <c r="A553" s="120"/>
      <c r="B553" s="115"/>
      <c r="C553" s="108"/>
      <c r="D553" s="109"/>
      <c r="E553" s="114"/>
      <c r="F553" s="117"/>
      <c r="G553" s="108"/>
      <c r="H553" s="108"/>
      <c r="I553" s="119"/>
      <c r="J553" s="119"/>
      <c r="K553" s="120"/>
      <c r="L553" s="114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  <c r="AA553" s="120"/>
    </row>
    <row r="554">
      <c r="A554" s="120"/>
      <c r="B554" s="115" t="s">
        <v>167</v>
      </c>
      <c r="C554" s="108">
        <v>6.756746523494E12</v>
      </c>
      <c r="D554" s="116">
        <f>IF('ПРАЙС_ЛИСТ'!F449 &lt;&gt; 'ПРАЙС_ЛИСТ'!H449, IF('ПРАЙС_ЛИСТ'!F449 = 1, 0, 'ПРАЙС_ЛИСТ'!F449), 0)</f>
        <v>4500</v>
      </c>
      <c r="E554" s="114" t="s">
        <v>391</v>
      </c>
      <c r="F554" s="117" t="s">
        <v>392</v>
      </c>
      <c r="G554" s="108"/>
      <c r="H554" s="108" t="s">
        <v>393</v>
      </c>
      <c r="I554" s="122" t="s">
        <v>1174</v>
      </c>
      <c r="J554" s="119" t="s">
        <v>395</v>
      </c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  <c r="AA554" s="120"/>
    </row>
    <row r="555">
      <c r="A555" s="120"/>
      <c r="C555" s="108">
        <v>6.756746523493E12</v>
      </c>
      <c r="D555" s="121">
        <v>0.0</v>
      </c>
      <c r="E555" s="114" t="s">
        <v>397</v>
      </c>
      <c r="F555" s="117" t="s">
        <v>392</v>
      </c>
      <c r="G555" s="108" t="s">
        <v>398</v>
      </c>
      <c r="H555" s="108" t="s">
        <v>393</v>
      </c>
      <c r="I555" s="118" t="s">
        <v>1175</v>
      </c>
      <c r="J555" s="119" t="s">
        <v>400</v>
      </c>
      <c r="K555" s="120"/>
      <c r="L555" s="114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  <c r="AA555" s="120"/>
    </row>
    <row r="556">
      <c r="A556" s="120"/>
      <c r="C556" s="108">
        <v>6.756746523491E12</v>
      </c>
      <c r="D556" s="109">
        <f t="array" ref="D556">MIN(IF('ПРАЙС_ЛИСТ'!F446:F447 &lt;&gt; 'ПРАЙС_ЛИСТ'!H446:H447, 'ПРАЙС_ЛИСТ'!F446:F447, ""))</f>
        <v>6500</v>
      </c>
      <c r="E556" s="114" t="s">
        <v>402</v>
      </c>
      <c r="F556" s="117" t="s">
        <v>392</v>
      </c>
      <c r="G556" s="108" t="s">
        <v>403</v>
      </c>
      <c r="H556" s="108" t="s">
        <v>393</v>
      </c>
      <c r="I556" s="118" t="s">
        <v>1176</v>
      </c>
      <c r="J556" s="119" t="s">
        <v>405</v>
      </c>
      <c r="K556" s="120"/>
      <c r="L556" s="114" t="s">
        <v>406</v>
      </c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  <c r="AA556" s="120"/>
    </row>
    <row r="557">
      <c r="A557" s="120"/>
      <c r="C557" s="108">
        <v>6.756746523499E12</v>
      </c>
      <c r="D557" s="116">
        <f>'ПРАЙС_ЛИСТ'!F455</f>
        <v>5000</v>
      </c>
      <c r="E557" s="114" t="s">
        <v>408</v>
      </c>
      <c r="F557" s="117" t="s">
        <v>409</v>
      </c>
      <c r="G557" s="108"/>
      <c r="H557" s="108" t="s">
        <v>410</v>
      </c>
      <c r="I557" s="118" t="s">
        <v>1177</v>
      </c>
      <c r="J557" s="119" t="s">
        <v>412</v>
      </c>
      <c r="K557" s="120"/>
      <c r="L557" s="114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  <c r="AA557" s="120"/>
    </row>
    <row r="558">
      <c r="A558" s="120"/>
      <c r="C558" s="108">
        <v>6.756746523501E12</v>
      </c>
      <c r="D558" s="116">
        <f>'ПРАЙС_ЛИСТ'!F462</f>
        <v>2500</v>
      </c>
      <c r="E558" s="114" t="s">
        <v>415</v>
      </c>
      <c r="F558" s="117" t="s">
        <v>392</v>
      </c>
      <c r="G558" s="108" t="s">
        <v>403</v>
      </c>
      <c r="H558" s="108" t="s">
        <v>393</v>
      </c>
      <c r="I558" s="122" t="s">
        <v>1178</v>
      </c>
      <c r="J558" s="119" t="s">
        <v>417</v>
      </c>
      <c r="K558" s="120"/>
      <c r="L558" s="114" t="s">
        <v>418</v>
      </c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  <c r="AA558" s="120"/>
    </row>
    <row r="559">
      <c r="A559" s="120"/>
      <c r="C559" s="108">
        <v>6.756746523483E12</v>
      </c>
      <c r="D559" s="125">
        <f t="array" ref="D559">MIN(IF('ПРАЙС_ЛИСТ'!F443 &lt;&gt; 'ПРАЙС_ЛИСТ'!H443, 'ПРАЙС_ЛИСТ'!F443, ""))</f>
        <v>3000</v>
      </c>
      <c r="E559" s="114" t="s">
        <v>420</v>
      </c>
      <c r="F559" s="117" t="s">
        <v>421</v>
      </c>
      <c r="G559" s="108" t="s">
        <v>403</v>
      </c>
      <c r="H559" s="108" t="s">
        <v>410</v>
      </c>
      <c r="I559" s="118" t="s">
        <v>1179</v>
      </c>
      <c r="J559" s="119" t="s">
        <v>423</v>
      </c>
      <c r="K559" s="120"/>
      <c r="L559" s="114" t="s">
        <v>413</v>
      </c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  <c r="AA559" s="120"/>
    </row>
    <row r="560">
      <c r="A560" s="120"/>
      <c r="C560" s="108">
        <v>6.756746523502E12</v>
      </c>
      <c r="D560" s="116">
        <f>IF('ПРАЙС_ЛИСТ'!F445 &lt;&gt; 'ПРАЙС_ЛИСТ'!H445, 'ПРАЙС_ЛИСТ'!F445, "0")</f>
        <v>3500</v>
      </c>
      <c r="E560" s="114" t="s">
        <v>425</v>
      </c>
      <c r="F560" s="117" t="s">
        <v>421</v>
      </c>
      <c r="G560" s="109"/>
      <c r="H560" s="108" t="s">
        <v>393</v>
      </c>
      <c r="I560" s="118" t="s">
        <v>1180</v>
      </c>
      <c r="J560" s="119" t="s">
        <v>427</v>
      </c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  <c r="AA560" s="120"/>
    </row>
    <row r="561">
      <c r="A561" s="120"/>
      <c r="C561" s="108">
        <v>6.75674652349E12</v>
      </c>
      <c r="D561" s="116">
        <f>IF('ПРАЙС_ЛИСТ'!F460 &lt;&gt; 'ПРАЙС_ЛИСТ'!H460, 'ПРАЙС_ЛИСТ'!F460, "0")</f>
        <v>3900</v>
      </c>
      <c r="E561" s="114" t="s">
        <v>429</v>
      </c>
      <c r="F561" s="117" t="s">
        <v>392</v>
      </c>
      <c r="G561" s="109"/>
      <c r="H561" s="108" t="s">
        <v>393</v>
      </c>
      <c r="I561" s="122" t="s">
        <v>1181</v>
      </c>
      <c r="J561" s="119" t="s">
        <v>431</v>
      </c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  <c r="AA561" s="120"/>
    </row>
    <row r="562">
      <c r="A562" s="120"/>
      <c r="C562" s="108">
        <v>6.756746523488E12</v>
      </c>
      <c r="D562" s="116">
        <f>IF('ПРАЙС_ЛИСТ'!F458 &lt;&gt; 'ПРАЙС_ЛИСТ'!H458, 'ПРАЙС_ЛИСТ'!F458, "0")</f>
        <v>3500</v>
      </c>
      <c r="E562" s="114" t="s">
        <v>433</v>
      </c>
      <c r="F562" s="117" t="s">
        <v>421</v>
      </c>
      <c r="G562" s="109"/>
      <c r="H562" s="108" t="s">
        <v>393</v>
      </c>
      <c r="I562" s="122" t="s">
        <v>1182</v>
      </c>
      <c r="J562" s="119" t="s">
        <v>435</v>
      </c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  <c r="AA562" s="120"/>
    </row>
    <row r="563">
      <c r="A563" s="120"/>
      <c r="C563" s="108">
        <v>6.756746523489E12</v>
      </c>
      <c r="D563" s="116">
        <f>IF('ПРАЙС_ЛИСТ'!F459 &lt;&gt; 'ПРАЙС_ЛИСТ'!H459, 'ПРАЙС_ЛИСТ'!F459, "0")</f>
        <v>3500</v>
      </c>
      <c r="E563" s="114" t="s">
        <v>437</v>
      </c>
      <c r="F563" s="117" t="s">
        <v>421</v>
      </c>
      <c r="G563" s="109"/>
      <c r="H563" s="108" t="s">
        <v>393</v>
      </c>
      <c r="I563" s="122" t="s">
        <v>1183</v>
      </c>
      <c r="J563" s="119" t="s">
        <v>439</v>
      </c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  <c r="AA563" s="120"/>
    </row>
    <row r="564">
      <c r="A564" s="120"/>
      <c r="C564" s="108">
        <v>6.756746523496E12</v>
      </c>
      <c r="D564" s="116">
        <f>IF('ПРАЙС_ЛИСТ'!F451 &lt;&gt; 'ПРАЙС_ЛИСТ'!H451, 'ПРАЙС_ЛИСТ'!F451, "0")</f>
        <v>4500</v>
      </c>
      <c r="E564" s="114" t="s">
        <v>441</v>
      </c>
      <c r="F564" s="117" t="s">
        <v>442</v>
      </c>
      <c r="G564" s="109"/>
      <c r="H564" s="108" t="s">
        <v>393</v>
      </c>
      <c r="I564" s="118" t="s">
        <v>1184</v>
      </c>
      <c r="J564" s="119" t="s">
        <v>444</v>
      </c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  <c r="AA564" s="120"/>
    </row>
    <row r="565">
      <c r="A565" s="120"/>
      <c r="C565" s="108">
        <v>6.756746523497E12</v>
      </c>
      <c r="D565" s="116">
        <f>IF('ПРАЙС_ЛИСТ'!F452 &lt;&gt; 'ПРАЙС_ЛИСТ'!H452, 'ПРАЙС_ЛИСТ'!F452, "0")</f>
        <v>4900</v>
      </c>
      <c r="E565" s="114" t="s">
        <v>446</v>
      </c>
      <c r="F565" s="117" t="s">
        <v>421</v>
      </c>
      <c r="G565" s="109"/>
      <c r="H565" s="108" t="s">
        <v>393</v>
      </c>
      <c r="I565" s="118" t="s">
        <v>1185</v>
      </c>
      <c r="J565" s="119" t="s">
        <v>448</v>
      </c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  <c r="AA565" s="120"/>
    </row>
    <row r="566">
      <c r="A566" s="120"/>
      <c r="C566" s="108">
        <v>6.756746523495E12</v>
      </c>
      <c r="D566" s="116">
        <f>IF('ПРАЙС_ЛИСТ'!F453 &lt;&gt; 'ПРАЙС_ЛИСТ'!H453, 'ПРАЙС_ЛИСТ'!F453, "0")</f>
        <v>2000</v>
      </c>
      <c r="E566" s="114" t="s">
        <v>450</v>
      </c>
      <c r="F566" s="117" t="s">
        <v>421</v>
      </c>
      <c r="G566" s="109"/>
      <c r="H566" s="108" t="s">
        <v>410</v>
      </c>
      <c r="I566" s="122" t="s">
        <v>1186</v>
      </c>
      <c r="J566" s="119" t="s">
        <v>452</v>
      </c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  <c r="AA566" s="120"/>
    </row>
    <row r="567">
      <c r="A567" s="120"/>
      <c r="C567" s="108">
        <v>6.756746523498E12</v>
      </c>
      <c r="D567" s="121">
        <v>0.0</v>
      </c>
      <c r="E567" s="114" t="s">
        <v>454</v>
      </c>
      <c r="F567" s="117" t="s">
        <v>455</v>
      </c>
      <c r="G567" s="108" t="s">
        <v>398</v>
      </c>
      <c r="H567" s="108" t="s">
        <v>410</v>
      </c>
      <c r="I567" s="122" t="s">
        <v>1187</v>
      </c>
      <c r="J567" s="119" t="s">
        <v>457</v>
      </c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  <c r="AA567" s="120"/>
    </row>
    <row r="568">
      <c r="A568" s="120"/>
      <c r="C568" s="108">
        <v>6.756746523512E12</v>
      </c>
      <c r="D568" s="121">
        <v>0.0</v>
      </c>
      <c r="E568" s="114" t="s">
        <v>459</v>
      </c>
      <c r="F568" s="117" t="s">
        <v>442</v>
      </c>
      <c r="G568" s="108" t="s">
        <v>398</v>
      </c>
      <c r="H568" s="108" t="s">
        <v>393</v>
      </c>
      <c r="I568" s="118" t="s">
        <v>1188</v>
      </c>
      <c r="J568" s="119" t="s">
        <v>461</v>
      </c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  <c r="AA568" s="120"/>
    </row>
    <row r="569">
      <c r="A569" s="120"/>
      <c r="C569" s="108" t="s">
        <v>462</v>
      </c>
      <c r="D569" s="116">
        <f>IF('ПРАЙС_ЛИСТ'!F9 &lt;&gt; 'ПРАЙС_ЛИСТ'!H9, 'ПРАЙС_ЛИСТ'!F9, "0")</f>
        <v>1100</v>
      </c>
      <c r="E569" s="114" t="s">
        <v>463</v>
      </c>
      <c r="F569" s="117" t="s">
        <v>409</v>
      </c>
      <c r="G569" s="108"/>
      <c r="H569" s="108"/>
      <c r="I569" s="122" t="s">
        <v>464</v>
      </c>
      <c r="J569" s="119" t="s">
        <v>465</v>
      </c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  <c r="AA569" s="120"/>
    </row>
    <row r="570">
      <c r="A570" s="120"/>
      <c r="C570" s="113" t="s">
        <v>1189</v>
      </c>
      <c r="D570" s="116">
        <f>'ПРАЙС_ЛИСТ'!F461</f>
        <v>2200</v>
      </c>
      <c r="E570" s="114" t="s">
        <v>467</v>
      </c>
      <c r="F570" s="117" t="s">
        <v>468</v>
      </c>
      <c r="G570" s="108" t="s">
        <v>403</v>
      </c>
      <c r="H570" s="108" t="s">
        <v>393</v>
      </c>
      <c r="I570" s="118" t="s">
        <v>1190</v>
      </c>
      <c r="J570" s="119" t="s">
        <v>470</v>
      </c>
      <c r="K570" s="120"/>
      <c r="L570" s="114" t="s">
        <v>418</v>
      </c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  <c r="AA570" s="120"/>
    </row>
    <row r="571">
      <c r="A571" s="120"/>
      <c r="C571" s="108">
        <v>6.756746523503E12</v>
      </c>
      <c r="D571" s="116">
        <f>'ПРАЙС_ЛИСТ'!F454</f>
        <v>4200</v>
      </c>
      <c r="E571" s="114" t="s">
        <v>472</v>
      </c>
      <c r="F571" s="117" t="s">
        <v>468</v>
      </c>
      <c r="G571" s="108" t="s">
        <v>403</v>
      </c>
      <c r="H571" s="108" t="s">
        <v>393</v>
      </c>
      <c r="I571" s="122" t="s">
        <v>1191</v>
      </c>
      <c r="J571" s="119" t="s">
        <v>474</v>
      </c>
      <c r="K571" s="120"/>
      <c r="L571" s="114" t="s">
        <v>418</v>
      </c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  <c r="AA571" s="120"/>
    </row>
    <row r="572">
      <c r="A572" s="120"/>
      <c r="B572" s="115"/>
      <c r="C572" s="108"/>
      <c r="D572" s="109"/>
      <c r="E572" s="114"/>
      <c r="F572" s="117"/>
      <c r="G572" s="108"/>
      <c r="H572" s="108"/>
      <c r="I572" s="119"/>
      <c r="J572" s="119"/>
      <c r="K572" s="120"/>
      <c r="L572" s="114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  <c r="AA572" s="120"/>
    </row>
    <row r="573">
      <c r="A573" s="120"/>
      <c r="B573" s="115" t="s">
        <v>159</v>
      </c>
      <c r="C573" s="108">
        <v>6.756746523574E12</v>
      </c>
      <c r="D573" s="116">
        <f>IF('ПРАЙС_ЛИСТ'!F422 &lt;&gt; 'ПРАЙС_ЛИСТ'!H422, IF('ПРАЙС_ЛИСТ'!F422 = 1, 0, 'ПРАЙС_ЛИСТ'!F422), 0)</f>
        <v>4500</v>
      </c>
      <c r="E573" s="114" t="s">
        <v>391</v>
      </c>
      <c r="F573" s="117" t="s">
        <v>392</v>
      </c>
      <c r="G573" s="108"/>
      <c r="H573" s="108" t="s">
        <v>393</v>
      </c>
      <c r="I573" s="122" t="s">
        <v>1192</v>
      </c>
      <c r="J573" s="119" t="s">
        <v>395</v>
      </c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  <c r="AA573" s="120"/>
    </row>
    <row r="574">
      <c r="A574" s="120"/>
      <c r="C574" s="108">
        <v>6.756746523573E12</v>
      </c>
      <c r="D574" s="121">
        <v>0.0</v>
      </c>
      <c r="E574" s="114" t="s">
        <v>397</v>
      </c>
      <c r="F574" s="117" t="s">
        <v>392</v>
      </c>
      <c r="G574" s="108" t="s">
        <v>398</v>
      </c>
      <c r="H574" s="108" t="s">
        <v>393</v>
      </c>
      <c r="I574" s="118" t="s">
        <v>1193</v>
      </c>
      <c r="J574" s="119" t="s">
        <v>400</v>
      </c>
      <c r="K574" s="120"/>
      <c r="L574" s="114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  <c r="AA574" s="120"/>
    </row>
    <row r="575">
      <c r="A575" s="120"/>
      <c r="C575" s="108">
        <v>6.756746523571E12</v>
      </c>
      <c r="D575" s="109">
        <f t="array" ref="D575">MIN(IF('ПРАЙС_ЛИСТ'!F419:F420 &lt;&gt; 'ПРАЙС_ЛИСТ'!H419:H420, 'ПРАЙС_ЛИСТ'!F419:F420, ""))</f>
        <v>5950</v>
      </c>
      <c r="E575" s="114" t="s">
        <v>402</v>
      </c>
      <c r="F575" s="117" t="s">
        <v>392</v>
      </c>
      <c r="G575" s="108" t="s">
        <v>403</v>
      </c>
      <c r="H575" s="108" t="s">
        <v>393</v>
      </c>
      <c r="I575" s="118" t="s">
        <v>1194</v>
      </c>
      <c r="J575" s="119" t="s">
        <v>405</v>
      </c>
      <c r="K575" s="120"/>
      <c r="L575" s="114" t="s">
        <v>406</v>
      </c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  <c r="AA575" s="120"/>
    </row>
    <row r="576">
      <c r="A576" s="120"/>
      <c r="C576" s="108">
        <v>6.756746523579E12</v>
      </c>
      <c r="D576" s="116">
        <f>'ПРАЙС_ЛИСТ'!F428</f>
        <v>5000</v>
      </c>
      <c r="E576" s="114" t="s">
        <v>408</v>
      </c>
      <c r="F576" s="117" t="s">
        <v>409</v>
      </c>
      <c r="G576" s="108"/>
      <c r="H576" s="108" t="s">
        <v>410</v>
      </c>
      <c r="I576" s="118" t="s">
        <v>1195</v>
      </c>
      <c r="J576" s="119" t="s">
        <v>412</v>
      </c>
      <c r="K576" s="120"/>
      <c r="L576" s="114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  <c r="AA576" s="120"/>
    </row>
    <row r="577">
      <c r="A577" s="120"/>
      <c r="C577" s="108">
        <v>6.756746523581E12</v>
      </c>
      <c r="D577" s="116">
        <f>'ПРАЙС_ЛИСТ'!F435</f>
        <v>2200</v>
      </c>
      <c r="E577" s="114" t="s">
        <v>415</v>
      </c>
      <c r="F577" s="117" t="s">
        <v>392</v>
      </c>
      <c r="G577" s="108" t="s">
        <v>403</v>
      </c>
      <c r="H577" s="108" t="s">
        <v>393</v>
      </c>
      <c r="I577" s="122" t="s">
        <v>1196</v>
      </c>
      <c r="J577" s="119" t="s">
        <v>417</v>
      </c>
      <c r="K577" s="120"/>
      <c r="L577" s="114" t="s">
        <v>418</v>
      </c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  <c r="AA577" s="120"/>
    </row>
    <row r="578">
      <c r="A578" s="120"/>
      <c r="C578" s="108">
        <v>6.756746523564E12</v>
      </c>
      <c r="D578" s="125">
        <f t="array" ref="D578">MIN(IF('ПРАЙС_ЛИСТ'!F417 &lt;&gt; 'ПРАЙС_ЛИСТ'!H417, 'ПРАЙС_ЛИСТ'!F417, ""))</f>
        <v>3000</v>
      </c>
      <c r="E578" s="114" t="s">
        <v>420</v>
      </c>
      <c r="F578" s="117" t="s">
        <v>421</v>
      </c>
      <c r="G578" s="108"/>
      <c r="H578" s="108" t="s">
        <v>410</v>
      </c>
      <c r="I578" s="118" t="s">
        <v>1197</v>
      </c>
      <c r="J578" s="119" t="s">
        <v>423</v>
      </c>
      <c r="K578" s="120"/>
      <c r="L578" s="114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  <c r="AA578" s="120"/>
    </row>
    <row r="579">
      <c r="A579" s="120"/>
      <c r="C579" s="108">
        <v>6.756746523582E12</v>
      </c>
      <c r="D579" s="116">
        <f>IF('ПРАЙС_ЛИСТ'!F418 &lt;&gt; 'ПРАЙС_ЛИСТ'!H418, 'ПРАЙС_ЛИСТ'!F418, "0")</f>
        <v>3500</v>
      </c>
      <c r="E579" s="114" t="s">
        <v>425</v>
      </c>
      <c r="F579" s="117" t="s">
        <v>421</v>
      </c>
      <c r="G579" s="109"/>
      <c r="H579" s="108" t="s">
        <v>393</v>
      </c>
      <c r="I579" s="118" t="s">
        <v>1198</v>
      </c>
      <c r="J579" s="119" t="s">
        <v>427</v>
      </c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  <c r="AA579" s="120"/>
    </row>
    <row r="580">
      <c r="A580" s="120"/>
      <c r="C580" s="108">
        <v>6.75674652357E12</v>
      </c>
      <c r="D580" s="116">
        <f>IF('ПРАЙС_ЛИСТ'!F433 &lt;&gt; 'ПРАЙС_ЛИСТ'!H433, 'ПРАЙС_ЛИСТ'!F433, "0")</f>
        <v>3900</v>
      </c>
      <c r="E580" s="114" t="s">
        <v>429</v>
      </c>
      <c r="F580" s="117" t="s">
        <v>392</v>
      </c>
      <c r="G580" s="109"/>
      <c r="H580" s="108" t="s">
        <v>393</v>
      </c>
      <c r="I580" s="122" t="s">
        <v>1199</v>
      </c>
      <c r="J580" s="119" t="s">
        <v>431</v>
      </c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  <c r="AA580" s="120"/>
    </row>
    <row r="581">
      <c r="A581" s="120"/>
      <c r="C581" s="108">
        <v>6.756746523568E12</v>
      </c>
      <c r="D581" s="116">
        <f>IF('ПРАЙС_ЛИСТ'!F431 &lt;&gt; 'ПРАЙС_ЛИСТ'!H431, 'ПРАЙС_ЛИСТ'!F431, "0")</f>
        <v>3000</v>
      </c>
      <c r="E581" s="114" t="s">
        <v>433</v>
      </c>
      <c r="F581" s="117" t="s">
        <v>421</v>
      </c>
      <c r="G581" s="109"/>
      <c r="H581" s="108" t="s">
        <v>393</v>
      </c>
      <c r="I581" s="122" t="s">
        <v>1200</v>
      </c>
      <c r="J581" s="119" t="s">
        <v>435</v>
      </c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  <c r="AA581" s="120"/>
    </row>
    <row r="582">
      <c r="A582" s="120"/>
      <c r="C582" s="108">
        <v>6.756746523569E12</v>
      </c>
      <c r="D582" s="116">
        <f>IF('ПРАЙС_ЛИСТ'!F432 &lt;&gt; 'ПРАЙС_ЛИСТ'!H432, 'ПРАЙС_ЛИСТ'!F432, "0")</f>
        <v>3200</v>
      </c>
      <c r="E582" s="114" t="s">
        <v>437</v>
      </c>
      <c r="F582" s="117" t="s">
        <v>421</v>
      </c>
      <c r="G582" s="109"/>
      <c r="H582" s="108" t="s">
        <v>393</v>
      </c>
      <c r="I582" s="122" t="s">
        <v>1201</v>
      </c>
      <c r="J582" s="119" t="s">
        <v>439</v>
      </c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  <c r="AA582" s="120"/>
    </row>
    <row r="583">
      <c r="A583" s="120"/>
      <c r="C583" s="108">
        <v>6.756746523576E12</v>
      </c>
      <c r="D583" s="116">
        <f>IF('ПРАЙС_ЛИСТ'!F424 &lt;&gt; 'ПРАЙС_ЛИСТ'!H424, 'ПРАЙС_ЛИСТ'!F424, "0")</f>
        <v>4000</v>
      </c>
      <c r="E583" s="114" t="s">
        <v>441</v>
      </c>
      <c r="F583" s="117" t="s">
        <v>442</v>
      </c>
      <c r="G583" s="109"/>
      <c r="H583" s="108" t="s">
        <v>393</v>
      </c>
      <c r="I583" s="118" t="s">
        <v>1202</v>
      </c>
      <c r="J583" s="119" t="s">
        <v>444</v>
      </c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  <c r="AA583" s="120"/>
    </row>
    <row r="584">
      <c r="A584" s="120"/>
      <c r="C584" s="108">
        <v>6.756746523577E12</v>
      </c>
      <c r="D584" s="116">
        <f>IF('ПРАЙС_ЛИСТ'!F425 &lt;&gt; 'ПРАЙС_ЛИСТ'!H425, 'ПРАЙС_ЛИСТ'!F425, "0")</f>
        <v>4900</v>
      </c>
      <c r="E584" s="114" t="s">
        <v>446</v>
      </c>
      <c r="F584" s="117" t="s">
        <v>421</v>
      </c>
      <c r="G584" s="109"/>
      <c r="H584" s="108" t="s">
        <v>393</v>
      </c>
      <c r="I584" s="118" t="s">
        <v>1203</v>
      </c>
      <c r="J584" s="119" t="s">
        <v>448</v>
      </c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  <c r="AA584" s="120"/>
    </row>
    <row r="585">
      <c r="A585" s="120"/>
      <c r="C585" s="108">
        <v>6.756746523575E12</v>
      </c>
      <c r="D585" s="116">
        <f>IF('ПРАЙС_ЛИСТ'!F426 &lt;&gt; 'ПРАЙС_ЛИСТ'!H426, 'ПРАЙС_ЛИСТ'!F426, "0")</f>
        <v>2000</v>
      </c>
      <c r="E585" s="114" t="s">
        <v>450</v>
      </c>
      <c r="F585" s="117" t="s">
        <v>421</v>
      </c>
      <c r="G585" s="109"/>
      <c r="H585" s="108" t="s">
        <v>410</v>
      </c>
      <c r="I585" s="122" t="s">
        <v>1204</v>
      </c>
      <c r="J585" s="119" t="s">
        <v>452</v>
      </c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  <c r="AA585" s="120"/>
    </row>
    <row r="586">
      <c r="A586" s="120"/>
      <c r="C586" s="108">
        <v>6.756746523578E12</v>
      </c>
      <c r="D586" s="121">
        <v>0.0</v>
      </c>
      <c r="E586" s="114" t="s">
        <v>454</v>
      </c>
      <c r="F586" s="117" t="s">
        <v>455</v>
      </c>
      <c r="G586" s="108" t="s">
        <v>398</v>
      </c>
      <c r="H586" s="108" t="s">
        <v>410</v>
      </c>
      <c r="I586" s="122" t="s">
        <v>1205</v>
      </c>
      <c r="J586" s="119" t="s">
        <v>457</v>
      </c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  <c r="AA586" s="120"/>
    </row>
    <row r="587">
      <c r="A587" s="120"/>
      <c r="C587" s="108">
        <v>6.756746523591E12</v>
      </c>
      <c r="D587" s="121">
        <v>0.0</v>
      </c>
      <c r="E587" s="114" t="s">
        <v>459</v>
      </c>
      <c r="F587" s="117" t="s">
        <v>442</v>
      </c>
      <c r="G587" s="108" t="s">
        <v>398</v>
      </c>
      <c r="H587" s="108" t="s">
        <v>393</v>
      </c>
      <c r="I587" s="118" t="s">
        <v>1206</v>
      </c>
      <c r="J587" s="119" t="s">
        <v>461</v>
      </c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  <c r="AA587" s="120"/>
    </row>
    <row r="588">
      <c r="A588" s="120"/>
      <c r="C588" s="108" t="s">
        <v>462</v>
      </c>
      <c r="D588" s="116">
        <f>IF('ПРАЙС_ЛИСТ'!F9 &lt;&gt; 'ПРАЙС_ЛИСТ'!H9, 'ПРАЙС_ЛИСТ'!F9, "0")</f>
        <v>1100</v>
      </c>
      <c r="E588" s="114" t="s">
        <v>463</v>
      </c>
      <c r="F588" s="117" t="s">
        <v>409</v>
      </c>
      <c r="G588" s="108"/>
      <c r="H588" s="108"/>
      <c r="I588" s="122" t="s">
        <v>464</v>
      </c>
      <c r="J588" s="119" t="s">
        <v>465</v>
      </c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  <c r="AA588" s="120"/>
    </row>
    <row r="589">
      <c r="A589" s="120"/>
      <c r="C589" s="113" t="s">
        <v>1207</v>
      </c>
      <c r="D589" s="116">
        <f>'ПРАЙС_ЛИСТ'!F434</f>
        <v>2200</v>
      </c>
      <c r="E589" s="114" t="s">
        <v>467</v>
      </c>
      <c r="F589" s="117" t="s">
        <v>468</v>
      </c>
      <c r="G589" s="108" t="s">
        <v>403</v>
      </c>
      <c r="H589" s="108" t="s">
        <v>393</v>
      </c>
      <c r="I589" s="118" t="s">
        <v>1208</v>
      </c>
      <c r="J589" s="119" t="s">
        <v>470</v>
      </c>
      <c r="K589" s="120"/>
      <c r="L589" s="114" t="s">
        <v>418</v>
      </c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  <c r="AA589" s="120"/>
    </row>
    <row r="590">
      <c r="A590" s="120"/>
      <c r="C590" s="108">
        <v>6.756746523583E12</v>
      </c>
      <c r="D590" s="116">
        <f>'ПРАЙС_ЛИСТ'!F427</f>
        <v>4200</v>
      </c>
      <c r="E590" s="114" t="s">
        <v>472</v>
      </c>
      <c r="F590" s="117" t="s">
        <v>468</v>
      </c>
      <c r="G590" s="108" t="s">
        <v>403</v>
      </c>
      <c r="H590" s="108" t="s">
        <v>393</v>
      </c>
      <c r="I590" s="122" t="s">
        <v>1209</v>
      </c>
      <c r="J590" s="119" t="s">
        <v>474</v>
      </c>
      <c r="K590" s="120"/>
      <c r="L590" s="114" t="s">
        <v>418</v>
      </c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  <c r="AA590" s="120"/>
    </row>
    <row r="591">
      <c r="A591" s="120"/>
      <c r="B591" s="115"/>
      <c r="C591" s="108"/>
      <c r="D591" s="109"/>
      <c r="E591" s="114"/>
      <c r="F591" s="117"/>
      <c r="G591" s="108"/>
      <c r="H591" s="108"/>
      <c r="I591" s="119"/>
      <c r="J591" s="119"/>
      <c r="K591" s="120"/>
      <c r="L591" s="114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  <c r="AA591" s="120"/>
    </row>
    <row r="592">
      <c r="A592" s="120"/>
      <c r="B592" s="115" t="s">
        <v>153</v>
      </c>
      <c r="C592" s="108">
        <v>6.756746523534E12</v>
      </c>
      <c r="D592" s="121">
        <v>0.0</v>
      </c>
      <c r="E592" s="114" t="s">
        <v>397</v>
      </c>
      <c r="F592" s="117" t="s">
        <v>392</v>
      </c>
      <c r="G592" s="108" t="s">
        <v>398</v>
      </c>
      <c r="H592" s="108" t="s">
        <v>393</v>
      </c>
      <c r="I592" s="118" t="s">
        <v>1210</v>
      </c>
      <c r="J592" s="119" t="s">
        <v>400</v>
      </c>
      <c r="K592" s="120"/>
      <c r="L592" s="114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  <c r="AA592" s="120"/>
    </row>
    <row r="593">
      <c r="A593" s="120"/>
      <c r="C593" s="108">
        <v>6.756746523532E12</v>
      </c>
      <c r="D593" s="109">
        <f t="array" ref="D593">MIN(IF('ПРАЙС_ЛИСТ'!F395:F396 &lt;&gt; 'ПРАЙС_ЛИСТ'!H395:H396, 'ПРАЙС_ЛИСТ'!F395:F396, ""))</f>
        <v>4000</v>
      </c>
      <c r="E593" s="114" t="s">
        <v>402</v>
      </c>
      <c r="F593" s="117" t="s">
        <v>392</v>
      </c>
      <c r="G593" s="108" t="s">
        <v>403</v>
      </c>
      <c r="H593" s="108" t="s">
        <v>393</v>
      </c>
      <c r="I593" s="118" t="s">
        <v>1211</v>
      </c>
      <c r="J593" s="119" t="s">
        <v>405</v>
      </c>
      <c r="K593" s="120"/>
      <c r="L593" s="114" t="s">
        <v>406</v>
      </c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  <c r="AA593" s="120"/>
    </row>
    <row r="594">
      <c r="A594" s="120"/>
      <c r="C594" s="108">
        <v>6.75674652354E12</v>
      </c>
      <c r="D594" s="116">
        <f>'ПРАЙС_ЛИСТ'!F402</f>
        <v>5000</v>
      </c>
      <c r="E594" s="114" t="s">
        <v>408</v>
      </c>
      <c r="F594" s="117" t="s">
        <v>409</v>
      </c>
      <c r="G594" s="108"/>
      <c r="H594" s="108" t="s">
        <v>410</v>
      </c>
      <c r="I594" s="118" t="s">
        <v>1212</v>
      </c>
      <c r="J594" s="119" t="s">
        <v>412</v>
      </c>
      <c r="K594" s="120"/>
      <c r="L594" s="114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  <c r="AA594" s="120"/>
    </row>
    <row r="595">
      <c r="A595" s="120"/>
      <c r="C595" s="108">
        <v>6.756746523542E12</v>
      </c>
      <c r="D595" s="116">
        <f>'ПРАЙС_ЛИСТ'!F409</f>
        <v>2500</v>
      </c>
      <c r="E595" s="114" t="s">
        <v>415</v>
      </c>
      <c r="F595" s="117" t="s">
        <v>392</v>
      </c>
      <c r="G595" s="108" t="s">
        <v>403</v>
      </c>
      <c r="H595" s="108" t="s">
        <v>393</v>
      </c>
      <c r="I595" s="122" t="s">
        <v>1213</v>
      </c>
      <c r="J595" s="119" t="s">
        <v>417</v>
      </c>
      <c r="K595" s="120"/>
      <c r="L595" s="114" t="s">
        <v>418</v>
      </c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  <c r="AA595" s="120"/>
    </row>
    <row r="596">
      <c r="A596" s="120"/>
      <c r="C596" s="108">
        <v>6.756746523524E12</v>
      </c>
      <c r="D596" s="125">
        <f t="array" ref="D596">MIN(IF('ПРАЙС_ЛИСТ'!F392 &lt;&gt; 'ПРАЙС_ЛИСТ'!H392, 'ПРАЙС_ЛИСТ'!F392, ""))</f>
        <v>3000</v>
      </c>
      <c r="E596" s="114" t="s">
        <v>420</v>
      </c>
      <c r="F596" s="117" t="s">
        <v>421</v>
      </c>
      <c r="G596" s="108" t="s">
        <v>403</v>
      </c>
      <c r="H596" s="108" t="s">
        <v>410</v>
      </c>
      <c r="I596" s="118" t="s">
        <v>1214</v>
      </c>
      <c r="J596" s="119" t="s">
        <v>423</v>
      </c>
      <c r="K596" s="120"/>
      <c r="L596" s="114" t="s">
        <v>413</v>
      </c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  <c r="AA596" s="120"/>
    </row>
    <row r="597">
      <c r="A597" s="120"/>
      <c r="C597" s="108">
        <v>6.756746523543E12</v>
      </c>
      <c r="D597" s="116">
        <f>IF('ПРАЙС_ЛИСТ'!F394 &lt;&gt; 'ПРАЙС_ЛИСТ'!H394, 'ПРАЙС_ЛИСТ'!F394, "0")</f>
        <v>3500</v>
      </c>
      <c r="E597" s="114" t="s">
        <v>425</v>
      </c>
      <c r="F597" s="117" t="s">
        <v>421</v>
      </c>
      <c r="G597" s="109"/>
      <c r="H597" s="108" t="s">
        <v>393</v>
      </c>
      <c r="I597" s="118" t="s">
        <v>1215</v>
      </c>
      <c r="J597" s="119" t="s">
        <v>427</v>
      </c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  <c r="AA597" s="120"/>
    </row>
    <row r="598">
      <c r="A598" s="120"/>
      <c r="C598" s="108">
        <v>6.756746523531E12</v>
      </c>
      <c r="D598" s="116">
        <f>IF('ПРАЙС_ЛИСТ'!F407 &lt;&gt; 'ПРАЙС_ЛИСТ'!H407, 'ПРАЙС_ЛИСТ'!F407, "0")</f>
        <v>3700</v>
      </c>
      <c r="E598" s="114" t="s">
        <v>429</v>
      </c>
      <c r="F598" s="117" t="s">
        <v>392</v>
      </c>
      <c r="G598" s="109"/>
      <c r="H598" s="108" t="s">
        <v>393</v>
      </c>
      <c r="I598" s="122" t="s">
        <v>1216</v>
      </c>
      <c r="J598" s="119" t="s">
        <v>431</v>
      </c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  <c r="AA598" s="120"/>
    </row>
    <row r="599">
      <c r="A599" s="120"/>
      <c r="C599" s="108">
        <v>6.756746523529E12</v>
      </c>
      <c r="D599" s="116">
        <f>IF('ПРАЙС_ЛИСТ'!F405 &lt;&gt; 'ПРАЙС_ЛИСТ'!H405, 'ПРАЙС_ЛИСТ'!F405, "0")</f>
        <v>2600</v>
      </c>
      <c r="E599" s="114" t="s">
        <v>433</v>
      </c>
      <c r="F599" s="117" t="s">
        <v>421</v>
      </c>
      <c r="G599" s="109"/>
      <c r="H599" s="108" t="s">
        <v>393</v>
      </c>
      <c r="I599" s="122" t="s">
        <v>1217</v>
      </c>
      <c r="J599" s="119" t="s">
        <v>435</v>
      </c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  <c r="AA599" s="120"/>
    </row>
    <row r="600">
      <c r="A600" s="120"/>
      <c r="C600" s="108">
        <v>6.75674652353E12</v>
      </c>
      <c r="D600" s="116">
        <f>IF('ПРАЙС_ЛИСТ'!F406 &lt;&gt; 'ПРАЙС_ЛИСТ'!H406, 'ПРАЙС_ЛИСТ'!F406, "0")</f>
        <v>2900</v>
      </c>
      <c r="E600" s="114" t="s">
        <v>437</v>
      </c>
      <c r="F600" s="117" t="s">
        <v>421</v>
      </c>
      <c r="G600" s="109"/>
      <c r="H600" s="108" t="s">
        <v>393</v>
      </c>
      <c r="I600" s="122" t="s">
        <v>1218</v>
      </c>
      <c r="J600" s="119" t="s">
        <v>439</v>
      </c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  <c r="AA600" s="120"/>
    </row>
    <row r="601">
      <c r="A601" s="120"/>
      <c r="C601" s="108">
        <v>6.756746523537E12</v>
      </c>
      <c r="D601" s="116">
        <f>IF('ПРАЙС_ЛИСТ'!F398 &lt;&gt; 'ПРАЙС_ЛИСТ'!H398, 'ПРАЙС_ЛИСТ'!F398, "0")</f>
        <v>4050</v>
      </c>
      <c r="E601" s="114" t="s">
        <v>441</v>
      </c>
      <c r="F601" s="117" t="s">
        <v>442</v>
      </c>
      <c r="G601" s="109"/>
      <c r="H601" s="108" t="s">
        <v>393</v>
      </c>
      <c r="I601" s="118" t="s">
        <v>1219</v>
      </c>
      <c r="J601" s="119" t="s">
        <v>444</v>
      </c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  <c r="AA601" s="120"/>
    </row>
    <row r="602">
      <c r="A602" s="120"/>
      <c r="C602" s="108">
        <v>6.756746523538E12</v>
      </c>
      <c r="D602" s="116">
        <f>IF('ПРАЙС_ЛИСТ'!F399 &lt;&gt; 'ПРАЙС_ЛИСТ'!H399, 'ПРАЙС_ЛИСТ'!F399, "0")</f>
        <v>4900</v>
      </c>
      <c r="E602" s="114" t="s">
        <v>446</v>
      </c>
      <c r="F602" s="117" t="s">
        <v>421</v>
      </c>
      <c r="G602" s="109"/>
      <c r="H602" s="108" t="s">
        <v>393</v>
      </c>
      <c r="I602" s="118" t="s">
        <v>1220</v>
      </c>
      <c r="J602" s="119" t="s">
        <v>448</v>
      </c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  <c r="AA602" s="120"/>
    </row>
    <row r="603">
      <c r="A603" s="120"/>
      <c r="C603" s="108">
        <v>6.756746523536E12</v>
      </c>
      <c r="D603" s="116">
        <f>IF('ПРАЙС_ЛИСТ'!F400 &lt;&gt; 'ПРАЙС_ЛИСТ'!H400, 'ПРАЙС_ЛИСТ'!F400, "0")</f>
        <v>2000</v>
      </c>
      <c r="E603" s="114" t="s">
        <v>450</v>
      </c>
      <c r="F603" s="117" t="s">
        <v>421</v>
      </c>
      <c r="G603" s="109"/>
      <c r="H603" s="108" t="s">
        <v>410</v>
      </c>
      <c r="I603" s="122" t="s">
        <v>1221</v>
      </c>
      <c r="J603" s="119" t="s">
        <v>452</v>
      </c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  <c r="AA603" s="120"/>
    </row>
    <row r="604">
      <c r="A604" s="120"/>
      <c r="C604" s="108">
        <v>6.756746523539E12</v>
      </c>
      <c r="D604" s="121">
        <v>0.0</v>
      </c>
      <c r="E604" s="114" t="s">
        <v>454</v>
      </c>
      <c r="F604" s="117" t="s">
        <v>455</v>
      </c>
      <c r="G604" s="108" t="s">
        <v>398</v>
      </c>
      <c r="H604" s="108" t="s">
        <v>410</v>
      </c>
      <c r="I604" s="122" t="s">
        <v>1222</v>
      </c>
      <c r="J604" s="119" t="s">
        <v>457</v>
      </c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  <c r="AA604" s="120"/>
    </row>
    <row r="605">
      <c r="A605" s="120"/>
      <c r="C605" s="108">
        <v>6.756746523552E12</v>
      </c>
      <c r="D605" s="121">
        <v>0.0</v>
      </c>
      <c r="E605" s="114" t="s">
        <v>459</v>
      </c>
      <c r="F605" s="117" t="s">
        <v>442</v>
      </c>
      <c r="G605" s="108" t="s">
        <v>398</v>
      </c>
      <c r="H605" s="108" t="s">
        <v>393</v>
      </c>
      <c r="I605" s="118" t="s">
        <v>1223</v>
      </c>
      <c r="J605" s="119" t="s">
        <v>461</v>
      </c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  <c r="AA605" s="120"/>
    </row>
    <row r="606">
      <c r="A606" s="120"/>
      <c r="C606" s="108" t="s">
        <v>462</v>
      </c>
      <c r="D606" s="116">
        <f>IF('ПРАЙС_ЛИСТ'!F9 &lt;&gt; 'ПРАЙС_ЛИСТ'!H9, 'ПРАЙС_ЛИСТ'!F9, "0")</f>
        <v>1100</v>
      </c>
      <c r="E606" s="114" t="s">
        <v>463</v>
      </c>
      <c r="F606" s="117" t="s">
        <v>409</v>
      </c>
      <c r="G606" s="108"/>
      <c r="H606" s="108"/>
      <c r="I606" s="122" t="s">
        <v>464</v>
      </c>
      <c r="J606" s="119" t="s">
        <v>465</v>
      </c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  <c r="AA606" s="120"/>
    </row>
    <row r="607">
      <c r="A607" s="120"/>
      <c r="C607" s="113" t="s">
        <v>1224</v>
      </c>
      <c r="D607" s="116">
        <f>'ПРАЙС_ЛИСТ'!F408</f>
        <v>2200</v>
      </c>
      <c r="E607" s="114" t="s">
        <v>467</v>
      </c>
      <c r="F607" s="117" t="s">
        <v>468</v>
      </c>
      <c r="G607" s="108" t="s">
        <v>403</v>
      </c>
      <c r="H607" s="108" t="s">
        <v>393</v>
      </c>
      <c r="I607" s="118" t="s">
        <v>1225</v>
      </c>
      <c r="J607" s="119" t="s">
        <v>470</v>
      </c>
      <c r="K607" s="120"/>
      <c r="L607" s="114" t="s">
        <v>418</v>
      </c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  <c r="AA607" s="120"/>
    </row>
    <row r="608">
      <c r="A608" s="120"/>
      <c r="C608" s="108">
        <v>6.756746523544E12</v>
      </c>
      <c r="D608" s="116">
        <f>'ПРАЙС_ЛИСТ'!F401</f>
        <v>4200</v>
      </c>
      <c r="E608" s="114" t="s">
        <v>472</v>
      </c>
      <c r="F608" s="117" t="s">
        <v>468</v>
      </c>
      <c r="G608" s="108" t="s">
        <v>403</v>
      </c>
      <c r="H608" s="108" t="s">
        <v>393</v>
      </c>
      <c r="I608" s="122" t="s">
        <v>1226</v>
      </c>
      <c r="J608" s="119" t="s">
        <v>474</v>
      </c>
      <c r="K608" s="120"/>
      <c r="L608" s="114" t="s">
        <v>418</v>
      </c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  <c r="AA608" s="120"/>
    </row>
    <row r="609">
      <c r="A609" s="120"/>
      <c r="B609" s="115"/>
      <c r="C609" s="108"/>
      <c r="D609" s="109"/>
      <c r="E609" s="114"/>
      <c r="F609" s="117"/>
      <c r="G609" s="108"/>
      <c r="H609" s="108"/>
      <c r="I609" s="119"/>
      <c r="J609" s="119"/>
      <c r="K609" s="120"/>
      <c r="L609" s="114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  <c r="AA609" s="120"/>
    </row>
    <row r="610">
      <c r="A610" s="120"/>
      <c r="B610" s="115" t="s">
        <v>146</v>
      </c>
      <c r="C610" s="108" t="s">
        <v>1227</v>
      </c>
      <c r="D610" s="116">
        <f>IF('ПРАЙС_ЛИСТ'!F372 &lt;&gt; 'ПРАЙС_ЛИСТ'!H372, IF('ПРАЙС_ЛИСТ'!F372 = 1, 0, 'ПРАЙС_ЛИСТ'!F372), 0)</f>
        <v>3500</v>
      </c>
      <c r="E610" s="114" t="s">
        <v>391</v>
      </c>
      <c r="F610" s="117" t="s">
        <v>392</v>
      </c>
      <c r="G610" s="108"/>
      <c r="H610" s="108" t="s">
        <v>393</v>
      </c>
      <c r="I610" s="122" t="s">
        <v>1228</v>
      </c>
      <c r="J610" s="119" t="s">
        <v>395</v>
      </c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  <c r="AA610" s="120"/>
    </row>
    <row r="611">
      <c r="A611" s="120"/>
      <c r="C611" s="108" t="s">
        <v>1229</v>
      </c>
      <c r="D611" s="121">
        <v>0.0</v>
      </c>
      <c r="E611" s="114" t="s">
        <v>397</v>
      </c>
      <c r="F611" s="117" t="s">
        <v>392</v>
      </c>
      <c r="G611" s="108" t="s">
        <v>398</v>
      </c>
      <c r="H611" s="108" t="s">
        <v>393</v>
      </c>
      <c r="I611" s="122" t="s">
        <v>1230</v>
      </c>
      <c r="J611" s="119" t="s">
        <v>400</v>
      </c>
      <c r="K611" s="120"/>
      <c r="L611" s="114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  <c r="AA611" s="120"/>
    </row>
    <row r="612">
      <c r="A612" s="120"/>
      <c r="C612" s="108" t="s">
        <v>1231</v>
      </c>
      <c r="D612" s="109">
        <f t="array" ref="D612">MIN(IF('ПРАЙС_ЛИСТ'!F369:F370 &lt;&gt; 'ПРАЙС_ЛИСТ'!H369:H370, 'ПРАЙС_ЛИСТ'!F369:F370, ""))</f>
        <v>3000</v>
      </c>
      <c r="E612" s="114" t="s">
        <v>402</v>
      </c>
      <c r="F612" s="117" t="s">
        <v>392</v>
      </c>
      <c r="G612" s="108" t="s">
        <v>403</v>
      </c>
      <c r="H612" s="108" t="s">
        <v>393</v>
      </c>
      <c r="I612" s="118" t="s">
        <v>1232</v>
      </c>
      <c r="J612" s="119" t="s">
        <v>405</v>
      </c>
      <c r="K612" s="120"/>
      <c r="L612" s="114" t="s">
        <v>406</v>
      </c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  <c r="AA612" s="120"/>
    </row>
    <row r="613">
      <c r="A613" s="120"/>
      <c r="C613" s="108" t="s">
        <v>1233</v>
      </c>
      <c r="D613" s="116">
        <f>'ПРАЙС_ЛИСТ'!F376</f>
        <v>5000</v>
      </c>
      <c r="E613" s="114" t="s">
        <v>408</v>
      </c>
      <c r="F613" s="117" t="s">
        <v>409</v>
      </c>
      <c r="G613" s="108"/>
      <c r="H613" s="108" t="s">
        <v>410</v>
      </c>
      <c r="I613" s="118" t="s">
        <v>1234</v>
      </c>
      <c r="J613" s="119" t="s">
        <v>412</v>
      </c>
      <c r="K613" s="120"/>
      <c r="L613" s="114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  <c r="AA613" s="120"/>
    </row>
    <row r="614">
      <c r="A614" s="120"/>
      <c r="C614" s="108" t="s">
        <v>1235</v>
      </c>
      <c r="D614" s="116">
        <f>'ПРАЙС_ЛИСТ'!F384</f>
        <v>2500</v>
      </c>
      <c r="E614" s="114" t="s">
        <v>415</v>
      </c>
      <c r="F614" s="117" t="s">
        <v>392</v>
      </c>
      <c r="G614" s="108" t="s">
        <v>403</v>
      </c>
      <c r="H614" s="108" t="s">
        <v>393</v>
      </c>
      <c r="I614" s="122" t="s">
        <v>1236</v>
      </c>
      <c r="J614" s="119" t="s">
        <v>417</v>
      </c>
      <c r="K614" s="120"/>
      <c r="L614" s="114" t="s">
        <v>418</v>
      </c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  <c r="AA614" s="120"/>
    </row>
    <row r="615">
      <c r="A615" s="120"/>
      <c r="C615" s="108" t="s">
        <v>1237</v>
      </c>
      <c r="D615" s="125">
        <f t="array" ref="D615">MIN(IF('ПРАЙС_ЛИСТ'!F366 &lt;&gt; 'ПРАЙС_ЛИСТ'!H366, 'ПРАЙС_ЛИСТ'!F366, ""))</f>
        <v>3100</v>
      </c>
      <c r="E615" s="114" t="s">
        <v>420</v>
      </c>
      <c r="F615" s="117" t="s">
        <v>421</v>
      </c>
      <c r="G615" s="108" t="s">
        <v>403</v>
      </c>
      <c r="H615" s="108" t="s">
        <v>410</v>
      </c>
      <c r="I615" s="118" t="s">
        <v>1238</v>
      </c>
      <c r="J615" s="119" t="s">
        <v>423</v>
      </c>
      <c r="K615" s="120"/>
      <c r="L615" s="114" t="s">
        <v>413</v>
      </c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  <c r="AA615" s="120"/>
    </row>
    <row r="616">
      <c r="A616" s="120"/>
      <c r="C616" s="108" t="s">
        <v>1239</v>
      </c>
      <c r="D616" s="109" t="str">
        <f>IF('ПРАЙС_ЛИСТ'!F368 &lt;&gt; 'ПРАЙС_ЛИСТ'!H368, 'ПРАЙС_ЛИСТ'!F368, "0")</f>
        <v>0</v>
      </c>
      <c r="E616" s="114" t="s">
        <v>425</v>
      </c>
      <c r="F616" s="117" t="s">
        <v>421</v>
      </c>
      <c r="G616" s="108" t="s">
        <v>398</v>
      </c>
      <c r="H616" s="108" t="s">
        <v>393</v>
      </c>
      <c r="I616" s="118" t="s">
        <v>1240</v>
      </c>
      <c r="J616" s="119" t="s">
        <v>427</v>
      </c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  <c r="AA616" s="120"/>
    </row>
    <row r="617">
      <c r="A617" s="120"/>
      <c r="C617" s="108" t="s">
        <v>1241</v>
      </c>
      <c r="D617" s="109" t="str">
        <f>IF('ПРАЙС_ЛИСТ'!F382 &lt;&gt; 'ПРАЙС_ЛИСТ'!H382, 'ПРАЙС_ЛИСТ'!F382, "0")</f>
        <v>0</v>
      </c>
      <c r="E617" s="114" t="s">
        <v>429</v>
      </c>
      <c r="F617" s="117" t="s">
        <v>392</v>
      </c>
      <c r="G617" s="109"/>
      <c r="H617" s="108" t="s">
        <v>393</v>
      </c>
      <c r="I617" s="118" t="s">
        <v>1242</v>
      </c>
      <c r="J617" s="119" t="s">
        <v>431</v>
      </c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  <c r="AA617" s="120"/>
    </row>
    <row r="618">
      <c r="A618" s="120"/>
      <c r="C618" s="108" t="s">
        <v>1243</v>
      </c>
      <c r="D618" s="116">
        <f>IF('ПРАЙС_ЛИСТ'!F380 &lt;&gt; 'ПРАЙС_ЛИСТ'!H380, 'ПРАЙС_ЛИСТ'!F380, "0")</f>
        <v>1850</v>
      </c>
      <c r="E618" s="114" t="s">
        <v>433</v>
      </c>
      <c r="F618" s="117" t="s">
        <v>421</v>
      </c>
      <c r="G618" s="109"/>
      <c r="H618" s="108" t="s">
        <v>393</v>
      </c>
      <c r="I618" s="118" t="s">
        <v>1244</v>
      </c>
      <c r="J618" s="119" t="s">
        <v>435</v>
      </c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  <c r="AA618" s="120"/>
    </row>
    <row r="619">
      <c r="A619" s="120"/>
      <c r="C619" s="108" t="s">
        <v>1245</v>
      </c>
      <c r="D619" s="116">
        <f>IF('ПРАЙС_ЛИСТ'!F381 &lt;&gt; 'ПРАЙС_ЛИСТ'!H381, 'ПРАЙС_ЛИСТ'!F381, "0")</f>
        <v>1800</v>
      </c>
      <c r="E619" s="114" t="s">
        <v>437</v>
      </c>
      <c r="F619" s="117" t="s">
        <v>421</v>
      </c>
      <c r="G619" s="109"/>
      <c r="H619" s="108" t="s">
        <v>393</v>
      </c>
      <c r="I619" s="122" t="s">
        <v>1246</v>
      </c>
      <c r="J619" s="119" t="s">
        <v>439</v>
      </c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  <c r="AA619" s="120"/>
    </row>
    <row r="620">
      <c r="A620" s="120"/>
      <c r="C620" s="108" t="s">
        <v>1247</v>
      </c>
      <c r="D620" s="116">
        <f>IF('ПРАЙС_ЛИСТ'!F373 &lt;&gt; 'ПРАЙС_ЛИСТ'!H373, 'ПРАЙС_ЛИСТ'!F373, "0")</f>
        <v>6000</v>
      </c>
      <c r="E620" s="114" t="s">
        <v>441</v>
      </c>
      <c r="F620" s="117" t="s">
        <v>442</v>
      </c>
      <c r="G620" s="109"/>
      <c r="H620" s="108" t="s">
        <v>393</v>
      </c>
      <c r="I620" s="118" t="s">
        <v>1248</v>
      </c>
      <c r="J620" s="119" t="s">
        <v>444</v>
      </c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  <c r="AA620" s="120"/>
    </row>
    <row r="621">
      <c r="A621" s="120"/>
      <c r="C621" s="108" t="s">
        <v>1249</v>
      </c>
      <c r="D621" s="116">
        <f>IF('ПРАЙС_ЛИСТ'!F374 &lt;&gt; 'ПРАЙС_ЛИСТ'!H374, 'ПРАЙС_ЛИСТ'!F374, "0")</f>
        <v>3550</v>
      </c>
      <c r="E621" s="114" t="s">
        <v>446</v>
      </c>
      <c r="F621" s="117" t="s">
        <v>421</v>
      </c>
      <c r="G621" s="109"/>
      <c r="H621" s="108" t="s">
        <v>393</v>
      </c>
      <c r="I621" s="118" t="s">
        <v>1250</v>
      </c>
      <c r="J621" s="119" t="s">
        <v>448</v>
      </c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  <c r="AA621" s="120"/>
    </row>
    <row r="622">
      <c r="A622" s="120"/>
      <c r="C622" s="108" t="s">
        <v>1251</v>
      </c>
      <c r="D622" s="116">
        <f>IF('ПРАЙС_ЛИСТ'!F375 &lt;&gt; 'ПРАЙС_ЛИСТ'!H375, 'ПРАЙС_ЛИСТ'!F375, "0")</f>
        <v>1500</v>
      </c>
      <c r="E622" s="114" t="s">
        <v>450</v>
      </c>
      <c r="F622" s="117" t="s">
        <v>421</v>
      </c>
      <c r="G622" s="109"/>
      <c r="H622" s="108" t="s">
        <v>410</v>
      </c>
      <c r="I622" s="122" t="s">
        <v>1252</v>
      </c>
      <c r="J622" s="119" t="s">
        <v>452</v>
      </c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  <c r="AA622" s="120"/>
    </row>
    <row r="623">
      <c r="A623" s="120"/>
      <c r="C623" s="108" t="s">
        <v>1253</v>
      </c>
      <c r="D623" s="121">
        <v>0.0</v>
      </c>
      <c r="E623" s="114" t="s">
        <v>454</v>
      </c>
      <c r="F623" s="117" t="s">
        <v>455</v>
      </c>
      <c r="G623" s="108" t="s">
        <v>398</v>
      </c>
      <c r="H623" s="108" t="s">
        <v>410</v>
      </c>
      <c r="I623" s="122" t="s">
        <v>1254</v>
      </c>
      <c r="J623" s="119" t="s">
        <v>457</v>
      </c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  <c r="AA623" s="120"/>
    </row>
    <row r="624">
      <c r="A624" s="120"/>
      <c r="C624" s="108" t="s">
        <v>1255</v>
      </c>
      <c r="D624" s="121">
        <v>0.0</v>
      </c>
      <c r="E624" s="114" t="s">
        <v>459</v>
      </c>
      <c r="F624" s="117" t="s">
        <v>442</v>
      </c>
      <c r="G624" s="108" t="s">
        <v>398</v>
      </c>
      <c r="H624" s="108" t="s">
        <v>393</v>
      </c>
      <c r="I624" s="118" t="s">
        <v>1256</v>
      </c>
      <c r="J624" s="119" t="s">
        <v>461</v>
      </c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  <c r="AA624" s="120"/>
    </row>
    <row r="625">
      <c r="A625" s="120"/>
      <c r="C625" s="108" t="s">
        <v>462</v>
      </c>
      <c r="D625" s="116">
        <f>IF('ПРАЙС_ЛИСТ'!F9 &lt;&gt; 'ПРАЙС_ЛИСТ'!H9, 'ПРАЙС_ЛИСТ'!F9, "0")</f>
        <v>1100</v>
      </c>
      <c r="E625" s="114" t="s">
        <v>463</v>
      </c>
      <c r="F625" s="117" t="s">
        <v>409</v>
      </c>
      <c r="G625" s="108"/>
      <c r="H625" s="108"/>
      <c r="I625" s="122" t="s">
        <v>464</v>
      </c>
      <c r="J625" s="119" t="s">
        <v>465</v>
      </c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  <c r="AA625" s="120"/>
    </row>
    <row r="626">
      <c r="A626" s="120"/>
      <c r="C626" s="113" t="s">
        <v>1257</v>
      </c>
      <c r="D626" s="116">
        <f>'ПРАЙС_ЛИСТ'!F383</f>
        <v>2000</v>
      </c>
      <c r="E626" s="114" t="s">
        <v>467</v>
      </c>
      <c r="F626" s="117" t="s">
        <v>468</v>
      </c>
      <c r="G626" s="108" t="s">
        <v>403</v>
      </c>
      <c r="H626" s="108" t="s">
        <v>393</v>
      </c>
      <c r="I626" s="118" t="s">
        <v>1258</v>
      </c>
      <c r="J626" s="119" t="s">
        <v>470</v>
      </c>
      <c r="K626" s="120"/>
      <c r="L626" s="114" t="s">
        <v>418</v>
      </c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  <c r="AA626" s="120"/>
    </row>
    <row r="627">
      <c r="A627" s="120"/>
      <c r="B627" s="115"/>
      <c r="C627" s="108"/>
      <c r="D627" s="109"/>
      <c r="E627" s="114"/>
      <c r="F627" s="117"/>
      <c r="G627" s="108"/>
      <c r="H627" s="108"/>
      <c r="I627" s="119"/>
      <c r="J627" s="119"/>
      <c r="K627" s="120"/>
      <c r="L627" s="114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  <c r="AA627" s="120"/>
    </row>
    <row r="628">
      <c r="A628" s="120"/>
      <c r="B628" s="115" t="s">
        <v>139</v>
      </c>
      <c r="C628" s="108" t="s">
        <v>1259</v>
      </c>
      <c r="D628" s="116">
        <f>IF('ПРАЙС_ЛИСТ'!F346 &lt;&gt; 'ПРАЙС_ЛИСТ'!H346, IF('ПРАЙС_ЛИСТ'!F346 = 1, 0, 'ПРАЙС_ЛИСТ'!F346), 0)</f>
        <v>3500</v>
      </c>
      <c r="E628" s="114" t="s">
        <v>391</v>
      </c>
      <c r="F628" s="117" t="s">
        <v>392</v>
      </c>
      <c r="G628" s="108"/>
      <c r="H628" s="108" t="s">
        <v>393</v>
      </c>
      <c r="I628" s="122" t="s">
        <v>1260</v>
      </c>
      <c r="J628" s="119" t="s">
        <v>395</v>
      </c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  <c r="AA628" s="120"/>
    </row>
    <row r="629">
      <c r="A629" s="120"/>
      <c r="C629" s="108" t="s">
        <v>1261</v>
      </c>
      <c r="D629" s="121">
        <v>0.0</v>
      </c>
      <c r="E629" s="114" t="s">
        <v>397</v>
      </c>
      <c r="F629" s="117" t="s">
        <v>392</v>
      </c>
      <c r="G629" s="108" t="s">
        <v>398</v>
      </c>
      <c r="H629" s="108" t="s">
        <v>393</v>
      </c>
      <c r="I629" s="122" t="s">
        <v>1262</v>
      </c>
      <c r="J629" s="119" t="s">
        <v>400</v>
      </c>
      <c r="K629" s="120"/>
      <c r="L629" s="114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  <c r="AA629" s="120"/>
    </row>
    <row r="630">
      <c r="A630" s="120"/>
      <c r="C630" s="108" t="s">
        <v>1263</v>
      </c>
      <c r="D630" s="109">
        <f t="array" ref="D630">MIN(IF('ПРАЙС_ЛИСТ'!F343:F344 &lt;&gt; 'ПРАЙС_ЛИСТ'!H343:H344, 'ПРАЙС_ЛИСТ'!F343:F344, ""))</f>
        <v>3000</v>
      </c>
      <c r="E630" s="114" t="s">
        <v>402</v>
      </c>
      <c r="F630" s="117" t="s">
        <v>392</v>
      </c>
      <c r="G630" s="108" t="s">
        <v>403</v>
      </c>
      <c r="H630" s="108" t="s">
        <v>393</v>
      </c>
      <c r="I630" s="118" t="s">
        <v>1264</v>
      </c>
      <c r="J630" s="119" t="s">
        <v>405</v>
      </c>
      <c r="K630" s="120"/>
      <c r="L630" s="114" t="s">
        <v>406</v>
      </c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  <c r="AA630" s="120"/>
    </row>
    <row r="631">
      <c r="A631" s="120"/>
      <c r="C631" s="108" t="s">
        <v>1265</v>
      </c>
      <c r="D631" s="116">
        <f>'ПРАЙС_ЛИСТ'!F350</f>
        <v>5000</v>
      </c>
      <c r="E631" s="114" t="s">
        <v>408</v>
      </c>
      <c r="F631" s="117" t="s">
        <v>409</v>
      </c>
      <c r="G631" s="108"/>
      <c r="H631" s="108" t="s">
        <v>410</v>
      </c>
      <c r="I631" s="118" t="s">
        <v>1266</v>
      </c>
      <c r="J631" s="119" t="s">
        <v>412</v>
      </c>
      <c r="K631" s="120"/>
      <c r="L631" s="114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  <c r="AA631" s="120"/>
    </row>
    <row r="632">
      <c r="A632" s="120"/>
      <c r="C632" s="108" t="s">
        <v>1267</v>
      </c>
      <c r="D632" s="116">
        <f>'ПРАЙС_ЛИСТ'!F358</f>
        <v>2500</v>
      </c>
      <c r="E632" s="114" t="s">
        <v>415</v>
      </c>
      <c r="F632" s="117" t="s">
        <v>392</v>
      </c>
      <c r="G632" s="108" t="s">
        <v>403</v>
      </c>
      <c r="H632" s="108" t="s">
        <v>393</v>
      </c>
      <c r="I632" s="122" t="s">
        <v>1268</v>
      </c>
      <c r="J632" s="119" t="s">
        <v>417</v>
      </c>
      <c r="K632" s="120"/>
      <c r="L632" s="114" t="s">
        <v>418</v>
      </c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  <c r="AA632" s="120"/>
    </row>
    <row r="633">
      <c r="A633" s="120"/>
      <c r="C633" s="108" t="s">
        <v>1269</v>
      </c>
      <c r="D633" s="125">
        <f t="array" ref="D633">MIN(IF('ПРАЙС_ЛИСТ'!F564 &lt;&gt; 'ПРАЙС_ЛИСТ'!H564, 'ПРАЙС_ЛИСТ'!F564, ""))</f>
        <v>2500</v>
      </c>
      <c r="E633" s="114" t="s">
        <v>420</v>
      </c>
      <c r="F633" s="117" t="s">
        <v>421</v>
      </c>
      <c r="G633" s="108" t="s">
        <v>403</v>
      </c>
      <c r="H633" s="108" t="s">
        <v>410</v>
      </c>
      <c r="I633" s="118" t="s">
        <v>1270</v>
      </c>
      <c r="J633" s="119" t="s">
        <v>423</v>
      </c>
      <c r="K633" s="120"/>
      <c r="L633" s="114" t="s">
        <v>413</v>
      </c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  <c r="AA633" s="120"/>
    </row>
    <row r="634">
      <c r="A634" s="120"/>
      <c r="C634" s="108" t="s">
        <v>1271</v>
      </c>
      <c r="D634" s="116">
        <f>IF('ПРАЙС_ЛИСТ'!F342 &lt;&gt; 'ПРАЙС_ЛИСТ'!H342, 'ПРАЙС_ЛИСТ'!F342, "0")</f>
        <v>2800</v>
      </c>
      <c r="E634" s="114" t="s">
        <v>425</v>
      </c>
      <c r="F634" s="117" t="s">
        <v>421</v>
      </c>
      <c r="G634" s="109"/>
      <c r="H634" s="108" t="s">
        <v>393</v>
      </c>
      <c r="I634" s="118" t="s">
        <v>1272</v>
      </c>
      <c r="J634" s="119" t="s">
        <v>427</v>
      </c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  <c r="AA634" s="120"/>
    </row>
    <row r="635">
      <c r="A635" s="120"/>
      <c r="C635" s="108" t="s">
        <v>1273</v>
      </c>
      <c r="D635" s="116">
        <f>IF('ПРАЙС_ЛИСТ'!F356 &lt;&gt; 'ПРАЙС_ЛИСТ'!H356, 'ПРАЙС_ЛИСТ'!F356, "0")</f>
        <v>3500</v>
      </c>
      <c r="E635" s="114" t="s">
        <v>429</v>
      </c>
      <c r="F635" s="117" t="s">
        <v>392</v>
      </c>
      <c r="G635" s="109"/>
      <c r="H635" s="108" t="s">
        <v>393</v>
      </c>
      <c r="I635" s="122" t="s">
        <v>1274</v>
      </c>
      <c r="J635" s="119" t="s">
        <v>431</v>
      </c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  <c r="AA635" s="120"/>
    </row>
    <row r="636">
      <c r="A636" s="120"/>
      <c r="C636" s="108" t="s">
        <v>1275</v>
      </c>
      <c r="D636" s="116">
        <f>IF('ПРАЙС_ЛИСТ'!F354 &lt;&gt; 'ПРАЙС_ЛИСТ'!H354, 'ПРАЙС_ЛИСТ'!F354, "0")</f>
        <v>1850</v>
      </c>
      <c r="E636" s="114" t="s">
        <v>433</v>
      </c>
      <c r="F636" s="117" t="s">
        <v>421</v>
      </c>
      <c r="G636" s="109"/>
      <c r="H636" s="108" t="s">
        <v>393</v>
      </c>
      <c r="I636" s="122" t="s">
        <v>1276</v>
      </c>
      <c r="J636" s="119" t="s">
        <v>435</v>
      </c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  <c r="AA636" s="120"/>
    </row>
    <row r="637">
      <c r="A637" s="120"/>
      <c r="C637" s="108" t="s">
        <v>1277</v>
      </c>
      <c r="D637" s="116">
        <f>IF('ПРАЙС_ЛИСТ'!F355 &lt;&gt; 'ПРАЙС_ЛИСТ'!H355, 'ПРАЙС_ЛИСТ'!F355, "0")</f>
        <v>1800</v>
      </c>
      <c r="E637" s="114" t="s">
        <v>437</v>
      </c>
      <c r="F637" s="117" t="s">
        <v>421</v>
      </c>
      <c r="G637" s="109"/>
      <c r="H637" s="108" t="s">
        <v>393</v>
      </c>
      <c r="I637" s="122" t="s">
        <v>1278</v>
      </c>
      <c r="J637" s="119" t="s">
        <v>439</v>
      </c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  <c r="AA637" s="120"/>
    </row>
    <row r="638">
      <c r="A638" s="120"/>
      <c r="C638" s="108" t="s">
        <v>1279</v>
      </c>
      <c r="D638" s="116">
        <f>IF('ПРАЙС_ЛИСТ'!F347 &lt;&gt; 'ПРАЙС_ЛИСТ'!H347, 'ПРАЙС_ЛИСТ'!F347, "0")</f>
        <v>6000</v>
      </c>
      <c r="E638" s="114" t="s">
        <v>441</v>
      </c>
      <c r="F638" s="117" t="s">
        <v>442</v>
      </c>
      <c r="G638" s="109"/>
      <c r="H638" s="108" t="s">
        <v>393</v>
      </c>
      <c r="I638" s="118" t="s">
        <v>1280</v>
      </c>
      <c r="J638" s="119" t="s">
        <v>444</v>
      </c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  <c r="AA638" s="120"/>
    </row>
    <row r="639">
      <c r="A639" s="120"/>
      <c r="C639" s="108" t="s">
        <v>1281</v>
      </c>
      <c r="D639" s="116">
        <f>IF('ПРАЙС_ЛИСТ'!F348 &lt;&gt; 'ПРАЙС_ЛИСТ'!H348, 'ПРАЙС_ЛИСТ'!F348, "0")</f>
        <v>3550</v>
      </c>
      <c r="E639" s="114" t="s">
        <v>446</v>
      </c>
      <c r="F639" s="117" t="s">
        <v>421</v>
      </c>
      <c r="G639" s="109"/>
      <c r="H639" s="108" t="s">
        <v>393</v>
      </c>
      <c r="I639" s="118" t="s">
        <v>1282</v>
      </c>
      <c r="J639" s="119" t="s">
        <v>448</v>
      </c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  <c r="AA639" s="120"/>
    </row>
    <row r="640">
      <c r="A640" s="120"/>
      <c r="C640" s="108" t="s">
        <v>1283</v>
      </c>
      <c r="D640" s="116">
        <f>IF('ПРАЙС_ЛИСТ'!F349 &lt;&gt; 'ПРАЙС_ЛИСТ'!H349, 'ПРАЙС_ЛИСТ'!F349, "0")</f>
        <v>1500</v>
      </c>
      <c r="E640" s="114" t="s">
        <v>450</v>
      </c>
      <c r="F640" s="117" t="s">
        <v>421</v>
      </c>
      <c r="G640" s="109"/>
      <c r="H640" s="108" t="s">
        <v>410</v>
      </c>
      <c r="I640" s="122" t="s">
        <v>1284</v>
      </c>
      <c r="J640" s="119" t="s">
        <v>452</v>
      </c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  <c r="AA640" s="120"/>
    </row>
    <row r="641">
      <c r="A641" s="120"/>
      <c r="C641" s="108" t="s">
        <v>1285</v>
      </c>
      <c r="D641" s="121">
        <v>0.0</v>
      </c>
      <c r="E641" s="114" t="s">
        <v>454</v>
      </c>
      <c r="F641" s="117" t="s">
        <v>455</v>
      </c>
      <c r="G641" s="108" t="s">
        <v>398</v>
      </c>
      <c r="H641" s="108" t="s">
        <v>410</v>
      </c>
      <c r="I641" s="122" t="s">
        <v>1286</v>
      </c>
      <c r="J641" s="119" t="s">
        <v>457</v>
      </c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  <c r="AA641" s="120"/>
    </row>
    <row r="642">
      <c r="A642" s="120"/>
      <c r="C642" s="108" t="s">
        <v>1287</v>
      </c>
      <c r="D642" s="121">
        <v>0.0</v>
      </c>
      <c r="E642" s="114" t="s">
        <v>459</v>
      </c>
      <c r="F642" s="117" t="s">
        <v>442</v>
      </c>
      <c r="G642" s="108" t="s">
        <v>398</v>
      </c>
      <c r="H642" s="108" t="s">
        <v>393</v>
      </c>
      <c r="I642" s="118" t="s">
        <v>1288</v>
      </c>
      <c r="J642" s="119" t="s">
        <v>461</v>
      </c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  <c r="AA642" s="120"/>
    </row>
    <row r="643">
      <c r="A643" s="120"/>
      <c r="C643" s="108" t="s">
        <v>462</v>
      </c>
      <c r="D643" s="116">
        <f>IF('ПРАЙС_ЛИСТ'!F9 &lt;&gt; 'ПРАЙС_ЛИСТ'!H9, 'ПРАЙС_ЛИСТ'!F9, "0")</f>
        <v>1100</v>
      </c>
      <c r="E643" s="114" t="s">
        <v>463</v>
      </c>
      <c r="F643" s="117" t="s">
        <v>409</v>
      </c>
      <c r="G643" s="108"/>
      <c r="H643" s="108"/>
      <c r="I643" s="122" t="s">
        <v>464</v>
      </c>
      <c r="J643" s="119" t="s">
        <v>465</v>
      </c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  <c r="AA643" s="120"/>
    </row>
    <row r="644">
      <c r="A644" s="120"/>
      <c r="C644" s="113" t="s">
        <v>1289</v>
      </c>
      <c r="D644" s="116">
        <f>'ПРАЙС_ЛИСТ'!F357</f>
        <v>2000</v>
      </c>
      <c r="E644" s="114" t="s">
        <v>467</v>
      </c>
      <c r="F644" s="117" t="s">
        <v>468</v>
      </c>
      <c r="G644" s="108" t="s">
        <v>403</v>
      </c>
      <c r="H644" s="108" t="s">
        <v>393</v>
      </c>
      <c r="I644" s="118" t="s">
        <v>1290</v>
      </c>
      <c r="J644" s="119" t="s">
        <v>470</v>
      </c>
      <c r="K644" s="120"/>
      <c r="L644" s="114" t="s">
        <v>418</v>
      </c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  <c r="AA644" s="120"/>
    </row>
    <row r="645">
      <c r="A645" s="120"/>
      <c r="B645" s="115"/>
      <c r="C645" s="108"/>
      <c r="D645" s="109"/>
      <c r="E645" s="114"/>
      <c r="F645" s="117"/>
      <c r="G645" s="108"/>
      <c r="H645" s="108"/>
      <c r="I645" s="119"/>
      <c r="J645" s="119"/>
      <c r="K645" s="120"/>
      <c r="L645" s="114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  <c r="AA645" s="120"/>
    </row>
    <row r="646">
      <c r="A646" s="120"/>
      <c r="B646" s="115" t="s">
        <v>132</v>
      </c>
      <c r="C646" s="108">
        <v>6.756746523613E12</v>
      </c>
      <c r="D646" s="116">
        <f>IF('ПРАЙС_ЛИСТ'!F320 &lt;&gt; 'ПРАЙС_ЛИСТ'!H320, IF('ПРАЙС_ЛИСТ'!F320 = 1, 0, 'ПРАЙС_ЛИСТ'!F320), 0)</f>
        <v>2500</v>
      </c>
      <c r="E646" s="114" t="s">
        <v>391</v>
      </c>
      <c r="F646" s="117" t="s">
        <v>392</v>
      </c>
      <c r="G646" s="108"/>
      <c r="H646" s="108" t="s">
        <v>393</v>
      </c>
      <c r="I646" s="122" t="s">
        <v>1291</v>
      </c>
      <c r="J646" s="119" t="s">
        <v>395</v>
      </c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  <c r="AA646" s="120"/>
    </row>
    <row r="647">
      <c r="A647" s="120"/>
      <c r="C647" s="108">
        <v>6.756746523612E12</v>
      </c>
      <c r="D647" s="121">
        <v>0.0</v>
      </c>
      <c r="E647" s="114" t="s">
        <v>397</v>
      </c>
      <c r="F647" s="117" t="s">
        <v>392</v>
      </c>
      <c r="G647" s="108" t="s">
        <v>398</v>
      </c>
      <c r="H647" s="108" t="s">
        <v>393</v>
      </c>
      <c r="I647" s="118" t="s">
        <v>1292</v>
      </c>
      <c r="J647" s="119" t="s">
        <v>400</v>
      </c>
      <c r="K647" s="120"/>
      <c r="L647" s="114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  <c r="AA647" s="120"/>
    </row>
    <row r="648">
      <c r="A648" s="120"/>
      <c r="C648" s="108">
        <v>6.75674652361E12</v>
      </c>
      <c r="D648" s="109">
        <f t="array" ref="D648">MIN(IF('ПРАЙС_ЛИСТ'!F317:F318 &lt;&gt; 'ПРАЙС_ЛИСТ'!H317:H318, 'ПРАЙС_ЛИСТ'!F317:F318, ""))</f>
        <v>4300</v>
      </c>
      <c r="E648" s="114" t="s">
        <v>402</v>
      </c>
      <c r="F648" s="117" t="s">
        <v>392</v>
      </c>
      <c r="G648" s="108" t="s">
        <v>403</v>
      </c>
      <c r="H648" s="108" t="s">
        <v>393</v>
      </c>
      <c r="I648" s="118" t="s">
        <v>1293</v>
      </c>
      <c r="J648" s="119" t="s">
        <v>405</v>
      </c>
      <c r="K648" s="120"/>
      <c r="L648" s="114" t="s">
        <v>406</v>
      </c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  <c r="AA648" s="120"/>
    </row>
    <row r="649">
      <c r="A649" s="120"/>
      <c r="C649" s="108">
        <v>6.756746523618E12</v>
      </c>
      <c r="D649" s="116">
        <f>'ПРАЙС_ЛИСТ'!F324</f>
        <v>4500</v>
      </c>
      <c r="E649" s="114" t="s">
        <v>408</v>
      </c>
      <c r="F649" s="117" t="s">
        <v>409</v>
      </c>
      <c r="G649" s="108"/>
      <c r="H649" s="108" t="s">
        <v>410</v>
      </c>
      <c r="I649" s="118" t="s">
        <v>1294</v>
      </c>
      <c r="J649" s="119" t="s">
        <v>412</v>
      </c>
      <c r="K649" s="120"/>
      <c r="L649" s="114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  <c r="AA649" s="120"/>
    </row>
    <row r="650">
      <c r="A650" s="120"/>
      <c r="C650" s="108">
        <v>6.75674652362E12</v>
      </c>
      <c r="D650" s="116">
        <f>'ПРАЙС_ЛИСТ'!F332</f>
        <v>2500</v>
      </c>
      <c r="E650" s="114" t="s">
        <v>415</v>
      </c>
      <c r="F650" s="117" t="s">
        <v>392</v>
      </c>
      <c r="G650" s="108" t="s">
        <v>403</v>
      </c>
      <c r="H650" s="108" t="s">
        <v>393</v>
      </c>
      <c r="I650" s="122" t="s">
        <v>1295</v>
      </c>
      <c r="J650" s="119" t="s">
        <v>417</v>
      </c>
      <c r="K650" s="120"/>
      <c r="L650" s="114" t="s">
        <v>418</v>
      </c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  <c r="AA650" s="120"/>
    </row>
    <row r="651">
      <c r="A651" s="120"/>
      <c r="C651" s="108">
        <v>6.756746523603E12</v>
      </c>
      <c r="D651" s="125">
        <f>'ПРАЙС_ЛИСТ'!F315</f>
        <v>2200</v>
      </c>
      <c r="E651" s="114" t="s">
        <v>420</v>
      </c>
      <c r="F651" s="117" t="s">
        <v>421</v>
      </c>
      <c r="G651" s="108"/>
      <c r="H651" s="108" t="s">
        <v>410</v>
      </c>
      <c r="I651" s="118" t="s">
        <v>1296</v>
      </c>
      <c r="J651" s="119" t="s">
        <v>423</v>
      </c>
      <c r="K651" s="120"/>
      <c r="L651" s="114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  <c r="AA651" s="120"/>
    </row>
    <row r="652">
      <c r="A652" s="120"/>
      <c r="C652" s="108">
        <v>6.756746523621E12</v>
      </c>
      <c r="D652" s="116">
        <f>IF('ПРАЙС_ЛИСТ'!F316 &lt;&gt; 'ПРАЙС_ЛИСТ'!H316, 'ПРАЙС_ЛИСТ'!F316, "0")</f>
        <v>2550</v>
      </c>
      <c r="E652" s="114" t="s">
        <v>425</v>
      </c>
      <c r="F652" s="117" t="s">
        <v>421</v>
      </c>
      <c r="G652" s="109"/>
      <c r="H652" s="108" t="s">
        <v>393</v>
      </c>
      <c r="I652" s="118" t="s">
        <v>1297</v>
      </c>
      <c r="J652" s="119" t="s">
        <v>427</v>
      </c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  <c r="AA652" s="120"/>
    </row>
    <row r="653">
      <c r="A653" s="120"/>
      <c r="C653" s="108">
        <v>6.756746523609E12</v>
      </c>
      <c r="D653" s="116">
        <f>IF('ПРАЙС_ЛИСТ'!F330 &lt;&gt; 'ПРАЙС_ЛИСТ'!H330, 'ПРАЙС_ЛИСТ'!F330, "0")</f>
        <v>3250</v>
      </c>
      <c r="E653" s="114" t="s">
        <v>429</v>
      </c>
      <c r="F653" s="117" t="s">
        <v>392</v>
      </c>
      <c r="G653" s="109"/>
      <c r="H653" s="108" t="s">
        <v>393</v>
      </c>
      <c r="I653" s="122" t="s">
        <v>1298</v>
      </c>
      <c r="J653" s="119" t="s">
        <v>431</v>
      </c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  <c r="AA653" s="120"/>
    </row>
    <row r="654">
      <c r="A654" s="120"/>
      <c r="C654" s="108">
        <v>6.756746523607E12</v>
      </c>
      <c r="D654" s="116">
        <f>IF('ПРАЙС_ЛИСТ'!F328 &lt;&gt; 'ПРАЙС_ЛИСТ'!H328, 'ПРАЙС_ЛИСТ'!F328, "0")</f>
        <v>2000</v>
      </c>
      <c r="E654" s="114" t="s">
        <v>433</v>
      </c>
      <c r="F654" s="117" t="s">
        <v>421</v>
      </c>
      <c r="G654" s="109"/>
      <c r="H654" s="108" t="s">
        <v>393</v>
      </c>
      <c r="I654" s="118" t="s">
        <v>1299</v>
      </c>
      <c r="J654" s="119" t="s">
        <v>435</v>
      </c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  <c r="AA654" s="120"/>
    </row>
    <row r="655">
      <c r="A655" s="120"/>
      <c r="C655" s="108">
        <v>6.756746523608E12</v>
      </c>
      <c r="D655" s="116">
        <f>IF('ПРАЙС_ЛИСТ'!F329 &lt;&gt; 'ПРАЙС_ЛИСТ'!H329, 'ПРАЙС_ЛИСТ'!F329, "0")</f>
        <v>2000</v>
      </c>
      <c r="E655" s="114" t="s">
        <v>437</v>
      </c>
      <c r="F655" s="117" t="s">
        <v>421</v>
      </c>
      <c r="G655" s="109"/>
      <c r="H655" s="108" t="s">
        <v>393</v>
      </c>
      <c r="I655" s="122" t="s">
        <v>1300</v>
      </c>
      <c r="J655" s="119" t="s">
        <v>439</v>
      </c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  <c r="AA655" s="120"/>
    </row>
    <row r="656">
      <c r="A656" s="120"/>
      <c r="C656" s="108">
        <v>6.756746523615E12</v>
      </c>
      <c r="D656" s="116">
        <f>IF('ПРАЙС_ЛИСТ'!F321 &lt;&gt; 'ПРАЙС_ЛИСТ'!H321, 'ПРАЙС_ЛИСТ'!F321, "0")</f>
        <v>4500</v>
      </c>
      <c r="E656" s="114" t="s">
        <v>441</v>
      </c>
      <c r="F656" s="117" t="s">
        <v>442</v>
      </c>
      <c r="G656" s="109"/>
      <c r="H656" s="108" t="s">
        <v>393</v>
      </c>
      <c r="I656" s="118" t="s">
        <v>1301</v>
      </c>
      <c r="J656" s="119" t="s">
        <v>444</v>
      </c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  <c r="AA656" s="120"/>
    </row>
    <row r="657">
      <c r="A657" s="120"/>
      <c r="C657" s="108">
        <v>6.756746523616E12</v>
      </c>
      <c r="D657" s="116">
        <f>IF('ПРАЙС_ЛИСТ'!F322 &lt;&gt; 'ПРАЙС_ЛИСТ'!H322, 'ПРАЙС_ЛИСТ'!F322, "0")</f>
        <v>4500</v>
      </c>
      <c r="E657" s="114" t="s">
        <v>446</v>
      </c>
      <c r="F657" s="117" t="s">
        <v>421</v>
      </c>
      <c r="G657" s="109"/>
      <c r="H657" s="108" t="s">
        <v>393</v>
      </c>
      <c r="I657" s="118" t="s">
        <v>1302</v>
      </c>
      <c r="J657" s="119" t="s">
        <v>448</v>
      </c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  <c r="AA657" s="120"/>
    </row>
    <row r="658">
      <c r="A658" s="120"/>
      <c r="C658" s="108">
        <v>6.756746523614E12</v>
      </c>
      <c r="D658" s="116">
        <f>IF('ПРАЙС_ЛИСТ'!F323 &lt;&gt; 'ПРАЙС_ЛИСТ'!H323, 'ПРАЙС_ЛИСТ'!F323, "0")</f>
        <v>1500</v>
      </c>
      <c r="E658" s="114" t="s">
        <v>450</v>
      </c>
      <c r="F658" s="117" t="s">
        <v>421</v>
      </c>
      <c r="G658" s="109"/>
      <c r="H658" s="108" t="s">
        <v>410</v>
      </c>
      <c r="I658" s="122" t="s">
        <v>1303</v>
      </c>
      <c r="J658" s="119" t="s">
        <v>452</v>
      </c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  <c r="AA658" s="120"/>
    </row>
    <row r="659">
      <c r="A659" s="120"/>
      <c r="C659" s="108">
        <v>6.756746523617E12</v>
      </c>
      <c r="D659" s="121">
        <v>0.0</v>
      </c>
      <c r="E659" s="114" t="s">
        <v>454</v>
      </c>
      <c r="F659" s="117" t="s">
        <v>455</v>
      </c>
      <c r="G659" s="108" t="s">
        <v>398</v>
      </c>
      <c r="H659" s="108" t="s">
        <v>410</v>
      </c>
      <c r="I659" s="122" t="s">
        <v>1304</v>
      </c>
      <c r="J659" s="119" t="s">
        <v>457</v>
      </c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  <c r="AA659" s="120"/>
    </row>
    <row r="660">
      <c r="A660" s="120"/>
      <c r="C660" s="108">
        <v>6.756746523629E12</v>
      </c>
      <c r="D660" s="121">
        <v>0.0</v>
      </c>
      <c r="E660" s="114" t="s">
        <v>459</v>
      </c>
      <c r="F660" s="117" t="s">
        <v>442</v>
      </c>
      <c r="G660" s="108" t="s">
        <v>398</v>
      </c>
      <c r="H660" s="108" t="s">
        <v>393</v>
      </c>
      <c r="I660" s="118" t="s">
        <v>1305</v>
      </c>
      <c r="J660" s="119" t="s">
        <v>461</v>
      </c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  <c r="AA660" s="120"/>
    </row>
    <row r="661">
      <c r="A661" s="120"/>
      <c r="C661" s="108" t="s">
        <v>462</v>
      </c>
      <c r="D661" s="116">
        <f>IF('ПРАЙС_ЛИСТ'!F9 &lt;&gt; 'ПРАЙС_ЛИСТ'!H9, 'ПРАЙС_ЛИСТ'!F9, "0")</f>
        <v>1100</v>
      </c>
      <c r="E661" s="114" t="s">
        <v>463</v>
      </c>
      <c r="F661" s="117" t="s">
        <v>409</v>
      </c>
      <c r="G661" s="108"/>
      <c r="H661" s="108"/>
      <c r="I661" s="122" t="s">
        <v>464</v>
      </c>
      <c r="J661" s="119" t="s">
        <v>465</v>
      </c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  <c r="AA661" s="120"/>
    </row>
    <row r="662">
      <c r="A662" s="120"/>
      <c r="C662" s="113" t="s">
        <v>1306</v>
      </c>
      <c r="D662" s="116">
        <f>'ПРАЙС_ЛИСТ'!F331</f>
        <v>2000</v>
      </c>
      <c r="E662" s="114" t="s">
        <v>467</v>
      </c>
      <c r="F662" s="117" t="s">
        <v>468</v>
      </c>
      <c r="G662" s="108" t="s">
        <v>403</v>
      </c>
      <c r="H662" s="108" t="s">
        <v>393</v>
      </c>
      <c r="I662" s="118" t="s">
        <v>1307</v>
      </c>
      <c r="J662" s="119" t="s">
        <v>470</v>
      </c>
      <c r="K662" s="120"/>
      <c r="L662" s="114" t="s">
        <v>418</v>
      </c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  <c r="AA662" s="120"/>
    </row>
    <row r="663">
      <c r="A663" s="120"/>
      <c r="B663" s="115"/>
      <c r="C663" s="108"/>
      <c r="D663" s="109"/>
      <c r="E663" s="114"/>
      <c r="F663" s="117"/>
      <c r="G663" s="108"/>
      <c r="H663" s="108"/>
      <c r="I663" s="119"/>
      <c r="J663" s="119"/>
      <c r="K663" s="120"/>
      <c r="L663" s="114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  <c r="AA663" s="120"/>
    </row>
    <row r="664">
      <c r="A664" s="120"/>
      <c r="B664" s="115" t="s">
        <v>125</v>
      </c>
      <c r="C664" s="108">
        <v>6.756746523652E12</v>
      </c>
      <c r="D664" s="116">
        <f>IF('ПРАЙС_ЛИСТ'!F295 &lt;&gt; 'ПРАЙС_ЛИСТ'!H295, IF('ПРАЙС_ЛИСТ'!F295 = 1, 0, 'ПРАЙС_ЛИСТ'!F295), 0)</f>
        <v>2500</v>
      </c>
      <c r="E664" s="114" t="s">
        <v>391</v>
      </c>
      <c r="F664" s="117" t="s">
        <v>392</v>
      </c>
      <c r="G664" s="108"/>
      <c r="H664" s="108" t="s">
        <v>393</v>
      </c>
      <c r="I664" s="122" t="s">
        <v>1308</v>
      </c>
      <c r="J664" s="119" t="s">
        <v>395</v>
      </c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  <c r="AA664" s="120"/>
    </row>
    <row r="665">
      <c r="A665" s="120"/>
      <c r="C665" s="108">
        <v>6.756746523651E12</v>
      </c>
      <c r="D665" s="121">
        <v>0.0</v>
      </c>
      <c r="E665" s="114" t="s">
        <v>397</v>
      </c>
      <c r="F665" s="117" t="s">
        <v>392</v>
      </c>
      <c r="G665" s="108" t="s">
        <v>398</v>
      </c>
      <c r="H665" s="108" t="s">
        <v>393</v>
      </c>
      <c r="I665" s="118" t="s">
        <v>1309</v>
      </c>
      <c r="J665" s="119" t="s">
        <v>400</v>
      </c>
      <c r="K665" s="120"/>
      <c r="L665" s="114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  <c r="AA665" s="120"/>
    </row>
    <row r="666">
      <c r="A666" s="120"/>
      <c r="C666" s="108">
        <v>6.756746523649E12</v>
      </c>
      <c r="D666" s="109">
        <f t="array" ref="D666">MIN(IF('ПРАЙС_ЛИСТ'!F292:F293 &lt;&gt; 'ПРАЙС_ЛИСТ'!H292:H293, 'ПРАЙС_ЛИСТ'!F292:F293, ""))</f>
        <v>3000</v>
      </c>
      <c r="E666" s="114" t="s">
        <v>402</v>
      </c>
      <c r="F666" s="117" t="s">
        <v>392</v>
      </c>
      <c r="G666" s="108" t="s">
        <v>403</v>
      </c>
      <c r="H666" s="108" t="s">
        <v>393</v>
      </c>
      <c r="I666" s="118" t="s">
        <v>1310</v>
      </c>
      <c r="J666" s="119" t="s">
        <v>405</v>
      </c>
      <c r="K666" s="120"/>
      <c r="L666" s="114" t="s">
        <v>406</v>
      </c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  <c r="AA666" s="120"/>
    </row>
    <row r="667">
      <c r="A667" s="120"/>
      <c r="C667" s="108">
        <v>6.756746523657E12</v>
      </c>
      <c r="D667" s="116">
        <f>'ПРАЙС_ЛИСТ'!F299</f>
        <v>4000</v>
      </c>
      <c r="E667" s="114" t="s">
        <v>408</v>
      </c>
      <c r="F667" s="117" t="s">
        <v>409</v>
      </c>
      <c r="G667" s="108"/>
      <c r="H667" s="108" t="s">
        <v>410</v>
      </c>
      <c r="I667" s="118" t="s">
        <v>1311</v>
      </c>
      <c r="J667" s="119" t="s">
        <v>412</v>
      </c>
      <c r="K667" s="120"/>
      <c r="L667" s="114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  <c r="AA667" s="120"/>
    </row>
    <row r="668">
      <c r="A668" s="120"/>
      <c r="C668" s="108">
        <v>6.756746523659E12</v>
      </c>
      <c r="D668" s="116">
        <f>'ПРАЙС_ЛИСТ'!F307</f>
        <v>2500</v>
      </c>
      <c r="E668" s="114" t="s">
        <v>415</v>
      </c>
      <c r="F668" s="117" t="s">
        <v>392</v>
      </c>
      <c r="G668" s="108" t="s">
        <v>403</v>
      </c>
      <c r="H668" s="108" t="s">
        <v>393</v>
      </c>
      <c r="I668" s="122" t="s">
        <v>1312</v>
      </c>
      <c r="J668" s="119" t="s">
        <v>417</v>
      </c>
      <c r="K668" s="120"/>
      <c r="L668" s="114" t="s">
        <v>418</v>
      </c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  <c r="AA668" s="120"/>
    </row>
    <row r="669">
      <c r="A669" s="120"/>
      <c r="C669" s="108">
        <v>6.756746523641E12</v>
      </c>
      <c r="D669" s="125">
        <f>'ПРАЙС_ЛИСТ'!F290</f>
        <v>2000</v>
      </c>
      <c r="E669" s="114" t="s">
        <v>420</v>
      </c>
      <c r="F669" s="117" t="s">
        <v>421</v>
      </c>
      <c r="G669" s="108"/>
      <c r="H669" s="108" t="s">
        <v>410</v>
      </c>
      <c r="I669" s="118" t="s">
        <v>1313</v>
      </c>
      <c r="J669" s="119" t="s">
        <v>423</v>
      </c>
      <c r="K669" s="120"/>
      <c r="L669" s="114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  <c r="AA669" s="120"/>
    </row>
    <row r="670">
      <c r="A670" s="120"/>
      <c r="C670" s="108">
        <v>6.75674652366E12</v>
      </c>
      <c r="D670" s="116">
        <f>IF('ПРАЙС_ЛИСТ'!F291 &lt;&gt; 'ПРАЙС_ЛИСТ'!H291, 'ПРАЙС_ЛИСТ'!F291, "0")</f>
        <v>2400</v>
      </c>
      <c r="E670" s="114" t="s">
        <v>425</v>
      </c>
      <c r="F670" s="117" t="s">
        <v>421</v>
      </c>
      <c r="G670" s="109"/>
      <c r="H670" s="108" t="s">
        <v>393</v>
      </c>
      <c r="I670" s="118" t="s">
        <v>1314</v>
      </c>
      <c r="J670" s="119" t="s">
        <v>427</v>
      </c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  <c r="AA670" s="120"/>
    </row>
    <row r="671">
      <c r="A671" s="120"/>
      <c r="C671" s="108">
        <v>6.756746523648E12</v>
      </c>
      <c r="D671" s="116">
        <f>IF('ПРАЙС_ЛИСТ'!F305 &lt;&gt; 'ПРАЙС_ЛИСТ'!H305, 'ПРАЙС_ЛИСТ'!F305, "0")</f>
        <v>3100</v>
      </c>
      <c r="E671" s="114" t="s">
        <v>429</v>
      </c>
      <c r="F671" s="117" t="s">
        <v>392</v>
      </c>
      <c r="G671" s="109"/>
      <c r="H671" s="108" t="s">
        <v>393</v>
      </c>
      <c r="I671" s="118" t="s">
        <v>1315</v>
      </c>
      <c r="J671" s="119" t="s">
        <v>431</v>
      </c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  <c r="AA671" s="120"/>
    </row>
    <row r="672">
      <c r="A672" s="120"/>
      <c r="C672" s="108">
        <v>6.756746523646E12</v>
      </c>
      <c r="D672" s="116">
        <f>IF('ПРАЙС_ЛИСТ'!F303 &lt;&gt; 'ПРАЙС_ЛИСТ'!H303, 'ПРАЙС_ЛИСТ'!F303, "0")</f>
        <v>1850</v>
      </c>
      <c r="E672" s="114" t="s">
        <v>433</v>
      </c>
      <c r="F672" s="117" t="s">
        <v>421</v>
      </c>
      <c r="G672" s="109"/>
      <c r="H672" s="108" t="s">
        <v>393</v>
      </c>
      <c r="I672" s="118" t="s">
        <v>1316</v>
      </c>
      <c r="J672" s="119" t="s">
        <v>435</v>
      </c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  <c r="AA672" s="120"/>
    </row>
    <row r="673">
      <c r="A673" s="120"/>
      <c r="C673" s="108">
        <v>6.756746523647E12</v>
      </c>
      <c r="D673" s="116">
        <f>IF('ПРАЙС_ЛИСТ'!F304 &lt;&gt; 'ПРАЙС_ЛИСТ'!H304, 'ПРАЙС_ЛИСТ'!F304, "0")</f>
        <v>1800</v>
      </c>
      <c r="E673" s="114" t="s">
        <v>437</v>
      </c>
      <c r="F673" s="117" t="s">
        <v>421</v>
      </c>
      <c r="G673" s="109"/>
      <c r="H673" s="108" t="s">
        <v>393</v>
      </c>
      <c r="I673" s="122" t="s">
        <v>1317</v>
      </c>
      <c r="J673" s="119" t="s">
        <v>439</v>
      </c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  <c r="AA673" s="120"/>
    </row>
    <row r="674">
      <c r="A674" s="120"/>
      <c r="C674" s="108">
        <v>6.756746523654E12</v>
      </c>
      <c r="D674" s="116">
        <f>IF('ПРАЙС_ЛИСТ'!F296 &lt;&gt; 'ПРАЙС_ЛИСТ'!H296, 'ПРАЙС_ЛИСТ'!F296, "0")</f>
        <v>3500</v>
      </c>
      <c r="E674" s="114" t="s">
        <v>441</v>
      </c>
      <c r="F674" s="117" t="s">
        <v>442</v>
      </c>
      <c r="G674" s="109"/>
      <c r="H674" s="108" t="s">
        <v>393</v>
      </c>
      <c r="I674" s="118" t="s">
        <v>1318</v>
      </c>
      <c r="J674" s="119" t="s">
        <v>444</v>
      </c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  <c r="AA674" s="120"/>
    </row>
    <row r="675">
      <c r="A675" s="120"/>
      <c r="C675" s="108">
        <v>6.756746523655E12</v>
      </c>
      <c r="D675" s="116">
        <f>IF('ПРАЙС_ЛИСТ'!F297 &lt;&gt; 'ПРАЙС_ЛИСТ'!H297, 'ПРАЙС_ЛИСТ'!F297, "0")</f>
        <v>3500</v>
      </c>
      <c r="E675" s="114" t="s">
        <v>446</v>
      </c>
      <c r="F675" s="117" t="s">
        <v>421</v>
      </c>
      <c r="G675" s="109"/>
      <c r="H675" s="108" t="s">
        <v>393</v>
      </c>
      <c r="I675" s="118" t="s">
        <v>1319</v>
      </c>
      <c r="J675" s="119" t="s">
        <v>448</v>
      </c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  <c r="AA675" s="120"/>
    </row>
    <row r="676">
      <c r="A676" s="120"/>
      <c r="C676" s="108">
        <v>6.756746523653E12</v>
      </c>
      <c r="D676" s="116">
        <f>IF('ПРАЙС_ЛИСТ'!F298 &lt;&gt; 'ПРАЙС_ЛИСТ'!H298, 'ПРАЙС_ЛИСТ'!F298, "0")</f>
        <v>1500</v>
      </c>
      <c r="E676" s="114" t="s">
        <v>450</v>
      </c>
      <c r="F676" s="117" t="s">
        <v>421</v>
      </c>
      <c r="G676" s="109"/>
      <c r="H676" s="108" t="s">
        <v>410</v>
      </c>
      <c r="I676" s="122" t="s">
        <v>1320</v>
      </c>
      <c r="J676" s="119" t="s">
        <v>452</v>
      </c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  <c r="AA676" s="120"/>
    </row>
    <row r="677">
      <c r="A677" s="120"/>
      <c r="C677" s="108">
        <v>6.756746523656E12</v>
      </c>
      <c r="D677" s="121">
        <v>0.0</v>
      </c>
      <c r="E677" s="114" t="s">
        <v>454</v>
      </c>
      <c r="F677" s="117" t="s">
        <v>455</v>
      </c>
      <c r="G677" s="108" t="s">
        <v>398</v>
      </c>
      <c r="H677" s="108" t="s">
        <v>410</v>
      </c>
      <c r="I677" s="122" t="s">
        <v>1321</v>
      </c>
      <c r="J677" s="119" t="s">
        <v>457</v>
      </c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  <c r="AA677" s="120"/>
    </row>
    <row r="678">
      <c r="A678" s="120"/>
      <c r="C678" s="108">
        <v>6.756746523668E12</v>
      </c>
      <c r="D678" s="121">
        <v>0.0</v>
      </c>
      <c r="E678" s="114" t="s">
        <v>459</v>
      </c>
      <c r="F678" s="117" t="s">
        <v>442</v>
      </c>
      <c r="G678" s="108" t="s">
        <v>398</v>
      </c>
      <c r="H678" s="108" t="s">
        <v>393</v>
      </c>
      <c r="I678" s="118" t="s">
        <v>1322</v>
      </c>
      <c r="J678" s="119" t="s">
        <v>461</v>
      </c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  <c r="AA678" s="120"/>
    </row>
    <row r="679">
      <c r="A679" s="120"/>
      <c r="C679" s="108" t="s">
        <v>462</v>
      </c>
      <c r="D679" s="116">
        <f>IF('ПРАЙС_ЛИСТ'!F9 &lt;&gt; 'ПРАЙС_ЛИСТ'!H9, 'ПРАЙС_ЛИСТ'!F9, "0")</f>
        <v>1100</v>
      </c>
      <c r="E679" s="114" t="s">
        <v>463</v>
      </c>
      <c r="F679" s="117" t="s">
        <v>409</v>
      </c>
      <c r="G679" s="108"/>
      <c r="H679" s="108"/>
      <c r="I679" s="122" t="s">
        <v>464</v>
      </c>
      <c r="J679" s="119" t="s">
        <v>465</v>
      </c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  <c r="AA679" s="120"/>
    </row>
    <row r="680">
      <c r="A680" s="120"/>
      <c r="C680" s="113" t="s">
        <v>1323</v>
      </c>
      <c r="D680" s="116">
        <f>'ПРАЙС_ЛИСТ'!F306</f>
        <v>2000</v>
      </c>
      <c r="E680" s="114" t="s">
        <v>467</v>
      </c>
      <c r="F680" s="117" t="s">
        <v>468</v>
      </c>
      <c r="G680" s="108" t="s">
        <v>403</v>
      </c>
      <c r="H680" s="108" t="s">
        <v>393</v>
      </c>
      <c r="I680" s="118" t="s">
        <v>1324</v>
      </c>
      <c r="J680" s="119" t="s">
        <v>470</v>
      </c>
      <c r="K680" s="120"/>
      <c r="L680" s="114" t="s">
        <v>418</v>
      </c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  <c r="AA680" s="120"/>
    </row>
    <row r="681">
      <c r="A681" s="120"/>
      <c r="B681" s="115"/>
      <c r="C681" s="108"/>
      <c r="D681" s="109"/>
      <c r="E681" s="114"/>
      <c r="F681" s="117"/>
      <c r="G681" s="108"/>
      <c r="H681" s="108"/>
      <c r="I681" s="119"/>
      <c r="J681" s="119"/>
      <c r="K681" s="120"/>
      <c r="L681" s="114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  <c r="AA681" s="120"/>
    </row>
    <row r="682">
      <c r="A682" s="120"/>
      <c r="B682" s="115" t="s">
        <v>118</v>
      </c>
      <c r="C682" s="108">
        <v>6.7567465236681E13</v>
      </c>
      <c r="D682" s="116">
        <f>IF('ПРАЙС_ЛИСТ'!F271 &lt;&gt; 'ПРАЙС_ЛИСТ'!H271, IF('ПРАЙС_ЛИСТ'!F271 = 1, 0, 'ПРАЙС_ЛИСТ'!F271), 0)</f>
        <v>2500</v>
      </c>
      <c r="E682" s="114" t="s">
        <v>391</v>
      </c>
      <c r="F682" s="117" t="s">
        <v>392</v>
      </c>
      <c r="G682" s="108"/>
      <c r="H682" s="108" t="s">
        <v>393</v>
      </c>
      <c r="I682" s="122" t="s">
        <v>1325</v>
      </c>
      <c r="J682" s="119" t="s">
        <v>395</v>
      </c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  <c r="AA682" s="120"/>
    </row>
    <row r="683">
      <c r="A683" s="120"/>
      <c r="C683" s="108">
        <v>6.756746523668E13</v>
      </c>
      <c r="D683" s="121">
        <v>0.0</v>
      </c>
      <c r="E683" s="114" t="s">
        <v>397</v>
      </c>
      <c r="F683" s="117" t="s">
        <v>392</v>
      </c>
      <c r="G683" s="108" t="s">
        <v>398</v>
      </c>
      <c r="H683" s="108" t="s">
        <v>393</v>
      </c>
      <c r="I683" s="118" t="s">
        <v>1326</v>
      </c>
      <c r="J683" s="119" t="s">
        <v>400</v>
      </c>
      <c r="K683" s="120"/>
      <c r="L683" s="114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  <c r="AA683" s="120"/>
    </row>
    <row r="684">
      <c r="A684" s="120"/>
      <c r="C684" s="108">
        <v>6.7567465236678E13</v>
      </c>
      <c r="D684" s="109">
        <f t="array" ref="D684">MIN(IF('ПРАЙС_ЛИСТ'!F268:F269 &lt;&gt; 'ПРАЙС_ЛИСТ'!H268:H269, 'ПРАЙС_ЛИСТ'!F268:F269, ""))</f>
        <v>4100</v>
      </c>
      <c r="E684" s="114" t="s">
        <v>402</v>
      </c>
      <c r="F684" s="117" t="s">
        <v>392</v>
      </c>
      <c r="G684" s="108" t="s">
        <v>403</v>
      </c>
      <c r="H684" s="108" t="s">
        <v>393</v>
      </c>
      <c r="I684" s="118" t="s">
        <v>1327</v>
      </c>
      <c r="J684" s="119" t="s">
        <v>405</v>
      </c>
      <c r="K684" s="120"/>
      <c r="L684" s="114" t="s">
        <v>406</v>
      </c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  <c r="AA684" s="120"/>
    </row>
    <row r="685">
      <c r="A685" s="120"/>
      <c r="C685" s="108">
        <v>6.7567465236687E13</v>
      </c>
      <c r="D685" s="116">
        <f>'ПРАЙС_ЛИСТ'!F282</f>
        <v>2500</v>
      </c>
      <c r="E685" s="114" t="s">
        <v>415</v>
      </c>
      <c r="F685" s="117" t="s">
        <v>392</v>
      </c>
      <c r="G685" s="108" t="s">
        <v>403</v>
      </c>
      <c r="H685" s="108" t="s">
        <v>393</v>
      </c>
      <c r="I685" s="122" t="s">
        <v>1328</v>
      </c>
      <c r="J685" s="119" t="s">
        <v>417</v>
      </c>
      <c r="K685" s="120"/>
      <c r="L685" s="114" t="s">
        <v>418</v>
      </c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  <c r="AA685" s="120"/>
    </row>
    <row r="686">
      <c r="A686" s="120"/>
      <c r="C686" s="108">
        <v>6.7567465236671E13</v>
      </c>
      <c r="D686" s="125">
        <f>'ПРАЙС_ЛИСТ'!F266</f>
        <v>2000</v>
      </c>
      <c r="E686" s="114" t="s">
        <v>420</v>
      </c>
      <c r="F686" s="117" t="s">
        <v>421</v>
      </c>
      <c r="G686" s="108"/>
      <c r="H686" s="108" t="s">
        <v>410</v>
      </c>
      <c r="I686" s="118" t="s">
        <v>1329</v>
      </c>
      <c r="J686" s="119" t="s">
        <v>423</v>
      </c>
      <c r="K686" s="120"/>
      <c r="L686" s="114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  <c r="AA686" s="120"/>
    </row>
    <row r="687">
      <c r="A687" s="120"/>
      <c r="C687" s="108">
        <v>6.7567465236688E13</v>
      </c>
      <c r="D687" s="116">
        <f>IF('ПРАЙС_ЛИСТ'!F267 &lt;&gt; 'ПРАЙС_ЛИСТ'!H267, 'ПРАЙС_ЛИСТ'!F267, "0")</f>
        <v>2400</v>
      </c>
      <c r="E687" s="114" t="s">
        <v>425</v>
      </c>
      <c r="F687" s="117" t="s">
        <v>421</v>
      </c>
      <c r="G687" s="109"/>
      <c r="H687" s="108" t="s">
        <v>393</v>
      </c>
      <c r="I687" s="118" t="s">
        <v>1330</v>
      </c>
      <c r="J687" s="119" t="s">
        <v>427</v>
      </c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  <c r="AA687" s="120"/>
    </row>
    <row r="688">
      <c r="A688" s="120"/>
      <c r="C688" s="108">
        <v>6.7567465236677E13</v>
      </c>
      <c r="D688" s="116">
        <f>IF('ПРАЙС_ЛИСТ'!F280 &lt;&gt; 'ПРАЙС_ЛИСТ'!H280, 'ПРАЙС_ЛИСТ'!F280, "0")</f>
        <v>2900</v>
      </c>
      <c r="E688" s="114" t="s">
        <v>429</v>
      </c>
      <c r="F688" s="117" t="s">
        <v>392</v>
      </c>
      <c r="G688" s="109"/>
      <c r="H688" s="108" t="s">
        <v>393</v>
      </c>
      <c r="I688" s="122" t="s">
        <v>1331</v>
      </c>
      <c r="J688" s="119" t="s">
        <v>431</v>
      </c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  <c r="AA688" s="120"/>
    </row>
    <row r="689">
      <c r="A689" s="120"/>
      <c r="C689" s="108">
        <v>6.7567465236675E13</v>
      </c>
      <c r="D689" s="116">
        <f>IF('ПРАЙС_ЛИСТ'!F278 &lt;&gt; 'ПРАЙС_ЛИСТ'!H278, 'ПРАЙС_ЛИСТ'!F278, "0")</f>
        <v>1700</v>
      </c>
      <c r="E689" s="114" t="s">
        <v>433</v>
      </c>
      <c r="F689" s="117" t="s">
        <v>421</v>
      </c>
      <c r="G689" s="109"/>
      <c r="H689" s="108" t="s">
        <v>393</v>
      </c>
      <c r="I689" s="122" t="s">
        <v>1332</v>
      </c>
      <c r="J689" s="119" t="s">
        <v>435</v>
      </c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  <c r="AA689" s="120"/>
    </row>
    <row r="690">
      <c r="A690" s="120"/>
      <c r="C690" s="108">
        <v>6.7567465236676E13</v>
      </c>
      <c r="D690" s="116">
        <f>IF('ПРАЙС_ЛИСТ'!F279 &lt;&gt; 'ПРАЙС_ЛИСТ'!H279, 'ПРАЙС_ЛИСТ'!F279, "0")</f>
        <v>1550</v>
      </c>
      <c r="E690" s="114" t="s">
        <v>437</v>
      </c>
      <c r="F690" s="117" t="s">
        <v>421</v>
      </c>
      <c r="G690" s="109"/>
      <c r="H690" s="108" t="s">
        <v>393</v>
      </c>
      <c r="I690" s="122" t="s">
        <v>1333</v>
      </c>
      <c r="J690" s="119" t="s">
        <v>439</v>
      </c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  <c r="AA690" s="120"/>
    </row>
    <row r="691">
      <c r="A691" s="120"/>
      <c r="C691" s="108">
        <v>6.7567465236683E13</v>
      </c>
      <c r="D691" s="116">
        <f>IF('ПРАЙС_ЛИСТ'!F272 &lt;&gt; 'ПРАЙС_ЛИСТ'!H272, 'ПРАЙС_ЛИСТ'!F272, "0")</f>
        <v>4500</v>
      </c>
      <c r="E691" s="114" t="s">
        <v>441</v>
      </c>
      <c r="F691" s="117" t="s">
        <v>442</v>
      </c>
      <c r="G691" s="109"/>
      <c r="H691" s="108" t="s">
        <v>393</v>
      </c>
      <c r="I691" s="118" t="s">
        <v>1334</v>
      </c>
      <c r="J691" s="119" t="s">
        <v>444</v>
      </c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  <c r="AA691" s="120"/>
    </row>
    <row r="692">
      <c r="A692" s="120"/>
      <c r="C692" s="108">
        <v>6.7567465236684E13</v>
      </c>
      <c r="D692" s="116">
        <f>IF('ПРАЙС_ЛИСТ'!F273 &lt;&gt; 'ПРАЙС_ЛИСТ'!H273, 'ПРАЙС_ЛИСТ'!F273, "0")</f>
        <v>3450</v>
      </c>
      <c r="E692" s="114" t="s">
        <v>446</v>
      </c>
      <c r="F692" s="117" t="s">
        <v>421</v>
      </c>
      <c r="G692" s="109"/>
      <c r="H692" s="108" t="s">
        <v>393</v>
      </c>
      <c r="I692" s="118" t="s">
        <v>1335</v>
      </c>
      <c r="J692" s="119" t="s">
        <v>448</v>
      </c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  <c r="AA692" s="120"/>
    </row>
    <row r="693">
      <c r="A693" s="120"/>
      <c r="C693" s="108">
        <v>6.7567465236682E13</v>
      </c>
      <c r="D693" s="116">
        <f>IF('ПРАЙС_ЛИСТ'!F274 &lt;&gt; 'ПРАЙС_ЛИСТ'!H274, 'ПРАЙС_ЛИСТ'!F274, "0")</f>
        <v>1500</v>
      </c>
      <c r="E693" s="114" t="s">
        <v>450</v>
      </c>
      <c r="F693" s="117" t="s">
        <v>421</v>
      </c>
      <c r="G693" s="109"/>
      <c r="H693" s="108" t="s">
        <v>410</v>
      </c>
      <c r="I693" s="122" t="s">
        <v>1336</v>
      </c>
      <c r="J693" s="119" t="s">
        <v>452</v>
      </c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  <c r="AA693" s="120"/>
    </row>
    <row r="694">
      <c r="A694" s="120"/>
      <c r="C694" s="108">
        <v>6.7567465236685E13</v>
      </c>
      <c r="D694" s="121">
        <v>0.0</v>
      </c>
      <c r="E694" s="114" t="s">
        <v>454</v>
      </c>
      <c r="F694" s="117" t="s">
        <v>455</v>
      </c>
      <c r="G694" s="108" t="s">
        <v>398</v>
      </c>
      <c r="H694" s="108" t="s">
        <v>410</v>
      </c>
      <c r="I694" s="122" t="s">
        <v>1337</v>
      </c>
      <c r="J694" s="119" t="s">
        <v>457</v>
      </c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  <c r="AA694" s="120"/>
    </row>
    <row r="695">
      <c r="A695" s="120"/>
      <c r="C695" s="108">
        <v>6.7567465236696E13</v>
      </c>
      <c r="D695" s="121">
        <v>0.0</v>
      </c>
      <c r="E695" s="114" t="s">
        <v>459</v>
      </c>
      <c r="F695" s="117" t="s">
        <v>442</v>
      </c>
      <c r="G695" s="108" t="s">
        <v>398</v>
      </c>
      <c r="H695" s="108" t="s">
        <v>393</v>
      </c>
      <c r="I695" s="118" t="s">
        <v>1338</v>
      </c>
      <c r="J695" s="119" t="s">
        <v>461</v>
      </c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  <c r="AA695" s="120"/>
    </row>
    <row r="696">
      <c r="A696" s="120"/>
      <c r="C696" s="108" t="s">
        <v>462</v>
      </c>
      <c r="D696" s="116">
        <f>IF('ПРАЙС_ЛИСТ'!F9 &lt;&gt; 'ПРАЙС_ЛИСТ'!H9, 'ПРАЙС_ЛИСТ'!F9, "0")</f>
        <v>1100</v>
      </c>
      <c r="E696" s="114" t="s">
        <v>463</v>
      </c>
      <c r="F696" s="117" t="s">
        <v>409</v>
      </c>
      <c r="G696" s="108"/>
      <c r="H696" s="108"/>
      <c r="I696" s="122" t="s">
        <v>464</v>
      </c>
      <c r="J696" s="119" t="s">
        <v>465</v>
      </c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  <c r="AA696" s="120"/>
    </row>
    <row r="697">
      <c r="A697" s="120"/>
      <c r="C697" s="113" t="s">
        <v>1339</v>
      </c>
      <c r="D697" s="116">
        <f>'ПРАЙС_ЛИСТ'!F281</f>
        <v>2000</v>
      </c>
      <c r="E697" s="114" t="s">
        <v>467</v>
      </c>
      <c r="F697" s="117" t="s">
        <v>468</v>
      </c>
      <c r="G697" s="108" t="s">
        <v>403</v>
      </c>
      <c r="H697" s="108" t="s">
        <v>393</v>
      </c>
      <c r="I697" s="118" t="s">
        <v>1340</v>
      </c>
      <c r="J697" s="119" t="s">
        <v>470</v>
      </c>
      <c r="K697" s="120"/>
      <c r="L697" s="114" t="s">
        <v>418</v>
      </c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  <c r="AA697" s="120"/>
    </row>
    <row r="698">
      <c r="A698" s="120"/>
      <c r="B698" s="115"/>
      <c r="C698" s="108"/>
      <c r="D698" s="109"/>
      <c r="E698" s="114"/>
      <c r="F698" s="117"/>
      <c r="G698" s="108"/>
      <c r="H698" s="108"/>
      <c r="I698" s="119"/>
      <c r="J698" s="119"/>
      <c r="K698" s="120"/>
      <c r="L698" s="114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  <c r="AA698" s="120"/>
    </row>
    <row r="699">
      <c r="A699" s="120"/>
      <c r="B699" s="115" t="s">
        <v>111</v>
      </c>
      <c r="C699" s="108">
        <v>6.7567465236719E13</v>
      </c>
      <c r="D699" s="116">
        <f>IF('ПРАЙС_ЛИСТ'!F247 &lt;&gt; 'ПРАЙС_ЛИСТ'!H247, IF('ПРАЙС_ЛИСТ'!F247 = 1, 0, 'ПРАЙС_ЛИСТ'!F247), 0)</f>
        <v>2000</v>
      </c>
      <c r="E699" s="114" t="s">
        <v>391</v>
      </c>
      <c r="F699" s="117" t="s">
        <v>392</v>
      </c>
      <c r="G699" s="108"/>
      <c r="H699" s="108" t="s">
        <v>393</v>
      </c>
      <c r="I699" s="122" t="s">
        <v>1341</v>
      </c>
      <c r="J699" s="119" t="s">
        <v>395</v>
      </c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  <c r="AA699" s="120"/>
    </row>
    <row r="700">
      <c r="A700" s="120"/>
      <c r="C700" s="108">
        <v>6.7567465236718E13</v>
      </c>
      <c r="D700" s="121">
        <v>0.0</v>
      </c>
      <c r="E700" s="114" t="s">
        <v>397</v>
      </c>
      <c r="F700" s="117" t="s">
        <v>392</v>
      </c>
      <c r="G700" s="108" t="s">
        <v>398</v>
      </c>
      <c r="H700" s="108" t="s">
        <v>393</v>
      </c>
      <c r="I700" s="118" t="s">
        <v>1342</v>
      </c>
      <c r="J700" s="119" t="s">
        <v>400</v>
      </c>
      <c r="K700" s="120"/>
      <c r="L700" s="114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  <c r="AA700" s="120"/>
    </row>
    <row r="701">
      <c r="A701" s="120"/>
      <c r="C701" s="108">
        <v>6.7567465236716E13</v>
      </c>
      <c r="D701" s="109">
        <f t="array" ref="D701">MIN(IF('ПРАЙС_ЛИСТ'!F244:F245 &lt;&gt; 'ПРАЙС_ЛИСТ'!H244:H245, 'ПРАЙС_ЛИСТ'!F244:F245, ""))</f>
        <v>2550</v>
      </c>
      <c r="E701" s="114" t="s">
        <v>402</v>
      </c>
      <c r="F701" s="117" t="s">
        <v>392</v>
      </c>
      <c r="G701" s="108" t="s">
        <v>403</v>
      </c>
      <c r="H701" s="108" t="s">
        <v>393</v>
      </c>
      <c r="I701" s="118" t="s">
        <v>1343</v>
      </c>
      <c r="J701" s="119" t="s">
        <v>405</v>
      </c>
      <c r="K701" s="120"/>
      <c r="L701" s="114" t="s">
        <v>406</v>
      </c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  <c r="AA701" s="120"/>
    </row>
    <row r="702">
      <c r="A702" s="120"/>
      <c r="C702" s="108">
        <v>6.7567465236725E13</v>
      </c>
      <c r="D702" s="116">
        <f>'ПРАЙС_ЛИСТ'!F258</f>
        <v>2500</v>
      </c>
      <c r="E702" s="114" t="s">
        <v>415</v>
      </c>
      <c r="F702" s="117" t="s">
        <v>392</v>
      </c>
      <c r="G702" s="108" t="s">
        <v>403</v>
      </c>
      <c r="H702" s="108" t="s">
        <v>393</v>
      </c>
      <c r="I702" s="122" t="s">
        <v>1344</v>
      </c>
      <c r="J702" s="119" t="s">
        <v>417</v>
      </c>
      <c r="K702" s="120"/>
      <c r="L702" s="114" t="s">
        <v>418</v>
      </c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  <c r="AA702" s="120"/>
    </row>
    <row r="703">
      <c r="A703" s="120"/>
      <c r="C703" s="108">
        <v>6.7567465236709E13</v>
      </c>
      <c r="D703" s="125">
        <f>'ПРАЙС_ЛИСТ'!F242</f>
        <v>1800</v>
      </c>
      <c r="E703" s="114" t="s">
        <v>420</v>
      </c>
      <c r="F703" s="117" t="s">
        <v>421</v>
      </c>
      <c r="G703" s="108"/>
      <c r="H703" s="108" t="s">
        <v>410</v>
      </c>
      <c r="I703" s="118" t="s">
        <v>1345</v>
      </c>
      <c r="J703" s="119" t="s">
        <v>423</v>
      </c>
      <c r="K703" s="120"/>
      <c r="L703" s="114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  <c r="AA703" s="120"/>
    </row>
    <row r="704">
      <c r="A704" s="120"/>
      <c r="C704" s="108">
        <v>6.7567465236726E13</v>
      </c>
      <c r="D704" s="116">
        <f>IF('ПРАЙС_ЛИСТ'!F243 &lt;&gt; 'ПРАЙС_ЛИСТ'!H243, 'ПРАЙС_ЛИСТ'!F243, "0")</f>
        <v>2200</v>
      </c>
      <c r="E704" s="114" t="s">
        <v>425</v>
      </c>
      <c r="F704" s="117" t="s">
        <v>421</v>
      </c>
      <c r="G704" s="109"/>
      <c r="H704" s="108" t="s">
        <v>393</v>
      </c>
      <c r="I704" s="118" t="s">
        <v>1346</v>
      </c>
      <c r="J704" s="119" t="s">
        <v>427</v>
      </c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  <c r="AA704" s="120"/>
    </row>
    <row r="705">
      <c r="A705" s="120"/>
      <c r="C705" s="108">
        <v>6.7567465236715E13</v>
      </c>
      <c r="D705" s="116">
        <f>IF('ПРАЙС_ЛИСТ'!F256 &lt;&gt; 'ПРАЙС_ЛИСТ'!H256, 'ПРАЙС_ЛИСТ'!F256, "0")</f>
        <v>2700</v>
      </c>
      <c r="E705" s="114" t="s">
        <v>429</v>
      </c>
      <c r="F705" s="117" t="s">
        <v>392</v>
      </c>
      <c r="G705" s="109"/>
      <c r="H705" s="108" t="s">
        <v>393</v>
      </c>
      <c r="I705" s="122" t="s">
        <v>1347</v>
      </c>
      <c r="J705" s="119" t="s">
        <v>431</v>
      </c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  <c r="AA705" s="120"/>
    </row>
    <row r="706">
      <c r="A706" s="120"/>
      <c r="C706" s="108">
        <v>6.7567465236713E13</v>
      </c>
      <c r="D706" s="116">
        <f>IF('ПРАЙС_ЛИСТ'!F254 &lt;&gt; 'ПРАЙС_ЛИСТ'!H254, 'ПРАЙС_ЛИСТ'!F254, "0")</f>
        <v>1600</v>
      </c>
      <c r="E706" s="114" t="s">
        <v>433</v>
      </c>
      <c r="F706" s="117" t="s">
        <v>421</v>
      </c>
      <c r="G706" s="109"/>
      <c r="H706" s="108" t="s">
        <v>393</v>
      </c>
      <c r="I706" s="122" t="s">
        <v>1348</v>
      </c>
      <c r="J706" s="119" t="s">
        <v>435</v>
      </c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  <c r="AA706" s="120"/>
    </row>
    <row r="707">
      <c r="A707" s="120"/>
      <c r="C707" s="108">
        <v>6.7567465236714E13</v>
      </c>
      <c r="D707" s="116">
        <f>IF('ПРАЙС_ЛИСТ'!F255 &lt;&gt; 'ПРАЙС_ЛИСТ'!H255, 'ПРАЙС_ЛИСТ'!F255, "0")</f>
        <v>1550</v>
      </c>
      <c r="E707" s="114" t="s">
        <v>437</v>
      </c>
      <c r="F707" s="117" t="s">
        <v>421</v>
      </c>
      <c r="G707" s="109"/>
      <c r="H707" s="108" t="s">
        <v>393</v>
      </c>
      <c r="I707" s="122" t="s">
        <v>1349</v>
      </c>
      <c r="J707" s="119" t="s">
        <v>439</v>
      </c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  <c r="AA707" s="120"/>
    </row>
    <row r="708">
      <c r="A708" s="120"/>
      <c r="C708" s="108">
        <v>6.7567465236721E13</v>
      </c>
      <c r="D708" s="116">
        <f>IF('ПРАЙС_ЛИСТ'!F248 &lt;&gt; 'ПРАЙС_ЛИСТ'!H248, 'ПРАЙС_ЛИСТ'!F248, "0")</f>
        <v>3500</v>
      </c>
      <c r="E708" s="114" t="s">
        <v>441</v>
      </c>
      <c r="F708" s="117" t="s">
        <v>442</v>
      </c>
      <c r="G708" s="109"/>
      <c r="H708" s="108" t="s">
        <v>393</v>
      </c>
      <c r="I708" s="118" t="s">
        <v>1350</v>
      </c>
      <c r="J708" s="119" t="s">
        <v>444</v>
      </c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  <c r="AA708" s="120"/>
    </row>
    <row r="709">
      <c r="A709" s="120"/>
      <c r="C709" s="108">
        <v>6.7567465236722E13</v>
      </c>
      <c r="D709" s="116">
        <f>IF('ПРАЙС_ЛИСТ'!F249 &lt;&gt; 'ПРАЙС_ЛИСТ'!H249, 'ПРАЙС_ЛИСТ'!F249, "0")</f>
        <v>2500</v>
      </c>
      <c r="E709" s="114" t="s">
        <v>446</v>
      </c>
      <c r="F709" s="117" t="s">
        <v>421</v>
      </c>
      <c r="G709" s="109"/>
      <c r="H709" s="108" t="s">
        <v>393</v>
      </c>
      <c r="I709" s="118" t="s">
        <v>1351</v>
      </c>
      <c r="J709" s="119" t="s">
        <v>448</v>
      </c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  <c r="AA709" s="120"/>
    </row>
    <row r="710">
      <c r="A710" s="120"/>
      <c r="C710" s="108">
        <v>6.756746523672E13</v>
      </c>
      <c r="D710" s="116">
        <f>IF('ПРАЙС_ЛИСТ'!F250 &lt;&gt; 'ПРАЙС_ЛИСТ'!H250, 'ПРАЙС_ЛИСТ'!F250, "0")</f>
        <v>1500</v>
      </c>
      <c r="E710" s="114" t="s">
        <v>450</v>
      </c>
      <c r="F710" s="117" t="s">
        <v>421</v>
      </c>
      <c r="G710" s="109"/>
      <c r="H710" s="108" t="s">
        <v>410</v>
      </c>
      <c r="I710" s="122" t="s">
        <v>1352</v>
      </c>
      <c r="J710" s="119" t="s">
        <v>452</v>
      </c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  <c r="AA710" s="120"/>
    </row>
    <row r="711">
      <c r="A711" s="120"/>
      <c r="C711" s="108">
        <v>6.7567465236723E13</v>
      </c>
      <c r="D711" s="121">
        <v>0.0</v>
      </c>
      <c r="E711" s="114" t="s">
        <v>454</v>
      </c>
      <c r="F711" s="117" t="s">
        <v>455</v>
      </c>
      <c r="G711" s="108" t="s">
        <v>398</v>
      </c>
      <c r="H711" s="108" t="s">
        <v>410</v>
      </c>
      <c r="I711" s="122" t="s">
        <v>1353</v>
      </c>
      <c r="J711" s="119" t="s">
        <v>457</v>
      </c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  <c r="AA711" s="120"/>
    </row>
    <row r="712">
      <c r="A712" s="120"/>
      <c r="C712" s="108">
        <v>6.7567465236734E13</v>
      </c>
      <c r="D712" s="121">
        <v>0.0</v>
      </c>
      <c r="E712" s="114" t="s">
        <v>459</v>
      </c>
      <c r="F712" s="117" t="s">
        <v>442</v>
      </c>
      <c r="G712" s="108" t="s">
        <v>398</v>
      </c>
      <c r="H712" s="108" t="s">
        <v>393</v>
      </c>
      <c r="I712" s="118" t="s">
        <v>1354</v>
      </c>
      <c r="J712" s="119" t="s">
        <v>461</v>
      </c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  <c r="AA712" s="120"/>
    </row>
    <row r="713">
      <c r="A713" s="120"/>
      <c r="C713" s="108" t="s">
        <v>462</v>
      </c>
      <c r="D713" s="116">
        <f>IF('ПРАЙС_ЛИСТ'!F9 &lt;&gt; 'ПРАЙС_ЛИСТ'!H9, 'ПРАЙС_ЛИСТ'!F9, "0")</f>
        <v>1100</v>
      </c>
      <c r="E713" s="114" t="s">
        <v>463</v>
      </c>
      <c r="F713" s="117" t="s">
        <v>409</v>
      </c>
      <c r="G713" s="108"/>
      <c r="H713" s="108"/>
      <c r="I713" s="122" t="s">
        <v>464</v>
      </c>
      <c r="J713" s="119" t="s">
        <v>465</v>
      </c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  <c r="AA713" s="120"/>
    </row>
    <row r="714">
      <c r="A714" s="120"/>
      <c r="C714" s="113" t="s">
        <v>1355</v>
      </c>
      <c r="D714" s="116">
        <f>'ПРАЙС_ЛИСТ'!F257</f>
        <v>2000</v>
      </c>
      <c r="E714" s="114" t="s">
        <v>467</v>
      </c>
      <c r="F714" s="117" t="s">
        <v>468</v>
      </c>
      <c r="G714" s="108" t="s">
        <v>403</v>
      </c>
      <c r="H714" s="108" t="s">
        <v>393</v>
      </c>
      <c r="I714" s="118" t="s">
        <v>1356</v>
      </c>
      <c r="J714" s="119" t="s">
        <v>470</v>
      </c>
      <c r="K714" s="120"/>
      <c r="L714" s="114" t="s">
        <v>418</v>
      </c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  <c r="AA714" s="120"/>
    </row>
    <row r="715">
      <c r="A715" s="120"/>
      <c r="B715" s="115"/>
      <c r="C715" s="108"/>
      <c r="D715" s="109"/>
      <c r="E715" s="114"/>
      <c r="F715" s="117"/>
      <c r="G715" s="108"/>
      <c r="H715" s="108"/>
      <c r="I715" s="119"/>
      <c r="J715" s="119"/>
      <c r="K715" s="120"/>
      <c r="L715" s="114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  <c r="AA715" s="120"/>
    </row>
    <row r="716">
      <c r="A716" s="120"/>
      <c r="B716" s="115" t="s">
        <v>104</v>
      </c>
      <c r="C716" s="108">
        <v>6.7567465236757E13</v>
      </c>
      <c r="D716" s="116">
        <f>IF('ПРАЙС_ЛИСТ'!F223 &lt;&gt; 'ПРАЙС_ЛИСТ'!H223, IF('ПРАЙС_ЛИСТ'!F223 = 1, 0, 'ПРАЙС_ЛИСТ'!F223), 0)</f>
        <v>2500</v>
      </c>
      <c r="E716" s="114" t="s">
        <v>391</v>
      </c>
      <c r="F716" s="117" t="s">
        <v>392</v>
      </c>
      <c r="G716" s="108"/>
      <c r="H716" s="108" t="s">
        <v>393</v>
      </c>
      <c r="I716" s="122" t="s">
        <v>1357</v>
      </c>
      <c r="J716" s="119" t="s">
        <v>395</v>
      </c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  <c r="AA716" s="120"/>
    </row>
    <row r="717">
      <c r="A717" s="120"/>
      <c r="C717" s="108">
        <v>6.7567465236756E13</v>
      </c>
      <c r="D717" s="121">
        <v>0.0</v>
      </c>
      <c r="E717" s="114" t="s">
        <v>397</v>
      </c>
      <c r="F717" s="117" t="s">
        <v>392</v>
      </c>
      <c r="G717" s="108" t="s">
        <v>398</v>
      </c>
      <c r="H717" s="108" t="s">
        <v>393</v>
      </c>
      <c r="I717" s="118" t="s">
        <v>1358</v>
      </c>
      <c r="J717" s="119" t="s">
        <v>400</v>
      </c>
      <c r="K717" s="120"/>
      <c r="L717" s="114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  <c r="AA717" s="120"/>
    </row>
    <row r="718">
      <c r="A718" s="120"/>
      <c r="C718" s="108">
        <v>6.7567465236754E13</v>
      </c>
      <c r="D718" s="109">
        <f t="array" ref="D718">MIN(IF('ПРАЙС_ЛИСТ'!F220:F221 &lt;&gt; 'ПРАЙС_ЛИСТ'!H220:H221, 'ПРАЙС_ЛИСТ'!F220:F221, ""))</f>
        <v>3500</v>
      </c>
      <c r="E718" s="114" t="s">
        <v>402</v>
      </c>
      <c r="F718" s="117" t="s">
        <v>392</v>
      </c>
      <c r="G718" s="108" t="s">
        <v>403</v>
      </c>
      <c r="H718" s="108" t="s">
        <v>393</v>
      </c>
      <c r="I718" s="118" t="s">
        <v>1359</v>
      </c>
      <c r="J718" s="119" t="s">
        <v>405</v>
      </c>
      <c r="K718" s="120"/>
      <c r="L718" s="114" t="s">
        <v>406</v>
      </c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  <c r="AA718" s="120"/>
    </row>
    <row r="719">
      <c r="A719" s="120"/>
      <c r="C719" s="108">
        <v>6.7567465236763E13</v>
      </c>
      <c r="D719" s="116">
        <f>'ПРАЙС_ЛИСТ'!F234</f>
        <v>2500</v>
      </c>
      <c r="E719" s="114" t="s">
        <v>415</v>
      </c>
      <c r="F719" s="117" t="s">
        <v>392</v>
      </c>
      <c r="G719" s="108" t="s">
        <v>403</v>
      </c>
      <c r="H719" s="108" t="s">
        <v>393</v>
      </c>
      <c r="I719" s="122" t="s">
        <v>1360</v>
      </c>
      <c r="J719" s="119" t="s">
        <v>417</v>
      </c>
      <c r="K719" s="120"/>
      <c r="L719" s="114" t="s">
        <v>418</v>
      </c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  <c r="AA719" s="120"/>
    </row>
    <row r="720">
      <c r="A720" s="120"/>
      <c r="C720" s="108">
        <v>6.7567465236747E13</v>
      </c>
      <c r="D720" s="125">
        <f>'ПРАЙС_ЛИСТ'!F218</f>
        <v>1800</v>
      </c>
      <c r="E720" s="114" t="s">
        <v>420</v>
      </c>
      <c r="F720" s="117" t="s">
        <v>421</v>
      </c>
      <c r="G720" s="108"/>
      <c r="H720" s="108" t="s">
        <v>410</v>
      </c>
      <c r="I720" s="118" t="s">
        <v>1361</v>
      </c>
      <c r="J720" s="119" t="s">
        <v>423</v>
      </c>
      <c r="K720" s="120"/>
      <c r="L720" s="114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  <c r="AA720" s="120"/>
    </row>
    <row r="721">
      <c r="A721" s="120"/>
      <c r="C721" s="108">
        <v>6.7567465236764E13</v>
      </c>
      <c r="D721" s="116">
        <f>IF('ПРАЙС_ЛИСТ'!F219 &lt;&gt; 'ПРАЙС_ЛИСТ'!H219, 'ПРАЙС_ЛИСТ'!F219, "0")</f>
        <v>1800</v>
      </c>
      <c r="E721" s="114" t="s">
        <v>425</v>
      </c>
      <c r="F721" s="117" t="s">
        <v>421</v>
      </c>
      <c r="G721" s="109"/>
      <c r="H721" s="108" t="s">
        <v>393</v>
      </c>
      <c r="I721" s="118" t="s">
        <v>1362</v>
      </c>
      <c r="J721" s="119" t="s">
        <v>427</v>
      </c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  <c r="AA721" s="120"/>
    </row>
    <row r="722">
      <c r="A722" s="120"/>
      <c r="C722" s="108">
        <v>6.7567465236753E13</v>
      </c>
      <c r="D722" s="116">
        <f>IF('ПРАЙС_ЛИСТ'!F232 &lt;&gt; 'ПРАЙС_ЛИСТ'!H232, 'ПРАЙС_ЛИСТ'!F232, "0")</f>
        <v>2100</v>
      </c>
      <c r="E722" s="114" t="s">
        <v>429</v>
      </c>
      <c r="F722" s="117" t="s">
        <v>392</v>
      </c>
      <c r="G722" s="109"/>
      <c r="H722" s="108" t="s">
        <v>393</v>
      </c>
      <c r="I722" s="122" t="s">
        <v>1363</v>
      </c>
      <c r="J722" s="119" t="s">
        <v>431</v>
      </c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  <c r="AA722" s="120"/>
    </row>
    <row r="723">
      <c r="A723" s="120"/>
      <c r="C723" s="108">
        <v>6.7567465236751E13</v>
      </c>
      <c r="D723" s="116">
        <f>IF('ПРАЙС_ЛИСТ'!F230 &lt;&gt; 'ПРАЙС_ЛИСТ'!H230, 'ПРАЙС_ЛИСТ'!F230, "0")</f>
        <v>1400</v>
      </c>
      <c r="E723" s="114" t="s">
        <v>433</v>
      </c>
      <c r="F723" s="117" t="s">
        <v>421</v>
      </c>
      <c r="G723" s="109"/>
      <c r="H723" s="108" t="s">
        <v>393</v>
      </c>
      <c r="I723" s="122" t="s">
        <v>1364</v>
      </c>
      <c r="J723" s="119" t="s">
        <v>435</v>
      </c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  <c r="AA723" s="120"/>
    </row>
    <row r="724">
      <c r="A724" s="120"/>
      <c r="C724" s="108">
        <v>6.7567465236752E13</v>
      </c>
      <c r="D724" s="116">
        <f>IF('ПРАЙС_ЛИСТ'!F231 &lt;&gt; 'ПРАЙС_ЛИСТ'!H231, 'ПРАЙС_ЛИСТ'!F231, "0")</f>
        <v>1400</v>
      </c>
      <c r="E724" s="114" t="s">
        <v>437</v>
      </c>
      <c r="F724" s="117" t="s">
        <v>421</v>
      </c>
      <c r="G724" s="109"/>
      <c r="H724" s="108" t="s">
        <v>393</v>
      </c>
      <c r="I724" s="122" t="s">
        <v>1365</v>
      </c>
      <c r="J724" s="119" t="s">
        <v>439</v>
      </c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  <c r="AA724" s="120"/>
    </row>
    <row r="725">
      <c r="A725" s="120"/>
      <c r="C725" s="108">
        <v>6.7567465236759E13</v>
      </c>
      <c r="D725" s="116">
        <f>IF('ПРАЙС_ЛИСТ'!F224 &lt;&gt; 'ПРАЙС_ЛИСТ'!H224, 'ПРАЙС_ЛИСТ'!F224, "0")</f>
        <v>3500</v>
      </c>
      <c r="E725" s="114" t="s">
        <v>441</v>
      </c>
      <c r="F725" s="117" t="s">
        <v>442</v>
      </c>
      <c r="G725" s="109"/>
      <c r="H725" s="108" t="s">
        <v>393</v>
      </c>
      <c r="I725" s="118" t="s">
        <v>1366</v>
      </c>
      <c r="J725" s="119" t="s">
        <v>444</v>
      </c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  <c r="AA725" s="120"/>
    </row>
    <row r="726">
      <c r="A726" s="120"/>
      <c r="C726" s="108">
        <v>6.756746523676E13</v>
      </c>
      <c r="D726" s="116">
        <f>IF('ПРАЙС_ЛИСТ'!F225 &lt;&gt; 'ПРАЙС_ЛИСТ'!H225, 'ПРАЙС_ЛИСТ'!F225, "0")</f>
        <v>2200</v>
      </c>
      <c r="E726" s="114" t="s">
        <v>446</v>
      </c>
      <c r="F726" s="117" t="s">
        <v>421</v>
      </c>
      <c r="G726" s="109"/>
      <c r="H726" s="108" t="s">
        <v>393</v>
      </c>
      <c r="I726" s="118" t="s">
        <v>1367</v>
      </c>
      <c r="J726" s="119" t="s">
        <v>448</v>
      </c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  <c r="AA726" s="120"/>
    </row>
    <row r="727">
      <c r="A727" s="120"/>
      <c r="C727" s="108">
        <v>6.7567465236758E13</v>
      </c>
      <c r="D727" s="116">
        <f>IF('ПРАЙС_ЛИСТ'!F226 &lt;&gt; 'ПРАЙС_ЛИСТ'!H226, 'ПРАЙС_ЛИСТ'!F226, "0")</f>
        <v>1100</v>
      </c>
      <c r="E727" s="114" t="s">
        <v>450</v>
      </c>
      <c r="F727" s="117" t="s">
        <v>421</v>
      </c>
      <c r="G727" s="109"/>
      <c r="H727" s="108" t="s">
        <v>410</v>
      </c>
      <c r="I727" s="122" t="s">
        <v>1368</v>
      </c>
      <c r="J727" s="119" t="s">
        <v>452</v>
      </c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  <c r="AA727" s="120"/>
    </row>
    <row r="728">
      <c r="A728" s="120"/>
      <c r="C728" s="108" t="s">
        <v>1369</v>
      </c>
      <c r="D728" s="121">
        <v>0.0</v>
      </c>
      <c r="E728" s="114" t="s">
        <v>454</v>
      </c>
      <c r="F728" s="117" t="s">
        <v>455</v>
      </c>
      <c r="G728" s="108" t="s">
        <v>398</v>
      </c>
      <c r="H728" s="108" t="s">
        <v>410</v>
      </c>
      <c r="I728" s="122" t="s">
        <v>1370</v>
      </c>
      <c r="J728" s="119" t="s">
        <v>457</v>
      </c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  <c r="AA728" s="120"/>
    </row>
    <row r="729">
      <c r="A729" s="120"/>
      <c r="C729" s="108">
        <v>6.7567465236773E13</v>
      </c>
      <c r="D729" s="121">
        <v>0.0</v>
      </c>
      <c r="E729" s="114" t="s">
        <v>459</v>
      </c>
      <c r="F729" s="117" t="s">
        <v>442</v>
      </c>
      <c r="G729" s="108" t="s">
        <v>398</v>
      </c>
      <c r="H729" s="108" t="s">
        <v>393</v>
      </c>
      <c r="I729" s="118" t="s">
        <v>1371</v>
      </c>
      <c r="J729" s="119" t="s">
        <v>461</v>
      </c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  <c r="AA729" s="120"/>
    </row>
    <row r="730">
      <c r="A730" s="120"/>
      <c r="C730" s="108" t="s">
        <v>462</v>
      </c>
      <c r="D730" s="116">
        <f>IF('ПРАЙС_ЛИСТ'!F9 &lt;&gt; 'ПРАЙС_ЛИСТ'!H9, 'ПРАЙС_ЛИСТ'!F9, "0")</f>
        <v>1100</v>
      </c>
      <c r="E730" s="114" t="s">
        <v>463</v>
      </c>
      <c r="F730" s="117" t="s">
        <v>409</v>
      </c>
      <c r="G730" s="108"/>
      <c r="H730" s="108"/>
      <c r="I730" s="122" t="s">
        <v>464</v>
      </c>
      <c r="J730" s="119" t="s">
        <v>465</v>
      </c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  <c r="AA730" s="120"/>
    </row>
    <row r="731">
      <c r="A731" s="120"/>
      <c r="C731" s="113" t="s">
        <v>1372</v>
      </c>
      <c r="D731" s="116">
        <f>'ПРАЙС_ЛИСТ'!F233</f>
        <v>1800</v>
      </c>
      <c r="E731" s="114" t="s">
        <v>467</v>
      </c>
      <c r="F731" s="117" t="s">
        <v>468</v>
      </c>
      <c r="G731" s="108" t="s">
        <v>403</v>
      </c>
      <c r="H731" s="108" t="s">
        <v>393</v>
      </c>
      <c r="I731" s="118" t="s">
        <v>1373</v>
      </c>
      <c r="J731" s="119" t="s">
        <v>470</v>
      </c>
      <c r="K731" s="120"/>
      <c r="L731" s="114" t="s">
        <v>418</v>
      </c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  <c r="AA731" s="120"/>
    </row>
    <row r="732">
      <c r="A732" s="120"/>
      <c r="B732" s="115"/>
      <c r="C732" s="108"/>
      <c r="D732" s="109"/>
      <c r="E732" s="114"/>
      <c r="F732" s="117"/>
      <c r="G732" s="108"/>
      <c r="H732" s="108"/>
      <c r="I732" s="119"/>
      <c r="J732" s="119"/>
      <c r="K732" s="120"/>
      <c r="L732" s="114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  <c r="AA732" s="120"/>
    </row>
    <row r="733">
      <c r="A733" s="120"/>
      <c r="B733" s="115" t="s">
        <v>97</v>
      </c>
      <c r="C733" s="108">
        <v>6.7567465236796E13</v>
      </c>
      <c r="D733" s="116">
        <f>IF('ПРАЙС_ЛИСТ'!F199 &lt;&gt; 'ПРАЙС_ЛИСТ'!H199, IF('ПРАЙС_ЛИСТ'!F199 = 1, 0, 'ПРАЙС_ЛИСТ'!F199), 0)</f>
        <v>2000</v>
      </c>
      <c r="E733" s="114" t="s">
        <v>391</v>
      </c>
      <c r="F733" s="117" t="s">
        <v>392</v>
      </c>
      <c r="G733" s="108"/>
      <c r="H733" s="108" t="s">
        <v>393</v>
      </c>
      <c r="I733" s="122" t="s">
        <v>1374</v>
      </c>
      <c r="J733" s="119" t="s">
        <v>395</v>
      </c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  <c r="AA733" s="120"/>
    </row>
    <row r="734">
      <c r="A734" s="120"/>
      <c r="C734" s="108">
        <v>6.7567465236795E13</v>
      </c>
      <c r="D734" s="121">
        <v>0.0</v>
      </c>
      <c r="E734" s="114" t="s">
        <v>397</v>
      </c>
      <c r="F734" s="117" t="s">
        <v>392</v>
      </c>
      <c r="G734" s="108" t="s">
        <v>398</v>
      </c>
      <c r="H734" s="108" t="s">
        <v>393</v>
      </c>
      <c r="I734" s="118" t="s">
        <v>1375</v>
      </c>
      <c r="J734" s="119" t="s">
        <v>400</v>
      </c>
      <c r="K734" s="120"/>
      <c r="L734" s="114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  <c r="AA734" s="120"/>
    </row>
    <row r="735">
      <c r="A735" s="120"/>
      <c r="C735" s="108">
        <v>6.7567465236793E13</v>
      </c>
      <c r="D735" s="109">
        <f t="array" ref="D735">MIN(IF('ПРАЙС_ЛИСТ'!F196:F197 &lt;&gt; 'ПРАЙС_ЛИСТ'!H196:H197, 'ПРАЙС_ЛИСТ'!F196:F197, ""))</f>
        <v>2500</v>
      </c>
      <c r="E735" s="114" t="s">
        <v>402</v>
      </c>
      <c r="F735" s="117" t="s">
        <v>392</v>
      </c>
      <c r="G735" s="108" t="s">
        <v>403</v>
      </c>
      <c r="H735" s="108" t="s">
        <v>393</v>
      </c>
      <c r="I735" s="118" t="s">
        <v>1376</v>
      </c>
      <c r="J735" s="119" t="s">
        <v>405</v>
      </c>
      <c r="K735" s="120"/>
      <c r="L735" s="114" t="s">
        <v>406</v>
      </c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  <c r="AA735" s="120"/>
    </row>
    <row r="736">
      <c r="A736" s="120"/>
      <c r="C736" s="108">
        <v>6.7567465236802E13</v>
      </c>
      <c r="D736" s="116">
        <f>'ПРАЙС_ЛИСТ'!F210</f>
        <v>2500</v>
      </c>
      <c r="E736" s="114" t="s">
        <v>415</v>
      </c>
      <c r="F736" s="117" t="s">
        <v>392</v>
      </c>
      <c r="G736" s="108" t="s">
        <v>403</v>
      </c>
      <c r="H736" s="108" t="s">
        <v>393</v>
      </c>
      <c r="I736" s="122" t="s">
        <v>1377</v>
      </c>
      <c r="J736" s="119" t="s">
        <v>417</v>
      </c>
      <c r="K736" s="120"/>
      <c r="L736" s="114" t="s">
        <v>418</v>
      </c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  <c r="AA736" s="120"/>
    </row>
    <row r="737">
      <c r="A737" s="120"/>
      <c r="C737" s="108">
        <v>6.7567465236786E13</v>
      </c>
      <c r="D737" s="125">
        <f>'ПРАЙС_ЛИСТ'!F194</f>
        <v>1600</v>
      </c>
      <c r="E737" s="114" t="s">
        <v>420</v>
      </c>
      <c r="F737" s="117" t="s">
        <v>421</v>
      </c>
      <c r="G737" s="108"/>
      <c r="H737" s="108" t="s">
        <v>410</v>
      </c>
      <c r="I737" s="118" t="s">
        <v>1378</v>
      </c>
      <c r="J737" s="119" t="s">
        <v>423</v>
      </c>
      <c r="K737" s="120"/>
      <c r="L737" s="114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  <c r="AA737" s="120"/>
    </row>
    <row r="738">
      <c r="A738" s="120"/>
      <c r="C738" s="108">
        <v>6.7567465236803E13</v>
      </c>
      <c r="D738" s="116">
        <f>IF('ПРАЙС_ЛИСТ'!F195 &lt;&gt; 'ПРАЙС_ЛИСТ'!H195, 'ПРАЙС_ЛИСТ'!F195, "0")</f>
        <v>1600</v>
      </c>
      <c r="E738" s="114" t="s">
        <v>425</v>
      </c>
      <c r="F738" s="117" t="s">
        <v>421</v>
      </c>
      <c r="G738" s="109"/>
      <c r="H738" s="108" t="s">
        <v>393</v>
      </c>
      <c r="I738" s="118" t="s">
        <v>1379</v>
      </c>
      <c r="J738" s="119" t="s">
        <v>427</v>
      </c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  <c r="AA738" s="120"/>
    </row>
    <row r="739">
      <c r="A739" s="120"/>
      <c r="C739" s="108">
        <v>6.7567465236792E13</v>
      </c>
      <c r="D739" s="116">
        <f>IF('ПРАЙС_ЛИСТ'!F208 &lt;&gt; 'ПРАЙС_ЛИСТ'!H208, 'ПРАЙС_ЛИСТ'!F208, "0")</f>
        <v>1900</v>
      </c>
      <c r="E739" s="114" t="s">
        <v>429</v>
      </c>
      <c r="F739" s="117" t="s">
        <v>392</v>
      </c>
      <c r="G739" s="109"/>
      <c r="H739" s="108" t="s">
        <v>393</v>
      </c>
      <c r="I739" s="122" t="s">
        <v>1380</v>
      </c>
      <c r="J739" s="119" t="s">
        <v>431</v>
      </c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  <c r="AA739" s="120"/>
    </row>
    <row r="740">
      <c r="A740" s="120"/>
      <c r="C740" s="108">
        <v>6.756746523679E13</v>
      </c>
      <c r="D740" s="116">
        <f>IF('ПРАЙС_ЛИСТ'!F206 &lt;&gt; 'ПРАЙС_ЛИСТ'!H206, 'ПРАЙС_ЛИСТ'!F206, "0")</f>
        <v>1200</v>
      </c>
      <c r="E740" s="114" t="s">
        <v>433</v>
      </c>
      <c r="F740" s="117" t="s">
        <v>421</v>
      </c>
      <c r="G740" s="109"/>
      <c r="H740" s="108" t="s">
        <v>393</v>
      </c>
      <c r="I740" s="122" t="s">
        <v>1381</v>
      </c>
      <c r="J740" s="119" t="s">
        <v>435</v>
      </c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  <c r="AA740" s="120"/>
    </row>
    <row r="741">
      <c r="A741" s="120"/>
      <c r="C741" s="108">
        <v>6.7567465236791E13</v>
      </c>
      <c r="D741" s="116">
        <f>IF('ПРАЙС_ЛИСТ'!F207 &lt;&gt; 'ПРАЙС_ЛИСТ'!H207, 'ПРАЙС_ЛИСТ'!F207, "0")</f>
        <v>1200</v>
      </c>
      <c r="E741" s="114" t="s">
        <v>437</v>
      </c>
      <c r="F741" s="117" t="s">
        <v>421</v>
      </c>
      <c r="G741" s="109"/>
      <c r="H741" s="108" t="s">
        <v>393</v>
      </c>
      <c r="I741" s="122" t="s">
        <v>1382</v>
      </c>
      <c r="J741" s="119" t="s">
        <v>439</v>
      </c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  <c r="AA741" s="120"/>
    </row>
    <row r="742">
      <c r="A742" s="120"/>
      <c r="C742" s="108">
        <v>6.7567465236798E13</v>
      </c>
      <c r="D742" s="116">
        <f>IF('ПРАЙС_ЛИСТ'!F200 &lt;&gt; 'ПРАЙС_ЛИСТ'!H200, 'ПРАЙС_ЛИСТ'!F200, "0")</f>
        <v>2000</v>
      </c>
      <c r="E742" s="114" t="s">
        <v>441</v>
      </c>
      <c r="F742" s="117" t="s">
        <v>442</v>
      </c>
      <c r="G742" s="109"/>
      <c r="H742" s="108" t="s">
        <v>393</v>
      </c>
      <c r="I742" s="118" t="s">
        <v>1383</v>
      </c>
      <c r="J742" s="119" t="s">
        <v>444</v>
      </c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  <c r="AA742" s="120"/>
    </row>
    <row r="743">
      <c r="A743" s="120"/>
      <c r="C743" s="108">
        <v>6.7567465236799E13</v>
      </c>
      <c r="D743" s="116">
        <f>IF('ПРАЙС_ЛИСТ'!F201 &lt;&gt; 'ПРАЙС_ЛИСТ'!H201, 'ПРАЙС_ЛИСТ'!F201, "0")</f>
        <v>1800</v>
      </c>
      <c r="E743" s="114" t="s">
        <v>446</v>
      </c>
      <c r="F743" s="117" t="s">
        <v>421</v>
      </c>
      <c r="G743" s="109"/>
      <c r="H743" s="108" t="s">
        <v>393</v>
      </c>
      <c r="I743" s="118" t="s">
        <v>1384</v>
      </c>
      <c r="J743" s="119" t="s">
        <v>448</v>
      </c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  <c r="AA743" s="120"/>
    </row>
    <row r="744">
      <c r="A744" s="120"/>
      <c r="C744" s="108">
        <v>6.7567465236797E13</v>
      </c>
      <c r="D744" s="116">
        <f>IF('ПРАЙС_ЛИСТ'!F202 &lt;&gt; 'ПРАЙС_ЛИСТ'!H202, 'ПРАЙС_ЛИСТ'!F202, "0")</f>
        <v>1100</v>
      </c>
      <c r="E744" s="114" t="s">
        <v>450</v>
      </c>
      <c r="F744" s="117" t="s">
        <v>421</v>
      </c>
      <c r="G744" s="109"/>
      <c r="H744" s="108" t="s">
        <v>410</v>
      </c>
      <c r="I744" s="122" t="s">
        <v>1385</v>
      </c>
      <c r="J744" s="119" t="s">
        <v>452</v>
      </c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  <c r="AA744" s="120"/>
    </row>
    <row r="745">
      <c r="A745" s="120"/>
      <c r="C745" s="108" t="s">
        <v>1386</v>
      </c>
      <c r="D745" s="121">
        <v>0.0</v>
      </c>
      <c r="E745" s="114" t="s">
        <v>454</v>
      </c>
      <c r="F745" s="117" t="s">
        <v>455</v>
      </c>
      <c r="G745" s="108" t="s">
        <v>398</v>
      </c>
      <c r="H745" s="108" t="s">
        <v>410</v>
      </c>
      <c r="I745" s="122" t="s">
        <v>1387</v>
      </c>
      <c r="J745" s="119" t="s">
        <v>457</v>
      </c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  <c r="AA745" s="120"/>
    </row>
    <row r="746">
      <c r="A746" s="120"/>
      <c r="C746" s="108">
        <v>6.7567465236812E13</v>
      </c>
      <c r="D746" s="121">
        <v>0.0</v>
      </c>
      <c r="E746" s="114" t="s">
        <v>459</v>
      </c>
      <c r="F746" s="117" t="s">
        <v>442</v>
      </c>
      <c r="G746" s="108" t="s">
        <v>398</v>
      </c>
      <c r="H746" s="108" t="s">
        <v>393</v>
      </c>
      <c r="I746" s="118" t="s">
        <v>1388</v>
      </c>
      <c r="J746" s="119" t="s">
        <v>461</v>
      </c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  <c r="AA746" s="120"/>
    </row>
    <row r="747">
      <c r="A747" s="120"/>
      <c r="C747" s="108" t="s">
        <v>462</v>
      </c>
      <c r="D747" s="116">
        <f>IF('ПРАЙС_ЛИСТ'!F9 &lt;&gt; 'ПРАЙС_ЛИСТ'!H9, 'ПРАЙС_ЛИСТ'!F9, "0")</f>
        <v>1100</v>
      </c>
      <c r="E747" s="114" t="s">
        <v>463</v>
      </c>
      <c r="F747" s="117" t="s">
        <v>409</v>
      </c>
      <c r="G747" s="108"/>
      <c r="H747" s="108"/>
      <c r="I747" s="122" t="s">
        <v>464</v>
      </c>
      <c r="J747" s="119" t="s">
        <v>465</v>
      </c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  <c r="AA747" s="120"/>
    </row>
    <row r="748">
      <c r="A748" s="120"/>
      <c r="C748" s="113" t="s">
        <v>1389</v>
      </c>
      <c r="D748" s="116">
        <f>'ПРАЙС_ЛИСТ'!F209</f>
        <v>1800</v>
      </c>
      <c r="E748" s="114" t="s">
        <v>467</v>
      </c>
      <c r="F748" s="117" t="s">
        <v>468</v>
      </c>
      <c r="G748" s="108" t="s">
        <v>403</v>
      </c>
      <c r="H748" s="108" t="s">
        <v>393</v>
      </c>
      <c r="I748" s="118" t="s">
        <v>1390</v>
      </c>
      <c r="J748" s="119" t="s">
        <v>470</v>
      </c>
      <c r="K748" s="120"/>
      <c r="L748" s="114" t="s">
        <v>418</v>
      </c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  <c r="AA748" s="120"/>
    </row>
    <row r="749">
      <c r="A749" s="120"/>
      <c r="B749" s="115"/>
      <c r="C749" s="108"/>
      <c r="D749" s="109"/>
      <c r="E749" s="114"/>
      <c r="F749" s="117"/>
      <c r="G749" s="108"/>
      <c r="H749" s="108"/>
      <c r="I749" s="119"/>
      <c r="J749" s="119"/>
      <c r="K749" s="120"/>
      <c r="L749" s="114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  <c r="AA749" s="120"/>
    </row>
    <row r="750">
      <c r="A750" s="120"/>
      <c r="B750" s="115" t="s">
        <v>90</v>
      </c>
      <c r="C750" s="108">
        <v>6.7567465236835E13</v>
      </c>
      <c r="D750" s="116">
        <f>IF('ПРАЙС_ЛИСТ'!F175 &lt;&gt; 'ПРАЙС_ЛИСТ'!H175, IF('ПРАЙС_ЛИСТ'!F175 = 1, 0, 'ПРАЙС_ЛИСТ'!F175), 0)</f>
        <v>2000</v>
      </c>
      <c r="E750" s="114" t="s">
        <v>391</v>
      </c>
      <c r="F750" s="117" t="s">
        <v>392</v>
      </c>
      <c r="G750" s="108"/>
      <c r="H750" s="108" t="s">
        <v>393</v>
      </c>
      <c r="I750" s="122" t="s">
        <v>1391</v>
      </c>
      <c r="J750" s="119" t="s">
        <v>395</v>
      </c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  <c r="AA750" s="120"/>
    </row>
    <row r="751">
      <c r="A751" s="120"/>
      <c r="C751" s="108">
        <v>6.7567465236834E13</v>
      </c>
      <c r="D751" s="121">
        <v>0.0</v>
      </c>
      <c r="E751" s="114" t="s">
        <v>397</v>
      </c>
      <c r="F751" s="117" t="s">
        <v>392</v>
      </c>
      <c r="G751" s="108" t="s">
        <v>398</v>
      </c>
      <c r="H751" s="108" t="s">
        <v>393</v>
      </c>
      <c r="I751" s="118" t="s">
        <v>1392</v>
      </c>
      <c r="J751" s="119" t="s">
        <v>400</v>
      </c>
      <c r="K751" s="120"/>
      <c r="L751" s="114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  <c r="AA751" s="120"/>
    </row>
    <row r="752">
      <c r="A752" s="120"/>
      <c r="C752" s="108">
        <v>6.7567465236832E13</v>
      </c>
      <c r="D752" s="109">
        <f t="array" ref="D752">MIN(IF('ПРАЙС_ЛИСТ'!F172:F173 &lt;&gt; 'ПРАЙС_ЛИСТ'!H172:H173, 'ПРАЙС_ЛИСТ'!F172:F173, ""))</f>
        <v>2500</v>
      </c>
      <c r="E752" s="114" t="s">
        <v>402</v>
      </c>
      <c r="F752" s="117" t="s">
        <v>392</v>
      </c>
      <c r="G752" s="108" t="s">
        <v>403</v>
      </c>
      <c r="H752" s="108" t="s">
        <v>393</v>
      </c>
      <c r="I752" s="118" t="s">
        <v>1393</v>
      </c>
      <c r="J752" s="119" t="s">
        <v>405</v>
      </c>
      <c r="K752" s="120"/>
      <c r="L752" s="114" t="s">
        <v>406</v>
      </c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  <c r="AA752" s="120"/>
    </row>
    <row r="753">
      <c r="A753" s="120"/>
      <c r="C753" s="108">
        <v>6.7567465236841E13</v>
      </c>
      <c r="D753" s="116">
        <f>'ПРАЙС_ЛИСТ'!F186</f>
        <v>2000</v>
      </c>
      <c r="E753" s="114" t="s">
        <v>415</v>
      </c>
      <c r="F753" s="117" t="s">
        <v>392</v>
      </c>
      <c r="G753" s="108" t="s">
        <v>403</v>
      </c>
      <c r="H753" s="108" t="s">
        <v>393</v>
      </c>
      <c r="I753" s="122" t="s">
        <v>1394</v>
      </c>
      <c r="J753" s="119" t="s">
        <v>417</v>
      </c>
      <c r="K753" s="120"/>
      <c r="L753" s="114" t="s">
        <v>418</v>
      </c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  <c r="AA753" s="120"/>
    </row>
    <row r="754">
      <c r="A754" s="120"/>
      <c r="C754" s="108">
        <v>6.7567465236825E13</v>
      </c>
      <c r="D754" s="125">
        <f>'ПРАЙС_ЛИСТ'!F170</f>
        <v>1600</v>
      </c>
      <c r="E754" s="114" t="s">
        <v>420</v>
      </c>
      <c r="F754" s="117" t="s">
        <v>421</v>
      </c>
      <c r="G754" s="108"/>
      <c r="H754" s="108" t="s">
        <v>410</v>
      </c>
      <c r="I754" s="118" t="s">
        <v>1395</v>
      </c>
      <c r="J754" s="119" t="s">
        <v>423</v>
      </c>
      <c r="K754" s="120"/>
      <c r="L754" s="114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  <c r="AA754" s="120"/>
    </row>
    <row r="755">
      <c r="A755" s="120"/>
      <c r="C755" s="108">
        <v>6.7567465236842E13</v>
      </c>
      <c r="D755" s="116">
        <f>IF('ПРАЙС_ЛИСТ'!F171 &lt;&gt; 'ПРАЙС_ЛИСТ'!H171, 'ПРАЙС_ЛИСТ'!F171, "0")</f>
        <v>1600</v>
      </c>
      <c r="E755" s="114" t="s">
        <v>425</v>
      </c>
      <c r="F755" s="117" t="s">
        <v>421</v>
      </c>
      <c r="G755" s="109"/>
      <c r="H755" s="108" t="s">
        <v>393</v>
      </c>
      <c r="I755" s="118" t="s">
        <v>1396</v>
      </c>
      <c r="J755" s="119" t="s">
        <v>427</v>
      </c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  <c r="AA755" s="120"/>
    </row>
    <row r="756">
      <c r="A756" s="120"/>
      <c r="C756" s="108">
        <v>6.7567465236831E13</v>
      </c>
      <c r="D756" s="116">
        <f>IF('ПРАЙС_ЛИСТ'!F184 &lt;&gt; 'ПРАЙС_ЛИСТ'!H184, 'ПРАЙС_ЛИСТ'!F184, "0")</f>
        <v>1900</v>
      </c>
      <c r="E756" s="114" t="s">
        <v>429</v>
      </c>
      <c r="F756" s="117" t="s">
        <v>392</v>
      </c>
      <c r="G756" s="109"/>
      <c r="H756" s="108" t="s">
        <v>393</v>
      </c>
      <c r="I756" s="122" t="s">
        <v>1397</v>
      </c>
      <c r="J756" s="119" t="s">
        <v>431</v>
      </c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  <c r="AA756" s="120"/>
    </row>
    <row r="757">
      <c r="A757" s="120"/>
      <c r="C757" s="108">
        <v>6.7567465236829E13</v>
      </c>
      <c r="D757" s="116">
        <f>IF('ПРАЙС_ЛИСТ'!F182 &lt;&gt; 'ПРАЙС_ЛИСТ'!H182, 'ПРАЙС_ЛИСТ'!F182, "0")</f>
        <v>1200</v>
      </c>
      <c r="E757" s="114" t="s">
        <v>433</v>
      </c>
      <c r="F757" s="117" t="s">
        <v>421</v>
      </c>
      <c r="G757" s="109"/>
      <c r="H757" s="108" t="s">
        <v>393</v>
      </c>
      <c r="I757" s="122" t="s">
        <v>1398</v>
      </c>
      <c r="J757" s="119" t="s">
        <v>435</v>
      </c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  <c r="AA757" s="120"/>
    </row>
    <row r="758">
      <c r="A758" s="120"/>
      <c r="C758" s="108">
        <v>6.756746523683E13</v>
      </c>
      <c r="D758" s="116">
        <f>IF('ПРАЙС_ЛИСТ'!F183 &lt;&gt; 'ПРАЙС_ЛИСТ'!H183, 'ПРАЙС_ЛИСТ'!F183, "0")</f>
        <v>1200</v>
      </c>
      <c r="E758" s="114" t="s">
        <v>437</v>
      </c>
      <c r="F758" s="117" t="s">
        <v>421</v>
      </c>
      <c r="G758" s="109"/>
      <c r="H758" s="108" t="s">
        <v>393</v>
      </c>
      <c r="I758" s="122" t="s">
        <v>1399</v>
      </c>
      <c r="J758" s="119" t="s">
        <v>439</v>
      </c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  <c r="AA758" s="120"/>
    </row>
    <row r="759">
      <c r="A759" s="120"/>
      <c r="C759" s="108">
        <v>6.7567465236837E13</v>
      </c>
      <c r="D759" s="116">
        <f>IF('ПРАЙС_ЛИСТ'!F176 &lt;&gt; 'ПРАЙС_ЛИСТ'!H176, 'ПРАЙС_ЛИСТ'!F176, "0")</f>
        <v>1800</v>
      </c>
      <c r="E759" s="114" t="s">
        <v>441</v>
      </c>
      <c r="F759" s="117" t="s">
        <v>442</v>
      </c>
      <c r="G759" s="109"/>
      <c r="H759" s="108" t="s">
        <v>393</v>
      </c>
      <c r="I759" s="118" t="s">
        <v>1400</v>
      </c>
      <c r="J759" s="119" t="s">
        <v>444</v>
      </c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  <c r="AA759" s="120"/>
    </row>
    <row r="760">
      <c r="A760" s="120"/>
      <c r="C760" s="108">
        <v>6.7567465236838E13</v>
      </c>
      <c r="D760" s="116">
        <f>IF('ПРАЙС_ЛИСТ'!F177 &lt;&gt; 'ПРАЙС_ЛИСТ'!H177, 'ПРАЙС_ЛИСТ'!F177, "0")</f>
        <v>1600</v>
      </c>
      <c r="E760" s="114" t="s">
        <v>446</v>
      </c>
      <c r="F760" s="117" t="s">
        <v>421</v>
      </c>
      <c r="G760" s="109"/>
      <c r="H760" s="108" t="s">
        <v>393</v>
      </c>
      <c r="I760" s="118" t="s">
        <v>1401</v>
      </c>
      <c r="J760" s="119" t="s">
        <v>448</v>
      </c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  <c r="AA760" s="120"/>
    </row>
    <row r="761">
      <c r="A761" s="120"/>
      <c r="C761" s="108">
        <v>6.7567465236836E13</v>
      </c>
      <c r="D761" s="116">
        <f>IF('ПРАЙС_ЛИСТ'!F178 &lt;&gt; 'ПРАЙС_ЛИСТ'!H178, 'ПРАЙС_ЛИСТ'!F178, "0")</f>
        <v>1000</v>
      </c>
      <c r="E761" s="114" t="s">
        <v>450</v>
      </c>
      <c r="F761" s="117" t="s">
        <v>421</v>
      </c>
      <c r="G761" s="109"/>
      <c r="H761" s="108" t="s">
        <v>410</v>
      </c>
      <c r="I761" s="122" t="s">
        <v>1402</v>
      </c>
      <c r="J761" s="119" t="s">
        <v>452</v>
      </c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  <c r="AA761" s="120"/>
    </row>
    <row r="762">
      <c r="A762" s="120"/>
      <c r="C762" s="108" t="s">
        <v>1403</v>
      </c>
      <c r="D762" s="121">
        <v>0.0</v>
      </c>
      <c r="E762" s="114" t="s">
        <v>454</v>
      </c>
      <c r="F762" s="117" t="s">
        <v>455</v>
      </c>
      <c r="G762" s="108" t="s">
        <v>398</v>
      </c>
      <c r="H762" s="108" t="s">
        <v>410</v>
      </c>
      <c r="I762" s="122" t="s">
        <v>1404</v>
      </c>
      <c r="J762" s="119" t="s">
        <v>457</v>
      </c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  <c r="AA762" s="120"/>
    </row>
    <row r="763">
      <c r="A763" s="120"/>
      <c r="C763" s="108">
        <v>6.7567465236851E13</v>
      </c>
      <c r="D763" s="121">
        <v>0.0</v>
      </c>
      <c r="E763" s="114" t="s">
        <v>459</v>
      </c>
      <c r="F763" s="117" t="s">
        <v>442</v>
      </c>
      <c r="G763" s="108" t="s">
        <v>398</v>
      </c>
      <c r="H763" s="108" t="s">
        <v>393</v>
      </c>
      <c r="I763" s="118" t="s">
        <v>1405</v>
      </c>
      <c r="J763" s="119" t="s">
        <v>461</v>
      </c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  <c r="AA763" s="120"/>
    </row>
    <row r="764">
      <c r="A764" s="120"/>
      <c r="C764" s="108" t="s">
        <v>462</v>
      </c>
      <c r="D764" s="116">
        <f>IF('ПРАЙС_ЛИСТ'!F9 &lt;&gt; 'ПРАЙС_ЛИСТ'!H9, 'ПРАЙС_ЛИСТ'!F9, "0")</f>
        <v>1100</v>
      </c>
      <c r="E764" s="114" t="s">
        <v>463</v>
      </c>
      <c r="F764" s="117" t="s">
        <v>409</v>
      </c>
      <c r="G764" s="108"/>
      <c r="H764" s="108"/>
      <c r="I764" s="122" t="s">
        <v>464</v>
      </c>
      <c r="J764" s="119" t="s">
        <v>465</v>
      </c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  <c r="AA764" s="120"/>
    </row>
    <row r="765">
      <c r="A765" s="120"/>
      <c r="C765" s="113" t="s">
        <v>1406</v>
      </c>
      <c r="D765" s="116">
        <f>'ПРАЙС_ЛИСТ'!F185</f>
        <v>1800</v>
      </c>
      <c r="E765" s="114" t="s">
        <v>467</v>
      </c>
      <c r="F765" s="117" t="s">
        <v>468</v>
      </c>
      <c r="G765" s="108" t="s">
        <v>403</v>
      </c>
      <c r="H765" s="108" t="s">
        <v>393</v>
      </c>
      <c r="I765" s="118" t="s">
        <v>1407</v>
      </c>
      <c r="J765" s="119" t="s">
        <v>470</v>
      </c>
      <c r="K765" s="120"/>
      <c r="L765" s="114" t="s">
        <v>418</v>
      </c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  <c r="AA765" s="120"/>
    </row>
    <row r="766">
      <c r="A766" s="120"/>
      <c r="B766" s="115"/>
      <c r="C766" s="108"/>
      <c r="D766" s="109"/>
      <c r="E766" s="114"/>
      <c r="F766" s="117"/>
      <c r="G766" s="108"/>
      <c r="H766" s="108"/>
      <c r="I766" s="119"/>
      <c r="J766" s="119"/>
      <c r="K766" s="120"/>
      <c r="L766" s="114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  <c r="AA766" s="120"/>
    </row>
    <row r="767">
      <c r="A767" s="120"/>
      <c r="B767" s="115" t="s">
        <v>83</v>
      </c>
      <c r="C767" s="108">
        <v>6.7567465236875E13</v>
      </c>
      <c r="D767" s="116">
        <f>IF('ПРАЙС_ЛИСТ'!F152 &lt;&gt; 'ПРАЙС_ЛИСТ'!H152, IF('ПРАЙС_ЛИСТ'!F152 = 1, 0, 'ПРАЙС_ЛИСТ'!F152), 0)</f>
        <v>2000</v>
      </c>
      <c r="E767" s="114" t="s">
        <v>391</v>
      </c>
      <c r="F767" s="117" t="s">
        <v>392</v>
      </c>
      <c r="G767" s="108"/>
      <c r="H767" s="108" t="s">
        <v>393</v>
      </c>
      <c r="I767" s="122" t="s">
        <v>1408</v>
      </c>
      <c r="J767" s="119" t="s">
        <v>395</v>
      </c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  <c r="AA767" s="120"/>
    </row>
    <row r="768">
      <c r="A768" s="120"/>
      <c r="C768" s="108">
        <v>6.7567465236874E13</v>
      </c>
      <c r="D768" s="121">
        <v>0.0</v>
      </c>
      <c r="E768" s="114" t="s">
        <v>397</v>
      </c>
      <c r="F768" s="117" t="s">
        <v>392</v>
      </c>
      <c r="G768" s="108" t="s">
        <v>398</v>
      </c>
      <c r="H768" s="108" t="s">
        <v>393</v>
      </c>
      <c r="I768" s="118" t="s">
        <v>1409</v>
      </c>
      <c r="J768" s="119" t="s">
        <v>400</v>
      </c>
      <c r="K768" s="120"/>
      <c r="L768" s="114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  <c r="AA768" s="120"/>
    </row>
    <row r="769">
      <c r="A769" s="120"/>
      <c r="C769" s="108">
        <v>6.7567465236872E13</v>
      </c>
      <c r="D769" s="109">
        <f t="array" ref="D769">MIN(IF('ПРАЙС_ЛИСТ'!F149:F150 &lt;&gt; 'ПРАЙС_ЛИСТ'!H149:H150, 'ПРАЙС_ЛИСТ'!F149:F150, ""))</f>
        <v>2500</v>
      </c>
      <c r="E769" s="114" t="s">
        <v>402</v>
      </c>
      <c r="F769" s="117" t="s">
        <v>392</v>
      </c>
      <c r="G769" s="108" t="s">
        <v>403</v>
      </c>
      <c r="H769" s="108" t="s">
        <v>393</v>
      </c>
      <c r="I769" s="118" t="s">
        <v>1410</v>
      </c>
      <c r="J769" s="119" t="s">
        <v>405</v>
      </c>
      <c r="K769" s="120"/>
      <c r="L769" s="114" t="s">
        <v>406</v>
      </c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  <c r="AA769" s="120"/>
    </row>
    <row r="770">
      <c r="A770" s="120"/>
      <c r="C770" s="108">
        <v>6.7567465236881E13</v>
      </c>
      <c r="D770" s="116">
        <f>'ПРАЙС_ЛИСТ'!F163</f>
        <v>2000</v>
      </c>
      <c r="E770" s="114" t="s">
        <v>415</v>
      </c>
      <c r="F770" s="117" t="s">
        <v>392</v>
      </c>
      <c r="G770" s="108" t="s">
        <v>403</v>
      </c>
      <c r="H770" s="108" t="s">
        <v>393</v>
      </c>
      <c r="I770" s="122" t="s">
        <v>1411</v>
      </c>
      <c r="J770" s="119" t="s">
        <v>417</v>
      </c>
      <c r="K770" s="120"/>
      <c r="L770" s="114" t="s">
        <v>418</v>
      </c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  <c r="AA770" s="120"/>
    </row>
    <row r="771">
      <c r="A771" s="120"/>
      <c r="C771" s="108">
        <v>6.7567465236865E13</v>
      </c>
      <c r="D771" s="125">
        <f>'ПРАЙС_ЛИСТ'!F147</f>
        <v>1400</v>
      </c>
      <c r="E771" s="114" t="s">
        <v>420</v>
      </c>
      <c r="F771" s="117" t="s">
        <v>421</v>
      </c>
      <c r="G771" s="108"/>
      <c r="H771" s="108" t="s">
        <v>410</v>
      </c>
      <c r="I771" s="118" t="s">
        <v>1412</v>
      </c>
      <c r="J771" s="119" t="s">
        <v>423</v>
      </c>
      <c r="K771" s="120"/>
      <c r="L771" s="114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  <c r="AA771" s="120"/>
    </row>
    <row r="772">
      <c r="A772" s="120"/>
      <c r="C772" s="108">
        <v>6.7567465236882E13</v>
      </c>
      <c r="D772" s="116">
        <f>IF('ПРАЙС_ЛИСТ'!F148 &lt;&gt; 'ПРАЙС_ЛИСТ'!H148, 'ПРАЙС_ЛИСТ'!F148, "0")</f>
        <v>1400</v>
      </c>
      <c r="E772" s="114" t="s">
        <v>425</v>
      </c>
      <c r="F772" s="117" t="s">
        <v>421</v>
      </c>
      <c r="G772" s="109"/>
      <c r="H772" s="108" t="s">
        <v>393</v>
      </c>
      <c r="I772" s="118" t="s">
        <v>1413</v>
      </c>
      <c r="J772" s="119" t="s">
        <v>427</v>
      </c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  <c r="AA772" s="120"/>
    </row>
    <row r="773">
      <c r="A773" s="120"/>
      <c r="C773" s="108">
        <v>6.7567465236871E13</v>
      </c>
      <c r="D773" s="116">
        <f>IF('ПРАЙС_ЛИСТ'!F161 &lt;&gt; 'ПРАЙС_ЛИСТ'!H161, 'ПРАЙС_ЛИСТ'!F161, "0")</f>
        <v>1700</v>
      </c>
      <c r="E773" s="114" t="s">
        <v>429</v>
      </c>
      <c r="F773" s="117" t="s">
        <v>392</v>
      </c>
      <c r="G773" s="109"/>
      <c r="H773" s="108" t="s">
        <v>393</v>
      </c>
      <c r="I773" s="118" t="s">
        <v>1414</v>
      </c>
      <c r="J773" s="119" t="s">
        <v>431</v>
      </c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  <c r="AA773" s="120"/>
    </row>
    <row r="774">
      <c r="A774" s="120"/>
      <c r="C774" s="108">
        <v>6.7567465236869E13</v>
      </c>
      <c r="D774" s="116">
        <f>IF('ПРАЙС_ЛИСТ'!F159 &lt;&gt; 'ПРАЙС_ЛИСТ'!H159, 'ПРАЙС_ЛИСТ'!F159, "0")</f>
        <v>1050</v>
      </c>
      <c r="E774" s="114" t="s">
        <v>433</v>
      </c>
      <c r="F774" s="117" t="s">
        <v>421</v>
      </c>
      <c r="G774" s="109"/>
      <c r="H774" s="108" t="s">
        <v>393</v>
      </c>
      <c r="I774" s="122" t="s">
        <v>1415</v>
      </c>
      <c r="J774" s="119" t="s">
        <v>435</v>
      </c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  <c r="AA774" s="120"/>
    </row>
    <row r="775">
      <c r="A775" s="120"/>
      <c r="C775" s="108">
        <v>6.756746523687E13</v>
      </c>
      <c r="D775" s="116">
        <f>IF('ПРАЙС_ЛИСТ'!F160 &lt;&gt; 'ПРАЙС_ЛИСТ'!H160, 'ПРАЙС_ЛИСТ'!F160, "0")</f>
        <v>1050</v>
      </c>
      <c r="E775" s="114" t="s">
        <v>437</v>
      </c>
      <c r="F775" s="117" t="s">
        <v>421</v>
      </c>
      <c r="G775" s="109"/>
      <c r="H775" s="108" t="s">
        <v>393</v>
      </c>
      <c r="I775" s="122" t="s">
        <v>1416</v>
      </c>
      <c r="J775" s="119" t="s">
        <v>439</v>
      </c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  <c r="AA775" s="120"/>
    </row>
    <row r="776">
      <c r="A776" s="120"/>
      <c r="C776" s="108">
        <v>6.7567465236877E13</v>
      </c>
      <c r="D776" s="116">
        <f>IF('ПРАЙС_ЛИСТ'!F153 &lt;&gt; 'ПРАЙС_ЛИСТ'!H153, 'ПРАЙС_ЛИСТ'!F153, "0")</f>
        <v>1400</v>
      </c>
      <c r="E776" s="114" t="s">
        <v>441</v>
      </c>
      <c r="F776" s="117" t="s">
        <v>442</v>
      </c>
      <c r="G776" s="109"/>
      <c r="H776" s="108" t="s">
        <v>393</v>
      </c>
      <c r="I776" s="118" t="s">
        <v>1417</v>
      </c>
      <c r="J776" s="119" t="s">
        <v>444</v>
      </c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  <c r="AA776" s="120"/>
    </row>
    <row r="777">
      <c r="A777" s="120"/>
      <c r="C777" s="108">
        <v>6.7567465236878E13</v>
      </c>
      <c r="D777" s="116">
        <f>IF('ПРАЙС_ЛИСТ'!F154 &lt;&gt; 'ПРАЙС_ЛИСТ'!H154, 'ПРАЙС_ЛИСТ'!F154, "0")</f>
        <v>1200</v>
      </c>
      <c r="E777" s="114" t="s">
        <v>446</v>
      </c>
      <c r="F777" s="117" t="s">
        <v>421</v>
      </c>
      <c r="G777" s="109"/>
      <c r="H777" s="108" t="s">
        <v>393</v>
      </c>
      <c r="I777" s="118" t="s">
        <v>1418</v>
      </c>
      <c r="J777" s="119" t="s">
        <v>448</v>
      </c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  <c r="AA777" s="120"/>
    </row>
    <row r="778">
      <c r="A778" s="120"/>
      <c r="C778" s="108">
        <v>6.7567465236876E13</v>
      </c>
      <c r="D778" s="116">
        <f>IF('ПРАЙС_ЛИСТ'!F155 &lt;&gt; 'ПРАЙС_ЛИСТ'!H155, 'ПРАЙС_ЛИСТ'!F155, "0")</f>
        <v>1000</v>
      </c>
      <c r="E778" s="114" t="s">
        <v>450</v>
      </c>
      <c r="F778" s="117" t="s">
        <v>421</v>
      </c>
      <c r="G778" s="109"/>
      <c r="H778" s="108" t="s">
        <v>410</v>
      </c>
      <c r="I778" s="122" t="s">
        <v>1419</v>
      </c>
      <c r="J778" s="119" t="s">
        <v>452</v>
      </c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  <c r="AA778" s="120"/>
    </row>
    <row r="779">
      <c r="A779" s="120"/>
      <c r="C779" s="108" t="s">
        <v>1420</v>
      </c>
      <c r="D779" s="121">
        <v>0.0</v>
      </c>
      <c r="E779" s="114" t="s">
        <v>454</v>
      </c>
      <c r="F779" s="117" t="s">
        <v>455</v>
      </c>
      <c r="G779" s="108" t="s">
        <v>398</v>
      </c>
      <c r="H779" s="108" t="s">
        <v>410</v>
      </c>
      <c r="I779" s="122" t="s">
        <v>1421</v>
      </c>
      <c r="J779" s="119" t="s">
        <v>457</v>
      </c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  <c r="AA779" s="120"/>
    </row>
    <row r="780">
      <c r="A780" s="120"/>
      <c r="C780" s="108">
        <v>6.7567465236891E13</v>
      </c>
      <c r="D780" s="121">
        <v>0.0</v>
      </c>
      <c r="E780" s="114" t="s">
        <v>459</v>
      </c>
      <c r="F780" s="117" t="s">
        <v>442</v>
      </c>
      <c r="G780" s="108" t="s">
        <v>398</v>
      </c>
      <c r="H780" s="108" t="s">
        <v>393</v>
      </c>
      <c r="I780" s="118" t="s">
        <v>1422</v>
      </c>
      <c r="J780" s="119" t="s">
        <v>461</v>
      </c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  <c r="AA780" s="120"/>
    </row>
    <row r="781">
      <c r="A781" s="120"/>
      <c r="C781" s="108" t="s">
        <v>462</v>
      </c>
      <c r="D781" s="116">
        <f>IF('ПРАЙС_ЛИСТ'!F9 &lt;&gt; 'ПРАЙС_ЛИСТ'!H9, 'ПРАЙС_ЛИСТ'!F9, "0")</f>
        <v>1100</v>
      </c>
      <c r="E781" s="114" t="s">
        <v>463</v>
      </c>
      <c r="F781" s="117" t="s">
        <v>409</v>
      </c>
      <c r="G781" s="108"/>
      <c r="H781" s="108"/>
      <c r="I781" s="122" t="s">
        <v>464</v>
      </c>
      <c r="J781" s="119" t="s">
        <v>465</v>
      </c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  <c r="AA781" s="120"/>
    </row>
    <row r="782">
      <c r="A782" s="120"/>
      <c r="C782" s="113" t="s">
        <v>1423</v>
      </c>
      <c r="D782" s="116">
        <f>'ПРАЙС_ЛИСТ'!F162</f>
        <v>1800</v>
      </c>
      <c r="E782" s="114" t="s">
        <v>467</v>
      </c>
      <c r="F782" s="117" t="s">
        <v>468</v>
      </c>
      <c r="G782" s="108" t="s">
        <v>403</v>
      </c>
      <c r="H782" s="108" t="s">
        <v>393</v>
      </c>
      <c r="I782" s="118" t="s">
        <v>1424</v>
      </c>
      <c r="J782" s="119" t="s">
        <v>470</v>
      </c>
      <c r="K782" s="120"/>
      <c r="L782" s="114" t="s">
        <v>418</v>
      </c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  <c r="AA782" s="120"/>
    </row>
    <row r="783">
      <c r="A783" s="120"/>
      <c r="B783" s="115"/>
      <c r="C783" s="108"/>
      <c r="D783" s="109"/>
      <c r="E783" s="114"/>
      <c r="F783" s="117"/>
      <c r="G783" s="108"/>
      <c r="H783" s="108"/>
      <c r="I783" s="119"/>
      <c r="J783" s="119"/>
      <c r="K783" s="120"/>
      <c r="L783" s="114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  <c r="AA783" s="120"/>
    </row>
    <row r="784">
      <c r="A784" s="120"/>
      <c r="B784" s="115" t="s">
        <v>77</v>
      </c>
      <c r="C784" s="108" t="s">
        <v>1425</v>
      </c>
      <c r="D784" s="121">
        <v>0.0</v>
      </c>
      <c r="E784" s="114" t="s">
        <v>397</v>
      </c>
      <c r="F784" s="117" t="s">
        <v>392</v>
      </c>
      <c r="G784" s="108" t="s">
        <v>398</v>
      </c>
      <c r="H784" s="108" t="s">
        <v>393</v>
      </c>
      <c r="I784" s="122" t="s">
        <v>1426</v>
      </c>
      <c r="J784" s="119" t="s">
        <v>400</v>
      </c>
      <c r="K784" s="120"/>
      <c r="L784" s="114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  <c r="AA784" s="120"/>
    </row>
    <row r="785">
      <c r="A785" s="120"/>
      <c r="C785" s="108" t="s">
        <v>1427</v>
      </c>
      <c r="D785" s="109">
        <f t="array" ref="D785">MIN(IF('ПРАЙС_ЛИСТ'!F127:F128 &lt;&gt; 'ПРАЙС_ЛИСТ'!H127:H128, 'ПРАЙС_ЛИСТ'!F127:F128, ""))</f>
        <v>1850</v>
      </c>
      <c r="E785" s="114" t="s">
        <v>402</v>
      </c>
      <c r="F785" s="117" t="s">
        <v>392</v>
      </c>
      <c r="G785" s="108" t="s">
        <v>403</v>
      </c>
      <c r="H785" s="108" t="s">
        <v>393</v>
      </c>
      <c r="I785" s="118" t="s">
        <v>1428</v>
      </c>
      <c r="J785" s="119" t="s">
        <v>405</v>
      </c>
      <c r="K785" s="120"/>
      <c r="L785" s="114" t="s">
        <v>406</v>
      </c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  <c r="AA785" s="120"/>
    </row>
    <row r="786">
      <c r="A786" s="120"/>
      <c r="C786" s="108" t="s">
        <v>1429</v>
      </c>
      <c r="D786" s="116">
        <f>'ПРАЙС_ЛИСТ'!F140</f>
        <v>2000</v>
      </c>
      <c r="E786" s="114" t="s">
        <v>415</v>
      </c>
      <c r="F786" s="117" t="s">
        <v>392</v>
      </c>
      <c r="G786" s="108" t="s">
        <v>403</v>
      </c>
      <c r="H786" s="108" t="s">
        <v>393</v>
      </c>
      <c r="I786" s="122" t="s">
        <v>1430</v>
      </c>
      <c r="J786" s="119" t="s">
        <v>417</v>
      </c>
      <c r="K786" s="120"/>
      <c r="L786" s="114" t="s">
        <v>418</v>
      </c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  <c r="AA786" s="120"/>
    </row>
    <row r="787">
      <c r="A787" s="120"/>
      <c r="C787" s="108" t="s">
        <v>1431</v>
      </c>
      <c r="D787" s="125">
        <f>'ПРАЙС_ЛИСТ'!F125</f>
        <v>1400</v>
      </c>
      <c r="E787" s="114" t="s">
        <v>420</v>
      </c>
      <c r="F787" s="117" t="s">
        <v>421</v>
      </c>
      <c r="G787" s="108"/>
      <c r="H787" s="108" t="s">
        <v>410</v>
      </c>
      <c r="I787" s="118" t="s">
        <v>1432</v>
      </c>
      <c r="J787" s="119" t="s">
        <v>423</v>
      </c>
      <c r="K787" s="120"/>
      <c r="L787" s="114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  <c r="AA787" s="120"/>
    </row>
    <row r="788">
      <c r="A788" s="120"/>
      <c r="C788" s="108" t="s">
        <v>1433</v>
      </c>
      <c r="D788" s="116">
        <f>IF('ПРАЙС_ЛИСТ'!F126 &lt;&gt; 'ПРАЙС_ЛИСТ'!H126, 'ПРАЙС_ЛИСТ'!F126, "0")</f>
        <v>1500</v>
      </c>
      <c r="E788" s="114" t="s">
        <v>425</v>
      </c>
      <c r="F788" s="117" t="s">
        <v>421</v>
      </c>
      <c r="G788" s="109"/>
      <c r="H788" s="108" t="s">
        <v>393</v>
      </c>
      <c r="I788" s="118" t="s">
        <v>1434</v>
      </c>
      <c r="J788" s="119" t="s">
        <v>427</v>
      </c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  <c r="AA788" s="120"/>
    </row>
    <row r="789">
      <c r="A789" s="120"/>
      <c r="C789" s="108" t="s">
        <v>1435</v>
      </c>
      <c r="D789" s="116">
        <f>IF('ПРАЙС_ЛИСТ'!F138 &lt;&gt; 'ПРАЙС_ЛИСТ'!H138, 'ПРАЙС_ЛИСТ'!F138, "0")</f>
        <v>1800</v>
      </c>
      <c r="E789" s="114" t="s">
        <v>429</v>
      </c>
      <c r="F789" s="117" t="s">
        <v>392</v>
      </c>
      <c r="G789" s="109"/>
      <c r="H789" s="108" t="s">
        <v>393</v>
      </c>
      <c r="I789" s="122" t="s">
        <v>1436</v>
      </c>
      <c r="J789" s="119" t="s">
        <v>431</v>
      </c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  <c r="AA789" s="120"/>
    </row>
    <row r="790">
      <c r="A790" s="120"/>
      <c r="C790" s="108" t="s">
        <v>1437</v>
      </c>
      <c r="D790" s="109" t="str">
        <f>IF('ПРАЙС_ЛИСТ'!F136 &lt;&gt; 'ПРАЙС_ЛИСТ'!H136, 'ПРАЙС_ЛИСТ'!F136, "0")</f>
        <v>0</v>
      </c>
      <c r="E790" s="114" t="s">
        <v>433</v>
      </c>
      <c r="F790" s="117" t="s">
        <v>421</v>
      </c>
      <c r="G790" s="108" t="s">
        <v>398</v>
      </c>
      <c r="H790" s="108" t="s">
        <v>393</v>
      </c>
      <c r="I790" s="122" t="s">
        <v>1438</v>
      </c>
      <c r="J790" s="119" t="s">
        <v>435</v>
      </c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  <c r="AA790" s="120"/>
    </row>
    <row r="791">
      <c r="A791" s="120"/>
      <c r="C791" s="108" t="s">
        <v>1439</v>
      </c>
      <c r="D791" s="116">
        <f>IF('ПРАЙС_ЛИСТ'!F137 &lt;&gt; 'ПРАЙС_ЛИСТ'!H137, 'ПРАЙС_ЛИСТ'!F137, "0")</f>
        <v>850</v>
      </c>
      <c r="E791" s="114" t="s">
        <v>437</v>
      </c>
      <c r="F791" s="117" t="s">
        <v>421</v>
      </c>
      <c r="G791" s="109"/>
      <c r="H791" s="108" t="s">
        <v>393</v>
      </c>
      <c r="I791" s="122" t="s">
        <v>1440</v>
      </c>
      <c r="J791" s="119" t="s">
        <v>439</v>
      </c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  <c r="AA791" s="120"/>
    </row>
    <row r="792">
      <c r="A792" s="120"/>
      <c r="C792" s="108" t="s">
        <v>1441</v>
      </c>
      <c r="D792" s="116">
        <f>IF('ПРАЙС_ЛИСТ'!F130 &lt;&gt; 'ПРАЙС_ЛИСТ'!H130, 'ПРАЙС_ЛИСТ'!F130, "0")</f>
        <v>750</v>
      </c>
      <c r="E792" s="114" t="s">
        <v>441</v>
      </c>
      <c r="F792" s="117" t="s">
        <v>442</v>
      </c>
      <c r="G792" s="109"/>
      <c r="H792" s="108" t="s">
        <v>393</v>
      </c>
      <c r="I792" s="118" t="s">
        <v>1442</v>
      </c>
      <c r="J792" s="119" t="s">
        <v>444</v>
      </c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  <c r="AA792" s="120"/>
    </row>
    <row r="793">
      <c r="A793" s="120"/>
      <c r="C793" s="108" t="s">
        <v>1443</v>
      </c>
      <c r="D793" s="116">
        <f>IF('ПРАЙС_ЛИСТ'!F131 &lt;&gt; 'ПРАЙС_ЛИСТ'!H131, 'ПРАЙС_ЛИСТ'!F131, "0")</f>
        <v>750</v>
      </c>
      <c r="E793" s="114" t="s">
        <v>446</v>
      </c>
      <c r="F793" s="117" t="s">
        <v>421</v>
      </c>
      <c r="G793" s="109"/>
      <c r="H793" s="108" t="s">
        <v>393</v>
      </c>
      <c r="I793" s="118" t="s">
        <v>1444</v>
      </c>
      <c r="J793" s="119" t="s">
        <v>448</v>
      </c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  <c r="AA793" s="120"/>
    </row>
    <row r="794">
      <c r="A794" s="120"/>
      <c r="C794" s="108" t="s">
        <v>1445</v>
      </c>
      <c r="D794" s="109" t="str">
        <f>IF('ПРАЙС_ЛИСТ'!F132 &lt;&gt; 'ПРАЙС_ЛИСТ'!H132, 'ПРАЙС_ЛИСТ'!F132, "0")</f>
        <v>0</v>
      </c>
      <c r="E794" s="114" t="s">
        <v>450</v>
      </c>
      <c r="F794" s="117" t="s">
        <v>421</v>
      </c>
      <c r="G794" s="108" t="s">
        <v>398</v>
      </c>
      <c r="H794" s="108" t="s">
        <v>410</v>
      </c>
      <c r="I794" s="122" t="s">
        <v>1446</v>
      </c>
      <c r="J794" s="119" t="s">
        <v>452</v>
      </c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  <c r="AA794" s="120"/>
    </row>
    <row r="795">
      <c r="A795" s="120"/>
      <c r="C795" s="108" t="s">
        <v>1447</v>
      </c>
      <c r="D795" s="121">
        <v>0.0</v>
      </c>
      <c r="E795" s="114" t="s">
        <v>454</v>
      </c>
      <c r="F795" s="117" t="s">
        <v>455</v>
      </c>
      <c r="G795" s="108" t="s">
        <v>398</v>
      </c>
      <c r="H795" s="108" t="s">
        <v>410</v>
      </c>
      <c r="I795" s="122" t="s">
        <v>1448</v>
      </c>
      <c r="J795" s="119" t="s">
        <v>457</v>
      </c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  <c r="AA795" s="120"/>
    </row>
    <row r="796">
      <c r="A796" s="120"/>
      <c r="C796" s="108" t="s">
        <v>1449</v>
      </c>
      <c r="D796" s="121">
        <v>0.0</v>
      </c>
      <c r="E796" s="114" t="s">
        <v>459</v>
      </c>
      <c r="F796" s="117" t="s">
        <v>442</v>
      </c>
      <c r="G796" s="108" t="s">
        <v>398</v>
      </c>
      <c r="H796" s="108" t="s">
        <v>393</v>
      </c>
      <c r="I796" s="118" t="s">
        <v>1450</v>
      </c>
      <c r="J796" s="119" t="s">
        <v>461</v>
      </c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  <c r="AA796" s="120"/>
    </row>
    <row r="797">
      <c r="A797" s="120"/>
      <c r="C797" s="108" t="s">
        <v>462</v>
      </c>
      <c r="D797" s="116">
        <f>IF('ПРАЙС_ЛИСТ'!F9 &lt;&gt; 'ПРАЙС_ЛИСТ'!H9, 'ПРАЙС_ЛИСТ'!F9, "0")</f>
        <v>1100</v>
      </c>
      <c r="E797" s="114" t="s">
        <v>463</v>
      </c>
      <c r="F797" s="117" t="s">
        <v>409</v>
      </c>
      <c r="G797" s="108"/>
      <c r="H797" s="108"/>
      <c r="I797" s="122" t="s">
        <v>464</v>
      </c>
      <c r="J797" s="119" t="s">
        <v>465</v>
      </c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  <c r="AA797" s="120"/>
    </row>
    <row r="798">
      <c r="A798" s="120"/>
      <c r="C798" s="113" t="s">
        <v>1451</v>
      </c>
      <c r="D798" s="116">
        <f>'ПРАЙС_ЛИСТ'!F139</f>
        <v>1600</v>
      </c>
      <c r="E798" s="114" t="s">
        <v>467</v>
      </c>
      <c r="F798" s="117" t="s">
        <v>468</v>
      </c>
      <c r="G798" s="108" t="s">
        <v>403</v>
      </c>
      <c r="H798" s="108" t="s">
        <v>393</v>
      </c>
      <c r="I798" s="118" t="s">
        <v>1452</v>
      </c>
      <c r="J798" s="119" t="s">
        <v>470</v>
      </c>
      <c r="K798" s="120"/>
      <c r="L798" s="114" t="s">
        <v>418</v>
      </c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  <c r="AA798" s="120"/>
    </row>
    <row r="799">
      <c r="A799" s="120"/>
      <c r="B799" s="115"/>
      <c r="C799" s="108"/>
      <c r="D799" s="109"/>
      <c r="E799" s="114"/>
      <c r="F799" s="117"/>
      <c r="G799" s="108"/>
      <c r="H799" s="108"/>
      <c r="I799" s="119"/>
      <c r="J799" s="119"/>
      <c r="K799" s="120"/>
      <c r="L799" s="114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  <c r="AA799" s="120"/>
    </row>
    <row r="800">
      <c r="A800" s="120"/>
      <c r="B800" s="115" t="s">
        <v>71</v>
      </c>
      <c r="C800" s="108" t="s">
        <v>1453</v>
      </c>
      <c r="D800" s="121">
        <v>0.0</v>
      </c>
      <c r="E800" s="114" t="s">
        <v>397</v>
      </c>
      <c r="F800" s="117" t="s">
        <v>392</v>
      </c>
      <c r="G800" s="108" t="s">
        <v>398</v>
      </c>
      <c r="H800" s="108" t="s">
        <v>393</v>
      </c>
      <c r="I800" s="122" t="s">
        <v>1454</v>
      </c>
      <c r="J800" s="119" t="s">
        <v>400</v>
      </c>
      <c r="K800" s="120"/>
      <c r="L800" s="114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  <c r="AA800" s="120"/>
    </row>
    <row r="801">
      <c r="A801" s="120"/>
      <c r="C801" s="108" t="s">
        <v>1455</v>
      </c>
      <c r="D801" s="109">
        <f t="array" ref="D801">MIN(IF('ПРАЙС_ЛИСТ'!F105:F106 &lt;&gt; 'ПРАЙС_ЛИСТ'!H105:H106, 'ПРАЙС_ЛИСТ'!F105:F106, ""))</f>
        <v>1850</v>
      </c>
      <c r="E801" s="114" t="s">
        <v>402</v>
      </c>
      <c r="F801" s="117" t="s">
        <v>392</v>
      </c>
      <c r="G801" s="108" t="s">
        <v>403</v>
      </c>
      <c r="H801" s="108" t="s">
        <v>393</v>
      </c>
      <c r="I801" s="118" t="s">
        <v>1456</v>
      </c>
      <c r="J801" s="119" t="s">
        <v>405</v>
      </c>
      <c r="K801" s="120"/>
      <c r="L801" s="114" t="s">
        <v>406</v>
      </c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  <c r="AA801" s="120"/>
    </row>
    <row r="802">
      <c r="A802" s="120"/>
      <c r="C802" s="108" t="s">
        <v>1457</v>
      </c>
      <c r="D802" s="116">
        <f>'ПРАЙС_ЛИСТ'!F118</f>
        <v>2000</v>
      </c>
      <c r="E802" s="114" t="s">
        <v>415</v>
      </c>
      <c r="F802" s="117" t="s">
        <v>392</v>
      </c>
      <c r="G802" s="108" t="s">
        <v>403</v>
      </c>
      <c r="H802" s="108" t="s">
        <v>393</v>
      </c>
      <c r="I802" s="122" t="s">
        <v>1458</v>
      </c>
      <c r="J802" s="119" t="s">
        <v>417</v>
      </c>
      <c r="K802" s="120"/>
      <c r="L802" s="114" t="s">
        <v>418</v>
      </c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  <c r="AA802" s="120"/>
    </row>
    <row r="803">
      <c r="A803" s="120"/>
      <c r="C803" s="108" t="s">
        <v>1459</v>
      </c>
      <c r="D803" s="125">
        <f>'ПРАЙС_ЛИСТ'!F103</f>
        <v>1200</v>
      </c>
      <c r="E803" s="114" t="s">
        <v>420</v>
      </c>
      <c r="F803" s="117" t="s">
        <v>421</v>
      </c>
      <c r="G803" s="108"/>
      <c r="H803" s="108" t="s">
        <v>410</v>
      </c>
      <c r="I803" s="118" t="s">
        <v>1460</v>
      </c>
      <c r="J803" s="119" t="s">
        <v>423</v>
      </c>
      <c r="K803" s="120"/>
      <c r="L803" s="114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  <c r="AA803" s="120"/>
    </row>
    <row r="804">
      <c r="A804" s="120"/>
      <c r="C804" s="108" t="s">
        <v>1461</v>
      </c>
      <c r="D804" s="116">
        <f>IF('ПРАЙС_ЛИСТ'!F104 &lt;&gt; 'ПРАЙС_ЛИСТ'!H104, 'ПРАЙС_ЛИСТ'!F104, "0")</f>
        <v>750</v>
      </c>
      <c r="E804" s="114" t="s">
        <v>425</v>
      </c>
      <c r="F804" s="117" t="s">
        <v>421</v>
      </c>
      <c r="G804" s="109"/>
      <c r="H804" s="108" t="s">
        <v>393</v>
      </c>
      <c r="I804" s="118" t="s">
        <v>1462</v>
      </c>
      <c r="J804" s="119" t="s">
        <v>427</v>
      </c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  <c r="AA804" s="120"/>
    </row>
    <row r="805">
      <c r="A805" s="120"/>
      <c r="C805" s="108" t="s">
        <v>1463</v>
      </c>
      <c r="D805" s="116">
        <f>IF('ПРАЙС_ЛИСТ'!F116 &lt;&gt; 'ПРАЙС_ЛИСТ'!H116, 'ПРАЙС_ЛИСТ'!F116, "0")</f>
        <v>1050</v>
      </c>
      <c r="E805" s="114" t="s">
        <v>429</v>
      </c>
      <c r="F805" s="117" t="s">
        <v>392</v>
      </c>
      <c r="G805" s="109"/>
      <c r="H805" s="108" t="s">
        <v>393</v>
      </c>
      <c r="I805" s="122" t="s">
        <v>1464</v>
      </c>
      <c r="J805" s="119" t="s">
        <v>431</v>
      </c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  <c r="AA805" s="120"/>
    </row>
    <row r="806">
      <c r="A806" s="120"/>
      <c r="C806" s="108" t="s">
        <v>1465</v>
      </c>
      <c r="D806" s="109" t="str">
        <f>IF('ПРАЙС_ЛИСТ'!F114 &lt;&gt; 'ПРАЙС_ЛИСТ'!H114, 'ПРАЙС_ЛИСТ'!F114, "0")</f>
        <v>0</v>
      </c>
      <c r="E806" s="114" t="s">
        <v>433</v>
      </c>
      <c r="F806" s="117" t="s">
        <v>421</v>
      </c>
      <c r="G806" s="108" t="s">
        <v>398</v>
      </c>
      <c r="H806" s="108" t="s">
        <v>393</v>
      </c>
      <c r="I806" s="122" t="s">
        <v>1466</v>
      </c>
      <c r="J806" s="119" t="s">
        <v>435</v>
      </c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  <c r="AA806" s="120"/>
    </row>
    <row r="807">
      <c r="A807" s="120"/>
      <c r="C807" s="108" t="s">
        <v>1467</v>
      </c>
      <c r="D807" s="116">
        <f>IF('ПРАЙС_ЛИСТ'!F115 &lt;&gt; 'ПРАЙС_ЛИСТ'!H115, 'ПРАЙС_ЛИСТ'!F115, "0")</f>
        <v>850</v>
      </c>
      <c r="E807" s="114" t="s">
        <v>437</v>
      </c>
      <c r="F807" s="117" t="s">
        <v>421</v>
      </c>
      <c r="G807" s="109"/>
      <c r="H807" s="108" t="s">
        <v>393</v>
      </c>
      <c r="I807" s="118" t="s">
        <v>1468</v>
      </c>
      <c r="J807" s="119" t="s">
        <v>439</v>
      </c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  <c r="AA807" s="120"/>
    </row>
    <row r="808">
      <c r="A808" s="120"/>
      <c r="C808" s="108" t="s">
        <v>1469</v>
      </c>
      <c r="D808" s="116">
        <f>IF('ПРАЙС_ЛИСТ'!F108 &lt;&gt; 'ПРАЙС_ЛИСТ'!H108, 'ПРАЙС_ЛИСТ'!F108, "0")</f>
        <v>750</v>
      </c>
      <c r="E808" s="114" t="s">
        <v>441</v>
      </c>
      <c r="F808" s="117" t="s">
        <v>442</v>
      </c>
      <c r="G808" s="109"/>
      <c r="H808" s="108" t="s">
        <v>393</v>
      </c>
      <c r="I808" s="118" t="s">
        <v>1470</v>
      </c>
      <c r="J808" s="119" t="s">
        <v>444</v>
      </c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  <c r="AA808" s="120"/>
    </row>
    <row r="809">
      <c r="A809" s="120"/>
      <c r="C809" s="108" t="s">
        <v>1471</v>
      </c>
      <c r="D809" s="116">
        <f>IF('ПРАЙС_ЛИСТ'!F109 &lt;&gt; 'ПРАЙС_ЛИСТ'!H109, 'ПРАЙС_ЛИСТ'!F109, "0")</f>
        <v>750</v>
      </c>
      <c r="E809" s="114" t="s">
        <v>446</v>
      </c>
      <c r="F809" s="117" t="s">
        <v>421</v>
      </c>
      <c r="G809" s="109"/>
      <c r="H809" s="108" t="s">
        <v>393</v>
      </c>
      <c r="I809" s="118" t="s">
        <v>1472</v>
      </c>
      <c r="J809" s="119" t="s">
        <v>448</v>
      </c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  <c r="AA809" s="120"/>
    </row>
    <row r="810">
      <c r="A810" s="120"/>
      <c r="C810" s="108" t="s">
        <v>1473</v>
      </c>
      <c r="D810" s="109" t="str">
        <f>IF('ПРАЙС_ЛИСТ'!F110 &lt;&gt; 'ПРАЙС_ЛИСТ'!H110, 'ПРАЙС_ЛИСТ'!F110, "0")</f>
        <v>0</v>
      </c>
      <c r="E810" s="114" t="s">
        <v>450</v>
      </c>
      <c r="F810" s="117" t="s">
        <v>421</v>
      </c>
      <c r="G810" s="108" t="s">
        <v>398</v>
      </c>
      <c r="H810" s="108" t="s">
        <v>410</v>
      </c>
      <c r="I810" s="122" t="s">
        <v>1474</v>
      </c>
      <c r="J810" s="119" t="s">
        <v>452</v>
      </c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  <c r="AA810" s="120"/>
    </row>
    <row r="811">
      <c r="A811" s="120"/>
      <c r="C811" s="108" t="s">
        <v>1475</v>
      </c>
      <c r="D811" s="121">
        <v>0.0</v>
      </c>
      <c r="E811" s="114" t="s">
        <v>454</v>
      </c>
      <c r="F811" s="117" t="s">
        <v>455</v>
      </c>
      <c r="G811" s="108" t="s">
        <v>398</v>
      </c>
      <c r="H811" s="108" t="s">
        <v>410</v>
      </c>
      <c r="I811" s="122" t="s">
        <v>1476</v>
      </c>
      <c r="J811" s="119" t="s">
        <v>457</v>
      </c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  <c r="AA811" s="120"/>
    </row>
    <row r="812">
      <c r="A812" s="120"/>
      <c r="C812" s="108" t="s">
        <v>1477</v>
      </c>
      <c r="D812" s="121">
        <v>0.0</v>
      </c>
      <c r="E812" s="114" t="s">
        <v>459</v>
      </c>
      <c r="F812" s="117" t="s">
        <v>442</v>
      </c>
      <c r="G812" s="108" t="s">
        <v>398</v>
      </c>
      <c r="H812" s="108" t="s">
        <v>393</v>
      </c>
      <c r="I812" s="118" t="s">
        <v>1478</v>
      </c>
      <c r="J812" s="119" t="s">
        <v>461</v>
      </c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  <c r="AA812" s="120"/>
    </row>
    <row r="813">
      <c r="A813" s="120"/>
      <c r="C813" s="108" t="s">
        <v>462</v>
      </c>
      <c r="D813" s="116">
        <f>IF('ПРАЙС_ЛИСТ'!F9 &lt;&gt; 'ПРАЙС_ЛИСТ'!H9, 'ПРАЙС_ЛИСТ'!F9, "0")</f>
        <v>1100</v>
      </c>
      <c r="E813" s="114" t="s">
        <v>463</v>
      </c>
      <c r="F813" s="117" t="s">
        <v>409</v>
      </c>
      <c r="G813" s="108"/>
      <c r="H813" s="108"/>
      <c r="I813" s="122" t="s">
        <v>464</v>
      </c>
      <c r="J813" s="119" t="s">
        <v>465</v>
      </c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  <c r="AA813" s="120"/>
    </row>
    <row r="814">
      <c r="A814" s="120"/>
      <c r="C814" s="113" t="s">
        <v>1479</v>
      </c>
      <c r="D814" s="116">
        <f>'ПРАЙС_ЛИСТ'!F117</f>
        <v>1600</v>
      </c>
      <c r="E814" s="114" t="s">
        <v>467</v>
      </c>
      <c r="F814" s="117" t="s">
        <v>468</v>
      </c>
      <c r="G814" s="108" t="s">
        <v>403</v>
      </c>
      <c r="H814" s="108" t="s">
        <v>393</v>
      </c>
      <c r="I814" s="118" t="s">
        <v>1480</v>
      </c>
      <c r="J814" s="119" t="s">
        <v>470</v>
      </c>
      <c r="K814" s="120"/>
      <c r="L814" s="114" t="s">
        <v>418</v>
      </c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  <c r="AA814" s="120"/>
    </row>
    <row r="815">
      <c r="A815" s="120"/>
      <c r="B815" s="115"/>
      <c r="C815" s="108"/>
      <c r="D815" s="109"/>
      <c r="E815" s="114"/>
      <c r="F815" s="117"/>
      <c r="G815" s="108"/>
      <c r="H815" s="108"/>
      <c r="I815" s="119"/>
      <c r="J815" s="119"/>
      <c r="K815" s="120"/>
      <c r="L815" s="114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  <c r="AA815" s="120"/>
    </row>
    <row r="816">
      <c r="A816" s="120"/>
      <c r="B816" s="115" t="s">
        <v>1481</v>
      </c>
      <c r="C816" s="108" t="s">
        <v>1482</v>
      </c>
      <c r="D816" s="121">
        <v>0.0</v>
      </c>
      <c r="E816" s="114" t="s">
        <v>397</v>
      </c>
      <c r="F816" s="117" t="s">
        <v>392</v>
      </c>
      <c r="G816" s="108" t="s">
        <v>398</v>
      </c>
      <c r="H816" s="108" t="s">
        <v>393</v>
      </c>
      <c r="I816" s="122" t="s">
        <v>1483</v>
      </c>
      <c r="J816" s="119" t="s">
        <v>400</v>
      </c>
      <c r="K816" s="120"/>
      <c r="L816" s="114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  <c r="AA816" s="120"/>
    </row>
    <row r="817">
      <c r="A817" s="120"/>
      <c r="C817" s="108" t="s">
        <v>1484</v>
      </c>
      <c r="D817" s="109">
        <f t="array" ref="D817">MIN(IF('ПРАЙС_ЛИСТ'!F83:F84 &lt;&gt; 'ПРАЙС_ЛИСТ'!H83:H84, 'ПРАЙС_ЛИСТ'!F83:F84, ""))</f>
        <v>850</v>
      </c>
      <c r="E817" s="114" t="s">
        <v>402</v>
      </c>
      <c r="F817" s="117" t="s">
        <v>392</v>
      </c>
      <c r="G817" s="108" t="s">
        <v>403</v>
      </c>
      <c r="H817" s="108" t="s">
        <v>393</v>
      </c>
      <c r="I817" s="118" t="s">
        <v>1485</v>
      </c>
      <c r="J817" s="119" t="s">
        <v>405</v>
      </c>
      <c r="K817" s="120"/>
      <c r="L817" s="114" t="s">
        <v>406</v>
      </c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  <c r="AA817" s="120"/>
    </row>
    <row r="818">
      <c r="A818" s="120"/>
      <c r="C818" s="108" t="s">
        <v>1486</v>
      </c>
      <c r="D818" s="116">
        <f>'ПРАЙС_ЛИСТ'!F96</f>
        <v>2000</v>
      </c>
      <c r="E818" s="114" t="s">
        <v>415</v>
      </c>
      <c r="F818" s="117" t="s">
        <v>392</v>
      </c>
      <c r="G818" s="108" t="s">
        <v>403</v>
      </c>
      <c r="H818" s="108" t="s">
        <v>393</v>
      </c>
      <c r="I818" s="122" t="s">
        <v>1487</v>
      </c>
      <c r="J818" s="119" t="s">
        <v>417</v>
      </c>
      <c r="K818" s="120"/>
      <c r="L818" s="114" t="s">
        <v>418</v>
      </c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  <c r="AA818" s="120"/>
    </row>
    <row r="819">
      <c r="A819" s="120"/>
      <c r="C819" s="108" t="s">
        <v>1488</v>
      </c>
      <c r="D819" s="125">
        <f>'ПРАЙС_ЛИСТ'!F81</f>
        <v>1200</v>
      </c>
      <c r="E819" s="114" t="s">
        <v>420</v>
      </c>
      <c r="F819" s="117" t="s">
        <v>421</v>
      </c>
      <c r="G819" s="108"/>
      <c r="H819" s="108" t="s">
        <v>410</v>
      </c>
      <c r="I819" s="118" t="s">
        <v>1489</v>
      </c>
      <c r="J819" s="119" t="s">
        <v>423</v>
      </c>
      <c r="K819" s="120"/>
      <c r="L819" s="114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  <c r="AA819" s="120"/>
    </row>
    <row r="820">
      <c r="A820" s="120"/>
      <c r="C820" s="108" t="s">
        <v>1490</v>
      </c>
      <c r="D820" s="116">
        <f>IF('ПРАЙС_ЛИСТ'!F82 &lt;&gt; 'ПРАЙС_ЛИСТ'!H82, 'ПРАЙС_ЛИСТ'!F82, "0")</f>
        <v>750</v>
      </c>
      <c r="E820" s="114" t="s">
        <v>425</v>
      </c>
      <c r="F820" s="117" t="s">
        <v>421</v>
      </c>
      <c r="G820" s="109"/>
      <c r="H820" s="108" t="s">
        <v>393</v>
      </c>
      <c r="I820" s="118" t="s">
        <v>1491</v>
      </c>
      <c r="J820" s="119" t="s">
        <v>427</v>
      </c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  <c r="AA820" s="120"/>
    </row>
    <row r="821">
      <c r="A821" s="120"/>
      <c r="C821" s="108" t="s">
        <v>1492</v>
      </c>
      <c r="D821" s="116">
        <f>IF('ПРАЙС_ЛИСТ'!F94 &lt;&gt; 'ПРАЙС_ЛИСТ'!H94, 'ПРАЙС_ЛИСТ'!F94, "0")</f>
        <v>1050</v>
      </c>
      <c r="E821" s="114" t="s">
        <v>429</v>
      </c>
      <c r="F821" s="117" t="s">
        <v>392</v>
      </c>
      <c r="G821" s="109"/>
      <c r="H821" s="108" t="s">
        <v>393</v>
      </c>
      <c r="I821" s="122" t="s">
        <v>1493</v>
      </c>
      <c r="J821" s="119" t="s">
        <v>431</v>
      </c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  <c r="AA821" s="120"/>
    </row>
    <row r="822">
      <c r="A822" s="120"/>
      <c r="C822" s="108" t="s">
        <v>1494</v>
      </c>
      <c r="D822" s="109" t="str">
        <f>IF('ПРАЙС_ЛИСТ'!F92 &lt;&gt; 'ПРАЙС_ЛИСТ'!H92, 'ПРАЙС_ЛИСТ'!F92, "0")</f>
        <v>0</v>
      </c>
      <c r="E822" s="114" t="s">
        <v>433</v>
      </c>
      <c r="F822" s="117" t="s">
        <v>421</v>
      </c>
      <c r="G822" s="108" t="s">
        <v>398</v>
      </c>
      <c r="H822" s="108" t="s">
        <v>393</v>
      </c>
      <c r="I822" s="122" t="s">
        <v>1495</v>
      </c>
      <c r="J822" s="119" t="s">
        <v>435</v>
      </c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  <c r="AA822" s="120"/>
    </row>
    <row r="823">
      <c r="A823" s="120"/>
      <c r="C823" s="108" t="s">
        <v>1496</v>
      </c>
      <c r="D823" s="116">
        <f>IF('ПРАЙС_ЛИСТ'!F93 &lt;&gt; 'ПРАЙС_ЛИСТ'!H93, 'ПРАЙС_ЛИСТ'!F93, "0")</f>
        <v>850</v>
      </c>
      <c r="E823" s="114" t="s">
        <v>437</v>
      </c>
      <c r="F823" s="117" t="s">
        <v>421</v>
      </c>
      <c r="G823" s="109"/>
      <c r="H823" s="108" t="s">
        <v>393</v>
      </c>
      <c r="I823" s="122" t="s">
        <v>1497</v>
      </c>
      <c r="J823" s="119" t="s">
        <v>439</v>
      </c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  <c r="AA823" s="120"/>
    </row>
    <row r="824">
      <c r="A824" s="120"/>
      <c r="C824" s="108" t="s">
        <v>1498</v>
      </c>
      <c r="D824" s="116">
        <f>IF('ПРАЙС_ЛИСТ'!F86 &lt;&gt; 'ПРАЙС_ЛИСТ'!H86, 'ПРАЙС_ЛИСТ'!F86, "0")</f>
        <v>750</v>
      </c>
      <c r="E824" s="114" t="s">
        <v>441</v>
      </c>
      <c r="F824" s="117" t="s">
        <v>442</v>
      </c>
      <c r="G824" s="109"/>
      <c r="H824" s="108" t="s">
        <v>393</v>
      </c>
      <c r="I824" s="118" t="s">
        <v>1499</v>
      </c>
      <c r="J824" s="119" t="s">
        <v>444</v>
      </c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  <c r="AA824" s="120"/>
    </row>
    <row r="825">
      <c r="A825" s="120"/>
      <c r="C825" s="108" t="s">
        <v>1500</v>
      </c>
      <c r="D825" s="116">
        <f>IF('ПРАЙС_ЛИСТ'!F87 &lt;&gt; 'ПРАЙС_ЛИСТ'!H87, 'ПРАЙС_ЛИСТ'!F87, "0")</f>
        <v>750</v>
      </c>
      <c r="E825" s="114" t="s">
        <v>446</v>
      </c>
      <c r="F825" s="117" t="s">
        <v>421</v>
      </c>
      <c r="G825" s="109"/>
      <c r="H825" s="108" t="s">
        <v>393</v>
      </c>
      <c r="I825" s="118" t="s">
        <v>1501</v>
      </c>
      <c r="J825" s="119" t="s">
        <v>448</v>
      </c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  <c r="AA825" s="120"/>
    </row>
    <row r="826">
      <c r="A826" s="120"/>
      <c r="C826" s="108" t="s">
        <v>1502</v>
      </c>
      <c r="D826" s="109" t="str">
        <f>IF('ПРАЙС_ЛИСТ'!F88 &lt;&gt; 'ПРАЙС_ЛИСТ'!H88, 'ПРАЙС_ЛИСТ'!F88, "0")</f>
        <v>0</v>
      </c>
      <c r="E826" s="114" t="s">
        <v>450</v>
      </c>
      <c r="F826" s="117" t="s">
        <v>421</v>
      </c>
      <c r="G826" s="108" t="s">
        <v>398</v>
      </c>
      <c r="H826" s="108" t="s">
        <v>410</v>
      </c>
      <c r="I826" s="122" t="s">
        <v>1503</v>
      </c>
      <c r="J826" s="119" t="s">
        <v>452</v>
      </c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  <c r="AA826" s="120"/>
    </row>
    <row r="827">
      <c r="A827" s="120"/>
      <c r="C827" s="108" t="s">
        <v>1504</v>
      </c>
      <c r="D827" s="121">
        <v>0.0</v>
      </c>
      <c r="E827" s="114" t="s">
        <v>454</v>
      </c>
      <c r="F827" s="117" t="s">
        <v>455</v>
      </c>
      <c r="G827" s="108" t="s">
        <v>398</v>
      </c>
      <c r="H827" s="108" t="s">
        <v>410</v>
      </c>
      <c r="I827" s="122" t="s">
        <v>1505</v>
      </c>
      <c r="J827" s="119" t="s">
        <v>457</v>
      </c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  <c r="AA827" s="120"/>
    </row>
    <row r="828">
      <c r="A828" s="120"/>
      <c r="C828" s="108" t="s">
        <v>1506</v>
      </c>
      <c r="D828" s="121">
        <v>0.0</v>
      </c>
      <c r="E828" s="114" t="s">
        <v>459</v>
      </c>
      <c r="F828" s="117" t="s">
        <v>442</v>
      </c>
      <c r="G828" s="108" t="s">
        <v>398</v>
      </c>
      <c r="H828" s="108" t="s">
        <v>393</v>
      </c>
      <c r="I828" s="118" t="s">
        <v>1507</v>
      </c>
      <c r="J828" s="119" t="s">
        <v>461</v>
      </c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  <c r="AA828" s="120"/>
    </row>
    <row r="829">
      <c r="A829" s="120"/>
      <c r="C829" s="108" t="s">
        <v>462</v>
      </c>
      <c r="D829" s="116">
        <f>IF('ПРАЙС_ЛИСТ'!F9 &lt;&gt; 'ПРАЙС_ЛИСТ'!H9, 'ПРАЙС_ЛИСТ'!F9, "0")</f>
        <v>1100</v>
      </c>
      <c r="E829" s="114" t="s">
        <v>463</v>
      </c>
      <c r="F829" s="117" t="s">
        <v>409</v>
      </c>
      <c r="G829" s="108"/>
      <c r="H829" s="108"/>
      <c r="I829" s="122" t="s">
        <v>464</v>
      </c>
      <c r="J829" s="119" t="s">
        <v>465</v>
      </c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  <c r="AA829" s="120"/>
    </row>
    <row r="830">
      <c r="A830" s="120"/>
      <c r="C830" s="113" t="s">
        <v>1508</v>
      </c>
      <c r="D830" s="116">
        <f>'ПРАЙС_ЛИСТ'!F95</f>
        <v>1600</v>
      </c>
      <c r="E830" s="114" t="s">
        <v>467</v>
      </c>
      <c r="F830" s="117" t="s">
        <v>468</v>
      </c>
      <c r="G830" s="108" t="s">
        <v>403</v>
      </c>
      <c r="H830" s="108" t="s">
        <v>393</v>
      </c>
      <c r="I830" s="118" t="s">
        <v>1509</v>
      </c>
      <c r="J830" s="119" t="s">
        <v>470</v>
      </c>
      <c r="K830" s="120"/>
      <c r="L830" s="114" t="s">
        <v>418</v>
      </c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  <c r="AA830" s="120"/>
    </row>
    <row r="831">
      <c r="A831" s="120"/>
      <c r="B831" s="115"/>
      <c r="C831" s="108"/>
      <c r="D831" s="109"/>
      <c r="E831" s="114"/>
      <c r="F831" s="117"/>
      <c r="G831" s="108"/>
      <c r="H831" s="108"/>
      <c r="I831" s="119"/>
      <c r="J831" s="119"/>
      <c r="K831" s="120"/>
      <c r="L831" s="114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  <c r="AA831" s="120"/>
    </row>
    <row r="832">
      <c r="A832" s="120"/>
      <c r="B832" s="115" t="s">
        <v>67</v>
      </c>
      <c r="C832" s="108">
        <v>6.7567465236913E13</v>
      </c>
      <c r="D832" s="121">
        <v>0.0</v>
      </c>
      <c r="E832" s="114" t="s">
        <v>397</v>
      </c>
      <c r="F832" s="117" t="s">
        <v>392</v>
      </c>
      <c r="G832" s="108" t="s">
        <v>398</v>
      </c>
      <c r="H832" s="108" t="s">
        <v>393</v>
      </c>
      <c r="I832" s="122" t="s">
        <v>1510</v>
      </c>
      <c r="J832" s="119" t="s">
        <v>400</v>
      </c>
      <c r="K832" s="120"/>
      <c r="L832" s="114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  <c r="AA832" s="120"/>
    </row>
    <row r="833">
      <c r="A833" s="120"/>
      <c r="C833" s="108">
        <v>6.7567465236911E13</v>
      </c>
      <c r="D833" s="109">
        <f t="array" ref="D833">MIN(IF('ПРАЙС_ЛИСТ'!F61:F62 &lt;&gt; 'ПРАЙС_ЛИСТ'!H61:H62, 'ПРАЙС_ЛИСТ'!F61:F62, ""))</f>
        <v>0</v>
      </c>
      <c r="E833" s="114" t="s">
        <v>402</v>
      </c>
      <c r="F833" s="117" t="s">
        <v>392</v>
      </c>
      <c r="G833" s="108" t="s">
        <v>398</v>
      </c>
      <c r="H833" s="108" t="s">
        <v>393</v>
      </c>
      <c r="I833" s="118" t="s">
        <v>1511</v>
      </c>
      <c r="J833" s="119" t="s">
        <v>405</v>
      </c>
      <c r="K833" s="120"/>
      <c r="L833" s="114" t="s">
        <v>406</v>
      </c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  <c r="AA833" s="120"/>
    </row>
    <row r="834">
      <c r="A834" s="120"/>
      <c r="C834" s="108">
        <v>6.756746523692E13</v>
      </c>
      <c r="D834" s="116">
        <f>'ПРАЙС_ЛИСТ'!F74</f>
        <v>2000</v>
      </c>
      <c r="E834" s="114" t="s">
        <v>415</v>
      </c>
      <c r="F834" s="117" t="s">
        <v>392</v>
      </c>
      <c r="G834" s="108" t="s">
        <v>403</v>
      </c>
      <c r="H834" s="108" t="s">
        <v>393</v>
      </c>
      <c r="I834" s="122" t="s">
        <v>1512</v>
      </c>
      <c r="J834" s="119" t="s">
        <v>417</v>
      </c>
      <c r="K834" s="120"/>
      <c r="L834" s="114" t="s">
        <v>418</v>
      </c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  <c r="AA834" s="120"/>
    </row>
    <row r="835">
      <c r="A835" s="120"/>
      <c r="C835" s="108">
        <v>6.7567465236905E13</v>
      </c>
      <c r="D835" s="125">
        <f>'ПРАЙС_ЛИСТ'!F59</f>
        <v>1200</v>
      </c>
      <c r="E835" s="114" t="s">
        <v>420</v>
      </c>
      <c r="F835" s="117" t="s">
        <v>421</v>
      </c>
      <c r="G835" s="108"/>
      <c r="H835" s="108" t="s">
        <v>410</v>
      </c>
      <c r="I835" s="118" t="s">
        <v>1513</v>
      </c>
      <c r="J835" s="119" t="s">
        <v>423</v>
      </c>
      <c r="K835" s="120"/>
      <c r="L835" s="114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  <c r="AA835" s="120"/>
    </row>
    <row r="836">
      <c r="A836" s="120"/>
      <c r="C836" s="108">
        <v>6.7567465236921E13</v>
      </c>
      <c r="D836" s="116">
        <f>IF('ПРАЙС_ЛИСТ'!F60 &lt;&gt; 'ПРАЙС_ЛИСТ'!H60, 'ПРАЙС_ЛИСТ'!F60, "0")</f>
        <v>750</v>
      </c>
      <c r="E836" s="114" t="s">
        <v>425</v>
      </c>
      <c r="F836" s="117" t="s">
        <v>421</v>
      </c>
      <c r="G836" s="109"/>
      <c r="H836" s="108" t="s">
        <v>393</v>
      </c>
      <c r="I836" s="118" t="s">
        <v>1514</v>
      </c>
      <c r="J836" s="119" t="s">
        <v>427</v>
      </c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  <c r="AA836" s="120"/>
    </row>
    <row r="837">
      <c r="A837" s="120"/>
      <c r="C837" s="108">
        <v>6.756746523691E13</v>
      </c>
      <c r="D837" s="116">
        <f>IF('ПРАЙС_ЛИСТ'!F72 &lt;&gt; 'ПРАЙС_ЛИСТ'!H72, 'ПРАЙС_ЛИСТ'!F72, "0")</f>
        <v>1050</v>
      </c>
      <c r="E837" s="114" t="s">
        <v>429</v>
      </c>
      <c r="F837" s="117" t="s">
        <v>392</v>
      </c>
      <c r="G837" s="109"/>
      <c r="H837" s="108" t="s">
        <v>393</v>
      </c>
      <c r="I837" s="122" t="s">
        <v>1515</v>
      </c>
      <c r="J837" s="119" t="s">
        <v>431</v>
      </c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  <c r="AA837" s="120"/>
    </row>
    <row r="838">
      <c r="A838" s="120"/>
      <c r="C838" s="108">
        <v>6.7567465236908E13</v>
      </c>
      <c r="D838" s="116">
        <f>IF('ПРАЙС_ЛИСТ'!F70 &lt;&gt; 'ПРАЙС_ЛИСТ'!H70, 'ПРАЙС_ЛИСТ'!F70, "0")</f>
        <v>850</v>
      </c>
      <c r="E838" s="114" t="s">
        <v>433</v>
      </c>
      <c r="F838" s="117" t="s">
        <v>421</v>
      </c>
      <c r="G838" s="108"/>
      <c r="H838" s="108" t="s">
        <v>393</v>
      </c>
      <c r="I838" s="122" t="s">
        <v>1516</v>
      </c>
      <c r="J838" s="119" t="s">
        <v>435</v>
      </c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  <c r="AA838" s="120"/>
    </row>
    <row r="839">
      <c r="A839" s="120"/>
      <c r="C839" s="108">
        <v>6.7567465236909E13</v>
      </c>
      <c r="D839" s="116">
        <f>IF('ПРАЙС_ЛИСТ'!F71 &lt;&gt; 'ПРАЙС_ЛИСТ'!H71, 'ПРАЙС_ЛИСТ'!F71, "0")</f>
        <v>850</v>
      </c>
      <c r="E839" s="114" t="s">
        <v>437</v>
      </c>
      <c r="F839" s="117" t="s">
        <v>421</v>
      </c>
      <c r="G839" s="109"/>
      <c r="H839" s="108" t="s">
        <v>393</v>
      </c>
      <c r="I839" s="122" t="s">
        <v>1517</v>
      </c>
      <c r="J839" s="119" t="s">
        <v>439</v>
      </c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  <c r="AA839" s="120"/>
    </row>
    <row r="840">
      <c r="A840" s="120"/>
      <c r="C840" s="108">
        <v>6.7567465236916E13</v>
      </c>
      <c r="D840" s="116">
        <f>IF('ПРАЙС_ЛИСТ'!F64 &lt;&gt; 'ПРАЙС_ЛИСТ'!H64, 'ПРАЙС_ЛИСТ'!F64, "0")</f>
        <v>750</v>
      </c>
      <c r="E840" s="114" t="s">
        <v>441</v>
      </c>
      <c r="F840" s="117" t="s">
        <v>442</v>
      </c>
      <c r="G840" s="109"/>
      <c r="H840" s="108" t="s">
        <v>393</v>
      </c>
      <c r="I840" s="118" t="s">
        <v>1518</v>
      </c>
      <c r="J840" s="119" t="s">
        <v>444</v>
      </c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  <c r="AA840" s="120"/>
    </row>
    <row r="841">
      <c r="A841" s="120"/>
      <c r="C841" s="108">
        <v>6.7567465236917E13</v>
      </c>
      <c r="D841" s="116">
        <f>IF('ПРАЙС_ЛИСТ'!F65 &lt;&gt; 'ПРАЙС_ЛИСТ'!H65, 'ПРАЙС_ЛИСТ'!F65, "0")</f>
        <v>750</v>
      </c>
      <c r="E841" s="114" t="s">
        <v>446</v>
      </c>
      <c r="F841" s="117" t="s">
        <v>421</v>
      </c>
      <c r="G841" s="109"/>
      <c r="H841" s="108" t="s">
        <v>393</v>
      </c>
      <c r="I841" s="118" t="s">
        <v>1519</v>
      </c>
      <c r="J841" s="119" t="s">
        <v>448</v>
      </c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  <c r="AA841" s="120"/>
    </row>
    <row r="842">
      <c r="A842" s="120"/>
      <c r="C842" s="108">
        <v>6.7567465236915E13</v>
      </c>
      <c r="D842" s="109" t="str">
        <f>IF('ПРАЙС_ЛИСТ'!F66 &lt;&gt; 'ПРАЙС_ЛИСТ'!H66, 'ПРАЙС_ЛИСТ'!F66, "0")</f>
        <v>0</v>
      </c>
      <c r="E842" s="114" t="s">
        <v>450</v>
      </c>
      <c r="F842" s="117" t="s">
        <v>421</v>
      </c>
      <c r="G842" s="108" t="s">
        <v>398</v>
      </c>
      <c r="H842" s="108" t="s">
        <v>410</v>
      </c>
      <c r="I842" s="122" t="s">
        <v>1520</v>
      </c>
      <c r="J842" s="119" t="s">
        <v>452</v>
      </c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  <c r="AA842" s="120"/>
    </row>
    <row r="843">
      <c r="A843" s="120"/>
      <c r="C843" s="108">
        <v>6.7567465236918E13</v>
      </c>
      <c r="D843" s="121">
        <v>0.0</v>
      </c>
      <c r="E843" s="114" t="s">
        <v>454</v>
      </c>
      <c r="F843" s="117" t="s">
        <v>455</v>
      </c>
      <c r="G843" s="108" t="s">
        <v>398</v>
      </c>
      <c r="H843" s="108" t="s">
        <v>410</v>
      </c>
      <c r="I843" s="122" t="s">
        <v>1521</v>
      </c>
      <c r="J843" s="119" t="s">
        <v>457</v>
      </c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  <c r="AA843" s="120"/>
    </row>
    <row r="844">
      <c r="A844" s="120"/>
      <c r="C844" s="108">
        <v>6.7567465236929E13</v>
      </c>
      <c r="D844" s="121">
        <v>0.0</v>
      </c>
      <c r="E844" s="114" t="s">
        <v>459</v>
      </c>
      <c r="F844" s="117" t="s">
        <v>442</v>
      </c>
      <c r="G844" s="108" t="s">
        <v>398</v>
      </c>
      <c r="H844" s="108" t="s">
        <v>393</v>
      </c>
      <c r="I844" s="118" t="s">
        <v>1522</v>
      </c>
      <c r="J844" s="119" t="s">
        <v>461</v>
      </c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  <c r="AA844" s="120"/>
    </row>
    <row r="845">
      <c r="A845" s="120"/>
      <c r="C845" s="108" t="s">
        <v>462</v>
      </c>
      <c r="D845" s="116">
        <f>IF('ПРАЙС_ЛИСТ'!F9 &lt;&gt; 'ПРАЙС_ЛИСТ'!H9, 'ПРАЙС_ЛИСТ'!F9, "0")</f>
        <v>1100</v>
      </c>
      <c r="E845" s="114" t="s">
        <v>463</v>
      </c>
      <c r="F845" s="117" t="s">
        <v>409</v>
      </c>
      <c r="G845" s="108"/>
      <c r="H845" s="108"/>
      <c r="I845" s="122" t="s">
        <v>464</v>
      </c>
      <c r="J845" s="119" t="s">
        <v>465</v>
      </c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  <c r="AA845" s="120"/>
    </row>
    <row r="846">
      <c r="A846" s="120"/>
      <c r="C846" s="113" t="s">
        <v>1523</v>
      </c>
      <c r="D846" s="116">
        <f>'ПРАЙС_ЛИСТ'!F73</f>
        <v>1600</v>
      </c>
      <c r="E846" s="114" t="s">
        <v>467</v>
      </c>
      <c r="F846" s="117" t="s">
        <v>468</v>
      </c>
      <c r="G846" s="108" t="s">
        <v>403</v>
      </c>
      <c r="H846" s="108" t="s">
        <v>393</v>
      </c>
      <c r="I846" s="118" t="s">
        <v>1524</v>
      </c>
      <c r="J846" s="119" t="s">
        <v>470</v>
      </c>
      <c r="K846" s="120"/>
      <c r="L846" s="114" t="s">
        <v>418</v>
      </c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  <c r="AA846" s="120"/>
    </row>
    <row r="847">
      <c r="A847" s="120"/>
      <c r="B847" s="115"/>
      <c r="C847" s="108"/>
      <c r="D847" s="109"/>
      <c r="E847" s="114"/>
      <c r="F847" s="117"/>
      <c r="G847" s="108"/>
      <c r="H847" s="108"/>
      <c r="I847" s="119"/>
      <c r="J847" s="119"/>
      <c r="K847" s="120"/>
      <c r="L847" s="114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  <c r="AA847" s="120"/>
    </row>
    <row r="848">
      <c r="A848" s="120"/>
      <c r="B848" s="115"/>
      <c r="C848" s="108"/>
      <c r="D848" s="109"/>
      <c r="E848" s="114"/>
      <c r="F848" s="117"/>
      <c r="G848" s="108"/>
      <c r="H848" s="108"/>
      <c r="I848" s="119"/>
      <c r="J848" s="119"/>
      <c r="K848" s="120"/>
      <c r="L848" s="114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  <c r="AA848" s="120"/>
    </row>
    <row r="849">
      <c r="A849" s="120"/>
      <c r="B849" s="115"/>
      <c r="C849" s="108"/>
      <c r="D849" s="109"/>
      <c r="E849" s="114"/>
      <c r="F849" s="117"/>
      <c r="G849" s="108"/>
      <c r="H849" s="108"/>
      <c r="I849" s="119"/>
      <c r="J849" s="119"/>
      <c r="K849" s="120"/>
      <c r="L849" s="114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  <c r="AA849" s="120"/>
    </row>
    <row r="850">
      <c r="A850" s="120"/>
      <c r="B850" s="115"/>
      <c r="C850" s="108"/>
      <c r="D850" s="109"/>
      <c r="E850" s="114"/>
      <c r="F850" s="117"/>
      <c r="G850" s="108"/>
      <c r="H850" s="108"/>
      <c r="I850" s="119"/>
      <c r="J850" s="119"/>
      <c r="K850" s="120"/>
      <c r="L850" s="114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  <c r="AA850" s="120"/>
    </row>
    <row r="851">
      <c r="A851" s="120"/>
      <c r="B851" s="115"/>
      <c r="C851" s="108"/>
      <c r="D851" s="109"/>
      <c r="E851" s="114"/>
      <c r="F851" s="117"/>
      <c r="G851" s="108"/>
      <c r="H851" s="108"/>
      <c r="I851" s="119"/>
      <c r="J851" s="119"/>
      <c r="K851" s="120"/>
      <c r="L851" s="114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  <c r="AA851" s="120"/>
    </row>
    <row r="852">
      <c r="A852" s="120"/>
      <c r="B852" s="115"/>
      <c r="C852" s="108"/>
      <c r="D852" s="109"/>
      <c r="E852" s="114"/>
      <c r="F852" s="117"/>
      <c r="G852" s="108"/>
      <c r="H852" s="108"/>
      <c r="I852" s="119"/>
      <c r="J852" s="119"/>
      <c r="K852" s="120"/>
      <c r="L852" s="114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  <c r="AA852" s="120"/>
    </row>
    <row r="853">
      <c r="A853" s="120"/>
      <c r="B853" s="115"/>
      <c r="C853" s="108"/>
      <c r="D853" s="109"/>
      <c r="E853" s="114"/>
      <c r="F853" s="117"/>
      <c r="G853" s="108"/>
      <c r="H853" s="108"/>
      <c r="I853" s="119"/>
      <c r="J853" s="119"/>
      <c r="K853" s="120"/>
      <c r="L853" s="114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  <c r="AA853" s="120"/>
    </row>
    <row r="854">
      <c r="A854" s="120"/>
      <c r="B854" s="115"/>
      <c r="C854" s="108"/>
      <c r="D854" s="109"/>
      <c r="E854" s="114"/>
      <c r="F854" s="117"/>
      <c r="G854" s="108"/>
      <c r="H854" s="108"/>
      <c r="I854" s="119"/>
      <c r="J854" s="119"/>
      <c r="K854" s="120"/>
      <c r="L854" s="114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  <c r="AA854" s="120"/>
    </row>
    <row r="855">
      <c r="A855" s="120"/>
      <c r="B855" s="115"/>
      <c r="C855" s="108"/>
      <c r="D855" s="109"/>
      <c r="E855" s="114"/>
      <c r="F855" s="117"/>
      <c r="G855" s="108"/>
      <c r="H855" s="108"/>
      <c r="I855" s="119"/>
      <c r="J855" s="119"/>
      <c r="K855" s="120"/>
      <c r="L855" s="114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  <c r="AA855" s="120"/>
    </row>
    <row r="856">
      <c r="A856" s="120"/>
      <c r="B856" s="115"/>
      <c r="C856" s="108"/>
      <c r="D856" s="109"/>
      <c r="E856" s="114"/>
      <c r="F856" s="117"/>
      <c r="G856" s="108"/>
      <c r="H856" s="108"/>
      <c r="I856" s="119"/>
      <c r="J856" s="119"/>
      <c r="K856" s="120"/>
      <c r="L856" s="114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  <c r="AA856" s="120"/>
    </row>
    <row r="857">
      <c r="A857" s="120"/>
      <c r="B857" s="115"/>
      <c r="C857" s="108"/>
      <c r="D857" s="109"/>
      <c r="E857" s="114"/>
      <c r="F857" s="117"/>
      <c r="G857" s="108"/>
      <c r="H857" s="108"/>
      <c r="I857" s="119"/>
      <c r="J857" s="119"/>
      <c r="K857" s="120"/>
      <c r="L857" s="114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  <c r="AA857" s="120"/>
    </row>
    <row r="858">
      <c r="A858" s="120"/>
      <c r="B858" s="115"/>
      <c r="C858" s="108"/>
      <c r="D858" s="109"/>
      <c r="E858" s="114"/>
      <c r="F858" s="117"/>
      <c r="G858" s="108"/>
      <c r="H858" s="108"/>
      <c r="I858" s="119"/>
      <c r="J858" s="119"/>
      <c r="K858" s="120"/>
      <c r="L858" s="114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  <c r="AA858" s="120"/>
    </row>
    <row r="859">
      <c r="A859" s="120"/>
      <c r="B859" s="115"/>
      <c r="C859" s="108"/>
      <c r="D859" s="109"/>
      <c r="E859" s="114"/>
      <c r="F859" s="117"/>
      <c r="G859" s="108"/>
      <c r="H859" s="108"/>
      <c r="I859" s="119"/>
      <c r="J859" s="119"/>
      <c r="K859" s="120"/>
      <c r="L859" s="114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  <c r="AA859" s="120"/>
    </row>
    <row r="860">
      <c r="A860" s="120"/>
      <c r="B860" s="115"/>
      <c r="C860" s="108"/>
      <c r="D860" s="109"/>
      <c r="E860" s="114"/>
      <c r="F860" s="117"/>
      <c r="G860" s="108"/>
      <c r="H860" s="108"/>
      <c r="I860" s="119"/>
      <c r="J860" s="119"/>
      <c r="K860" s="120"/>
      <c r="L860" s="114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  <c r="AA860" s="120"/>
    </row>
    <row r="861">
      <c r="A861" s="120"/>
      <c r="B861" s="115"/>
      <c r="C861" s="108"/>
      <c r="D861" s="109"/>
      <c r="E861" s="114"/>
      <c r="F861" s="117"/>
      <c r="G861" s="108"/>
      <c r="H861" s="108"/>
      <c r="I861" s="119"/>
      <c r="J861" s="119"/>
      <c r="K861" s="120"/>
      <c r="L861" s="114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  <c r="AA861" s="120"/>
    </row>
    <row r="862">
      <c r="A862" s="120"/>
      <c r="B862" s="115"/>
      <c r="C862" s="108"/>
      <c r="D862" s="109"/>
      <c r="E862" s="114"/>
      <c r="F862" s="117"/>
      <c r="G862" s="108"/>
      <c r="H862" s="108"/>
      <c r="I862" s="119"/>
      <c r="J862" s="119"/>
      <c r="K862" s="120"/>
      <c r="L862" s="114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  <c r="AA862" s="120"/>
    </row>
    <row r="863">
      <c r="A863" s="120"/>
      <c r="B863" s="115"/>
      <c r="C863" s="108"/>
      <c r="D863" s="109"/>
      <c r="E863" s="114"/>
      <c r="F863" s="117"/>
      <c r="G863" s="108"/>
      <c r="H863" s="108"/>
      <c r="I863" s="119"/>
      <c r="J863" s="119"/>
      <c r="K863" s="120"/>
      <c r="L863" s="114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  <c r="AA863" s="120"/>
    </row>
    <row r="864">
      <c r="A864" s="120"/>
      <c r="B864" s="115"/>
      <c r="C864" s="108"/>
      <c r="D864" s="109"/>
      <c r="E864" s="114"/>
      <c r="F864" s="117"/>
      <c r="G864" s="108"/>
      <c r="H864" s="108"/>
      <c r="I864" s="119"/>
      <c r="J864" s="119"/>
      <c r="K864" s="120"/>
      <c r="L864" s="114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  <c r="AA864" s="120"/>
    </row>
    <row r="865">
      <c r="A865" s="120"/>
      <c r="B865" s="115"/>
      <c r="C865" s="108"/>
      <c r="D865" s="109"/>
      <c r="E865" s="114"/>
      <c r="F865" s="117"/>
      <c r="G865" s="108"/>
      <c r="H865" s="108"/>
      <c r="I865" s="119"/>
      <c r="J865" s="119"/>
      <c r="K865" s="120"/>
      <c r="L865" s="114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  <c r="AA865" s="120"/>
    </row>
    <row r="866">
      <c r="A866" s="120"/>
      <c r="B866" s="115"/>
      <c r="C866" s="108"/>
      <c r="D866" s="109"/>
      <c r="E866" s="114"/>
      <c r="F866" s="117"/>
      <c r="G866" s="108"/>
      <c r="H866" s="108"/>
      <c r="I866" s="119"/>
      <c r="J866" s="119"/>
      <c r="K866" s="120"/>
      <c r="L866" s="114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  <c r="AA866" s="120"/>
    </row>
    <row r="867">
      <c r="A867" s="120"/>
      <c r="B867" s="115"/>
      <c r="C867" s="108"/>
      <c r="D867" s="109"/>
      <c r="E867" s="114"/>
      <c r="F867" s="117"/>
      <c r="G867" s="108"/>
      <c r="H867" s="108"/>
      <c r="I867" s="119"/>
      <c r="J867" s="119"/>
      <c r="K867" s="120"/>
      <c r="L867" s="114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  <c r="AA867" s="120"/>
    </row>
    <row r="868">
      <c r="A868" s="120"/>
      <c r="B868" s="115"/>
      <c r="C868" s="108"/>
      <c r="D868" s="109"/>
      <c r="E868" s="114"/>
      <c r="F868" s="117"/>
      <c r="G868" s="108"/>
      <c r="H868" s="108"/>
      <c r="I868" s="119"/>
      <c r="J868" s="119"/>
      <c r="K868" s="120"/>
      <c r="L868" s="114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  <c r="AA868" s="120"/>
    </row>
    <row r="869">
      <c r="A869" s="120"/>
      <c r="B869" s="115"/>
      <c r="C869" s="108"/>
      <c r="D869" s="109"/>
      <c r="E869" s="114"/>
      <c r="F869" s="117"/>
      <c r="G869" s="108"/>
      <c r="H869" s="108"/>
      <c r="I869" s="119"/>
      <c r="J869" s="119"/>
      <c r="K869" s="120"/>
      <c r="L869" s="114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  <c r="AA869" s="120"/>
    </row>
    <row r="870">
      <c r="A870" s="120"/>
      <c r="B870" s="115"/>
      <c r="C870" s="108"/>
      <c r="D870" s="109"/>
      <c r="E870" s="114"/>
      <c r="F870" s="117"/>
      <c r="G870" s="108"/>
      <c r="H870" s="108"/>
      <c r="I870" s="119"/>
      <c r="J870" s="119"/>
      <c r="K870" s="120"/>
      <c r="L870" s="114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  <c r="AA870" s="120"/>
    </row>
    <row r="871">
      <c r="A871" s="120"/>
      <c r="B871" s="115"/>
      <c r="C871" s="108"/>
      <c r="D871" s="109"/>
      <c r="E871" s="114"/>
      <c r="F871" s="117"/>
      <c r="G871" s="108"/>
      <c r="H871" s="108"/>
      <c r="I871" s="119"/>
      <c r="J871" s="119"/>
      <c r="K871" s="120"/>
      <c r="L871" s="114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  <c r="AA871" s="120"/>
    </row>
    <row r="872">
      <c r="A872" s="120"/>
      <c r="B872" s="115"/>
      <c r="C872" s="108"/>
      <c r="D872" s="109"/>
      <c r="E872" s="114"/>
      <c r="F872" s="117"/>
      <c r="G872" s="108"/>
      <c r="H872" s="108"/>
      <c r="I872" s="119"/>
      <c r="J872" s="119"/>
      <c r="K872" s="120"/>
      <c r="L872" s="114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  <c r="AA872" s="120"/>
    </row>
    <row r="873">
      <c r="A873" s="120"/>
      <c r="B873" s="115"/>
      <c r="C873" s="108"/>
      <c r="D873" s="109"/>
      <c r="E873" s="114"/>
      <c r="F873" s="117"/>
      <c r="G873" s="108"/>
      <c r="H873" s="108"/>
      <c r="I873" s="119"/>
      <c r="J873" s="119"/>
      <c r="K873" s="120"/>
      <c r="L873" s="114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  <c r="AA873" s="120"/>
    </row>
    <row r="874">
      <c r="A874" s="120"/>
      <c r="B874" s="115"/>
      <c r="C874" s="108"/>
      <c r="D874" s="109"/>
      <c r="E874" s="114"/>
      <c r="F874" s="117"/>
      <c r="G874" s="108"/>
      <c r="H874" s="108"/>
      <c r="I874" s="119"/>
      <c r="J874" s="119"/>
      <c r="K874" s="120"/>
      <c r="L874" s="114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  <c r="AA874" s="120"/>
    </row>
    <row r="875">
      <c r="A875" s="120"/>
      <c r="B875" s="115"/>
      <c r="C875" s="108"/>
      <c r="D875" s="109"/>
      <c r="E875" s="114"/>
      <c r="F875" s="117"/>
      <c r="G875" s="108"/>
      <c r="H875" s="108"/>
      <c r="I875" s="119"/>
      <c r="J875" s="119"/>
      <c r="K875" s="120"/>
      <c r="L875" s="114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  <c r="AA875" s="120"/>
    </row>
    <row r="876">
      <c r="A876" s="120"/>
      <c r="B876" s="115"/>
      <c r="C876" s="108"/>
      <c r="D876" s="109"/>
      <c r="E876" s="114"/>
      <c r="F876" s="117"/>
      <c r="G876" s="108"/>
      <c r="H876" s="108"/>
      <c r="I876" s="119"/>
      <c r="J876" s="119"/>
      <c r="K876" s="120"/>
      <c r="L876" s="114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  <c r="AA876" s="120"/>
    </row>
    <row r="877">
      <c r="A877" s="120"/>
      <c r="B877" s="115"/>
      <c r="C877" s="108"/>
      <c r="D877" s="109"/>
      <c r="E877" s="114"/>
      <c r="F877" s="117"/>
      <c r="G877" s="108"/>
      <c r="H877" s="108"/>
      <c r="I877" s="119"/>
      <c r="J877" s="119"/>
      <c r="K877" s="120"/>
      <c r="L877" s="114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  <c r="AA877" s="120"/>
    </row>
    <row r="878">
      <c r="A878" s="120"/>
      <c r="B878" s="115"/>
      <c r="C878" s="108"/>
      <c r="D878" s="109"/>
      <c r="E878" s="114"/>
      <c r="F878" s="117"/>
      <c r="G878" s="108"/>
      <c r="H878" s="108"/>
      <c r="I878" s="119"/>
      <c r="J878" s="119"/>
      <c r="K878" s="120"/>
      <c r="L878" s="114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  <c r="AA878" s="120"/>
    </row>
    <row r="879">
      <c r="A879" s="120"/>
      <c r="B879" s="115"/>
      <c r="C879" s="108"/>
      <c r="D879" s="109"/>
      <c r="E879" s="114"/>
      <c r="F879" s="117"/>
      <c r="G879" s="108"/>
      <c r="H879" s="108"/>
      <c r="I879" s="119"/>
      <c r="J879" s="119"/>
      <c r="K879" s="120"/>
      <c r="L879" s="114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  <c r="AA879" s="120"/>
    </row>
    <row r="880">
      <c r="A880" s="120"/>
      <c r="B880" s="115"/>
      <c r="C880" s="108"/>
      <c r="D880" s="109"/>
      <c r="E880" s="114"/>
      <c r="F880" s="117"/>
      <c r="G880" s="108"/>
      <c r="H880" s="108"/>
      <c r="I880" s="119"/>
      <c r="J880" s="119"/>
      <c r="K880" s="120"/>
      <c r="L880" s="114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  <c r="AA880" s="120"/>
    </row>
    <row r="881">
      <c r="A881" s="120"/>
      <c r="B881" s="115"/>
      <c r="C881" s="108"/>
      <c r="D881" s="109"/>
      <c r="E881" s="114"/>
      <c r="F881" s="117"/>
      <c r="G881" s="108"/>
      <c r="H881" s="108"/>
      <c r="I881" s="119"/>
      <c r="J881" s="119"/>
      <c r="K881" s="120"/>
      <c r="L881" s="114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  <c r="AA881" s="120"/>
    </row>
    <row r="882">
      <c r="A882" s="120"/>
      <c r="B882" s="115"/>
      <c r="C882" s="108"/>
      <c r="D882" s="109"/>
      <c r="E882" s="114"/>
      <c r="F882" s="117"/>
      <c r="G882" s="108"/>
      <c r="H882" s="108"/>
      <c r="I882" s="119"/>
      <c r="J882" s="119"/>
      <c r="K882" s="120"/>
      <c r="L882" s="114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  <c r="AA882" s="120"/>
    </row>
    <row r="883">
      <c r="A883" s="120"/>
      <c r="B883" s="115"/>
      <c r="C883" s="108"/>
      <c r="D883" s="109"/>
      <c r="E883" s="114"/>
      <c r="F883" s="117"/>
      <c r="G883" s="108"/>
      <c r="H883" s="108"/>
      <c r="I883" s="119"/>
      <c r="J883" s="119"/>
      <c r="K883" s="120"/>
      <c r="L883" s="114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  <c r="AA883" s="120"/>
    </row>
    <row r="884">
      <c r="A884" s="120"/>
      <c r="B884" s="115"/>
      <c r="C884" s="108"/>
      <c r="D884" s="109"/>
      <c r="E884" s="114"/>
      <c r="F884" s="117"/>
      <c r="G884" s="108"/>
      <c r="H884" s="108"/>
      <c r="I884" s="119"/>
      <c r="J884" s="119"/>
      <c r="K884" s="120"/>
      <c r="L884" s="114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  <c r="AA884" s="120"/>
    </row>
    <row r="885">
      <c r="A885" s="120"/>
      <c r="B885" s="115"/>
      <c r="C885" s="108"/>
      <c r="D885" s="109"/>
      <c r="E885" s="114"/>
      <c r="F885" s="117"/>
      <c r="G885" s="108"/>
      <c r="H885" s="108"/>
      <c r="I885" s="119"/>
      <c r="J885" s="119"/>
      <c r="K885" s="120"/>
      <c r="L885" s="114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  <c r="AA885" s="120"/>
    </row>
    <row r="886">
      <c r="A886" s="120"/>
      <c r="B886" s="115"/>
      <c r="C886" s="108"/>
      <c r="D886" s="109"/>
      <c r="E886" s="114"/>
      <c r="F886" s="117"/>
      <c r="G886" s="108"/>
      <c r="H886" s="108"/>
      <c r="I886" s="119"/>
      <c r="J886" s="119"/>
      <c r="K886" s="120"/>
      <c r="L886" s="114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  <c r="AA886" s="120"/>
    </row>
    <row r="887">
      <c r="A887" s="120"/>
      <c r="B887" s="115"/>
      <c r="C887" s="108"/>
      <c r="D887" s="109"/>
      <c r="E887" s="114"/>
      <c r="F887" s="117"/>
      <c r="G887" s="108"/>
      <c r="H887" s="108"/>
      <c r="I887" s="119"/>
      <c r="J887" s="119"/>
      <c r="K887" s="120"/>
      <c r="L887" s="114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  <c r="AA887" s="120"/>
    </row>
    <row r="888">
      <c r="A888" s="120"/>
      <c r="B888" s="115"/>
      <c r="C888" s="108"/>
      <c r="D888" s="109"/>
      <c r="E888" s="114"/>
      <c r="F888" s="117"/>
      <c r="G888" s="108"/>
      <c r="H888" s="108"/>
      <c r="I888" s="119"/>
      <c r="J888" s="119"/>
      <c r="K888" s="120"/>
      <c r="L888" s="114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  <c r="AA888" s="120"/>
    </row>
    <row r="889">
      <c r="A889" s="120"/>
      <c r="B889" s="115"/>
      <c r="C889" s="108"/>
      <c r="D889" s="109"/>
      <c r="E889" s="114"/>
      <c r="F889" s="117"/>
      <c r="G889" s="108"/>
      <c r="H889" s="108"/>
      <c r="I889" s="119"/>
      <c r="J889" s="119"/>
      <c r="K889" s="120"/>
      <c r="L889" s="114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  <c r="AA889" s="120"/>
    </row>
    <row r="890">
      <c r="A890" s="120"/>
      <c r="B890" s="115"/>
      <c r="C890" s="108"/>
      <c r="D890" s="109"/>
      <c r="E890" s="114"/>
      <c r="F890" s="117"/>
      <c r="G890" s="108"/>
      <c r="H890" s="108"/>
      <c r="I890" s="119"/>
      <c r="J890" s="119"/>
      <c r="K890" s="120"/>
      <c r="L890" s="114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  <c r="AA890" s="120"/>
    </row>
    <row r="891">
      <c r="A891" s="120"/>
      <c r="B891" s="115"/>
      <c r="C891" s="108"/>
      <c r="D891" s="109"/>
      <c r="E891" s="114"/>
      <c r="F891" s="117"/>
      <c r="G891" s="108"/>
      <c r="H891" s="108"/>
      <c r="I891" s="119"/>
      <c r="J891" s="119"/>
      <c r="K891" s="120"/>
      <c r="L891" s="114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  <c r="AA891" s="120"/>
    </row>
    <row r="892">
      <c r="A892" s="120"/>
      <c r="B892" s="115"/>
      <c r="C892" s="108"/>
      <c r="D892" s="109"/>
      <c r="E892" s="114"/>
      <c r="F892" s="117"/>
      <c r="G892" s="108"/>
      <c r="H892" s="108"/>
      <c r="I892" s="119"/>
      <c r="J892" s="119"/>
      <c r="K892" s="120"/>
      <c r="L892" s="114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  <c r="AA892" s="120"/>
    </row>
    <row r="893">
      <c r="A893" s="120"/>
      <c r="B893" s="115"/>
      <c r="C893" s="108"/>
      <c r="D893" s="109"/>
      <c r="E893" s="114"/>
      <c r="F893" s="117"/>
      <c r="G893" s="108"/>
      <c r="H893" s="108"/>
      <c r="I893" s="119"/>
      <c r="J893" s="119"/>
      <c r="K893" s="120"/>
      <c r="L893" s="114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  <c r="AA893" s="120"/>
    </row>
    <row r="894">
      <c r="A894" s="120"/>
      <c r="B894" s="115"/>
      <c r="C894" s="108"/>
      <c r="D894" s="109"/>
      <c r="E894" s="114"/>
      <c r="F894" s="117"/>
      <c r="G894" s="108"/>
      <c r="H894" s="108"/>
      <c r="I894" s="119"/>
      <c r="J894" s="119"/>
      <c r="K894" s="120"/>
      <c r="L894" s="114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  <c r="AA894" s="120"/>
    </row>
    <row r="895">
      <c r="A895" s="120"/>
      <c r="B895" s="115"/>
      <c r="C895" s="108"/>
      <c r="D895" s="109"/>
      <c r="E895" s="114"/>
      <c r="F895" s="117"/>
      <c r="G895" s="108"/>
      <c r="H895" s="108"/>
      <c r="I895" s="119"/>
      <c r="J895" s="119"/>
      <c r="K895" s="120"/>
      <c r="L895" s="114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  <c r="AA895" s="120"/>
    </row>
    <row r="896">
      <c r="A896" s="120"/>
      <c r="B896" s="115"/>
      <c r="C896" s="108"/>
      <c r="D896" s="109"/>
      <c r="E896" s="114"/>
      <c r="F896" s="117"/>
      <c r="G896" s="108"/>
      <c r="H896" s="108"/>
      <c r="I896" s="119"/>
      <c r="J896" s="119"/>
      <c r="K896" s="120"/>
      <c r="L896" s="114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  <c r="AA896" s="120"/>
    </row>
    <row r="897">
      <c r="A897" s="120"/>
      <c r="B897" s="115"/>
      <c r="C897" s="108"/>
      <c r="D897" s="109"/>
      <c r="E897" s="114"/>
      <c r="F897" s="117"/>
      <c r="G897" s="108"/>
      <c r="H897" s="108"/>
      <c r="I897" s="119"/>
      <c r="J897" s="119"/>
      <c r="K897" s="120"/>
      <c r="L897" s="114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  <c r="AA897" s="120"/>
    </row>
    <row r="898">
      <c r="A898" s="120"/>
      <c r="B898" s="115"/>
      <c r="C898" s="108"/>
      <c r="D898" s="109"/>
      <c r="E898" s="114"/>
      <c r="F898" s="117"/>
      <c r="G898" s="108"/>
      <c r="H898" s="108"/>
      <c r="I898" s="119"/>
      <c r="J898" s="119"/>
      <c r="K898" s="120"/>
      <c r="L898" s="114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  <c r="AA898" s="120"/>
    </row>
    <row r="899">
      <c r="A899" s="120"/>
      <c r="B899" s="115"/>
      <c r="C899" s="108"/>
      <c r="D899" s="109"/>
      <c r="E899" s="114"/>
      <c r="F899" s="117"/>
      <c r="G899" s="108"/>
      <c r="H899" s="108"/>
      <c r="I899" s="119"/>
      <c r="J899" s="119"/>
      <c r="K899" s="120"/>
      <c r="L899" s="114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  <c r="AA899" s="120"/>
    </row>
    <row r="900">
      <c r="A900" s="120"/>
      <c r="B900" s="115"/>
      <c r="C900" s="108"/>
      <c r="D900" s="109"/>
      <c r="E900" s="114"/>
      <c r="F900" s="117"/>
      <c r="G900" s="108"/>
      <c r="H900" s="108"/>
      <c r="I900" s="119"/>
      <c r="J900" s="119"/>
      <c r="K900" s="120"/>
      <c r="L900" s="114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  <c r="AA900" s="120"/>
    </row>
    <row r="901">
      <c r="A901" s="120"/>
      <c r="B901" s="115"/>
      <c r="C901" s="108"/>
      <c r="D901" s="109"/>
      <c r="E901" s="114"/>
      <c r="F901" s="117"/>
      <c r="G901" s="108"/>
      <c r="H901" s="108"/>
      <c r="I901" s="119"/>
      <c r="J901" s="119"/>
      <c r="K901" s="120"/>
      <c r="L901" s="114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  <c r="AA901" s="120"/>
    </row>
    <row r="902">
      <c r="A902" s="120"/>
      <c r="B902" s="115"/>
      <c r="C902" s="108"/>
      <c r="D902" s="109"/>
      <c r="E902" s="114"/>
      <c r="F902" s="117"/>
      <c r="G902" s="108"/>
      <c r="H902" s="108"/>
      <c r="I902" s="119"/>
      <c r="J902" s="119"/>
      <c r="K902" s="120"/>
      <c r="L902" s="114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  <c r="AA902" s="120"/>
    </row>
    <row r="903">
      <c r="A903" s="120"/>
      <c r="B903" s="115"/>
      <c r="C903" s="108"/>
      <c r="D903" s="109"/>
      <c r="E903" s="114"/>
      <c r="F903" s="117"/>
      <c r="G903" s="108"/>
      <c r="H903" s="108"/>
      <c r="I903" s="119"/>
      <c r="J903" s="119"/>
      <c r="K903" s="120"/>
      <c r="L903" s="114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  <c r="AA903" s="120"/>
    </row>
    <row r="904">
      <c r="A904" s="120"/>
      <c r="B904" s="115"/>
      <c r="C904" s="108"/>
      <c r="D904" s="109"/>
      <c r="E904" s="114"/>
      <c r="F904" s="117"/>
      <c r="G904" s="108"/>
      <c r="H904" s="108"/>
      <c r="I904" s="119"/>
      <c r="J904" s="119"/>
      <c r="K904" s="120"/>
      <c r="L904" s="114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  <c r="AA904" s="120"/>
    </row>
    <row r="905">
      <c r="A905" s="120"/>
      <c r="B905" s="115"/>
      <c r="C905" s="108"/>
      <c r="D905" s="109"/>
      <c r="E905" s="114"/>
      <c r="F905" s="117"/>
      <c r="G905" s="108"/>
      <c r="H905" s="108"/>
      <c r="I905" s="119"/>
      <c r="J905" s="119"/>
      <c r="K905" s="120"/>
      <c r="L905" s="114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  <c r="AA905" s="120"/>
    </row>
    <row r="906">
      <c r="A906" s="120"/>
      <c r="B906" s="115"/>
      <c r="C906" s="108"/>
      <c r="D906" s="109"/>
      <c r="E906" s="114"/>
      <c r="F906" s="117"/>
      <c r="G906" s="108"/>
      <c r="H906" s="108"/>
      <c r="I906" s="119"/>
      <c r="J906" s="119"/>
      <c r="K906" s="120"/>
      <c r="L906" s="114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  <c r="AA906" s="120"/>
    </row>
    <row r="907">
      <c r="A907" s="120"/>
      <c r="B907" s="115"/>
      <c r="C907" s="108"/>
      <c r="D907" s="109"/>
      <c r="E907" s="114"/>
      <c r="F907" s="117"/>
      <c r="G907" s="108"/>
      <c r="H907" s="108"/>
      <c r="I907" s="119"/>
      <c r="J907" s="119"/>
      <c r="K907" s="120"/>
      <c r="L907" s="114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  <c r="AA907" s="120"/>
    </row>
    <row r="908">
      <c r="A908" s="120"/>
      <c r="B908" s="115"/>
      <c r="C908" s="108"/>
      <c r="D908" s="109"/>
      <c r="E908" s="114"/>
      <c r="F908" s="117"/>
      <c r="G908" s="108"/>
      <c r="H908" s="108"/>
      <c r="I908" s="119"/>
      <c r="J908" s="119"/>
      <c r="K908" s="120"/>
      <c r="L908" s="114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  <c r="AA908" s="120"/>
    </row>
    <row r="909">
      <c r="A909" s="120"/>
      <c r="B909" s="115"/>
      <c r="C909" s="108"/>
      <c r="D909" s="109"/>
      <c r="E909" s="114"/>
      <c r="F909" s="117"/>
      <c r="G909" s="108"/>
      <c r="H909" s="108"/>
      <c r="I909" s="119"/>
      <c r="J909" s="119"/>
      <c r="K909" s="120"/>
      <c r="L909" s="114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  <c r="AA909" s="120"/>
    </row>
    <row r="910">
      <c r="A910" s="120"/>
      <c r="B910" s="115"/>
      <c r="C910" s="108"/>
      <c r="D910" s="109"/>
      <c r="E910" s="114"/>
      <c r="F910" s="117"/>
      <c r="G910" s="108"/>
      <c r="H910" s="108"/>
      <c r="I910" s="119"/>
      <c r="J910" s="119"/>
      <c r="K910" s="120"/>
      <c r="L910" s="114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  <c r="AA910" s="120"/>
    </row>
    <row r="911">
      <c r="A911" s="120"/>
      <c r="B911" s="115"/>
      <c r="C911" s="108"/>
      <c r="D911" s="109"/>
      <c r="E911" s="114"/>
      <c r="F911" s="117"/>
      <c r="G911" s="108"/>
      <c r="H911" s="108"/>
      <c r="I911" s="119"/>
      <c r="J911" s="119"/>
      <c r="K911" s="120"/>
      <c r="L911" s="114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  <c r="AA911" s="120"/>
    </row>
    <row r="912">
      <c r="A912" s="120"/>
      <c r="B912" s="115"/>
      <c r="C912" s="108"/>
      <c r="D912" s="109"/>
      <c r="E912" s="114"/>
      <c r="F912" s="117"/>
      <c r="G912" s="108"/>
      <c r="H912" s="108"/>
      <c r="I912" s="119"/>
      <c r="J912" s="119"/>
      <c r="K912" s="120"/>
      <c r="L912" s="114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  <c r="AA912" s="120"/>
    </row>
    <row r="913">
      <c r="A913" s="120"/>
      <c r="B913" s="115"/>
      <c r="C913" s="108"/>
      <c r="D913" s="109"/>
      <c r="E913" s="114"/>
      <c r="F913" s="117"/>
      <c r="G913" s="108"/>
      <c r="H913" s="108"/>
      <c r="I913" s="119"/>
      <c r="J913" s="119"/>
      <c r="K913" s="120"/>
      <c r="L913" s="114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  <c r="AA913" s="120"/>
    </row>
    <row r="914">
      <c r="A914" s="120"/>
      <c r="B914" s="115"/>
      <c r="C914" s="108"/>
      <c r="D914" s="109"/>
      <c r="E914" s="114"/>
      <c r="F914" s="117"/>
      <c r="G914" s="108"/>
      <c r="H914" s="108"/>
      <c r="I914" s="119"/>
      <c r="J914" s="119"/>
      <c r="K914" s="120"/>
      <c r="L914" s="114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  <c r="AA914" s="120"/>
    </row>
    <row r="915">
      <c r="A915" s="120"/>
      <c r="B915" s="115"/>
      <c r="C915" s="108"/>
      <c r="D915" s="109"/>
      <c r="E915" s="114"/>
      <c r="F915" s="117"/>
      <c r="G915" s="108"/>
      <c r="H915" s="108"/>
      <c r="I915" s="119"/>
      <c r="J915" s="119"/>
      <c r="K915" s="120"/>
      <c r="L915" s="114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  <c r="AA915" s="120"/>
    </row>
    <row r="916">
      <c r="A916" s="120"/>
      <c r="B916" s="115"/>
      <c r="C916" s="108"/>
      <c r="D916" s="109"/>
      <c r="E916" s="114"/>
      <c r="F916" s="117"/>
      <c r="G916" s="108"/>
      <c r="H916" s="108"/>
      <c r="I916" s="119"/>
      <c r="J916" s="119"/>
      <c r="K916" s="120"/>
      <c r="L916" s="114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  <c r="AA916" s="120"/>
    </row>
    <row r="917">
      <c r="A917" s="120"/>
      <c r="B917" s="115"/>
      <c r="C917" s="108"/>
      <c r="D917" s="109"/>
      <c r="E917" s="114"/>
      <c r="F917" s="117"/>
      <c r="G917" s="108"/>
      <c r="H917" s="108"/>
      <c r="I917" s="119"/>
      <c r="J917" s="119"/>
      <c r="K917" s="120"/>
      <c r="L917" s="114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  <c r="AA917" s="120"/>
    </row>
    <row r="918">
      <c r="A918" s="120"/>
      <c r="B918" s="115"/>
      <c r="C918" s="108"/>
      <c r="D918" s="109"/>
      <c r="E918" s="114"/>
      <c r="F918" s="117"/>
      <c r="G918" s="108"/>
      <c r="H918" s="108"/>
      <c r="I918" s="119"/>
      <c r="J918" s="119"/>
      <c r="K918" s="120"/>
      <c r="L918" s="114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  <c r="AA918" s="120"/>
    </row>
    <row r="919">
      <c r="A919" s="120"/>
      <c r="B919" s="115"/>
      <c r="C919" s="108"/>
      <c r="D919" s="109"/>
      <c r="E919" s="114"/>
      <c r="F919" s="117"/>
      <c r="G919" s="108"/>
      <c r="H919" s="108"/>
      <c r="I919" s="119"/>
      <c r="J919" s="119"/>
      <c r="K919" s="120"/>
      <c r="L919" s="114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  <c r="AA919" s="120"/>
    </row>
    <row r="920">
      <c r="A920" s="120"/>
      <c r="B920" s="115"/>
      <c r="C920" s="108"/>
      <c r="D920" s="109"/>
      <c r="E920" s="114"/>
      <c r="F920" s="117"/>
      <c r="G920" s="108"/>
      <c r="H920" s="108"/>
      <c r="I920" s="119"/>
      <c r="J920" s="119"/>
      <c r="K920" s="120"/>
      <c r="L920" s="114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  <c r="AA920" s="120"/>
    </row>
    <row r="921">
      <c r="A921" s="120"/>
      <c r="B921" s="115"/>
      <c r="C921" s="108"/>
      <c r="D921" s="109"/>
      <c r="E921" s="114"/>
      <c r="F921" s="117"/>
      <c r="G921" s="108"/>
      <c r="H921" s="108"/>
      <c r="I921" s="119"/>
      <c r="J921" s="119"/>
      <c r="K921" s="120"/>
      <c r="L921" s="114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  <c r="AA921" s="120"/>
    </row>
    <row r="922">
      <c r="A922" s="120"/>
      <c r="B922" s="115"/>
      <c r="C922" s="108"/>
      <c r="D922" s="109"/>
      <c r="E922" s="114"/>
      <c r="F922" s="117"/>
      <c r="G922" s="108"/>
      <c r="H922" s="108"/>
      <c r="I922" s="119"/>
      <c r="J922" s="119"/>
      <c r="K922" s="120"/>
      <c r="L922" s="114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  <c r="AA922" s="120"/>
    </row>
    <row r="923">
      <c r="A923" s="120"/>
      <c r="B923" s="115"/>
      <c r="C923" s="108"/>
      <c r="D923" s="109"/>
      <c r="E923" s="114"/>
      <c r="F923" s="117"/>
      <c r="G923" s="108"/>
      <c r="H923" s="108"/>
      <c r="I923" s="119"/>
      <c r="J923" s="119"/>
      <c r="K923" s="120"/>
      <c r="L923" s="114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  <c r="AA923" s="120"/>
    </row>
    <row r="924">
      <c r="A924" s="120"/>
      <c r="B924" s="115"/>
      <c r="C924" s="108"/>
      <c r="D924" s="109"/>
      <c r="E924" s="114"/>
      <c r="F924" s="117"/>
      <c r="G924" s="108"/>
      <c r="H924" s="108"/>
      <c r="I924" s="119"/>
      <c r="J924" s="119"/>
      <c r="K924" s="120"/>
      <c r="L924" s="114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  <c r="AA924" s="120"/>
    </row>
    <row r="925">
      <c r="A925" s="120"/>
      <c r="B925" s="115"/>
      <c r="C925" s="108"/>
      <c r="D925" s="109"/>
      <c r="E925" s="114"/>
      <c r="F925" s="117"/>
      <c r="G925" s="108"/>
      <c r="H925" s="108"/>
      <c r="I925" s="119"/>
      <c r="J925" s="119"/>
      <c r="K925" s="120"/>
      <c r="L925" s="114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  <c r="AA925" s="120"/>
    </row>
    <row r="926">
      <c r="A926" s="120"/>
      <c r="B926" s="115"/>
      <c r="C926" s="108"/>
      <c r="D926" s="109"/>
      <c r="E926" s="114"/>
      <c r="F926" s="117"/>
      <c r="G926" s="108"/>
      <c r="H926" s="108"/>
      <c r="I926" s="119"/>
      <c r="J926" s="119"/>
      <c r="K926" s="120"/>
      <c r="L926" s="114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  <c r="AA926" s="120"/>
    </row>
    <row r="927">
      <c r="A927" s="120"/>
      <c r="B927" s="115"/>
      <c r="C927" s="108"/>
      <c r="D927" s="109"/>
      <c r="E927" s="114"/>
      <c r="F927" s="117"/>
      <c r="G927" s="108"/>
      <c r="H927" s="108"/>
      <c r="I927" s="119"/>
      <c r="J927" s="119"/>
      <c r="K927" s="120"/>
      <c r="L927" s="114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  <c r="AA927" s="120"/>
    </row>
    <row r="928">
      <c r="A928" s="120"/>
      <c r="B928" s="115"/>
      <c r="C928" s="108"/>
      <c r="D928" s="109"/>
      <c r="E928" s="114"/>
      <c r="F928" s="117"/>
      <c r="G928" s="108"/>
      <c r="H928" s="108"/>
      <c r="I928" s="119"/>
      <c r="J928" s="119"/>
      <c r="K928" s="120"/>
      <c r="L928" s="114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  <c r="AA928" s="120"/>
    </row>
    <row r="929">
      <c r="A929" s="120"/>
      <c r="B929" s="115"/>
      <c r="C929" s="108"/>
      <c r="D929" s="109"/>
      <c r="E929" s="114"/>
      <c r="F929" s="117"/>
      <c r="G929" s="108"/>
      <c r="H929" s="108"/>
      <c r="I929" s="119"/>
      <c r="J929" s="119"/>
      <c r="K929" s="120"/>
      <c r="L929" s="114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  <c r="AA929" s="120"/>
    </row>
    <row r="930">
      <c r="A930" s="120"/>
      <c r="B930" s="115"/>
      <c r="C930" s="108"/>
      <c r="D930" s="109"/>
      <c r="E930" s="114"/>
      <c r="F930" s="117"/>
      <c r="G930" s="108"/>
      <c r="H930" s="108"/>
      <c r="I930" s="119"/>
      <c r="J930" s="119"/>
      <c r="K930" s="120"/>
      <c r="L930" s="114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  <c r="AA930" s="120"/>
    </row>
    <row r="931">
      <c r="A931" s="120"/>
      <c r="B931" s="115"/>
      <c r="C931" s="108"/>
      <c r="D931" s="109"/>
      <c r="E931" s="114"/>
      <c r="F931" s="117"/>
      <c r="G931" s="108"/>
      <c r="H931" s="108"/>
      <c r="I931" s="119"/>
      <c r="J931" s="119"/>
      <c r="K931" s="120"/>
      <c r="L931" s="114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  <c r="AA931" s="120"/>
    </row>
    <row r="932">
      <c r="A932" s="120"/>
      <c r="B932" s="115"/>
      <c r="C932" s="108"/>
      <c r="D932" s="109"/>
      <c r="E932" s="114"/>
      <c r="F932" s="117"/>
      <c r="G932" s="108"/>
      <c r="H932" s="108"/>
      <c r="I932" s="119"/>
      <c r="J932" s="119"/>
      <c r="K932" s="120"/>
      <c r="L932" s="114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  <c r="AA932" s="120"/>
    </row>
    <row r="933">
      <c r="A933" s="120"/>
      <c r="B933" s="115"/>
      <c r="C933" s="108"/>
      <c r="D933" s="109"/>
      <c r="E933" s="114"/>
      <c r="F933" s="117"/>
      <c r="G933" s="108"/>
      <c r="H933" s="108"/>
      <c r="I933" s="119"/>
      <c r="J933" s="119"/>
      <c r="K933" s="120"/>
      <c r="L933" s="114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  <c r="AA933" s="120"/>
    </row>
    <row r="934">
      <c r="A934" s="120"/>
      <c r="B934" s="115"/>
      <c r="C934" s="108"/>
      <c r="D934" s="109"/>
      <c r="E934" s="114"/>
      <c r="F934" s="117"/>
      <c r="G934" s="108"/>
      <c r="H934" s="108"/>
      <c r="I934" s="119"/>
      <c r="J934" s="119"/>
      <c r="K934" s="120"/>
      <c r="L934" s="114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  <c r="AA934" s="120"/>
    </row>
    <row r="935">
      <c r="A935" s="120"/>
      <c r="B935" s="115"/>
      <c r="C935" s="108"/>
      <c r="D935" s="109"/>
      <c r="E935" s="114"/>
      <c r="F935" s="117"/>
      <c r="G935" s="108"/>
      <c r="H935" s="108"/>
      <c r="I935" s="119"/>
      <c r="J935" s="119"/>
      <c r="K935" s="120"/>
      <c r="L935" s="114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  <c r="AA935" s="120"/>
    </row>
    <row r="936">
      <c r="A936" s="120"/>
      <c r="B936" s="115"/>
      <c r="C936" s="108"/>
      <c r="D936" s="109"/>
      <c r="E936" s="114"/>
      <c r="F936" s="117"/>
      <c r="G936" s="108"/>
      <c r="H936" s="108"/>
      <c r="I936" s="119"/>
      <c r="J936" s="119"/>
      <c r="K936" s="120"/>
      <c r="L936" s="114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  <c r="AA936" s="120"/>
    </row>
    <row r="937">
      <c r="A937" s="120"/>
      <c r="B937" s="115"/>
      <c r="C937" s="108"/>
      <c r="D937" s="109"/>
      <c r="E937" s="114"/>
      <c r="F937" s="117"/>
      <c r="G937" s="108"/>
      <c r="H937" s="108"/>
      <c r="I937" s="119"/>
      <c r="J937" s="119"/>
      <c r="K937" s="120"/>
      <c r="L937" s="114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  <c r="AA937" s="120"/>
    </row>
    <row r="938">
      <c r="A938" s="120"/>
      <c r="B938" s="115"/>
      <c r="C938" s="108"/>
      <c r="D938" s="109"/>
      <c r="E938" s="114"/>
      <c r="F938" s="117"/>
      <c r="G938" s="108"/>
      <c r="H938" s="108"/>
      <c r="I938" s="119"/>
      <c r="J938" s="119"/>
      <c r="K938" s="120"/>
      <c r="L938" s="114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  <c r="AA938" s="120"/>
    </row>
    <row r="939">
      <c r="A939" s="120"/>
      <c r="B939" s="115"/>
      <c r="C939" s="108"/>
      <c r="D939" s="109"/>
      <c r="E939" s="114"/>
      <c r="F939" s="117"/>
      <c r="G939" s="108"/>
      <c r="H939" s="108"/>
      <c r="I939" s="119"/>
      <c r="J939" s="119"/>
      <c r="K939" s="120"/>
      <c r="L939" s="114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  <c r="AA939" s="120"/>
    </row>
    <row r="940">
      <c r="A940" s="120"/>
      <c r="B940" s="115"/>
      <c r="C940" s="108"/>
      <c r="D940" s="109"/>
      <c r="E940" s="114"/>
      <c r="F940" s="117"/>
      <c r="G940" s="108"/>
      <c r="H940" s="108"/>
      <c r="I940" s="119"/>
      <c r="J940" s="119"/>
      <c r="K940" s="120"/>
      <c r="L940" s="114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  <c r="AA940" s="120"/>
    </row>
    <row r="941">
      <c r="A941" s="120"/>
      <c r="B941" s="115"/>
      <c r="C941" s="108"/>
      <c r="D941" s="109"/>
      <c r="E941" s="114"/>
      <c r="F941" s="117"/>
      <c r="G941" s="108"/>
      <c r="H941" s="108"/>
      <c r="I941" s="119"/>
      <c r="J941" s="119"/>
      <c r="K941" s="120"/>
      <c r="L941" s="114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  <c r="AA941" s="120"/>
    </row>
    <row r="942">
      <c r="A942" s="120"/>
      <c r="B942" s="115"/>
      <c r="C942" s="108"/>
      <c r="D942" s="109"/>
      <c r="E942" s="114"/>
      <c r="F942" s="117"/>
      <c r="G942" s="108"/>
      <c r="H942" s="108"/>
      <c r="I942" s="119"/>
      <c r="J942" s="119"/>
      <c r="K942" s="120"/>
      <c r="L942" s="114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  <c r="AA942" s="120"/>
    </row>
    <row r="943">
      <c r="A943" s="120"/>
      <c r="B943" s="115"/>
      <c r="C943" s="108"/>
      <c r="D943" s="109"/>
      <c r="E943" s="114"/>
      <c r="F943" s="117"/>
      <c r="G943" s="108"/>
      <c r="H943" s="108"/>
      <c r="I943" s="119"/>
      <c r="J943" s="119"/>
      <c r="K943" s="120"/>
      <c r="L943" s="114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  <c r="AA943" s="120"/>
    </row>
    <row r="944">
      <c r="A944" s="120"/>
      <c r="B944" s="115"/>
      <c r="C944" s="108"/>
      <c r="D944" s="109"/>
      <c r="E944" s="114"/>
      <c r="F944" s="117"/>
      <c r="G944" s="108"/>
      <c r="H944" s="108"/>
      <c r="I944" s="119"/>
      <c r="J944" s="119"/>
      <c r="K944" s="120"/>
      <c r="L944" s="114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  <c r="AA944" s="120"/>
    </row>
    <row r="945">
      <c r="A945" s="120"/>
      <c r="B945" s="115"/>
      <c r="C945" s="108"/>
      <c r="D945" s="109"/>
      <c r="E945" s="114"/>
      <c r="F945" s="117"/>
      <c r="G945" s="108"/>
      <c r="H945" s="108"/>
      <c r="I945" s="119"/>
      <c r="J945" s="119"/>
      <c r="K945" s="120"/>
      <c r="L945" s="114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  <c r="AA945" s="120"/>
    </row>
    <row r="946">
      <c r="A946" s="120"/>
      <c r="B946" s="115"/>
      <c r="C946" s="108"/>
      <c r="D946" s="109"/>
      <c r="E946" s="114"/>
      <c r="F946" s="117"/>
      <c r="G946" s="108"/>
      <c r="H946" s="108"/>
      <c r="I946" s="119"/>
      <c r="J946" s="119"/>
      <c r="K946" s="120"/>
      <c r="L946" s="114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  <c r="AA946" s="120"/>
    </row>
    <row r="947">
      <c r="A947" s="120"/>
      <c r="B947" s="115"/>
      <c r="C947" s="108"/>
      <c r="D947" s="109"/>
      <c r="E947" s="114"/>
      <c r="F947" s="117"/>
      <c r="G947" s="108"/>
      <c r="H947" s="108"/>
      <c r="I947" s="119"/>
      <c r="J947" s="119"/>
      <c r="K947" s="120"/>
      <c r="L947" s="114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  <c r="AA947" s="120"/>
    </row>
    <row r="948">
      <c r="A948" s="120"/>
      <c r="B948" s="115"/>
      <c r="C948" s="108"/>
      <c r="D948" s="109"/>
      <c r="E948" s="114"/>
      <c r="F948" s="117"/>
      <c r="G948" s="108"/>
      <c r="H948" s="108"/>
      <c r="I948" s="119"/>
      <c r="J948" s="119"/>
      <c r="K948" s="120"/>
      <c r="L948" s="114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  <c r="AA948" s="120"/>
    </row>
    <row r="949">
      <c r="A949" s="120"/>
      <c r="B949" s="115"/>
      <c r="C949" s="108"/>
      <c r="D949" s="109"/>
      <c r="E949" s="114"/>
      <c r="F949" s="117"/>
      <c r="G949" s="108"/>
      <c r="H949" s="108"/>
      <c r="I949" s="119"/>
      <c r="J949" s="119"/>
      <c r="K949" s="120"/>
      <c r="L949" s="114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  <c r="AA949" s="120"/>
    </row>
    <row r="950">
      <c r="A950" s="120"/>
      <c r="B950" s="115"/>
      <c r="C950" s="108"/>
      <c r="D950" s="109"/>
      <c r="E950" s="114"/>
      <c r="F950" s="117"/>
      <c r="G950" s="108"/>
      <c r="H950" s="108"/>
      <c r="I950" s="119"/>
      <c r="J950" s="119"/>
      <c r="K950" s="120"/>
      <c r="L950" s="114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  <c r="AA950" s="120"/>
    </row>
    <row r="951">
      <c r="A951" s="120"/>
      <c r="B951" s="115"/>
      <c r="C951" s="108"/>
      <c r="D951" s="109"/>
      <c r="E951" s="114"/>
      <c r="F951" s="117"/>
      <c r="G951" s="108"/>
      <c r="H951" s="108"/>
      <c r="I951" s="119"/>
      <c r="J951" s="119"/>
      <c r="K951" s="120"/>
      <c r="L951" s="114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  <c r="AA951" s="120"/>
    </row>
    <row r="952">
      <c r="A952" s="120"/>
      <c r="B952" s="115"/>
      <c r="C952" s="108"/>
      <c r="D952" s="109"/>
      <c r="E952" s="114"/>
      <c r="F952" s="117"/>
      <c r="G952" s="108"/>
      <c r="H952" s="108"/>
      <c r="I952" s="119"/>
      <c r="J952" s="119"/>
      <c r="K952" s="120"/>
      <c r="L952" s="114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  <c r="AA952" s="120"/>
    </row>
    <row r="953">
      <c r="A953" s="120"/>
      <c r="B953" s="115"/>
      <c r="C953" s="108"/>
      <c r="D953" s="109"/>
      <c r="E953" s="114"/>
      <c r="F953" s="117"/>
      <c r="G953" s="108"/>
      <c r="H953" s="108"/>
      <c r="I953" s="119"/>
      <c r="J953" s="119"/>
      <c r="K953" s="120"/>
      <c r="L953" s="114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  <c r="AA953" s="120"/>
    </row>
    <row r="954">
      <c r="A954" s="120"/>
      <c r="B954" s="115"/>
      <c r="C954" s="108"/>
      <c r="D954" s="109"/>
      <c r="E954" s="114"/>
      <c r="F954" s="117"/>
      <c r="G954" s="108"/>
      <c r="H954" s="108"/>
      <c r="I954" s="119"/>
      <c r="J954" s="119"/>
      <c r="K954" s="120"/>
      <c r="L954" s="114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  <c r="AA954" s="120"/>
    </row>
    <row r="955">
      <c r="A955" s="120"/>
      <c r="B955" s="115"/>
      <c r="C955" s="108"/>
      <c r="D955" s="109"/>
      <c r="E955" s="114"/>
      <c r="F955" s="117"/>
      <c r="G955" s="108"/>
      <c r="H955" s="108"/>
      <c r="I955" s="119"/>
      <c r="J955" s="119"/>
      <c r="K955" s="120"/>
      <c r="L955" s="114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  <c r="AA955" s="120"/>
    </row>
    <row r="956">
      <c r="A956" s="120"/>
      <c r="B956" s="115"/>
      <c r="C956" s="108"/>
      <c r="D956" s="109"/>
      <c r="E956" s="114"/>
      <c r="F956" s="117"/>
      <c r="G956" s="108"/>
      <c r="H956" s="108"/>
      <c r="I956" s="119"/>
      <c r="J956" s="119"/>
      <c r="K956" s="120"/>
      <c r="L956" s="114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  <c r="AA956" s="120"/>
    </row>
    <row r="957">
      <c r="A957" s="120"/>
      <c r="B957" s="115"/>
      <c r="C957" s="108"/>
      <c r="D957" s="109"/>
      <c r="E957" s="114"/>
      <c r="F957" s="117"/>
      <c r="G957" s="108"/>
      <c r="H957" s="108"/>
      <c r="I957" s="119"/>
      <c r="J957" s="119"/>
      <c r="K957" s="120"/>
      <c r="L957" s="114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  <c r="AA957" s="120"/>
    </row>
    <row r="958">
      <c r="A958" s="120"/>
      <c r="B958" s="115"/>
      <c r="C958" s="108"/>
      <c r="D958" s="109"/>
      <c r="E958" s="114"/>
      <c r="F958" s="117"/>
      <c r="G958" s="108"/>
      <c r="H958" s="108"/>
      <c r="I958" s="119"/>
      <c r="J958" s="119"/>
      <c r="K958" s="120"/>
      <c r="L958" s="114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  <c r="AA958" s="120"/>
    </row>
    <row r="959">
      <c r="A959" s="120"/>
      <c r="B959" s="115"/>
      <c r="C959" s="108"/>
      <c r="D959" s="109"/>
      <c r="E959" s="114"/>
      <c r="F959" s="117"/>
      <c r="G959" s="108"/>
      <c r="H959" s="108"/>
      <c r="I959" s="119"/>
      <c r="J959" s="119"/>
      <c r="K959" s="120"/>
      <c r="L959" s="114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  <c r="AA959" s="120"/>
    </row>
    <row r="960">
      <c r="A960" s="120"/>
      <c r="B960" s="115"/>
      <c r="C960" s="108"/>
      <c r="D960" s="109"/>
      <c r="E960" s="114"/>
      <c r="F960" s="117"/>
      <c r="G960" s="108"/>
      <c r="H960" s="108"/>
      <c r="I960" s="119"/>
      <c r="J960" s="119"/>
      <c r="K960" s="120"/>
      <c r="L960" s="114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  <c r="AA960" s="120"/>
    </row>
    <row r="961">
      <c r="A961" s="120"/>
      <c r="B961" s="115"/>
      <c r="C961" s="108"/>
      <c r="D961" s="109"/>
      <c r="E961" s="114"/>
      <c r="F961" s="117"/>
      <c r="G961" s="108"/>
      <c r="H961" s="108"/>
      <c r="I961" s="119"/>
      <c r="J961" s="119"/>
      <c r="K961" s="120"/>
      <c r="L961" s="114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  <c r="AA961" s="120"/>
    </row>
    <row r="962">
      <c r="A962" s="120"/>
      <c r="B962" s="115"/>
      <c r="C962" s="108"/>
      <c r="D962" s="109"/>
      <c r="E962" s="114"/>
      <c r="F962" s="117"/>
      <c r="G962" s="108"/>
      <c r="H962" s="108"/>
      <c r="I962" s="119"/>
      <c r="J962" s="119"/>
      <c r="K962" s="120"/>
      <c r="L962" s="114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  <c r="AA962" s="120"/>
    </row>
    <row r="963">
      <c r="A963" s="120"/>
      <c r="B963" s="115"/>
      <c r="C963" s="108"/>
      <c r="D963" s="109"/>
      <c r="E963" s="114"/>
      <c r="F963" s="117"/>
      <c r="G963" s="108"/>
      <c r="H963" s="108"/>
      <c r="I963" s="119"/>
      <c r="J963" s="119"/>
      <c r="K963" s="120"/>
      <c r="L963" s="114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  <c r="AA963" s="120"/>
    </row>
    <row r="964">
      <c r="A964" s="120"/>
      <c r="B964" s="115"/>
      <c r="C964" s="108"/>
      <c r="D964" s="109"/>
      <c r="E964" s="114"/>
      <c r="F964" s="117"/>
      <c r="G964" s="108"/>
      <c r="H964" s="108"/>
      <c r="I964" s="119"/>
      <c r="J964" s="119"/>
      <c r="K964" s="120"/>
      <c r="L964" s="114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  <c r="AA964" s="120"/>
    </row>
    <row r="965">
      <c r="A965" s="120"/>
      <c r="B965" s="115"/>
      <c r="C965" s="108"/>
      <c r="D965" s="109"/>
      <c r="E965" s="114"/>
      <c r="F965" s="117"/>
      <c r="G965" s="108"/>
      <c r="H965" s="108"/>
      <c r="I965" s="119"/>
      <c r="J965" s="119"/>
      <c r="K965" s="120"/>
      <c r="L965" s="114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  <c r="AA965" s="120"/>
    </row>
    <row r="966">
      <c r="A966" s="120"/>
      <c r="B966" s="115"/>
      <c r="C966" s="108"/>
      <c r="D966" s="109"/>
      <c r="E966" s="114"/>
      <c r="F966" s="117"/>
      <c r="G966" s="108"/>
      <c r="H966" s="108"/>
      <c r="I966" s="119"/>
      <c r="J966" s="119"/>
      <c r="K966" s="120"/>
      <c r="L966" s="114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  <c r="AA966" s="120"/>
    </row>
    <row r="967">
      <c r="A967" s="120"/>
      <c r="B967" s="115"/>
      <c r="C967" s="108"/>
      <c r="D967" s="109"/>
      <c r="E967" s="114"/>
      <c r="F967" s="117"/>
      <c r="G967" s="108"/>
      <c r="H967" s="108"/>
      <c r="I967" s="119"/>
      <c r="J967" s="119"/>
      <c r="K967" s="120"/>
      <c r="L967" s="114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  <c r="AA967" s="120"/>
    </row>
    <row r="968">
      <c r="A968" s="120"/>
      <c r="B968" s="115"/>
      <c r="C968" s="108"/>
      <c r="D968" s="109"/>
      <c r="E968" s="114"/>
      <c r="F968" s="117"/>
      <c r="G968" s="108"/>
      <c r="H968" s="108"/>
      <c r="I968" s="119"/>
      <c r="J968" s="119"/>
      <c r="K968" s="120"/>
      <c r="L968" s="114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  <c r="AA968" s="120"/>
    </row>
    <row r="969">
      <c r="A969" s="120"/>
      <c r="B969" s="115"/>
      <c r="C969" s="108"/>
      <c r="D969" s="109"/>
      <c r="E969" s="114"/>
      <c r="F969" s="117"/>
      <c r="G969" s="108"/>
      <c r="H969" s="108"/>
      <c r="I969" s="119"/>
      <c r="J969" s="119"/>
      <c r="K969" s="120"/>
      <c r="L969" s="114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  <c r="AA969" s="120"/>
    </row>
    <row r="970">
      <c r="A970" s="120"/>
      <c r="B970" s="115"/>
      <c r="C970" s="108"/>
      <c r="D970" s="109"/>
      <c r="E970" s="114"/>
      <c r="F970" s="117"/>
      <c r="G970" s="108"/>
      <c r="H970" s="108"/>
      <c r="I970" s="119"/>
      <c r="J970" s="119"/>
      <c r="K970" s="120"/>
      <c r="L970" s="114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  <c r="AA970" s="120"/>
    </row>
    <row r="971">
      <c r="A971" s="120"/>
      <c r="B971" s="115"/>
      <c r="C971" s="108"/>
      <c r="D971" s="109"/>
      <c r="E971" s="114"/>
      <c r="F971" s="117"/>
      <c r="G971" s="108"/>
      <c r="H971" s="108"/>
      <c r="I971" s="119"/>
      <c r="J971" s="119"/>
      <c r="K971" s="120"/>
      <c r="L971" s="114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  <c r="AA971" s="120"/>
    </row>
    <row r="972">
      <c r="A972" s="120"/>
      <c r="B972" s="115"/>
      <c r="C972" s="108"/>
      <c r="D972" s="109"/>
      <c r="E972" s="114"/>
      <c r="F972" s="117"/>
      <c r="G972" s="108"/>
      <c r="H972" s="108"/>
      <c r="I972" s="119"/>
      <c r="J972" s="119"/>
      <c r="K972" s="120"/>
      <c r="L972" s="114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  <c r="AA972" s="120"/>
    </row>
    <row r="973">
      <c r="A973" s="120"/>
      <c r="B973" s="115"/>
      <c r="C973" s="108"/>
      <c r="D973" s="109"/>
      <c r="E973" s="114"/>
      <c r="F973" s="117"/>
      <c r="G973" s="108"/>
      <c r="H973" s="108"/>
      <c r="I973" s="119"/>
      <c r="J973" s="119"/>
      <c r="K973" s="120"/>
      <c r="L973" s="114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  <c r="AA973" s="120"/>
    </row>
    <row r="974">
      <c r="A974" s="120"/>
      <c r="B974" s="115"/>
      <c r="C974" s="108"/>
      <c r="D974" s="109"/>
      <c r="E974" s="114"/>
      <c r="F974" s="117"/>
      <c r="G974" s="108"/>
      <c r="H974" s="108"/>
      <c r="I974" s="119"/>
      <c r="J974" s="119"/>
      <c r="K974" s="120"/>
      <c r="L974" s="114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  <c r="AA974" s="120"/>
    </row>
    <row r="975">
      <c r="A975" s="120"/>
      <c r="B975" s="115"/>
      <c r="C975" s="108"/>
      <c r="D975" s="109"/>
      <c r="E975" s="114"/>
      <c r="F975" s="117"/>
      <c r="G975" s="108"/>
      <c r="H975" s="108"/>
      <c r="I975" s="119"/>
      <c r="J975" s="119"/>
      <c r="K975" s="120"/>
      <c r="L975" s="114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  <c r="AA975" s="120"/>
    </row>
    <row r="976">
      <c r="A976" s="120"/>
      <c r="B976" s="115"/>
      <c r="C976" s="108"/>
      <c r="D976" s="109"/>
      <c r="E976" s="114"/>
      <c r="F976" s="117"/>
      <c r="G976" s="108"/>
      <c r="H976" s="108"/>
      <c r="I976" s="119"/>
      <c r="J976" s="119"/>
      <c r="K976" s="120"/>
      <c r="L976" s="114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  <c r="AA976" s="120"/>
    </row>
    <row r="977">
      <c r="A977" s="120"/>
      <c r="B977" s="115"/>
      <c r="C977" s="108"/>
      <c r="D977" s="109"/>
      <c r="E977" s="114"/>
      <c r="F977" s="117"/>
      <c r="G977" s="108"/>
      <c r="H977" s="108"/>
      <c r="I977" s="119"/>
      <c r="J977" s="119"/>
      <c r="K977" s="120"/>
      <c r="L977" s="114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  <c r="AA977" s="120"/>
    </row>
    <row r="978">
      <c r="A978" s="120"/>
      <c r="B978" s="115"/>
      <c r="C978" s="108"/>
      <c r="D978" s="109"/>
      <c r="E978" s="114"/>
      <c r="F978" s="117"/>
      <c r="G978" s="108"/>
      <c r="H978" s="108"/>
      <c r="I978" s="119"/>
      <c r="J978" s="119"/>
      <c r="K978" s="120"/>
      <c r="L978" s="114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  <c r="AA978" s="120"/>
    </row>
    <row r="979">
      <c r="A979" s="120"/>
      <c r="B979" s="115"/>
      <c r="C979" s="108"/>
      <c r="D979" s="109"/>
      <c r="E979" s="114"/>
      <c r="F979" s="117"/>
      <c r="G979" s="108"/>
      <c r="H979" s="108"/>
      <c r="I979" s="119"/>
      <c r="J979" s="119"/>
      <c r="K979" s="120"/>
      <c r="L979" s="114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  <c r="AA979" s="120"/>
    </row>
    <row r="980">
      <c r="A980" s="120"/>
      <c r="B980" s="115"/>
      <c r="C980" s="108"/>
      <c r="D980" s="109"/>
      <c r="E980" s="114"/>
      <c r="F980" s="117"/>
      <c r="G980" s="108"/>
      <c r="H980" s="108"/>
      <c r="I980" s="119"/>
      <c r="J980" s="119"/>
      <c r="K980" s="120"/>
      <c r="L980" s="114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  <c r="AA980" s="120"/>
    </row>
    <row r="981">
      <c r="A981" s="120"/>
      <c r="B981" s="115"/>
      <c r="C981" s="108"/>
      <c r="D981" s="109"/>
      <c r="E981" s="114"/>
      <c r="F981" s="117"/>
      <c r="G981" s="108"/>
      <c r="H981" s="108"/>
      <c r="I981" s="119"/>
      <c r="J981" s="119"/>
      <c r="K981" s="120"/>
      <c r="L981" s="114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  <c r="AA981" s="120"/>
    </row>
    <row r="982">
      <c r="A982" s="120"/>
      <c r="B982" s="115"/>
      <c r="C982" s="108"/>
      <c r="D982" s="109"/>
      <c r="E982" s="114"/>
      <c r="F982" s="117"/>
      <c r="G982" s="108"/>
      <c r="H982" s="108"/>
      <c r="I982" s="119"/>
      <c r="J982" s="119"/>
      <c r="K982" s="120"/>
      <c r="L982" s="114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  <c r="AA982" s="120"/>
    </row>
    <row r="983">
      <c r="A983" s="120"/>
      <c r="B983" s="115"/>
      <c r="C983" s="108"/>
      <c r="D983" s="109"/>
      <c r="E983" s="114"/>
      <c r="F983" s="117"/>
      <c r="G983" s="108"/>
      <c r="H983" s="108"/>
      <c r="I983" s="119"/>
      <c r="J983" s="119"/>
      <c r="K983" s="120"/>
      <c r="L983" s="114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  <c r="AA983" s="120"/>
    </row>
    <row r="984">
      <c r="A984" s="120"/>
      <c r="B984" s="115"/>
      <c r="C984" s="108"/>
      <c r="D984" s="109"/>
      <c r="E984" s="114"/>
      <c r="F984" s="117"/>
      <c r="G984" s="108"/>
      <c r="H984" s="108"/>
      <c r="I984" s="119"/>
      <c r="J984" s="119"/>
      <c r="K984" s="120"/>
      <c r="L984" s="114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  <c r="AA984" s="120"/>
    </row>
    <row r="985">
      <c r="A985" s="120"/>
      <c r="B985" s="115"/>
      <c r="C985" s="108"/>
      <c r="D985" s="109"/>
      <c r="E985" s="114"/>
      <c r="F985" s="117"/>
      <c r="G985" s="108"/>
      <c r="H985" s="108"/>
      <c r="I985" s="119"/>
      <c r="J985" s="119"/>
      <c r="K985" s="120"/>
      <c r="L985" s="114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  <c r="AA985" s="120"/>
    </row>
    <row r="986">
      <c r="A986" s="120"/>
      <c r="B986" s="115"/>
      <c r="C986" s="108"/>
      <c r="D986" s="109"/>
      <c r="E986" s="114"/>
      <c r="F986" s="117"/>
      <c r="G986" s="108"/>
      <c r="H986" s="108"/>
      <c r="I986" s="119"/>
      <c r="J986" s="119"/>
      <c r="K986" s="120"/>
      <c r="L986" s="114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  <c r="AA986" s="120"/>
    </row>
    <row r="987">
      <c r="A987" s="120"/>
      <c r="B987" s="115"/>
      <c r="C987" s="108"/>
      <c r="D987" s="109"/>
      <c r="E987" s="114"/>
      <c r="F987" s="117"/>
      <c r="G987" s="108"/>
      <c r="H987" s="108"/>
      <c r="I987" s="119"/>
      <c r="J987" s="119"/>
      <c r="K987" s="120"/>
      <c r="L987" s="114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  <c r="AA987" s="120"/>
    </row>
    <row r="988">
      <c r="A988" s="120"/>
      <c r="B988" s="115"/>
      <c r="C988" s="108"/>
      <c r="D988" s="109"/>
      <c r="E988" s="114"/>
      <c r="F988" s="117"/>
      <c r="G988" s="108"/>
      <c r="H988" s="108"/>
      <c r="I988" s="119"/>
      <c r="J988" s="119"/>
      <c r="K988" s="120"/>
      <c r="L988" s="114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  <c r="AA988" s="120"/>
    </row>
    <row r="989">
      <c r="A989" s="120"/>
      <c r="B989" s="115"/>
      <c r="C989" s="108"/>
      <c r="D989" s="109"/>
      <c r="E989" s="114"/>
      <c r="F989" s="117"/>
      <c r="G989" s="108"/>
      <c r="H989" s="108"/>
      <c r="I989" s="119"/>
      <c r="J989" s="119"/>
      <c r="K989" s="120"/>
      <c r="L989" s="114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  <c r="AA989" s="120"/>
    </row>
    <row r="990">
      <c r="A990" s="120"/>
      <c r="B990" s="115"/>
      <c r="C990" s="108"/>
      <c r="D990" s="109"/>
      <c r="E990" s="114"/>
      <c r="F990" s="117"/>
      <c r="G990" s="108"/>
      <c r="H990" s="108"/>
      <c r="I990" s="119"/>
      <c r="J990" s="119"/>
      <c r="K990" s="120"/>
      <c r="L990" s="114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  <c r="AA990" s="120"/>
    </row>
    <row r="991">
      <c r="A991" s="120"/>
      <c r="B991" s="115"/>
      <c r="C991" s="108"/>
      <c r="D991" s="109"/>
      <c r="E991" s="114"/>
      <c r="F991" s="117"/>
      <c r="G991" s="108"/>
      <c r="H991" s="108"/>
      <c r="I991" s="119"/>
      <c r="J991" s="119"/>
      <c r="K991" s="120"/>
      <c r="L991" s="114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  <c r="AA991" s="120"/>
    </row>
    <row r="992">
      <c r="A992" s="120"/>
      <c r="B992" s="115"/>
      <c r="C992" s="108"/>
      <c r="D992" s="109"/>
      <c r="E992" s="114"/>
      <c r="F992" s="117"/>
      <c r="G992" s="108"/>
      <c r="H992" s="108"/>
      <c r="I992" s="119"/>
      <c r="J992" s="119"/>
      <c r="K992" s="120"/>
      <c r="L992" s="114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  <c r="AA992" s="120"/>
    </row>
    <row r="993">
      <c r="A993" s="120"/>
      <c r="B993" s="115"/>
      <c r="C993" s="108"/>
      <c r="D993" s="109"/>
      <c r="E993" s="114"/>
      <c r="F993" s="117"/>
      <c r="G993" s="108"/>
      <c r="H993" s="108"/>
      <c r="I993" s="119"/>
      <c r="J993" s="119"/>
      <c r="K993" s="120"/>
      <c r="L993" s="114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  <c r="AA993" s="120"/>
    </row>
    <row r="994">
      <c r="A994" s="120"/>
      <c r="B994" s="115"/>
      <c r="C994" s="108"/>
      <c r="D994" s="109"/>
      <c r="E994" s="114"/>
      <c r="F994" s="117"/>
      <c r="G994" s="108"/>
      <c r="H994" s="108"/>
      <c r="I994" s="119"/>
      <c r="J994" s="119"/>
      <c r="K994" s="120"/>
      <c r="L994" s="114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  <c r="AA994" s="120"/>
    </row>
    <row r="995">
      <c r="A995" s="120"/>
      <c r="B995" s="115"/>
      <c r="C995" s="108"/>
      <c r="D995" s="109"/>
      <c r="E995" s="114"/>
      <c r="F995" s="117"/>
      <c r="G995" s="108"/>
      <c r="H995" s="108"/>
      <c r="I995" s="119"/>
      <c r="J995" s="119"/>
      <c r="K995" s="120"/>
      <c r="L995" s="114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  <c r="AA995" s="120"/>
    </row>
    <row r="996">
      <c r="A996" s="120"/>
      <c r="B996" s="115"/>
      <c r="C996" s="108"/>
      <c r="D996" s="109"/>
      <c r="E996" s="114"/>
      <c r="F996" s="117"/>
      <c r="G996" s="108"/>
      <c r="H996" s="108"/>
      <c r="I996" s="119"/>
      <c r="J996" s="119"/>
      <c r="K996" s="120"/>
      <c r="L996" s="114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  <c r="AA996" s="120"/>
    </row>
    <row r="997">
      <c r="A997" s="120"/>
      <c r="B997" s="115"/>
      <c r="C997" s="108"/>
      <c r="D997" s="109"/>
      <c r="E997" s="114"/>
      <c r="F997" s="117"/>
      <c r="G997" s="108"/>
      <c r="H997" s="108"/>
      <c r="I997" s="119"/>
      <c r="J997" s="119"/>
      <c r="K997" s="120"/>
      <c r="L997" s="114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  <c r="AA997" s="120"/>
    </row>
    <row r="998">
      <c r="A998" s="120"/>
      <c r="B998" s="115"/>
      <c r="C998" s="108"/>
      <c r="D998" s="109"/>
      <c r="E998" s="114"/>
      <c r="F998" s="117"/>
      <c r="G998" s="108"/>
      <c r="H998" s="108"/>
      <c r="I998" s="119"/>
      <c r="J998" s="119"/>
      <c r="K998" s="120"/>
      <c r="L998" s="114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  <c r="AA998" s="120"/>
    </row>
    <row r="999">
      <c r="A999" s="120"/>
      <c r="B999" s="115"/>
      <c r="C999" s="108"/>
      <c r="D999" s="109"/>
      <c r="E999" s="114"/>
      <c r="F999" s="117"/>
      <c r="G999" s="108"/>
      <c r="H999" s="108"/>
      <c r="I999" s="119"/>
      <c r="J999" s="119"/>
      <c r="K999" s="120"/>
      <c r="L999" s="114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  <c r="AA999" s="120"/>
    </row>
    <row r="1000">
      <c r="A1000" s="120"/>
      <c r="B1000" s="115"/>
      <c r="C1000" s="108"/>
      <c r="D1000" s="109"/>
      <c r="E1000" s="114"/>
      <c r="F1000" s="117"/>
      <c r="G1000" s="108"/>
      <c r="H1000" s="108"/>
      <c r="I1000" s="119"/>
      <c r="J1000" s="119"/>
      <c r="K1000" s="120"/>
      <c r="L1000" s="114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  <c r="AA1000" s="120"/>
    </row>
    <row r="1001">
      <c r="A1001" s="120"/>
      <c r="B1001" s="115"/>
      <c r="C1001" s="108"/>
      <c r="D1001" s="109"/>
      <c r="E1001" s="114"/>
      <c r="F1001" s="117"/>
      <c r="G1001" s="108"/>
      <c r="H1001" s="108"/>
      <c r="I1001" s="119"/>
      <c r="J1001" s="119"/>
      <c r="K1001" s="120"/>
      <c r="L1001" s="114"/>
      <c r="M1001" s="120"/>
      <c r="N1001" s="120"/>
      <c r="O1001" s="120"/>
      <c r="P1001" s="120"/>
      <c r="Q1001" s="120"/>
      <c r="R1001" s="120"/>
      <c r="S1001" s="120"/>
      <c r="T1001" s="120"/>
      <c r="U1001" s="120"/>
      <c r="V1001" s="120"/>
      <c r="W1001" s="120"/>
      <c r="X1001" s="120"/>
      <c r="Y1001" s="120"/>
      <c r="Z1001" s="120"/>
      <c r="AA1001" s="120"/>
    </row>
    <row r="1002">
      <c r="A1002" s="120"/>
      <c r="B1002" s="115"/>
      <c r="C1002" s="108"/>
      <c r="D1002" s="109"/>
      <c r="E1002" s="114"/>
      <c r="F1002" s="117"/>
      <c r="G1002" s="108"/>
      <c r="H1002" s="108"/>
      <c r="I1002" s="119"/>
      <c r="J1002" s="119"/>
      <c r="K1002" s="120"/>
      <c r="L1002" s="114"/>
      <c r="M1002" s="120"/>
      <c r="N1002" s="120"/>
      <c r="O1002" s="120"/>
      <c r="P1002" s="120"/>
      <c r="Q1002" s="120"/>
      <c r="R1002" s="120"/>
      <c r="S1002" s="120"/>
      <c r="T1002" s="120"/>
      <c r="U1002" s="120"/>
      <c r="V1002" s="120"/>
      <c r="W1002" s="120"/>
      <c r="X1002" s="120"/>
      <c r="Y1002" s="120"/>
      <c r="Z1002" s="120"/>
      <c r="AA1002" s="120"/>
    </row>
    <row r="1003">
      <c r="A1003" s="120"/>
      <c r="B1003" s="115"/>
      <c r="C1003" s="108"/>
      <c r="D1003" s="109"/>
      <c r="E1003" s="114"/>
      <c r="F1003" s="117"/>
      <c r="G1003" s="108"/>
      <c r="H1003" s="108"/>
      <c r="I1003" s="119"/>
      <c r="J1003" s="119"/>
      <c r="K1003" s="120"/>
      <c r="L1003" s="114"/>
      <c r="M1003" s="120"/>
      <c r="N1003" s="120"/>
      <c r="O1003" s="120"/>
      <c r="P1003" s="120"/>
      <c r="Q1003" s="120"/>
      <c r="R1003" s="120"/>
      <c r="S1003" s="120"/>
      <c r="T1003" s="120"/>
      <c r="U1003" s="120"/>
      <c r="V1003" s="120"/>
      <c r="W1003" s="120"/>
      <c r="X1003" s="120"/>
      <c r="Y1003" s="120"/>
      <c r="Z1003" s="120"/>
      <c r="AA1003" s="120"/>
    </row>
    <row r="1004">
      <c r="A1004" s="120"/>
      <c r="B1004" s="115"/>
      <c r="C1004" s="108"/>
      <c r="D1004" s="109"/>
      <c r="E1004" s="114"/>
      <c r="F1004" s="117"/>
      <c r="G1004" s="108"/>
      <c r="H1004" s="108"/>
      <c r="I1004" s="119"/>
      <c r="J1004" s="119"/>
      <c r="K1004" s="120"/>
      <c r="L1004" s="114"/>
      <c r="M1004" s="120"/>
      <c r="N1004" s="120"/>
      <c r="O1004" s="120"/>
      <c r="P1004" s="120"/>
      <c r="Q1004" s="120"/>
      <c r="R1004" s="120"/>
      <c r="S1004" s="120"/>
      <c r="T1004" s="120"/>
      <c r="U1004" s="120"/>
      <c r="V1004" s="120"/>
      <c r="W1004" s="120"/>
      <c r="X1004" s="120"/>
      <c r="Y1004" s="120"/>
      <c r="Z1004" s="120"/>
      <c r="AA1004" s="120"/>
    </row>
    <row r="1005">
      <c r="A1005" s="120"/>
      <c r="B1005" s="115"/>
      <c r="C1005" s="108"/>
      <c r="D1005" s="109"/>
      <c r="E1005" s="114"/>
      <c r="F1005" s="117"/>
      <c r="G1005" s="108"/>
      <c r="H1005" s="108"/>
      <c r="I1005" s="119"/>
      <c r="J1005" s="119"/>
      <c r="K1005" s="120"/>
      <c r="L1005" s="114"/>
      <c r="M1005" s="120"/>
      <c r="N1005" s="120"/>
      <c r="O1005" s="120"/>
      <c r="P1005" s="120"/>
      <c r="Q1005" s="120"/>
      <c r="R1005" s="120"/>
      <c r="S1005" s="120"/>
      <c r="T1005" s="120"/>
      <c r="U1005" s="120"/>
      <c r="V1005" s="120"/>
      <c r="W1005" s="120"/>
      <c r="X1005" s="120"/>
      <c r="Y1005" s="120"/>
      <c r="Z1005" s="120"/>
      <c r="AA1005" s="120"/>
    </row>
    <row r="1006">
      <c r="A1006" s="120"/>
      <c r="B1006" s="115"/>
      <c r="C1006" s="108"/>
      <c r="D1006" s="109"/>
      <c r="E1006" s="114"/>
      <c r="F1006" s="117"/>
      <c r="G1006" s="108"/>
      <c r="H1006" s="108"/>
      <c r="I1006" s="119"/>
      <c r="J1006" s="119"/>
      <c r="K1006" s="120"/>
      <c r="L1006" s="114"/>
      <c r="M1006" s="120"/>
      <c r="N1006" s="120"/>
      <c r="O1006" s="120"/>
      <c r="P1006" s="120"/>
      <c r="Q1006" s="120"/>
      <c r="R1006" s="120"/>
      <c r="S1006" s="120"/>
      <c r="T1006" s="120"/>
      <c r="U1006" s="120"/>
      <c r="V1006" s="120"/>
      <c r="W1006" s="120"/>
      <c r="X1006" s="120"/>
      <c r="Y1006" s="120"/>
      <c r="Z1006" s="120"/>
      <c r="AA1006" s="120"/>
    </row>
    <row r="1007">
      <c r="A1007" s="120"/>
      <c r="B1007" s="115"/>
      <c r="C1007" s="108"/>
      <c r="D1007" s="109"/>
      <c r="E1007" s="114"/>
      <c r="F1007" s="117"/>
      <c r="G1007" s="108"/>
      <c r="H1007" s="108"/>
      <c r="I1007" s="119"/>
      <c r="J1007" s="119"/>
      <c r="K1007" s="120"/>
      <c r="L1007" s="114"/>
      <c r="M1007" s="120"/>
      <c r="N1007" s="120"/>
      <c r="O1007" s="120"/>
      <c r="P1007" s="120"/>
      <c r="Q1007" s="120"/>
      <c r="R1007" s="120"/>
      <c r="S1007" s="120"/>
      <c r="T1007" s="120"/>
      <c r="U1007" s="120"/>
      <c r="V1007" s="120"/>
      <c r="W1007" s="120"/>
      <c r="X1007" s="120"/>
      <c r="Y1007" s="120"/>
      <c r="Z1007" s="120"/>
      <c r="AA1007" s="120"/>
    </row>
    <row r="1008">
      <c r="A1008" s="120"/>
      <c r="B1008" s="115"/>
      <c r="C1008" s="108"/>
      <c r="D1008" s="109"/>
      <c r="E1008" s="114"/>
      <c r="F1008" s="117"/>
      <c r="G1008" s="108"/>
      <c r="H1008" s="108"/>
      <c r="I1008" s="119"/>
      <c r="J1008" s="119"/>
      <c r="K1008" s="120"/>
      <c r="L1008" s="114"/>
      <c r="M1008" s="120"/>
      <c r="N1008" s="120"/>
      <c r="O1008" s="120"/>
      <c r="P1008" s="120"/>
      <c r="Q1008" s="120"/>
      <c r="R1008" s="120"/>
      <c r="S1008" s="120"/>
      <c r="T1008" s="120"/>
      <c r="U1008" s="120"/>
      <c r="V1008" s="120"/>
      <c r="W1008" s="120"/>
      <c r="X1008" s="120"/>
      <c r="Y1008" s="120"/>
      <c r="Z1008" s="120"/>
      <c r="AA1008" s="120"/>
    </row>
    <row r="1009">
      <c r="A1009" s="120"/>
      <c r="B1009" s="115"/>
      <c r="C1009" s="108"/>
      <c r="D1009" s="109"/>
      <c r="E1009" s="114"/>
      <c r="F1009" s="117"/>
      <c r="G1009" s="108"/>
      <c r="H1009" s="108"/>
      <c r="I1009" s="119"/>
      <c r="J1009" s="119"/>
      <c r="K1009" s="120"/>
      <c r="L1009" s="114"/>
      <c r="M1009" s="120"/>
      <c r="N1009" s="120"/>
      <c r="O1009" s="120"/>
      <c r="P1009" s="120"/>
      <c r="Q1009" s="120"/>
      <c r="R1009" s="120"/>
      <c r="S1009" s="120"/>
      <c r="T1009" s="120"/>
      <c r="U1009" s="120"/>
      <c r="V1009" s="120"/>
      <c r="W1009" s="120"/>
      <c r="X1009" s="120"/>
      <c r="Y1009" s="120"/>
      <c r="Z1009" s="120"/>
      <c r="AA1009" s="120"/>
    </row>
    <row r="1010">
      <c r="A1010" s="120"/>
      <c r="B1010" s="115"/>
      <c r="C1010" s="108"/>
      <c r="D1010" s="109"/>
      <c r="E1010" s="114"/>
      <c r="F1010" s="117"/>
      <c r="G1010" s="108"/>
      <c r="H1010" s="108"/>
      <c r="I1010" s="119"/>
      <c r="J1010" s="119"/>
      <c r="K1010" s="120"/>
      <c r="L1010" s="114"/>
      <c r="M1010" s="120"/>
      <c r="N1010" s="120"/>
      <c r="O1010" s="120"/>
      <c r="P1010" s="120"/>
      <c r="Q1010" s="120"/>
      <c r="R1010" s="120"/>
      <c r="S1010" s="120"/>
      <c r="T1010" s="120"/>
      <c r="U1010" s="120"/>
      <c r="V1010" s="120"/>
      <c r="W1010" s="120"/>
      <c r="X1010" s="120"/>
      <c r="Y1010" s="120"/>
      <c r="Z1010" s="120"/>
      <c r="AA1010" s="120"/>
    </row>
    <row r="1011">
      <c r="A1011" s="120"/>
      <c r="B1011" s="115"/>
      <c r="C1011" s="108"/>
      <c r="D1011" s="109"/>
      <c r="E1011" s="114"/>
      <c r="F1011" s="117"/>
      <c r="G1011" s="108"/>
      <c r="H1011" s="108"/>
      <c r="I1011" s="119"/>
      <c r="J1011" s="119"/>
      <c r="K1011" s="120"/>
      <c r="L1011" s="114"/>
      <c r="M1011" s="120"/>
      <c r="N1011" s="120"/>
      <c r="O1011" s="120"/>
      <c r="P1011" s="120"/>
      <c r="Q1011" s="120"/>
      <c r="R1011" s="120"/>
      <c r="S1011" s="120"/>
      <c r="T1011" s="120"/>
      <c r="U1011" s="120"/>
      <c r="V1011" s="120"/>
      <c r="W1011" s="120"/>
      <c r="X1011" s="120"/>
      <c r="Y1011" s="120"/>
      <c r="Z1011" s="120"/>
      <c r="AA1011" s="120"/>
    </row>
    <row r="1012">
      <c r="A1012" s="120"/>
      <c r="B1012" s="115"/>
      <c r="C1012" s="108"/>
      <c r="D1012" s="109"/>
      <c r="E1012" s="114"/>
      <c r="F1012" s="117"/>
      <c r="G1012" s="108"/>
      <c r="H1012" s="108"/>
      <c r="I1012" s="119"/>
      <c r="J1012" s="119"/>
      <c r="K1012" s="120"/>
      <c r="L1012" s="114"/>
      <c r="M1012" s="120"/>
      <c r="N1012" s="120"/>
      <c r="O1012" s="120"/>
      <c r="P1012" s="120"/>
      <c r="Q1012" s="120"/>
      <c r="R1012" s="120"/>
      <c r="S1012" s="120"/>
      <c r="T1012" s="120"/>
      <c r="U1012" s="120"/>
      <c r="V1012" s="120"/>
      <c r="W1012" s="120"/>
      <c r="X1012" s="120"/>
      <c r="Y1012" s="120"/>
      <c r="Z1012" s="120"/>
      <c r="AA1012" s="120"/>
    </row>
    <row r="1013">
      <c r="A1013" s="120"/>
      <c r="B1013" s="115"/>
      <c r="C1013" s="108"/>
      <c r="D1013" s="109"/>
      <c r="E1013" s="114"/>
      <c r="F1013" s="117"/>
      <c r="G1013" s="108"/>
      <c r="H1013" s="108"/>
      <c r="I1013" s="119"/>
      <c r="J1013" s="119"/>
      <c r="K1013" s="120"/>
      <c r="L1013" s="114"/>
      <c r="M1013" s="120"/>
      <c r="N1013" s="120"/>
      <c r="O1013" s="120"/>
      <c r="P1013" s="120"/>
      <c r="Q1013" s="120"/>
      <c r="R1013" s="120"/>
      <c r="S1013" s="120"/>
      <c r="T1013" s="120"/>
      <c r="U1013" s="120"/>
      <c r="V1013" s="120"/>
      <c r="W1013" s="120"/>
      <c r="X1013" s="120"/>
      <c r="Y1013" s="120"/>
      <c r="Z1013" s="120"/>
      <c r="AA1013" s="120"/>
    </row>
    <row r="1014">
      <c r="A1014" s="120"/>
      <c r="B1014" s="115"/>
      <c r="C1014" s="108"/>
      <c r="D1014" s="109"/>
      <c r="E1014" s="114"/>
      <c r="F1014" s="117"/>
      <c r="G1014" s="108"/>
      <c r="H1014" s="108"/>
      <c r="I1014" s="119"/>
      <c r="J1014" s="119"/>
      <c r="K1014" s="120"/>
      <c r="L1014" s="114"/>
      <c r="M1014" s="120"/>
      <c r="N1014" s="120"/>
      <c r="O1014" s="120"/>
      <c r="P1014" s="120"/>
      <c r="Q1014" s="120"/>
      <c r="R1014" s="120"/>
      <c r="S1014" s="120"/>
      <c r="T1014" s="120"/>
      <c r="U1014" s="120"/>
      <c r="V1014" s="120"/>
      <c r="W1014" s="120"/>
      <c r="X1014" s="120"/>
      <c r="Y1014" s="120"/>
      <c r="Z1014" s="120"/>
      <c r="AA1014" s="120"/>
    </row>
    <row r="1015">
      <c r="A1015" s="120"/>
      <c r="B1015" s="115"/>
      <c r="C1015" s="108"/>
      <c r="D1015" s="109"/>
      <c r="E1015" s="114"/>
      <c r="F1015" s="117"/>
      <c r="G1015" s="108"/>
      <c r="H1015" s="108"/>
      <c r="I1015" s="119"/>
      <c r="J1015" s="119"/>
      <c r="K1015" s="120"/>
      <c r="L1015" s="114"/>
      <c r="M1015" s="120"/>
      <c r="N1015" s="120"/>
      <c r="O1015" s="120"/>
      <c r="P1015" s="120"/>
      <c r="Q1015" s="120"/>
      <c r="R1015" s="120"/>
      <c r="S1015" s="120"/>
      <c r="T1015" s="120"/>
      <c r="U1015" s="120"/>
      <c r="V1015" s="120"/>
      <c r="W1015" s="120"/>
      <c r="X1015" s="120"/>
      <c r="Y1015" s="120"/>
      <c r="Z1015" s="120"/>
      <c r="AA1015" s="120"/>
    </row>
    <row r="1016">
      <c r="A1016" s="120"/>
      <c r="B1016" s="115"/>
      <c r="C1016" s="108"/>
      <c r="D1016" s="109"/>
      <c r="E1016" s="114"/>
      <c r="F1016" s="117"/>
      <c r="G1016" s="108"/>
      <c r="H1016" s="108"/>
      <c r="I1016" s="119"/>
      <c r="J1016" s="119"/>
      <c r="K1016" s="120"/>
      <c r="L1016" s="114"/>
      <c r="M1016" s="120"/>
      <c r="N1016" s="120"/>
      <c r="O1016" s="120"/>
      <c r="P1016" s="120"/>
      <c r="Q1016" s="120"/>
      <c r="R1016" s="120"/>
      <c r="S1016" s="120"/>
      <c r="T1016" s="120"/>
      <c r="U1016" s="120"/>
      <c r="V1016" s="120"/>
      <c r="W1016" s="120"/>
      <c r="X1016" s="120"/>
      <c r="Y1016" s="120"/>
      <c r="Z1016" s="120"/>
      <c r="AA1016" s="120"/>
    </row>
    <row r="1017">
      <c r="A1017" s="120"/>
      <c r="B1017" s="115"/>
      <c r="C1017" s="108"/>
      <c r="D1017" s="109"/>
      <c r="E1017" s="114"/>
      <c r="F1017" s="117"/>
      <c r="G1017" s="108"/>
      <c r="H1017" s="108"/>
      <c r="I1017" s="119"/>
      <c r="J1017" s="119"/>
      <c r="K1017" s="120"/>
      <c r="L1017" s="114"/>
      <c r="M1017" s="120"/>
      <c r="N1017" s="120"/>
      <c r="O1017" s="120"/>
      <c r="P1017" s="120"/>
      <c r="Q1017" s="120"/>
      <c r="R1017" s="120"/>
      <c r="S1017" s="120"/>
      <c r="T1017" s="120"/>
      <c r="U1017" s="120"/>
      <c r="V1017" s="120"/>
      <c r="W1017" s="120"/>
      <c r="X1017" s="120"/>
      <c r="Y1017" s="120"/>
      <c r="Z1017" s="120"/>
      <c r="AA1017" s="120"/>
    </row>
    <row r="1018">
      <c r="A1018" s="120"/>
      <c r="B1018" s="115"/>
      <c r="C1018" s="108"/>
      <c r="D1018" s="109"/>
      <c r="E1018" s="114"/>
      <c r="F1018" s="117"/>
      <c r="G1018" s="108"/>
      <c r="H1018" s="108"/>
      <c r="I1018" s="119"/>
      <c r="J1018" s="119"/>
      <c r="K1018" s="120"/>
      <c r="L1018" s="114"/>
      <c r="M1018" s="120"/>
      <c r="N1018" s="120"/>
      <c r="O1018" s="120"/>
      <c r="P1018" s="120"/>
      <c r="Q1018" s="120"/>
      <c r="R1018" s="120"/>
      <c r="S1018" s="120"/>
      <c r="T1018" s="120"/>
      <c r="U1018" s="120"/>
      <c r="V1018" s="120"/>
      <c r="W1018" s="120"/>
      <c r="X1018" s="120"/>
      <c r="Y1018" s="120"/>
      <c r="Z1018" s="120"/>
      <c r="AA1018" s="120"/>
    </row>
    <row r="1019">
      <c r="A1019" s="120"/>
      <c r="B1019" s="115"/>
      <c r="C1019" s="108"/>
      <c r="D1019" s="109"/>
      <c r="E1019" s="114"/>
      <c r="F1019" s="117"/>
      <c r="G1019" s="108"/>
      <c r="H1019" s="108"/>
      <c r="I1019" s="119"/>
      <c r="J1019" s="119"/>
      <c r="K1019" s="120"/>
      <c r="L1019" s="114"/>
      <c r="M1019" s="120"/>
      <c r="N1019" s="120"/>
      <c r="O1019" s="120"/>
      <c r="P1019" s="120"/>
      <c r="Q1019" s="120"/>
      <c r="R1019" s="120"/>
      <c r="S1019" s="120"/>
      <c r="T1019" s="120"/>
      <c r="U1019" s="120"/>
      <c r="V1019" s="120"/>
      <c r="W1019" s="120"/>
      <c r="X1019" s="120"/>
      <c r="Y1019" s="120"/>
      <c r="Z1019" s="120"/>
      <c r="AA1019" s="120"/>
    </row>
    <row r="1020">
      <c r="A1020" s="120"/>
      <c r="B1020" s="115"/>
      <c r="C1020" s="108"/>
      <c r="D1020" s="109"/>
      <c r="E1020" s="114"/>
      <c r="F1020" s="117"/>
      <c r="G1020" s="108"/>
      <c r="H1020" s="108"/>
      <c r="I1020" s="119"/>
      <c r="J1020" s="119"/>
      <c r="K1020" s="120"/>
      <c r="L1020" s="114"/>
      <c r="M1020" s="120"/>
      <c r="N1020" s="120"/>
      <c r="O1020" s="120"/>
      <c r="P1020" s="120"/>
      <c r="Q1020" s="120"/>
      <c r="R1020" s="120"/>
      <c r="S1020" s="120"/>
      <c r="T1020" s="120"/>
      <c r="U1020" s="120"/>
      <c r="V1020" s="120"/>
      <c r="W1020" s="120"/>
      <c r="X1020" s="120"/>
      <c r="Y1020" s="120"/>
      <c r="Z1020" s="120"/>
      <c r="AA1020" s="120"/>
    </row>
    <row r="1021">
      <c r="A1021" s="120"/>
      <c r="B1021" s="115"/>
      <c r="C1021" s="108"/>
      <c r="D1021" s="109"/>
      <c r="E1021" s="114"/>
      <c r="F1021" s="117"/>
      <c r="G1021" s="108"/>
      <c r="H1021" s="108"/>
      <c r="I1021" s="119"/>
      <c r="J1021" s="119"/>
      <c r="K1021" s="120"/>
      <c r="L1021" s="114"/>
      <c r="M1021" s="120"/>
      <c r="N1021" s="120"/>
      <c r="O1021" s="120"/>
      <c r="P1021" s="120"/>
      <c r="Q1021" s="120"/>
      <c r="R1021" s="120"/>
      <c r="S1021" s="120"/>
      <c r="T1021" s="120"/>
      <c r="U1021" s="120"/>
      <c r="V1021" s="120"/>
      <c r="W1021" s="120"/>
      <c r="X1021" s="120"/>
      <c r="Y1021" s="120"/>
      <c r="Z1021" s="120"/>
      <c r="AA1021" s="120"/>
    </row>
    <row r="1022">
      <c r="A1022" s="120"/>
      <c r="B1022" s="115"/>
      <c r="C1022" s="108"/>
      <c r="D1022" s="109"/>
      <c r="E1022" s="114"/>
      <c r="F1022" s="117"/>
      <c r="G1022" s="108"/>
      <c r="H1022" s="108"/>
      <c r="I1022" s="119"/>
      <c r="J1022" s="119"/>
      <c r="K1022" s="120"/>
      <c r="L1022" s="114"/>
      <c r="M1022" s="120"/>
      <c r="N1022" s="120"/>
      <c r="O1022" s="120"/>
      <c r="P1022" s="120"/>
      <c r="Q1022" s="120"/>
      <c r="R1022" s="120"/>
      <c r="S1022" s="120"/>
      <c r="T1022" s="120"/>
      <c r="U1022" s="120"/>
      <c r="V1022" s="120"/>
      <c r="W1022" s="120"/>
      <c r="X1022" s="120"/>
      <c r="Y1022" s="120"/>
      <c r="Z1022" s="120"/>
      <c r="AA1022" s="120"/>
    </row>
    <row r="1023">
      <c r="A1023" s="120"/>
      <c r="B1023" s="115"/>
      <c r="C1023" s="108"/>
      <c r="D1023" s="109"/>
      <c r="E1023" s="114"/>
      <c r="F1023" s="117"/>
      <c r="G1023" s="108"/>
      <c r="H1023" s="108"/>
      <c r="I1023" s="119"/>
      <c r="J1023" s="119"/>
      <c r="K1023" s="120"/>
      <c r="L1023" s="114"/>
      <c r="M1023" s="120"/>
      <c r="N1023" s="120"/>
      <c r="O1023" s="120"/>
      <c r="P1023" s="120"/>
      <c r="Q1023" s="120"/>
      <c r="R1023" s="120"/>
      <c r="S1023" s="120"/>
      <c r="T1023" s="120"/>
      <c r="U1023" s="120"/>
      <c r="V1023" s="120"/>
      <c r="W1023" s="120"/>
      <c r="X1023" s="120"/>
      <c r="Y1023" s="120"/>
      <c r="Z1023" s="120"/>
      <c r="AA1023" s="120"/>
    </row>
    <row r="1024">
      <c r="A1024" s="120"/>
      <c r="B1024" s="115"/>
      <c r="C1024" s="108"/>
      <c r="D1024" s="109"/>
      <c r="E1024" s="114"/>
      <c r="F1024" s="117"/>
      <c r="G1024" s="108"/>
      <c r="H1024" s="108"/>
      <c r="I1024" s="119"/>
      <c r="J1024" s="119"/>
      <c r="K1024" s="120"/>
      <c r="L1024" s="114"/>
      <c r="M1024" s="120"/>
      <c r="N1024" s="120"/>
      <c r="O1024" s="120"/>
      <c r="P1024" s="120"/>
      <c r="Q1024" s="120"/>
      <c r="R1024" s="120"/>
      <c r="S1024" s="120"/>
      <c r="T1024" s="120"/>
      <c r="U1024" s="120"/>
      <c r="V1024" s="120"/>
      <c r="W1024" s="120"/>
      <c r="X1024" s="120"/>
      <c r="Y1024" s="120"/>
      <c r="Z1024" s="120"/>
      <c r="AA1024" s="120"/>
    </row>
    <row r="1025">
      <c r="A1025" s="120"/>
      <c r="B1025" s="115"/>
      <c r="C1025" s="108"/>
      <c r="D1025" s="109"/>
      <c r="E1025" s="114"/>
      <c r="F1025" s="117"/>
      <c r="G1025" s="108"/>
      <c r="H1025" s="108"/>
      <c r="I1025" s="119"/>
      <c r="J1025" s="119"/>
      <c r="K1025" s="120"/>
      <c r="L1025" s="114"/>
      <c r="M1025" s="120"/>
      <c r="N1025" s="120"/>
      <c r="O1025" s="120"/>
      <c r="P1025" s="120"/>
      <c r="Q1025" s="120"/>
      <c r="R1025" s="120"/>
      <c r="S1025" s="120"/>
      <c r="T1025" s="120"/>
      <c r="U1025" s="120"/>
      <c r="V1025" s="120"/>
      <c r="W1025" s="120"/>
      <c r="X1025" s="120"/>
      <c r="Y1025" s="120"/>
      <c r="Z1025" s="120"/>
      <c r="AA1025" s="120"/>
    </row>
    <row r="1026">
      <c r="A1026" s="120"/>
      <c r="B1026" s="115"/>
      <c r="C1026" s="108"/>
      <c r="D1026" s="109"/>
      <c r="E1026" s="114"/>
      <c r="F1026" s="117"/>
      <c r="G1026" s="108"/>
      <c r="H1026" s="108"/>
      <c r="I1026" s="119"/>
      <c r="J1026" s="119"/>
      <c r="K1026" s="120"/>
      <c r="L1026" s="114"/>
      <c r="M1026" s="120"/>
      <c r="N1026" s="120"/>
      <c r="O1026" s="120"/>
      <c r="P1026" s="120"/>
      <c r="Q1026" s="120"/>
      <c r="R1026" s="120"/>
      <c r="S1026" s="120"/>
      <c r="T1026" s="120"/>
      <c r="U1026" s="120"/>
      <c r="V1026" s="120"/>
      <c r="W1026" s="120"/>
      <c r="X1026" s="120"/>
      <c r="Y1026" s="120"/>
      <c r="Z1026" s="120"/>
      <c r="AA1026" s="120"/>
    </row>
    <row r="1027">
      <c r="A1027" s="120"/>
      <c r="B1027" s="115"/>
      <c r="C1027" s="108"/>
      <c r="D1027" s="109"/>
      <c r="E1027" s="114"/>
      <c r="F1027" s="117"/>
      <c r="G1027" s="108"/>
      <c r="H1027" s="108"/>
      <c r="I1027" s="119"/>
      <c r="J1027" s="119"/>
      <c r="K1027" s="120"/>
      <c r="L1027" s="114"/>
      <c r="M1027" s="120"/>
      <c r="N1027" s="120"/>
      <c r="O1027" s="120"/>
      <c r="P1027" s="120"/>
      <c r="Q1027" s="120"/>
      <c r="R1027" s="120"/>
      <c r="S1027" s="120"/>
      <c r="T1027" s="120"/>
      <c r="U1027" s="120"/>
      <c r="V1027" s="120"/>
      <c r="W1027" s="120"/>
      <c r="X1027" s="120"/>
      <c r="Y1027" s="120"/>
      <c r="Z1027" s="120"/>
      <c r="AA1027" s="120"/>
    </row>
    <row r="1028">
      <c r="A1028" s="120"/>
      <c r="B1028" s="115"/>
      <c r="C1028" s="108"/>
      <c r="D1028" s="109"/>
      <c r="E1028" s="114"/>
      <c r="F1028" s="117"/>
      <c r="G1028" s="108"/>
      <c r="H1028" s="108"/>
      <c r="I1028" s="119"/>
      <c r="J1028" s="119"/>
      <c r="K1028" s="120"/>
      <c r="L1028" s="114"/>
      <c r="M1028" s="120"/>
      <c r="N1028" s="120"/>
      <c r="O1028" s="120"/>
      <c r="P1028" s="120"/>
      <c r="Q1028" s="120"/>
      <c r="R1028" s="120"/>
      <c r="S1028" s="120"/>
      <c r="T1028" s="120"/>
      <c r="U1028" s="120"/>
      <c r="V1028" s="120"/>
      <c r="W1028" s="120"/>
      <c r="X1028" s="120"/>
      <c r="Y1028" s="120"/>
      <c r="Z1028" s="120"/>
      <c r="AA1028" s="120"/>
    </row>
    <row r="1029">
      <c r="A1029" s="120"/>
      <c r="B1029" s="115"/>
      <c r="C1029" s="108"/>
      <c r="D1029" s="109"/>
      <c r="E1029" s="114"/>
      <c r="F1029" s="117"/>
      <c r="G1029" s="108"/>
      <c r="H1029" s="108"/>
      <c r="I1029" s="119"/>
      <c r="J1029" s="119"/>
      <c r="K1029" s="120"/>
      <c r="L1029" s="114"/>
      <c r="M1029" s="120"/>
      <c r="N1029" s="120"/>
      <c r="O1029" s="120"/>
      <c r="P1029" s="120"/>
      <c r="Q1029" s="120"/>
      <c r="R1029" s="120"/>
      <c r="S1029" s="120"/>
      <c r="T1029" s="120"/>
      <c r="U1029" s="120"/>
      <c r="V1029" s="120"/>
      <c r="W1029" s="120"/>
      <c r="X1029" s="120"/>
      <c r="Y1029" s="120"/>
      <c r="Z1029" s="120"/>
      <c r="AA1029" s="120"/>
    </row>
    <row r="1030">
      <c r="A1030" s="120"/>
      <c r="B1030" s="115"/>
      <c r="C1030" s="108"/>
      <c r="D1030" s="109"/>
      <c r="E1030" s="114"/>
      <c r="F1030" s="117"/>
      <c r="G1030" s="108"/>
      <c r="H1030" s="108"/>
      <c r="I1030" s="119"/>
      <c r="J1030" s="119"/>
      <c r="K1030" s="120"/>
      <c r="L1030" s="114"/>
      <c r="M1030" s="120"/>
      <c r="N1030" s="120"/>
      <c r="O1030" s="120"/>
      <c r="P1030" s="120"/>
      <c r="Q1030" s="120"/>
      <c r="R1030" s="120"/>
      <c r="S1030" s="120"/>
      <c r="T1030" s="120"/>
      <c r="U1030" s="120"/>
      <c r="V1030" s="120"/>
      <c r="W1030" s="120"/>
      <c r="X1030" s="120"/>
      <c r="Y1030" s="120"/>
      <c r="Z1030" s="120"/>
      <c r="AA1030" s="120"/>
    </row>
    <row r="1031">
      <c r="A1031" s="120"/>
      <c r="B1031" s="115"/>
      <c r="C1031" s="108"/>
      <c r="D1031" s="109"/>
      <c r="E1031" s="114"/>
      <c r="F1031" s="117"/>
      <c r="G1031" s="108"/>
      <c r="H1031" s="108"/>
      <c r="I1031" s="119"/>
      <c r="J1031" s="119"/>
      <c r="K1031" s="120"/>
      <c r="L1031" s="114"/>
      <c r="M1031" s="120"/>
      <c r="N1031" s="120"/>
      <c r="O1031" s="120"/>
      <c r="P1031" s="120"/>
      <c r="Q1031" s="120"/>
      <c r="R1031" s="120"/>
      <c r="S1031" s="120"/>
      <c r="T1031" s="120"/>
      <c r="U1031" s="120"/>
      <c r="V1031" s="120"/>
      <c r="W1031" s="120"/>
      <c r="X1031" s="120"/>
      <c r="Y1031" s="120"/>
      <c r="Z1031" s="120"/>
      <c r="AA1031" s="120"/>
    </row>
    <row r="1032">
      <c r="A1032" s="120"/>
      <c r="B1032" s="115"/>
      <c r="C1032" s="108"/>
      <c r="D1032" s="109"/>
      <c r="E1032" s="114"/>
      <c r="F1032" s="117"/>
      <c r="G1032" s="108"/>
      <c r="H1032" s="108"/>
      <c r="I1032" s="119"/>
      <c r="J1032" s="119"/>
      <c r="K1032" s="120"/>
      <c r="L1032" s="114"/>
      <c r="M1032" s="120"/>
      <c r="N1032" s="120"/>
      <c r="O1032" s="120"/>
      <c r="P1032" s="120"/>
      <c r="Q1032" s="120"/>
      <c r="R1032" s="120"/>
      <c r="S1032" s="120"/>
      <c r="T1032" s="120"/>
      <c r="U1032" s="120"/>
      <c r="V1032" s="120"/>
      <c r="W1032" s="120"/>
      <c r="X1032" s="120"/>
      <c r="Y1032" s="120"/>
      <c r="Z1032" s="120"/>
      <c r="AA1032" s="120"/>
    </row>
    <row r="1033">
      <c r="A1033" s="120"/>
      <c r="B1033" s="115"/>
      <c r="C1033" s="108"/>
      <c r="D1033" s="109"/>
      <c r="E1033" s="114"/>
      <c r="F1033" s="117"/>
      <c r="G1033" s="108"/>
      <c r="H1033" s="108"/>
      <c r="I1033" s="119"/>
      <c r="J1033" s="119"/>
      <c r="K1033" s="120"/>
      <c r="L1033" s="114"/>
      <c r="M1033" s="120"/>
      <c r="N1033" s="120"/>
      <c r="O1033" s="120"/>
      <c r="P1033" s="120"/>
      <c r="Q1033" s="120"/>
      <c r="R1033" s="120"/>
      <c r="S1033" s="120"/>
      <c r="T1033" s="120"/>
      <c r="U1033" s="120"/>
      <c r="V1033" s="120"/>
      <c r="W1033" s="120"/>
      <c r="X1033" s="120"/>
      <c r="Y1033" s="120"/>
      <c r="Z1033" s="120"/>
      <c r="AA1033" s="120"/>
    </row>
    <row r="1034">
      <c r="A1034" s="120"/>
      <c r="B1034" s="115"/>
      <c r="C1034" s="108"/>
      <c r="D1034" s="109"/>
      <c r="E1034" s="114"/>
      <c r="F1034" s="117"/>
      <c r="G1034" s="108"/>
      <c r="H1034" s="108"/>
      <c r="I1034" s="119"/>
      <c r="J1034" s="119"/>
      <c r="K1034" s="120"/>
      <c r="L1034" s="114"/>
      <c r="M1034" s="120"/>
      <c r="N1034" s="120"/>
      <c r="O1034" s="120"/>
      <c r="P1034" s="120"/>
      <c r="Q1034" s="120"/>
      <c r="R1034" s="120"/>
      <c r="S1034" s="120"/>
      <c r="T1034" s="120"/>
      <c r="U1034" s="120"/>
      <c r="V1034" s="120"/>
      <c r="W1034" s="120"/>
      <c r="X1034" s="120"/>
      <c r="Y1034" s="120"/>
      <c r="Z1034" s="120"/>
      <c r="AA1034" s="120"/>
    </row>
    <row r="1035">
      <c r="A1035" s="120"/>
      <c r="B1035" s="115"/>
      <c r="C1035" s="108"/>
      <c r="D1035" s="109"/>
      <c r="E1035" s="114"/>
      <c r="F1035" s="117"/>
      <c r="G1035" s="108"/>
      <c r="H1035" s="108"/>
      <c r="I1035" s="119"/>
      <c r="J1035" s="119"/>
      <c r="K1035" s="120"/>
      <c r="L1035" s="114"/>
      <c r="M1035" s="120"/>
      <c r="N1035" s="120"/>
      <c r="O1035" s="120"/>
      <c r="P1035" s="120"/>
      <c r="Q1035" s="120"/>
      <c r="R1035" s="120"/>
      <c r="S1035" s="120"/>
      <c r="T1035" s="120"/>
      <c r="U1035" s="120"/>
      <c r="V1035" s="120"/>
      <c r="W1035" s="120"/>
      <c r="X1035" s="120"/>
      <c r="Y1035" s="120"/>
      <c r="Z1035" s="120"/>
      <c r="AA1035" s="120"/>
    </row>
    <row r="1036">
      <c r="A1036" s="120"/>
      <c r="B1036" s="115"/>
      <c r="C1036" s="108"/>
      <c r="D1036" s="109"/>
      <c r="E1036" s="114"/>
      <c r="F1036" s="117"/>
      <c r="G1036" s="108"/>
      <c r="H1036" s="108"/>
      <c r="I1036" s="119"/>
      <c r="J1036" s="119"/>
      <c r="K1036" s="120"/>
      <c r="L1036" s="114"/>
      <c r="M1036" s="120"/>
      <c r="N1036" s="120"/>
      <c r="O1036" s="120"/>
      <c r="P1036" s="120"/>
      <c r="Q1036" s="120"/>
      <c r="R1036" s="120"/>
      <c r="S1036" s="120"/>
      <c r="T1036" s="120"/>
      <c r="U1036" s="120"/>
      <c r="V1036" s="120"/>
      <c r="W1036" s="120"/>
      <c r="X1036" s="120"/>
      <c r="Y1036" s="120"/>
      <c r="Z1036" s="120"/>
      <c r="AA1036" s="120"/>
    </row>
    <row r="1037">
      <c r="A1037" s="120"/>
      <c r="B1037" s="115"/>
      <c r="C1037" s="108"/>
      <c r="D1037" s="109"/>
      <c r="E1037" s="114"/>
      <c r="F1037" s="117"/>
      <c r="G1037" s="108"/>
      <c r="H1037" s="108"/>
      <c r="I1037" s="119"/>
      <c r="J1037" s="119"/>
      <c r="K1037" s="120"/>
      <c r="L1037" s="114"/>
      <c r="M1037" s="120"/>
      <c r="N1037" s="120"/>
      <c r="O1037" s="120"/>
      <c r="P1037" s="120"/>
      <c r="Q1037" s="120"/>
      <c r="R1037" s="120"/>
      <c r="S1037" s="120"/>
      <c r="T1037" s="120"/>
      <c r="U1037" s="120"/>
      <c r="V1037" s="120"/>
      <c r="W1037" s="120"/>
      <c r="X1037" s="120"/>
      <c r="Y1037" s="120"/>
      <c r="Z1037" s="120"/>
      <c r="AA1037" s="120"/>
    </row>
    <row r="1038">
      <c r="A1038" s="120"/>
      <c r="B1038" s="115"/>
      <c r="C1038" s="108"/>
      <c r="D1038" s="109"/>
      <c r="E1038" s="114"/>
      <c r="F1038" s="117"/>
      <c r="G1038" s="108"/>
      <c r="H1038" s="108"/>
      <c r="I1038" s="119"/>
      <c r="J1038" s="119"/>
      <c r="K1038" s="120"/>
      <c r="L1038" s="114"/>
      <c r="M1038" s="120"/>
      <c r="N1038" s="120"/>
      <c r="O1038" s="120"/>
      <c r="P1038" s="120"/>
      <c r="Q1038" s="120"/>
      <c r="R1038" s="120"/>
      <c r="S1038" s="120"/>
      <c r="T1038" s="120"/>
      <c r="U1038" s="120"/>
      <c r="V1038" s="120"/>
      <c r="W1038" s="120"/>
      <c r="X1038" s="120"/>
      <c r="Y1038" s="120"/>
      <c r="Z1038" s="120"/>
      <c r="AA1038" s="120"/>
    </row>
    <row r="1039">
      <c r="A1039" s="120"/>
      <c r="B1039" s="115"/>
      <c r="C1039" s="108"/>
      <c r="D1039" s="109"/>
      <c r="E1039" s="114"/>
      <c r="F1039" s="117"/>
      <c r="G1039" s="108"/>
      <c r="H1039" s="108"/>
      <c r="I1039" s="119"/>
      <c r="J1039" s="119"/>
      <c r="K1039" s="120"/>
      <c r="L1039" s="114"/>
      <c r="M1039" s="120"/>
      <c r="N1039" s="120"/>
      <c r="O1039" s="120"/>
      <c r="P1039" s="120"/>
      <c r="Q1039" s="120"/>
      <c r="R1039" s="120"/>
      <c r="S1039" s="120"/>
      <c r="T1039" s="120"/>
      <c r="U1039" s="120"/>
      <c r="V1039" s="120"/>
      <c r="W1039" s="120"/>
      <c r="X1039" s="120"/>
      <c r="Y1039" s="120"/>
      <c r="Z1039" s="120"/>
      <c r="AA1039" s="120"/>
    </row>
    <row r="1040">
      <c r="A1040" s="120"/>
      <c r="B1040" s="115"/>
      <c r="C1040" s="108"/>
      <c r="D1040" s="109"/>
      <c r="E1040" s="114"/>
      <c r="F1040" s="117"/>
      <c r="G1040" s="108"/>
      <c r="H1040" s="108"/>
      <c r="I1040" s="119"/>
      <c r="J1040" s="119"/>
      <c r="K1040" s="120"/>
      <c r="L1040" s="114"/>
      <c r="M1040" s="120"/>
      <c r="N1040" s="120"/>
      <c r="O1040" s="120"/>
      <c r="P1040" s="120"/>
      <c r="Q1040" s="120"/>
      <c r="R1040" s="120"/>
      <c r="S1040" s="120"/>
      <c r="T1040" s="120"/>
      <c r="U1040" s="120"/>
      <c r="V1040" s="120"/>
      <c r="W1040" s="120"/>
      <c r="X1040" s="120"/>
      <c r="Y1040" s="120"/>
      <c r="Z1040" s="120"/>
      <c r="AA1040" s="120"/>
    </row>
    <row r="1041">
      <c r="A1041" s="120"/>
      <c r="B1041" s="115"/>
      <c r="C1041" s="108"/>
      <c r="D1041" s="109"/>
      <c r="E1041" s="114"/>
      <c r="F1041" s="117"/>
      <c r="G1041" s="108"/>
      <c r="H1041" s="108"/>
      <c r="I1041" s="119"/>
      <c r="J1041" s="119"/>
      <c r="K1041" s="120"/>
      <c r="L1041" s="114"/>
      <c r="M1041" s="120"/>
      <c r="N1041" s="120"/>
      <c r="O1041" s="120"/>
      <c r="P1041" s="120"/>
      <c r="Q1041" s="120"/>
      <c r="R1041" s="120"/>
      <c r="S1041" s="120"/>
      <c r="T1041" s="120"/>
      <c r="U1041" s="120"/>
      <c r="V1041" s="120"/>
      <c r="W1041" s="120"/>
      <c r="X1041" s="120"/>
      <c r="Y1041" s="120"/>
      <c r="Z1041" s="120"/>
      <c r="AA1041" s="120"/>
    </row>
    <row r="1042">
      <c r="A1042" s="120"/>
      <c r="B1042" s="115"/>
      <c r="C1042" s="108"/>
      <c r="D1042" s="109"/>
      <c r="E1042" s="114"/>
      <c r="F1042" s="117"/>
      <c r="G1042" s="108"/>
      <c r="H1042" s="108"/>
      <c r="I1042" s="119"/>
      <c r="J1042" s="119"/>
      <c r="K1042" s="120"/>
      <c r="L1042" s="114"/>
      <c r="M1042" s="120"/>
      <c r="N1042" s="120"/>
      <c r="O1042" s="120"/>
      <c r="P1042" s="120"/>
      <c r="Q1042" s="120"/>
      <c r="R1042" s="120"/>
      <c r="S1042" s="120"/>
      <c r="T1042" s="120"/>
      <c r="U1042" s="120"/>
      <c r="V1042" s="120"/>
      <c r="W1042" s="120"/>
      <c r="X1042" s="120"/>
      <c r="Y1042" s="120"/>
      <c r="Z1042" s="120"/>
      <c r="AA1042" s="120"/>
    </row>
    <row r="1043">
      <c r="A1043" s="120"/>
      <c r="B1043" s="115"/>
      <c r="C1043" s="108"/>
      <c r="D1043" s="109"/>
      <c r="E1043" s="114"/>
      <c r="F1043" s="117"/>
      <c r="G1043" s="108"/>
      <c r="H1043" s="108"/>
      <c r="I1043" s="119"/>
      <c r="J1043" s="119"/>
      <c r="K1043" s="120"/>
      <c r="L1043" s="114"/>
      <c r="M1043" s="120"/>
      <c r="N1043" s="120"/>
      <c r="O1043" s="120"/>
      <c r="P1043" s="120"/>
      <c r="Q1043" s="120"/>
      <c r="R1043" s="120"/>
      <c r="S1043" s="120"/>
      <c r="T1043" s="120"/>
      <c r="U1043" s="120"/>
      <c r="V1043" s="120"/>
      <c r="W1043" s="120"/>
      <c r="X1043" s="120"/>
      <c r="Y1043" s="120"/>
      <c r="Z1043" s="120"/>
      <c r="AA1043" s="120"/>
    </row>
    <row r="1044">
      <c r="A1044" s="120"/>
      <c r="B1044" s="115"/>
      <c r="C1044" s="108"/>
      <c r="D1044" s="109"/>
      <c r="E1044" s="114"/>
      <c r="F1044" s="117"/>
      <c r="G1044" s="108"/>
      <c r="H1044" s="108"/>
      <c r="I1044" s="119"/>
      <c r="J1044" s="119"/>
      <c r="K1044" s="120"/>
      <c r="L1044" s="114"/>
      <c r="M1044" s="120"/>
      <c r="N1044" s="120"/>
      <c r="O1044" s="120"/>
      <c r="P1044" s="120"/>
      <c r="Q1044" s="120"/>
      <c r="R1044" s="120"/>
      <c r="S1044" s="120"/>
      <c r="T1044" s="120"/>
      <c r="U1044" s="120"/>
      <c r="V1044" s="120"/>
      <c r="W1044" s="120"/>
      <c r="X1044" s="120"/>
      <c r="Y1044" s="120"/>
      <c r="Z1044" s="120"/>
      <c r="AA1044" s="120"/>
    </row>
    <row r="1045">
      <c r="A1045" s="120"/>
      <c r="B1045" s="115"/>
      <c r="C1045" s="108"/>
      <c r="D1045" s="109"/>
      <c r="E1045" s="114"/>
      <c r="F1045" s="117"/>
      <c r="G1045" s="108"/>
      <c r="H1045" s="108"/>
      <c r="I1045" s="119"/>
      <c r="J1045" s="119"/>
      <c r="K1045" s="120"/>
      <c r="L1045" s="114"/>
      <c r="M1045" s="120"/>
      <c r="N1045" s="120"/>
      <c r="O1045" s="120"/>
      <c r="P1045" s="120"/>
      <c r="Q1045" s="120"/>
      <c r="R1045" s="120"/>
      <c r="S1045" s="120"/>
      <c r="T1045" s="120"/>
      <c r="U1045" s="120"/>
      <c r="V1045" s="120"/>
      <c r="W1045" s="120"/>
      <c r="X1045" s="120"/>
      <c r="Y1045" s="120"/>
      <c r="Z1045" s="120"/>
      <c r="AA1045" s="120"/>
    </row>
    <row r="1046">
      <c r="A1046" s="120"/>
      <c r="B1046" s="115"/>
      <c r="C1046" s="108"/>
      <c r="D1046" s="109"/>
      <c r="E1046" s="114"/>
      <c r="F1046" s="117"/>
      <c r="G1046" s="108"/>
      <c r="H1046" s="108"/>
      <c r="I1046" s="119"/>
      <c r="J1046" s="119"/>
      <c r="K1046" s="120"/>
      <c r="L1046" s="114"/>
      <c r="M1046" s="120"/>
      <c r="N1046" s="120"/>
      <c r="O1046" s="120"/>
      <c r="P1046" s="120"/>
      <c r="Q1046" s="120"/>
      <c r="R1046" s="120"/>
      <c r="S1046" s="120"/>
      <c r="T1046" s="120"/>
      <c r="U1046" s="120"/>
      <c r="V1046" s="120"/>
      <c r="W1046" s="120"/>
      <c r="X1046" s="120"/>
      <c r="Y1046" s="120"/>
      <c r="Z1046" s="120"/>
      <c r="AA1046" s="120"/>
    </row>
    <row r="1047">
      <c r="A1047" s="120"/>
      <c r="B1047" s="115"/>
      <c r="C1047" s="108"/>
      <c r="D1047" s="109"/>
      <c r="E1047" s="114"/>
      <c r="F1047" s="117"/>
      <c r="G1047" s="108"/>
      <c r="H1047" s="108"/>
      <c r="I1047" s="119"/>
      <c r="J1047" s="119"/>
      <c r="K1047" s="120"/>
      <c r="L1047" s="114"/>
      <c r="M1047" s="120"/>
      <c r="N1047" s="120"/>
      <c r="O1047" s="120"/>
      <c r="P1047" s="120"/>
      <c r="Q1047" s="120"/>
      <c r="R1047" s="120"/>
      <c r="S1047" s="120"/>
      <c r="T1047" s="120"/>
      <c r="U1047" s="120"/>
      <c r="V1047" s="120"/>
      <c r="W1047" s="120"/>
      <c r="X1047" s="120"/>
      <c r="Y1047" s="120"/>
      <c r="Z1047" s="120"/>
      <c r="AA1047" s="120"/>
    </row>
    <row r="1048">
      <c r="A1048" s="120"/>
      <c r="B1048" s="115"/>
      <c r="C1048" s="108"/>
      <c r="D1048" s="109"/>
      <c r="E1048" s="114"/>
      <c r="F1048" s="117"/>
      <c r="G1048" s="108"/>
      <c r="H1048" s="108"/>
      <c r="I1048" s="119"/>
      <c r="J1048" s="119"/>
      <c r="K1048" s="120"/>
      <c r="L1048" s="114"/>
      <c r="M1048" s="120"/>
      <c r="N1048" s="120"/>
      <c r="O1048" s="120"/>
      <c r="P1048" s="120"/>
      <c r="Q1048" s="120"/>
      <c r="R1048" s="120"/>
      <c r="S1048" s="120"/>
      <c r="T1048" s="120"/>
      <c r="U1048" s="120"/>
      <c r="V1048" s="120"/>
      <c r="W1048" s="120"/>
      <c r="X1048" s="120"/>
      <c r="Y1048" s="120"/>
      <c r="Z1048" s="120"/>
      <c r="AA1048" s="120"/>
    </row>
    <row r="1049">
      <c r="A1049" s="120"/>
      <c r="B1049" s="115"/>
      <c r="C1049" s="108"/>
      <c r="D1049" s="109"/>
      <c r="E1049" s="114"/>
      <c r="F1049" s="117"/>
      <c r="G1049" s="108"/>
      <c r="H1049" s="108"/>
      <c r="I1049" s="119"/>
      <c r="J1049" s="119"/>
      <c r="K1049" s="120"/>
      <c r="L1049" s="114"/>
      <c r="M1049" s="120"/>
      <c r="N1049" s="120"/>
      <c r="O1049" s="120"/>
      <c r="P1049" s="120"/>
      <c r="Q1049" s="120"/>
      <c r="R1049" s="120"/>
      <c r="S1049" s="120"/>
      <c r="T1049" s="120"/>
      <c r="U1049" s="120"/>
      <c r="V1049" s="120"/>
      <c r="W1049" s="120"/>
      <c r="X1049" s="120"/>
      <c r="Y1049" s="120"/>
      <c r="Z1049" s="120"/>
      <c r="AA1049" s="120"/>
    </row>
    <row r="1050">
      <c r="A1050" s="120"/>
      <c r="B1050" s="115"/>
      <c r="C1050" s="108"/>
      <c r="D1050" s="109"/>
      <c r="E1050" s="114"/>
      <c r="F1050" s="117"/>
      <c r="G1050" s="108"/>
      <c r="H1050" s="108"/>
      <c r="I1050" s="119"/>
      <c r="J1050" s="119"/>
      <c r="K1050" s="120"/>
      <c r="L1050" s="114"/>
      <c r="M1050" s="120"/>
      <c r="N1050" s="120"/>
      <c r="O1050" s="120"/>
      <c r="P1050" s="120"/>
      <c r="Q1050" s="120"/>
      <c r="R1050" s="120"/>
      <c r="S1050" s="120"/>
      <c r="T1050" s="120"/>
      <c r="U1050" s="120"/>
      <c r="V1050" s="120"/>
      <c r="W1050" s="120"/>
      <c r="X1050" s="120"/>
      <c r="Y1050" s="120"/>
      <c r="Z1050" s="120"/>
      <c r="AA1050" s="120"/>
    </row>
    <row r="1051">
      <c r="A1051" s="120"/>
      <c r="B1051" s="115"/>
      <c r="C1051" s="108"/>
      <c r="D1051" s="109"/>
      <c r="E1051" s="114"/>
      <c r="F1051" s="117"/>
      <c r="G1051" s="108"/>
      <c r="H1051" s="108"/>
      <c r="I1051" s="119"/>
      <c r="J1051" s="119"/>
      <c r="K1051" s="120"/>
      <c r="L1051" s="114"/>
      <c r="M1051" s="120"/>
      <c r="N1051" s="120"/>
      <c r="O1051" s="120"/>
      <c r="P1051" s="120"/>
      <c r="Q1051" s="120"/>
      <c r="R1051" s="120"/>
      <c r="S1051" s="120"/>
      <c r="T1051" s="120"/>
      <c r="U1051" s="120"/>
      <c r="V1051" s="120"/>
      <c r="W1051" s="120"/>
      <c r="X1051" s="120"/>
      <c r="Y1051" s="120"/>
      <c r="Z1051" s="120"/>
      <c r="AA1051" s="120"/>
    </row>
    <row r="1052">
      <c r="A1052" s="120"/>
      <c r="B1052" s="115"/>
      <c r="C1052" s="108"/>
      <c r="D1052" s="109"/>
      <c r="E1052" s="114"/>
      <c r="F1052" s="117"/>
      <c r="G1052" s="108"/>
      <c r="H1052" s="108"/>
      <c r="I1052" s="119"/>
      <c r="J1052" s="119"/>
      <c r="K1052" s="120"/>
      <c r="L1052" s="114"/>
      <c r="M1052" s="120"/>
      <c r="N1052" s="120"/>
      <c r="O1052" s="120"/>
      <c r="P1052" s="120"/>
      <c r="Q1052" s="120"/>
      <c r="R1052" s="120"/>
      <c r="S1052" s="120"/>
      <c r="T1052" s="120"/>
      <c r="U1052" s="120"/>
      <c r="V1052" s="120"/>
      <c r="W1052" s="120"/>
      <c r="X1052" s="120"/>
      <c r="Y1052" s="120"/>
      <c r="Z1052" s="120"/>
      <c r="AA1052" s="120"/>
    </row>
    <row r="1053">
      <c r="A1053" s="120"/>
      <c r="B1053" s="115"/>
      <c r="C1053" s="108"/>
      <c r="D1053" s="109"/>
      <c r="E1053" s="114"/>
      <c r="F1053" s="117"/>
      <c r="G1053" s="108"/>
      <c r="H1053" s="108"/>
      <c r="I1053" s="119"/>
      <c r="J1053" s="119"/>
      <c r="K1053" s="120"/>
      <c r="L1053" s="114"/>
      <c r="M1053" s="120"/>
      <c r="N1053" s="120"/>
      <c r="O1053" s="120"/>
      <c r="P1053" s="120"/>
      <c r="Q1053" s="120"/>
      <c r="R1053" s="120"/>
      <c r="S1053" s="120"/>
      <c r="T1053" s="120"/>
      <c r="U1053" s="120"/>
      <c r="V1053" s="120"/>
      <c r="W1053" s="120"/>
      <c r="X1053" s="120"/>
      <c r="Y1053" s="120"/>
      <c r="Z1053" s="120"/>
      <c r="AA1053" s="120"/>
    </row>
    <row r="1054">
      <c r="A1054" s="120"/>
      <c r="B1054" s="115"/>
      <c r="C1054" s="108"/>
      <c r="D1054" s="109"/>
      <c r="E1054" s="114"/>
      <c r="F1054" s="117"/>
      <c r="G1054" s="108"/>
      <c r="H1054" s="108"/>
      <c r="I1054" s="119"/>
      <c r="J1054" s="119"/>
      <c r="K1054" s="120"/>
      <c r="L1054" s="114"/>
      <c r="M1054" s="120"/>
      <c r="N1054" s="120"/>
      <c r="O1054" s="120"/>
      <c r="P1054" s="120"/>
      <c r="Q1054" s="120"/>
      <c r="R1054" s="120"/>
      <c r="S1054" s="120"/>
      <c r="T1054" s="120"/>
      <c r="U1054" s="120"/>
      <c r="V1054" s="120"/>
      <c r="W1054" s="120"/>
      <c r="X1054" s="120"/>
      <c r="Y1054" s="120"/>
      <c r="Z1054" s="120"/>
      <c r="AA1054" s="120"/>
    </row>
    <row r="1055">
      <c r="A1055" s="120"/>
      <c r="B1055" s="115"/>
      <c r="C1055" s="108"/>
      <c r="D1055" s="109"/>
      <c r="E1055" s="114"/>
      <c r="F1055" s="117"/>
      <c r="G1055" s="108"/>
      <c r="H1055" s="108"/>
      <c r="I1055" s="119"/>
      <c r="J1055" s="119"/>
      <c r="K1055" s="120"/>
      <c r="L1055" s="114"/>
      <c r="M1055" s="120"/>
      <c r="N1055" s="120"/>
      <c r="O1055" s="120"/>
      <c r="P1055" s="120"/>
      <c r="Q1055" s="120"/>
      <c r="R1055" s="120"/>
      <c r="S1055" s="120"/>
      <c r="T1055" s="120"/>
      <c r="U1055" s="120"/>
      <c r="V1055" s="120"/>
      <c r="W1055" s="120"/>
      <c r="X1055" s="120"/>
      <c r="Y1055" s="120"/>
      <c r="Z1055" s="120"/>
      <c r="AA1055" s="120"/>
    </row>
    <row r="1056">
      <c r="A1056" s="120"/>
      <c r="B1056" s="115"/>
      <c r="C1056" s="108"/>
      <c r="D1056" s="109"/>
      <c r="E1056" s="114"/>
      <c r="F1056" s="117"/>
      <c r="G1056" s="108"/>
      <c r="H1056" s="108"/>
      <c r="I1056" s="119"/>
      <c r="J1056" s="119"/>
      <c r="K1056" s="120"/>
      <c r="L1056" s="114"/>
      <c r="M1056" s="120"/>
      <c r="N1056" s="120"/>
      <c r="O1056" s="120"/>
      <c r="P1056" s="120"/>
      <c r="Q1056" s="120"/>
      <c r="R1056" s="120"/>
      <c r="S1056" s="120"/>
      <c r="T1056" s="120"/>
      <c r="U1056" s="120"/>
      <c r="V1056" s="120"/>
      <c r="W1056" s="120"/>
      <c r="X1056" s="120"/>
      <c r="Y1056" s="120"/>
      <c r="Z1056" s="120"/>
      <c r="AA1056" s="120"/>
    </row>
    <row r="1057">
      <c r="A1057" s="120"/>
      <c r="B1057" s="115"/>
      <c r="C1057" s="108"/>
      <c r="D1057" s="109"/>
      <c r="E1057" s="114"/>
      <c r="F1057" s="117"/>
      <c r="G1057" s="108"/>
      <c r="H1057" s="108"/>
      <c r="I1057" s="119"/>
      <c r="J1057" s="119"/>
      <c r="K1057" s="120"/>
      <c r="L1057" s="114"/>
      <c r="M1057" s="120"/>
      <c r="N1057" s="120"/>
      <c r="O1057" s="120"/>
      <c r="P1057" s="120"/>
      <c r="Q1057" s="120"/>
      <c r="R1057" s="120"/>
      <c r="S1057" s="120"/>
      <c r="T1057" s="120"/>
      <c r="U1057" s="120"/>
      <c r="V1057" s="120"/>
      <c r="W1057" s="120"/>
      <c r="X1057" s="120"/>
      <c r="Y1057" s="120"/>
      <c r="Z1057" s="120"/>
      <c r="AA1057" s="120"/>
    </row>
    <row r="1058">
      <c r="A1058" s="120"/>
      <c r="B1058" s="115"/>
      <c r="C1058" s="108"/>
      <c r="D1058" s="109"/>
      <c r="E1058" s="114"/>
      <c r="F1058" s="117"/>
      <c r="G1058" s="108"/>
      <c r="H1058" s="108"/>
      <c r="I1058" s="119"/>
      <c r="J1058" s="119"/>
      <c r="K1058" s="120"/>
      <c r="L1058" s="114"/>
      <c r="M1058" s="120"/>
      <c r="N1058" s="120"/>
      <c r="O1058" s="120"/>
      <c r="P1058" s="120"/>
      <c r="Q1058" s="120"/>
      <c r="R1058" s="120"/>
      <c r="S1058" s="120"/>
      <c r="T1058" s="120"/>
      <c r="U1058" s="120"/>
      <c r="V1058" s="120"/>
      <c r="W1058" s="120"/>
      <c r="X1058" s="120"/>
      <c r="Y1058" s="120"/>
      <c r="Z1058" s="120"/>
      <c r="AA1058" s="120"/>
    </row>
    <row r="1059">
      <c r="A1059" s="120"/>
      <c r="B1059" s="115"/>
      <c r="C1059" s="108"/>
      <c r="D1059" s="109"/>
      <c r="E1059" s="114"/>
      <c r="F1059" s="117"/>
      <c r="G1059" s="108"/>
      <c r="H1059" s="108"/>
      <c r="I1059" s="119"/>
      <c r="J1059" s="119"/>
      <c r="K1059" s="120"/>
      <c r="L1059" s="114"/>
      <c r="M1059" s="120"/>
      <c r="N1059" s="120"/>
      <c r="O1059" s="120"/>
      <c r="P1059" s="120"/>
      <c r="Q1059" s="120"/>
      <c r="R1059" s="120"/>
      <c r="S1059" s="120"/>
      <c r="T1059" s="120"/>
      <c r="U1059" s="120"/>
      <c r="V1059" s="120"/>
      <c r="W1059" s="120"/>
      <c r="X1059" s="120"/>
      <c r="Y1059" s="120"/>
      <c r="Z1059" s="120"/>
      <c r="AA1059" s="120"/>
    </row>
    <row r="1060">
      <c r="A1060" s="120"/>
      <c r="B1060" s="115"/>
      <c r="C1060" s="108"/>
      <c r="D1060" s="109"/>
      <c r="E1060" s="114"/>
      <c r="F1060" s="117"/>
      <c r="G1060" s="108"/>
      <c r="H1060" s="108"/>
      <c r="I1060" s="119"/>
      <c r="J1060" s="119"/>
      <c r="K1060" s="120"/>
      <c r="L1060" s="114"/>
      <c r="M1060" s="120"/>
      <c r="N1060" s="120"/>
      <c r="O1060" s="120"/>
      <c r="P1060" s="120"/>
      <c r="Q1060" s="120"/>
      <c r="R1060" s="120"/>
      <c r="S1060" s="120"/>
      <c r="T1060" s="120"/>
      <c r="U1060" s="120"/>
      <c r="V1060" s="120"/>
      <c r="W1060" s="120"/>
      <c r="X1060" s="120"/>
      <c r="Y1060" s="120"/>
      <c r="Z1060" s="120"/>
      <c r="AA1060" s="120"/>
    </row>
    <row r="1061">
      <c r="A1061" s="120"/>
      <c r="B1061" s="115"/>
      <c r="C1061" s="108"/>
      <c r="D1061" s="109"/>
      <c r="E1061" s="114"/>
      <c r="F1061" s="117"/>
      <c r="G1061" s="108"/>
      <c r="H1061" s="108"/>
      <c r="I1061" s="119"/>
      <c r="J1061" s="119"/>
      <c r="K1061" s="120"/>
      <c r="L1061" s="114"/>
      <c r="M1061" s="120"/>
      <c r="N1061" s="120"/>
      <c r="O1061" s="120"/>
      <c r="P1061" s="120"/>
      <c r="Q1061" s="120"/>
      <c r="R1061" s="120"/>
      <c r="S1061" s="120"/>
      <c r="T1061" s="120"/>
      <c r="U1061" s="120"/>
      <c r="V1061" s="120"/>
      <c r="W1061" s="120"/>
      <c r="X1061" s="120"/>
      <c r="Y1061" s="120"/>
      <c r="Z1061" s="120"/>
      <c r="AA1061" s="120"/>
    </row>
    <row r="1062">
      <c r="A1062" s="120"/>
      <c r="B1062" s="115"/>
      <c r="C1062" s="108"/>
      <c r="D1062" s="109"/>
      <c r="E1062" s="114"/>
      <c r="F1062" s="117"/>
      <c r="G1062" s="108"/>
      <c r="H1062" s="108"/>
      <c r="I1062" s="119"/>
      <c r="J1062" s="119"/>
      <c r="K1062" s="120"/>
      <c r="L1062" s="114"/>
      <c r="M1062" s="120"/>
      <c r="N1062" s="120"/>
      <c r="O1062" s="120"/>
      <c r="P1062" s="120"/>
      <c r="Q1062" s="120"/>
      <c r="R1062" s="120"/>
      <c r="S1062" s="120"/>
      <c r="T1062" s="120"/>
      <c r="U1062" s="120"/>
      <c r="V1062" s="120"/>
      <c r="W1062" s="120"/>
      <c r="X1062" s="120"/>
      <c r="Y1062" s="120"/>
      <c r="Z1062" s="120"/>
      <c r="AA1062" s="120"/>
    </row>
    <row r="1063">
      <c r="A1063" s="120"/>
      <c r="B1063" s="115"/>
      <c r="C1063" s="108"/>
      <c r="D1063" s="109"/>
      <c r="E1063" s="114"/>
      <c r="F1063" s="117"/>
      <c r="G1063" s="108"/>
      <c r="H1063" s="108"/>
      <c r="I1063" s="119"/>
      <c r="J1063" s="119"/>
      <c r="K1063" s="120"/>
      <c r="L1063" s="114"/>
      <c r="M1063" s="120"/>
      <c r="N1063" s="120"/>
      <c r="O1063" s="120"/>
      <c r="P1063" s="120"/>
      <c r="Q1063" s="120"/>
      <c r="R1063" s="120"/>
      <c r="S1063" s="120"/>
      <c r="T1063" s="120"/>
      <c r="U1063" s="120"/>
      <c r="V1063" s="120"/>
      <c r="W1063" s="120"/>
      <c r="X1063" s="120"/>
      <c r="Y1063" s="120"/>
      <c r="Z1063" s="120"/>
      <c r="AA1063" s="120"/>
    </row>
    <row r="1064">
      <c r="A1064" s="120"/>
      <c r="B1064" s="115"/>
      <c r="C1064" s="108"/>
      <c r="D1064" s="109"/>
      <c r="E1064" s="114"/>
      <c r="F1064" s="117"/>
      <c r="G1064" s="108"/>
      <c r="H1064" s="108"/>
      <c r="I1064" s="119"/>
      <c r="J1064" s="119"/>
      <c r="K1064" s="120"/>
      <c r="L1064" s="114"/>
      <c r="M1064" s="120"/>
      <c r="N1064" s="120"/>
      <c r="O1064" s="120"/>
      <c r="P1064" s="120"/>
      <c r="Q1064" s="120"/>
      <c r="R1064" s="120"/>
      <c r="S1064" s="120"/>
      <c r="T1064" s="120"/>
      <c r="U1064" s="120"/>
      <c r="V1064" s="120"/>
      <c r="W1064" s="120"/>
      <c r="X1064" s="120"/>
      <c r="Y1064" s="120"/>
      <c r="Z1064" s="120"/>
      <c r="AA1064" s="120"/>
    </row>
    <row r="1065">
      <c r="A1065" s="120"/>
      <c r="B1065" s="115"/>
      <c r="C1065" s="108"/>
      <c r="D1065" s="109"/>
      <c r="E1065" s="114"/>
      <c r="F1065" s="117"/>
      <c r="G1065" s="108"/>
      <c r="H1065" s="108"/>
      <c r="I1065" s="119"/>
      <c r="J1065" s="119"/>
      <c r="K1065" s="120"/>
      <c r="L1065" s="114"/>
      <c r="M1065" s="120"/>
      <c r="N1065" s="120"/>
      <c r="O1065" s="120"/>
      <c r="P1065" s="120"/>
      <c r="Q1065" s="120"/>
      <c r="R1065" s="120"/>
      <c r="S1065" s="120"/>
      <c r="T1065" s="120"/>
      <c r="U1065" s="120"/>
      <c r="V1065" s="120"/>
      <c r="W1065" s="120"/>
      <c r="X1065" s="120"/>
      <c r="Y1065" s="120"/>
      <c r="Z1065" s="120"/>
      <c r="AA1065" s="120"/>
    </row>
    <row r="1066">
      <c r="A1066" s="120"/>
      <c r="B1066" s="115"/>
      <c r="C1066" s="108"/>
      <c r="D1066" s="109"/>
      <c r="E1066" s="114"/>
      <c r="F1066" s="117"/>
      <c r="G1066" s="108"/>
      <c r="H1066" s="108"/>
      <c r="I1066" s="119"/>
      <c r="J1066" s="119"/>
      <c r="K1066" s="120"/>
      <c r="L1066" s="114"/>
      <c r="M1066" s="120"/>
      <c r="N1066" s="120"/>
      <c r="O1066" s="120"/>
      <c r="P1066" s="120"/>
      <c r="Q1066" s="120"/>
      <c r="R1066" s="120"/>
      <c r="S1066" s="120"/>
      <c r="T1066" s="120"/>
      <c r="U1066" s="120"/>
      <c r="V1066" s="120"/>
      <c r="W1066" s="120"/>
      <c r="X1066" s="120"/>
      <c r="Y1066" s="120"/>
      <c r="Z1066" s="120"/>
      <c r="AA1066" s="120"/>
    </row>
    <row r="1067">
      <c r="A1067" s="120"/>
      <c r="B1067" s="115"/>
      <c r="C1067" s="108"/>
      <c r="D1067" s="109"/>
      <c r="E1067" s="114"/>
      <c r="F1067" s="117"/>
      <c r="G1067" s="108"/>
      <c r="H1067" s="108"/>
      <c r="I1067" s="119"/>
      <c r="J1067" s="119"/>
      <c r="K1067" s="120"/>
      <c r="L1067" s="114"/>
      <c r="M1067" s="120"/>
      <c r="N1067" s="120"/>
      <c r="O1067" s="120"/>
      <c r="P1067" s="120"/>
      <c r="Q1067" s="120"/>
      <c r="R1067" s="120"/>
      <c r="S1067" s="120"/>
      <c r="T1067" s="120"/>
      <c r="U1067" s="120"/>
      <c r="V1067" s="120"/>
      <c r="W1067" s="120"/>
      <c r="X1067" s="120"/>
      <c r="Y1067" s="120"/>
      <c r="Z1067" s="120"/>
      <c r="AA1067" s="120"/>
    </row>
    <row r="1068">
      <c r="A1068" s="120"/>
      <c r="B1068" s="115"/>
      <c r="C1068" s="108"/>
      <c r="D1068" s="109"/>
      <c r="E1068" s="114"/>
      <c r="F1068" s="117"/>
      <c r="G1068" s="108"/>
      <c r="H1068" s="108"/>
      <c r="I1068" s="119"/>
      <c r="J1068" s="119"/>
      <c r="K1068" s="120"/>
      <c r="L1068" s="114"/>
      <c r="M1068" s="120"/>
      <c r="N1068" s="120"/>
      <c r="O1068" s="120"/>
      <c r="P1068" s="120"/>
      <c r="Q1068" s="120"/>
      <c r="R1068" s="120"/>
      <c r="S1068" s="120"/>
      <c r="T1068" s="120"/>
      <c r="U1068" s="120"/>
      <c r="V1068" s="120"/>
      <c r="W1068" s="120"/>
      <c r="X1068" s="120"/>
      <c r="Y1068" s="120"/>
      <c r="Z1068" s="120"/>
      <c r="AA1068" s="120"/>
    </row>
    <row r="1069">
      <c r="A1069" s="120"/>
      <c r="B1069" s="115"/>
      <c r="C1069" s="108"/>
      <c r="D1069" s="109"/>
      <c r="E1069" s="114"/>
      <c r="F1069" s="117"/>
      <c r="G1069" s="108"/>
      <c r="H1069" s="108"/>
      <c r="I1069" s="119"/>
      <c r="J1069" s="119"/>
      <c r="K1069" s="120"/>
      <c r="L1069" s="114"/>
      <c r="M1069" s="120"/>
      <c r="N1069" s="120"/>
      <c r="O1069" s="120"/>
      <c r="P1069" s="120"/>
      <c r="Q1069" s="120"/>
      <c r="R1069" s="120"/>
      <c r="S1069" s="120"/>
      <c r="T1069" s="120"/>
      <c r="U1069" s="120"/>
      <c r="V1069" s="120"/>
      <c r="W1069" s="120"/>
      <c r="X1069" s="120"/>
      <c r="Y1069" s="120"/>
      <c r="Z1069" s="120"/>
      <c r="AA1069" s="120"/>
    </row>
    <row r="1070">
      <c r="A1070" s="120"/>
      <c r="B1070" s="115"/>
      <c r="C1070" s="108"/>
      <c r="D1070" s="109"/>
      <c r="E1070" s="114"/>
      <c r="F1070" s="117"/>
      <c r="G1070" s="108"/>
      <c r="H1070" s="108"/>
      <c r="I1070" s="119"/>
      <c r="J1070" s="119"/>
      <c r="K1070" s="120"/>
      <c r="L1070" s="114"/>
      <c r="M1070" s="120"/>
      <c r="N1070" s="120"/>
      <c r="O1070" s="120"/>
      <c r="P1070" s="120"/>
      <c r="Q1070" s="120"/>
      <c r="R1070" s="120"/>
      <c r="S1070" s="120"/>
      <c r="T1070" s="120"/>
      <c r="U1070" s="120"/>
      <c r="V1070" s="120"/>
      <c r="W1070" s="120"/>
      <c r="X1070" s="120"/>
      <c r="Y1070" s="120"/>
      <c r="Z1070" s="120"/>
      <c r="AA1070" s="120"/>
    </row>
    <row r="1071">
      <c r="A1071" s="120"/>
      <c r="B1071" s="115"/>
      <c r="C1071" s="108"/>
      <c r="D1071" s="109"/>
      <c r="E1071" s="114"/>
      <c r="F1071" s="117"/>
      <c r="G1071" s="108"/>
      <c r="H1071" s="108"/>
      <c r="I1071" s="119"/>
      <c r="J1071" s="119"/>
      <c r="K1071" s="120"/>
      <c r="L1071" s="114"/>
      <c r="M1071" s="120"/>
      <c r="N1071" s="120"/>
      <c r="O1071" s="120"/>
      <c r="P1071" s="120"/>
      <c r="Q1071" s="120"/>
      <c r="R1071" s="120"/>
      <c r="S1071" s="120"/>
      <c r="T1071" s="120"/>
      <c r="U1071" s="120"/>
      <c r="V1071" s="120"/>
      <c r="W1071" s="120"/>
      <c r="X1071" s="120"/>
      <c r="Y1071" s="120"/>
      <c r="Z1071" s="120"/>
      <c r="AA1071" s="120"/>
    </row>
    <row r="1072">
      <c r="A1072" s="120"/>
      <c r="B1072" s="115"/>
      <c r="C1072" s="108"/>
      <c r="D1072" s="109"/>
      <c r="E1072" s="114"/>
      <c r="F1072" s="117"/>
      <c r="G1072" s="108"/>
      <c r="H1072" s="108"/>
      <c r="I1072" s="119"/>
      <c r="J1072" s="119"/>
      <c r="K1072" s="120"/>
      <c r="L1072" s="114"/>
      <c r="M1072" s="120"/>
      <c r="N1072" s="120"/>
      <c r="O1072" s="120"/>
      <c r="P1072" s="120"/>
      <c r="Q1072" s="120"/>
      <c r="R1072" s="120"/>
      <c r="S1072" s="120"/>
      <c r="T1072" s="120"/>
      <c r="U1072" s="120"/>
      <c r="V1072" s="120"/>
      <c r="W1072" s="120"/>
      <c r="X1072" s="120"/>
      <c r="Y1072" s="120"/>
      <c r="Z1072" s="120"/>
      <c r="AA1072" s="120"/>
    </row>
    <row r="1073">
      <c r="A1073" s="120"/>
      <c r="B1073" s="115"/>
      <c r="C1073" s="108"/>
      <c r="D1073" s="109"/>
      <c r="E1073" s="114"/>
      <c r="F1073" s="117"/>
      <c r="G1073" s="108"/>
      <c r="H1073" s="108"/>
      <c r="I1073" s="119"/>
      <c r="J1073" s="119"/>
      <c r="K1073" s="120"/>
      <c r="L1073" s="114"/>
      <c r="M1073" s="120"/>
      <c r="N1073" s="120"/>
      <c r="O1073" s="120"/>
      <c r="P1073" s="120"/>
      <c r="Q1073" s="120"/>
      <c r="R1073" s="120"/>
      <c r="S1073" s="120"/>
      <c r="T1073" s="120"/>
      <c r="U1073" s="120"/>
      <c r="V1073" s="120"/>
      <c r="W1073" s="120"/>
      <c r="X1073" s="120"/>
      <c r="Y1073" s="120"/>
      <c r="Z1073" s="120"/>
      <c r="AA1073" s="120"/>
    </row>
    <row r="1074">
      <c r="A1074" s="120"/>
      <c r="B1074" s="115"/>
      <c r="C1074" s="108"/>
      <c r="D1074" s="109"/>
      <c r="E1074" s="114"/>
      <c r="F1074" s="117"/>
      <c r="G1074" s="108"/>
      <c r="H1074" s="108"/>
      <c r="I1074" s="119"/>
      <c r="J1074" s="119"/>
      <c r="K1074" s="120"/>
      <c r="L1074" s="114"/>
      <c r="M1074" s="120"/>
      <c r="N1074" s="120"/>
      <c r="O1074" s="120"/>
      <c r="P1074" s="120"/>
      <c r="Q1074" s="120"/>
      <c r="R1074" s="120"/>
      <c r="S1074" s="120"/>
      <c r="T1074" s="120"/>
      <c r="U1074" s="120"/>
      <c r="V1074" s="120"/>
      <c r="W1074" s="120"/>
      <c r="X1074" s="120"/>
      <c r="Y1074" s="120"/>
      <c r="Z1074" s="120"/>
      <c r="AA1074" s="120"/>
    </row>
    <row r="1075">
      <c r="A1075" s="120"/>
      <c r="B1075" s="115"/>
      <c r="C1075" s="108"/>
      <c r="D1075" s="109"/>
      <c r="E1075" s="114"/>
      <c r="F1075" s="117"/>
      <c r="G1075" s="108"/>
      <c r="H1075" s="108"/>
      <c r="I1075" s="119"/>
      <c r="J1075" s="119"/>
      <c r="K1075" s="120"/>
      <c r="L1075" s="114"/>
      <c r="M1075" s="120"/>
      <c r="N1075" s="120"/>
      <c r="O1075" s="120"/>
      <c r="P1075" s="120"/>
      <c r="Q1075" s="120"/>
      <c r="R1075" s="120"/>
      <c r="S1075" s="120"/>
      <c r="T1075" s="120"/>
      <c r="U1075" s="120"/>
      <c r="V1075" s="120"/>
      <c r="W1075" s="120"/>
      <c r="X1075" s="120"/>
      <c r="Y1075" s="120"/>
      <c r="Z1075" s="120"/>
      <c r="AA1075" s="120"/>
    </row>
    <row r="1076">
      <c r="A1076" s="120"/>
      <c r="B1076" s="115"/>
      <c r="C1076" s="108"/>
      <c r="D1076" s="109"/>
      <c r="E1076" s="114"/>
      <c r="F1076" s="117"/>
      <c r="G1076" s="108"/>
      <c r="H1076" s="108"/>
      <c r="I1076" s="119"/>
      <c r="J1076" s="119"/>
      <c r="K1076" s="120"/>
      <c r="L1076" s="114"/>
      <c r="M1076" s="120"/>
      <c r="N1076" s="120"/>
      <c r="O1076" s="120"/>
      <c r="P1076" s="120"/>
      <c r="Q1076" s="120"/>
      <c r="R1076" s="120"/>
      <c r="S1076" s="120"/>
      <c r="T1076" s="120"/>
      <c r="U1076" s="120"/>
      <c r="V1076" s="120"/>
      <c r="W1076" s="120"/>
      <c r="X1076" s="120"/>
      <c r="Y1076" s="120"/>
      <c r="Z1076" s="120"/>
      <c r="AA1076" s="120"/>
    </row>
    <row r="1077">
      <c r="A1077" s="120"/>
      <c r="B1077" s="115"/>
      <c r="C1077" s="108"/>
      <c r="D1077" s="109"/>
      <c r="E1077" s="114"/>
      <c r="F1077" s="117"/>
      <c r="G1077" s="108"/>
      <c r="H1077" s="108"/>
      <c r="I1077" s="119"/>
      <c r="J1077" s="119"/>
      <c r="K1077" s="120"/>
      <c r="L1077" s="114"/>
      <c r="M1077" s="120"/>
      <c r="N1077" s="120"/>
      <c r="O1077" s="120"/>
      <c r="P1077" s="120"/>
      <c r="Q1077" s="120"/>
      <c r="R1077" s="120"/>
      <c r="S1077" s="120"/>
      <c r="T1077" s="120"/>
      <c r="U1077" s="120"/>
      <c r="V1077" s="120"/>
      <c r="W1077" s="120"/>
      <c r="X1077" s="120"/>
      <c r="Y1077" s="120"/>
      <c r="Z1077" s="120"/>
      <c r="AA1077" s="120"/>
    </row>
    <row r="1078">
      <c r="A1078" s="120"/>
      <c r="B1078" s="115"/>
      <c r="C1078" s="108"/>
      <c r="D1078" s="109"/>
      <c r="E1078" s="114"/>
      <c r="F1078" s="117"/>
      <c r="G1078" s="108"/>
      <c r="H1078" s="108"/>
      <c r="I1078" s="119"/>
      <c r="J1078" s="119"/>
      <c r="K1078" s="120"/>
      <c r="L1078" s="114"/>
      <c r="M1078" s="120"/>
      <c r="N1078" s="120"/>
      <c r="O1078" s="120"/>
      <c r="P1078" s="120"/>
      <c r="Q1078" s="120"/>
      <c r="R1078" s="120"/>
      <c r="S1078" s="120"/>
      <c r="T1078" s="120"/>
      <c r="U1078" s="120"/>
      <c r="V1078" s="120"/>
      <c r="W1078" s="120"/>
      <c r="X1078" s="120"/>
      <c r="Y1078" s="120"/>
      <c r="Z1078" s="120"/>
      <c r="AA1078" s="120"/>
    </row>
    <row r="1079">
      <c r="A1079" s="120"/>
      <c r="B1079" s="115"/>
      <c r="C1079" s="108"/>
      <c r="D1079" s="109"/>
      <c r="E1079" s="114"/>
      <c r="F1079" s="117"/>
      <c r="G1079" s="108"/>
      <c r="H1079" s="108"/>
      <c r="I1079" s="119"/>
      <c r="J1079" s="119"/>
      <c r="K1079" s="120"/>
      <c r="L1079" s="114"/>
      <c r="M1079" s="120"/>
      <c r="N1079" s="120"/>
      <c r="O1079" s="120"/>
      <c r="P1079" s="120"/>
      <c r="Q1079" s="120"/>
      <c r="R1079" s="120"/>
      <c r="S1079" s="120"/>
      <c r="T1079" s="120"/>
      <c r="U1079" s="120"/>
      <c r="V1079" s="120"/>
      <c r="W1079" s="120"/>
      <c r="X1079" s="120"/>
      <c r="Y1079" s="120"/>
      <c r="Z1079" s="120"/>
      <c r="AA1079" s="120"/>
    </row>
    <row r="1080">
      <c r="A1080" s="120"/>
      <c r="B1080" s="115"/>
      <c r="C1080" s="108"/>
      <c r="D1080" s="109"/>
      <c r="E1080" s="114"/>
      <c r="F1080" s="117"/>
      <c r="G1080" s="108"/>
      <c r="H1080" s="108"/>
      <c r="I1080" s="119"/>
      <c r="J1080" s="119"/>
      <c r="K1080" s="120"/>
      <c r="L1080" s="114"/>
      <c r="M1080" s="120"/>
      <c r="N1080" s="120"/>
      <c r="O1080" s="120"/>
      <c r="P1080" s="120"/>
      <c r="Q1080" s="120"/>
      <c r="R1080" s="120"/>
      <c r="S1080" s="120"/>
      <c r="T1080" s="120"/>
      <c r="U1080" s="120"/>
      <c r="V1080" s="120"/>
      <c r="W1080" s="120"/>
      <c r="X1080" s="120"/>
      <c r="Y1080" s="120"/>
      <c r="Z1080" s="120"/>
      <c r="AA1080" s="120"/>
    </row>
    <row r="1081">
      <c r="A1081" s="120"/>
      <c r="B1081" s="115"/>
      <c r="C1081" s="108"/>
      <c r="D1081" s="109"/>
      <c r="E1081" s="114"/>
      <c r="F1081" s="117"/>
      <c r="G1081" s="108"/>
      <c r="H1081" s="108"/>
      <c r="I1081" s="119"/>
      <c r="J1081" s="119"/>
      <c r="K1081" s="120"/>
      <c r="L1081" s="114"/>
      <c r="M1081" s="120"/>
      <c r="N1081" s="120"/>
      <c r="O1081" s="120"/>
      <c r="P1081" s="120"/>
      <c r="Q1081" s="120"/>
      <c r="R1081" s="120"/>
      <c r="S1081" s="120"/>
      <c r="T1081" s="120"/>
      <c r="U1081" s="120"/>
      <c r="V1081" s="120"/>
      <c r="W1081" s="120"/>
      <c r="X1081" s="120"/>
      <c r="Y1081" s="120"/>
      <c r="Z1081" s="120"/>
      <c r="AA1081" s="120"/>
    </row>
    <row r="1082">
      <c r="A1082" s="120"/>
      <c r="B1082" s="115"/>
      <c r="C1082" s="108"/>
      <c r="D1082" s="109"/>
      <c r="E1082" s="114"/>
      <c r="F1082" s="117"/>
      <c r="G1082" s="108"/>
      <c r="H1082" s="108"/>
      <c r="I1082" s="119"/>
      <c r="J1082" s="119"/>
      <c r="K1082" s="120"/>
      <c r="L1082" s="114"/>
      <c r="M1082" s="120"/>
      <c r="N1082" s="120"/>
      <c r="O1082" s="120"/>
      <c r="P1082" s="120"/>
      <c r="Q1082" s="120"/>
      <c r="R1082" s="120"/>
      <c r="S1082" s="120"/>
      <c r="T1082" s="120"/>
      <c r="U1082" s="120"/>
      <c r="V1082" s="120"/>
      <c r="W1082" s="120"/>
      <c r="X1082" s="120"/>
      <c r="Y1082" s="120"/>
      <c r="Z1082" s="120"/>
      <c r="AA1082" s="120"/>
    </row>
    <row r="1083">
      <c r="A1083" s="120"/>
      <c r="B1083" s="115"/>
      <c r="C1083" s="108"/>
      <c r="D1083" s="109"/>
      <c r="E1083" s="114"/>
      <c r="F1083" s="117"/>
      <c r="G1083" s="108"/>
      <c r="H1083" s="108"/>
      <c r="I1083" s="119"/>
      <c r="J1083" s="119"/>
      <c r="K1083" s="120"/>
      <c r="L1083" s="114"/>
      <c r="M1083" s="120"/>
      <c r="N1083" s="120"/>
      <c r="O1083" s="120"/>
      <c r="P1083" s="120"/>
      <c r="Q1083" s="120"/>
      <c r="R1083" s="120"/>
      <c r="S1083" s="120"/>
      <c r="T1083" s="120"/>
      <c r="U1083" s="120"/>
      <c r="V1083" s="120"/>
      <c r="W1083" s="120"/>
      <c r="X1083" s="120"/>
      <c r="Y1083" s="120"/>
      <c r="Z1083" s="120"/>
      <c r="AA1083" s="120"/>
    </row>
    <row r="1084">
      <c r="A1084" s="120"/>
      <c r="B1084" s="115"/>
      <c r="C1084" s="108"/>
      <c r="D1084" s="109"/>
      <c r="E1084" s="114"/>
      <c r="F1084" s="117"/>
      <c r="G1084" s="108"/>
      <c r="H1084" s="108"/>
      <c r="I1084" s="119"/>
      <c r="J1084" s="119"/>
      <c r="K1084" s="120"/>
      <c r="L1084" s="114"/>
      <c r="M1084" s="120"/>
      <c r="N1084" s="120"/>
      <c r="O1084" s="120"/>
      <c r="P1084" s="120"/>
      <c r="Q1084" s="120"/>
      <c r="R1084" s="120"/>
      <c r="S1084" s="120"/>
      <c r="T1084" s="120"/>
      <c r="U1084" s="120"/>
      <c r="V1084" s="120"/>
      <c r="W1084" s="120"/>
      <c r="X1084" s="120"/>
      <c r="Y1084" s="120"/>
      <c r="Z1084" s="120"/>
      <c r="AA1084" s="120"/>
    </row>
    <row r="1085">
      <c r="A1085" s="120"/>
      <c r="B1085" s="115"/>
      <c r="C1085" s="108"/>
      <c r="D1085" s="109"/>
      <c r="E1085" s="114"/>
      <c r="F1085" s="117"/>
      <c r="G1085" s="108"/>
      <c r="H1085" s="108"/>
      <c r="I1085" s="119"/>
      <c r="J1085" s="119"/>
      <c r="K1085" s="120"/>
      <c r="L1085" s="114"/>
      <c r="M1085" s="120"/>
      <c r="N1085" s="120"/>
      <c r="O1085" s="120"/>
      <c r="P1085" s="120"/>
      <c r="Q1085" s="120"/>
      <c r="R1085" s="120"/>
      <c r="S1085" s="120"/>
      <c r="T1085" s="120"/>
      <c r="U1085" s="120"/>
      <c r="V1085" s="120"/>
      <c r="W1085" s="120"/>
      <c r="X1085" s="120"/>
      <c r="Y1085" s="120"/>
      <c r="Z1085" s="120"/>
      <c r="AA1085" s="120"/>
    </row>
    <row r="1086">
      <c r="A1086" s="120"/>
      <c r="B1086" s="115"/>
      <c r="C1086" s="108"/>
      <c r="D1086" s="109"/>
      <c r="E1086" s="114"/>
      <c r="F1086" s="117"/>
      <c r="G1086" s="108"/>
      <c r="H1086" s="108"/>
      <c r="I1086" s="119"/>
      <c r="J1086" s="119"/>
      <c r="K1086" s="120"/>
      <c r="L1086" s="114"/>
      <c r="M1086" s="120"/>
      <c r="N1086" s="120"/>
      <c r="O1086" s="120"/>
      <c r="P1086" s="120"/>
      <c r="Q1086" s="120"/>
      <c r="R1086" s="120"/>
      <c r="S1086" s="120"/>
      <c r="T1086" s="120"/>
      <c r="U1086" s="120"/>
      <c r="V1086" s="120"/>
      <c r="W1086" s="120"/>
      <c r="X1086" s="120"/>
      <c r="Y1086" s="120"/>
      <c r="Z1086" s="120"/>
      <c r="AA1086" s="120"/>
    </row>
    <row r="1087">
      <c r="A1087" s="120"/>
      <c r="B1087" s="115"/>
      <c r="C1087" s="108"/>
      <c r="D1087" s="109"/>
      <c r="E1087" s="114"/>
      <c r="F1087" s="117"/>
      <c r="G1087" s="108"/>
      <c r="H1087" s="108"/>
      <c r="I1087" s="119"/>
      <c r="J1087" s="119"/>
      <c r="K1087" s="120"/>
      <c r="L1087" s="114"/>
      <c r="M1087" s="120"/>
      <c r="N1087" s="120"/>
      <c r="O1087" s="120"/>
      <c r="P1087" s="120"/>
      <c r="Q1087" s="120"/>
      <c r="R1087" s="120"/>
      <c r="S1087" s="120"/>
      <c r="T1087" s="120"/>
      <c r="U1087" s="120"/>
      <c r="V1087" s="120"/>
      <c r="W1087" s="120"/>
      <c r="X1087" s="120"/>
      <c r="Y1087" s="120"/>
      <c r="Z1087" s="120"/>
      <c r="AA1087" s="120"/>
    </row>
    <row r="1088">
      <c r="A1088" s="120"/>
      <c r="B1088" s="115"/>
      <c r="C1088" s="108"/>
      <c r="D1088" s="109"/>
      <c r="E1088" s="114"/>
      <c r="F1088" s="117"/>
      <c r="G1088" s="108"/>
      <c r="H1088" s="108"/>
      <c r="I1088" s="119"/>
      <c r="J1088" s="119"/>
      <c r="K1088" s="120"/>
      <c r="L1088" s="114"/>
      <c r="M1088" s="120"/>
      <c r="N1088" s="120"/>
      <c r="O1088" s="120"/>
      <c r="P1088" s="120"/>
      <c r="Q1088" s="120"/>
      <c r="R1088" s="120"/>
      <c r="S1088" s="120"/>
      <c r="T1088" s="120"/>
      <c r="U1088" s="120"/>
      <c r="V1088" s="120"/>
      <c r="W1088" s="120"/>
      <c r="X1088" s="120"/>
      <c r="Y1088" s="120"/>
      <c r="Z1088" s="120"/>
      <c r="AA1088" s="120"/>
    </row>
    <row r="1089">
      <c r="A1089" s="120"/>
      <c r="B1089" s="115"/>
      <c r="C1089" s="108"/>
      <c r="D1089" s="109"/>
      <c r="E1089" s="114"/>
      <c r="F1089" s="117"/>
      <c r="G1089" s="108"/>
      <c r="H1089" s="108"/>
      <c r="I1089" s="119"/>
      <c r="J1089" s="119"/>
      <c r="K1089" s="120"/>
      <c r="L1089" s="114"/>
      <c r="M1089" s="120"/>
      <c r="N1089" s="120"/>
      <c r="O1089" s="120"/>
      <c r="P1089" s="120"/>
      <c r="Q1089" s="120"/>
      <c r="R1089" s="120"/>
      <c r="S1089" s="120"/>
      <c r="T1089" s="120"/>
      <c r="U1089" s="120"/>
      <c r="V1089" s="120"/>
      <c r="W1089" s="120"/>
      <c r="X1089" s="120"/>
      <c r="Y1089" s="120"/>
      <c r="Z1089" s="120"/>
      <c r="AA1089" s="120"/>
    </row>
    <row r="1090">
      <c r="A1090" s="120"/>
      <c r="B1090" s="115"/>
      <c r="C1090" s="108"/>
      <c r="D1090" s="109"/>
      <c r="E1090" s="114"/>
      <c r="F1090" s="117"/>
      <c r="G1090" s="108"/>
      <c r="H1090" s="108"/>
      <c r="I1090" s="119"/>
      <c r="J1090" s="119"/>
      <c r="K1090" s="120"/>
      <c r="L1090" s="114"/>
      <c r="M1090" s="120"/>
      <c r="N1090" s="120"/>
      <c r="O1090" s="120"/>
      <c r="P1090" s="120"/>
      <c r="Q1090" s="120"/>
      <c r="R1090" s="120"/>
      <c r="S1090" s="120"/>
      <c r="T1090" s="120"/>
      <c r="U1090" s="120"/>
      <c r="V1090" s="120"/>
      <c r="W1090" s="120"/>
      <c r="X1090" s="120"/>
      <c r="Y1090" s="120"/>
      <c r="Z1090" s="120"/>
      <c r="AA1090" s="120"/>
    </row>
    <row r="1091">
      <c r="A1091" s="120"/>
      <c r="B1091" s="115"/>
      <c r="C1091" s="108"/>
      <c r="D1091" s="109"/>
      <c r="E1091" s="114"/>
      <c r="F1091" s="117"/>
      <c r="G1091" s="108"/>
      <c r="H1091" s="108"/>
      <c r="I1091" s="119"/>
      <c r="J1091" s="119"/>
      <c r="K1091" s="120"/>
      <c r="L1091" s="114"/>
      <c r="M1091" s="120"/>
      <c r="N1091" s="120"/>
      <c r="O1091" s="120"/>
      <c r="P1091" s="120"/>
      <c r="Q1091" s="120"/>
      <c r="R1091" s="120"/>
      <c r="S1091" s="120"/>
      <c r="T1091" s="120"/>
      <c r="U1091" s="120"/>
      <c r="V1091" s="120"/>
      <c r="W1091" s="120"/>
      <c r="X1091" s="120"/>
      <c r="Y1091" s="120"/>
      <c r="Z1091" s="120"/>
      <c r="AA1091" s="120"/>
    </row>
    <row r="1092">
      <c r="A1092" s="120"/>
      <c r="B1092" s="115"/>
      <c r="C1092" s="108"/>
      <c r="D1092" s="109"/>
      <c r="E1092" s="114"/>
      <c r="F1092" s="117"/>
      <c r="G1092" s="108"/>
      <c r="H1092" s="108"/>
      <c r="I1092" s="119"/>
      <c r="J1092" s="119"/>
      <c r="K1092" s="120"/>
      <c r="L1092" s="114"/>
      <c r="M1092" s="120"/>
      <c r="N1092" s="120"/>
      <c r="O1092" s="120"/>
      <c r="P1092" s="120"/>
      <c r="Q1092" s="120"/>
      <c r="R1092" s="120"/>
      <c r="S1092" s="120"/>
      <c r="T1092" s="120"/>
      <c r="U1092" s="120"/>
      <c r="V1092" s="120"/>
      <c r="W1092" s="120"/>
      <c r="X1092" s="120"/>
      <c r="Y1092" s="120"/>
      <c r="Z1092" s="120"/>
      <c r="AA1092" s="120"/>
    </row>
    <row r="1093">
      <c r="A1093" s="120"/>
      <c r="B1093" s="115"/>
      <c r="C1093" s="108"/>
      <c r="D1093" s="109"/>
      <c r="E1093" s="114"/>
      <c r="F1093" s="117"/>
      <c r="G1093" s="108"/>
      <c r="H1093" s="108"/>
      <c r="I1093" s="119"/>
      <c r="J1093" s="119"/>
      <c r="K1093" s="120"/>
      <c r="L1093" s="114"/>
      <c r="M1093" s="120"/>
      <c r="N1093" s="120"/>
      <c r="O1093" s="120"/>
      <c r="P1093" s="120"/>
      <c r="Q1093" s="120"/>
      <c r="R1093" s="120"/>
      <c r="S1093" s="120"/>
      <c r="T1093" s="120"/>
      <c r="U1093" s="120"/>
      <c r="V1093" s="120"/>
      <c r="W1093" s="120"/>
      <c r="X1093" s="120"/>
      <c r="Y1093" s="120"/>
      <c r="Z1093" s="120"/>
      <c r="AA1093" s="120"/>
    </row>
    <row r="1094">
      <c r="A1094" s="120"/>
      <c r="B1094" s="115"/>
      <c r="C1094" s="108"/>
      <c r="D1094" s="109"/>
      <c r="E1094" s="114"/>
      <c r="F1094" s="117"/>
      <c r="G1094" s="108"/>
      <c r="H1094" s="108"/>
      <c r="I1094" s="119"/>
      <c r="J1094" s="119"/>
      <c r="K1094" s="120"/>
      <c r="L1094" s="114"/>
      <c r="M1094" s="120"/>
      <c r="N1094" s="120"/>
      <c r="O1094" s="120"/>
      <c r="P1094" s="120"/>
      <c r="Q1094" s="120"/>
      <c r="R1094" s="120"/>
      <c r="S1094" s="120"/>
      <c r="T1094" s="120"/>
      <c r="U1094" s="120"/>
      <c r="V1094" s="120"/>
      <c r="W1094" s="120"/>
      <c r="X1094" s="120"/>
      <c r="Y1094" s="120"/>
      <c r="Z1094" s="120"/>
      <c r="AA1094" s="120"/>
    </row>
    <row r="1095">
      <c r="A1095" s="120"/>
      <c r="B1095" s="115"/>
      <c r="C1095" s="108"/>
      <c r="D1095" s="109"/>
      <c r="E1095" s="114"/>
      <c r="F1095" s="117"/>
      <c r="G1095" s="108"/>
      <c r="H1095" s="108"/>
      <c r="I1095" s="119"/>
      <c r="J1095" s="119"/>
      <c r="K1095" s="120"/>
      <c r="L1095" s="114"/>
      <c r="M1095" s="120"/>
      <c r="N1095" s="120"/>
      <c r="O1095" s="120"/>
      <c r="P1095" s="120"/>
      <c r="Q1095" s="120"/>
      <c r="R1095" s="120"/>
      <c r="S1095" s="120"/>
      <c r="T1095" s="120"/>
      <c r="U1095" s="120"/>
      <c r="V1095" s="120"/>
      <c r="W1095" s="120"/>
      <c r="X1095" s="120"/>
      <c r="Y1095" s="120"/>
      <c r="Z1095" s="120"/>
      <c r="AA1095" s="120"/>
    </row>
    <row r="1096">
      <c r="A1096" s="120"/>
      <c r="B1096" s="115"/>
      <c r="C1096" s="108"/>
      <c r="D1096" s="109"/>
      <c r="E1096" s="114"/>
      <c r="F1096" s="117"/>
      <c r="G1096" s="108"/>
      <c r="H1096" s="108"/>
      <c r="I1096" s="119"/>
      <c r="J1096" s="119"/>
      <c r="K1096" s="120"/>
      <c r="L1096" s="114"/>
      <c r="M1096" s="120"/>
      <c r="N1096" s="120"/>
      <c r="O1096" s="120"/>
      <c r="P1096" s="120"/>
      <c r="Q1096" s="120"/>
      <c r="R1096" s="120"/>
      <c r="S1096" s="120"/>
      <c r="T1096" s="120"/>
      <c r="U1096" s="120"/>
      <c r="V1096" s="120"/>
      <c r="W1096" s="120"/>
      <c r="X1096" s="120"/>
      <c r="Y1096" s="120"/>
      <c r="Z1096" s="120"/>
      <c r="AA1096" s="120"/>
    </row>
    <row r="1097">
      <c r="A1097" s="120"/>
      <c r="B1097" s="115"/>
      <c r="C1097" s="108"/>
      <c r="D1097" s="109"/>
      <c r="E1097" s="114"/>
      <c r="F1097" s="117"/>
      <c r="G1097" s="108"/>
      <c r="H1097" s="108"/>
      <c r="I1097" s="119"/>
      <c r="J1097" s="119"/>
      <c r="K1097" s="120"/>
      <c r="L1097" s="114"/>
      <c r="M1097" s="120"/>
      <c r="N1097" s="120"/>
      <c r="O1097" s="120"/>
      <c r="P1097" s="120"/>
      <c r="Q1097" s="120"/>
      <c r="R1097" s="120"/>
      <c r="S1097" s="120"/>
      <c r="T1097" s="120"/>
      <c r="U1097" s="120"/>
      <c r="V1097" s="120"/>
      <c r="W1097" s="120"/>
      <c r="X1097" s="120"/>
      <c r="Y1097" s="120"/>
      <c r="Z1097" s="120"/>
      <c r="AA1097" s="120"/>
    </row>
    <row r="1098">
      <c r="A1098" s="120"/>
      <c r="B1098" s="115"/>
      <c r="C1098" s="108"/>
      <c r="D1098" s="109"/>
      <c r="E1098" s="114"/>
      <c r="F1098" s="117"/>
      <c r="G1098" s="108"/>
      <c r="H1098" s="108"/>
      <c r="I1098" s="119"/>
      <c r="J1098" s="119"/>
      <c r="K1098" s="120"/>
      <c r="L1098" s="114"/>
      <c r="M1098" s="120"/>
      <c r="N1098" s="120"/>
      <c r="O1098" s="120"/>
      <c r="P1098" s="120"/>
      <c r="Q1098" s="120"/>
      <c r="R1098" s="120"/>
      <c r="S1098" s="120"/>
      <c r="T1098" s="120"/>
      <c r="U1098" s="120"/>
      <c r="V1098" s="120"/>
      <c r="W1098" s="120"/>
      <c r="X1098" s="120"/>
      <c r="Y1098" s="120"/>
      <c r="Z1098" s="120"/>
      <c r="AA1098" s="120"/>
    </row>
    <row r="1099">
      <c r="A1099" s="120"/>
      <c r="B1099" s="115"/>
      <c r="C1099" s="108"/>
      <c r="D1099" s="109"/>
      <c r="E1099" s="114"/>
      <c r="F1099" s="117"/>
      <c r="G1099" s="108"/>
      <c r="H1099" s="108"/>
      <c r="I1099" s="119"/>
      <c r="J1099" s="119"/>
      <c r="K1099" s="120"/>
      <c r="L1099" s="114"/>
      <c r="M1099" s="120"/>
      <c r="N1099" s="120"/>
      <c r="O1099" s="120"/>
      <c r="P1099" s="120"/>
      <c r="Q1099" s="120"/>
      <c r="R1099" s="120"/>
      <c r="S1099" s="120"/>
      <c r="T1099" s="120"/>
      <c r="U1099" s="120"/>
      <c r="V1099" s="120"/>
      <c r="W1099" s="120"/>
      <c r="X1099" s="120"/>
      <c r="Y1099" s="120"/>
      <c r="Z1099" s="120"/>
      <c r="AA1099" s="120"/>
    </row>
    <row r="1100">
      <c r="A1100" s="120"/>
      <c r="B1100" s="115"/>
      <c r="C1100" s="108"/>
      <c r="D1100" s="109"/>
      <c r="E1100" s="114"/>
      <c r="F1100" s="117"/>
      <c r="G1100" s="108"/>
      <c r="H1100" s="108"/>
      <c r="I1100" s="119"/>
      <c r="J1100" s="119"/>
      <c r="K1100" s="120"/>
      <c r="L1100" s="114"/>
      <c r="M1100" s="120"/>
      <c r="N1100" s="120"/>
      <c r="O1100" s="120"/>
      <c r="P1100" s="120"/>
      <c r="Q1100" s="120"/>
      <c r="R1100" s="120"/>
      <c r="S1100" s="120"/>
      <c r="T1100" s="120"/>
      <c r="U1100" s="120"/>
      <c r="V1100" s="120"/>
      <c r="W1100" s="120"/>
      <c r="X1100" s="120"/>
      <c r="Y1100" s="120"/>
      <c r="Z1100" s="120"/>
      <c r="AA1100" s="120"/>
    </row>
    <row r="1101">
      <c r="A1101" s="120"/>
      <c r="B1101" s="115"/>
      <c r="C1101" s="108"/>
      <c r="D1101" s="109"/>
      <c r="E1101" s="114"/>
      <c r="F1101" s="117"/>
      <c r="G1101" s="108"/>
      <c r="H1101" s="108"/>
      <c r="I1101" s="119"/>
      <c r="J1101" s="119"/>
      <c r="K1101" s="120"/>
      <c r="L1101" s="114"/>
      <c r="M1101" s="120"/>
      <c r="N1101" s="120"/>
      <c r="O1101" s="120"/>
      <c r="P1101" s="120"/>
      <c r="Q1101" s="120"/>
      <c r="R1101" s="120"/>
      <c r="S1101" s="120"/>
      <c r="T1101" s="120"/>
      <c r="U1101" s="120"/>
      <c r="V1101" s="120"/>
      <c r="W1101" s="120"/>
      <c r="X1101" s="120"/>
      <c r="Y1101" s="120"/>
      <c r="Z1101" s="120"/>
      <c r="AA1101" s="120"/>
    </row>
    <row r="1102">
      <c r="A1102" s="120"/>
      <c r="B1102" s="115"/>
      <c r="C1102" s="108"/>
      <c r="D1102" s="109"/>
      <c r="E1102" s="114"/>
      <c r="F1102" s="117"/>
      <c r="G1102" s="108"/>
      <c r="H1102" s="108"/>
      <c r="I1102" s="119"/>
      <c r="J1102" s="119"/>
      <c r="K1102" s="120"/>
      <c r="L1102" s="114"/>
      <c r="M1102" s="120"/>
      <c r="N1102" s="120"/>
      <c r="O1102" s="120"/>
      <c r="P1102" s="120"/>
      <c r="Q1102" s="120"/>
      <c r="R1102" s="120"/>
      <c r="S1102" s="120"/>
      <c r="T1102" s="120"/>
      <c r="U1102" s="120"/>
      <c r="V1102" s="120"/>
      <c r="W1102" s="120"/>
      <c r="X1102" s="120"/>
      <c r="Y1102" s="120"/>
      <c r="Z1102" s="120"/>
      <c r="AA1102" s="120"/>
    </row>
    <row r="1103">
      <c r="A1103" s="120"/>
      <c r="B1103" s="115"/>
      <c r="C1103" s="108"/>
      <c r="D1103" s="109"/>
      <c r="E1103" s="114"/>
      <c r="F1103" s="117"/>
      <c r="G1103" s="108"/>
      <c r="H1103" s="108"/>
      <c r="I1103" s="119"/>
      <c r="J1103" s="119"/>
      <c r="K1103" s="120"/>
      <c r="L1103" s="114"/>
      <c r="M1103" s="120"/>
      <c r="N1103" s="120"/>
      <c r="O1103" s="120"/>
      <c r="P1103" s="120"/>
      <c r="Q1103" s="120"/>
      <c r="R1103" s="120"/>
      <c r="S1103" s="120"/>
      <c r="T1103" s="120"/>
      <c r="U1103" s="120"/>
      <c r="V1103" s="120"/>
      <c r="W1103" s="120"/>
      <c r="X1103" s="120"/>
      <c r="Y1103" s="120"/>
      <c r="Z1103" s="120"/>
      <c r="AA1103" s="120"/>
    </row>
    <row r="1104">
      <c r="A1104" s="120"/>
      <c r="B1104" s="115"/>
      <c r="C1104" s="108"/>
      <c r="D1104" s="109"/>
      <c r="E1104" s="114"/>
      <c r="F1104" s="117"/>
      <c r="G1104" s="108"/>
      <c r="H1104" s="108"/>
      <c r="I1104" s="119"/>
      <c r="J1104" s="119"/>
      <c r="K1104" s="120"/>
      <c r="L1104" s="114"/>
      <c r="M1104" s="120"/>
      <c r="N1104" s="120"/>
      <c r="O1104" s="120"/>
      <c r="P1104" s="120"/>
      <c r="Q1104" s="120"/>
      <c r="R1104" s="120"/>
      <c r="S1104" s="120"/>
      <c r="T1104" s="120"/>
      <c r="U1104" s="120"/>
      <c r="V1104" s="120"/>
      <c r="W1104" s="120"/>
      <c r="X1104" s="120"/>
      <c r="Y1104" s="120"/>
      <c r="Z1104" s="120"/>
      <c r="AA1104" s="120"/>
    </row>
    <row r="1105">
      <c r="A1105" s="120"/>
      <c r="B1105" s="115"/>
      <c r="C1105" s="108"/>
      <c r="D1105" s="109"/>
      <c r="E1105" s="114"/>
      <c r="F1105" s="117"/>
      <c r="G1105" s="108"/>
      <c r="H1105" s="108"/>
      <c r="I1105" s="119"/>
      <c r="J1105" s="119"/>
      <c r="K1105" s="120"/>
      <c r="L1105" s="114"/>
      <c r="M1105" s="120"/>
      <c r="N1105" s="120"/>
      <c r="O1105" s="120"/>
      <c r="P1105" s="120"/>
      <c r="Q1105" s="120"/>
      <c r="R1105" s="120"/>
      <c r="S1105" s="120"/>
      <c r="T1105" s="120"/>
      <c r="U1105" s="120"/>
      <c r="V1105" s="120"/>
      <c r="W1105" s="120"/>
      <c r="X1105" s="120"/>
      <c r="Y1105" s="120"/>
      <c r="Z1105" s="120"/>
      <c r="AA1105" s="120"/>
    </row>
    <row r="1106">
      <c r="A1106" s="120"/>
      <c r="B1106" s="115"/>
      <c r="C1106" s="108"/>
      <c r="D1106" s="109"/>
      <c r="E1106" s="114"/>
      <c r="F1106" s="117"/>
      <c r="G1106" s="108"/>
      <c r="H1106" s="108"/>
      <c r="I1106" s="119"/>
      <c r="J1106" s="119"/>
      <c r="K1106" s="120"/>
      <c r="L1106" s="114"/>
      <c r="M1106" s="120"/>
      <c r="N1106" s="120"/>
      <c r="O1106" s="120"/>
      <c r="P1106" s="120"/>
      <c r="Q1106" s="120"/>
      <c r="R1106" s="120"/>
      <c r="S1106" s="120"/>
      <c r="T1106" s="120"/>
      <c r="U1106" s="120"/>
      <c r="V1106" s="120"/>
      <c r="W1106" s="120"/>
      <c r="X1106" s="120"/>
      <c r="Y1106" s="120"/>
      <c r="Z1106" s="120"/>
      <c r="AA1106" s="120"/>
    </row>
    <row r="1107">
      <c r="A1107" s="120"/>
      <c r="B1107" s="115"/>
      <c r="C1107" s="108"/>
      <c r="D1107" s="109"/>
      <c r="E1107" s="114"/>
      <c r="F1107" s="117"/>
      <c r="G1107" s="108"/>
      <c r="H1107" s="108"/>
      <c r="I1107" s="119"/>
      <c r="J1107" s="119"/>
      <c r="K1107" s="120"/>
      <c r="L1107" s="114"/>
      <c r="M1107" s="120"/>
      <c r="N1107" s="120"/>
      <c r="O1107" s="120"/>
      <c r="P1107" s="120"/>
      <c r="Q1107" s="120"/>
      <c r="R1107" s="120"/>
      <c r="S1107" s="120"/>
      <c r="T1107" s="120"/>
      <c r="U1107" s="120"/>
      <c r="V1107" s="120"/>
      <c r="W1107" s="120"/>
      <c r="X1107" s="120"/>
      <c r="Y1107" s="120"/>
      <c r="Z1107" s="120"/>
      <c r="AA1107" s="120"/>
    </row>
    <row r="1108">
      <c r="A1108" s="120"/>
      <c r="B1108" s="115"/>
      <c r="C1108" s="108"/>
      <c r="D1108" s="109"/>
      <c r="E1108" s="114"/>
      <c r="F1108" s="117"/>
      <c r="G1108" s="108"/>
      <c r="H1108" s="108"/>
      <c r="I1108" s="119"/>
      <c r="J1108" s="119"/>
      <c r="K1108" s="120"/>
      <c r="L1108" s="114"/>
      <c r="M1108" s="120"/>
      <c r="N1108" s="120"/>
      <c r="O1108" s="120"/>
      <c r="P1108" s="120"/>
      <c r="Q1108" s="120"/>
      <c r="R1108" s="120"/>
      <c r="S1108" s="120"/>
      <c r="T1108" s="120"/>
      <c r="U1108" s="120"/>
      <c r="V1108" s="120"/>
      <c r="W1108" s="120"/>
      <c r="X1108" s="120"/>
      <c r="Y1108" s="120"/>
      <c r="Z1108" s="120"/>
      <c r="AA1108" s="120"/>
    </row>
    <row r="1109">
      <c r="A1109" s="120"/>
      <c r="B1109" s="115"/>
      <c r="C1109" s="108"/>
      <c r="D1109" s="109"/>
      <c r="E1109" s="114"/>
      <c r="F1109" s="117"/>
      <c r="G1109" s="108"/>
      <c r="H1109" s="108"/>
      <c r="I1109" s="119"/>
      <c r="J1109" s="119"/>
      <c r="K1109" s="120"/>
      <c r="L1109" s="114"/>
      <c r="M1109" s="120"/>
      <c r="N1109" s="120"/>
      <c r="O1109" s="120"/>
      <c r="P1109" s="120"/>
      <c r="Q1109" s="120"/>
      <c r="R1109" s="120"/>
      <c r="S1109" s="120"/>
      <c r="T1109" s="120"/>
      <c r="U1109" s="120"/>
      <c r="V1109" s="120"/>
      <c r="W1109" s="120"/>
      <c r="X1109" s="120"/>
      <c r="Y1109" s="120"/>
      <c r="Z1109" s="120"/>
      <c r="AA1109" s="120"/>
    </row>
    <row r="1110">
      <c r="A1110" s="120"/>
      <c r="B1110" s="115"/>
      <c r="C1110" s="108"/>
      <c r="D1110" s="109"/>
      <c r="E1110" s="114"/>
      <c r="F1110" s="117"/>
      <c r="G1110" s="108"/>
      <c r="H1110" s="108"/>
      <c r="I1110" s="119"/>
      <c r="J1110" s="119"/>
      <c r="K1110" s="120"/>
      <c r="L1110" s="114"/>
      <c r="M1110" s="120"/>
      <c r="N1110" s="120"/>
      <c r="O1110" s="120"/>
      <c r="P1110" s="120"/>
      <c r="Q1110" s="120"/>
      <c r="R1110" s="120"/>
      <c r="S1110" s="120"/>
      <c r="T1110" s="120"/>
      <c r="U1110" s="120"/>
      <c r="V1110" s="120"/>
      <c r="W1110" s="120"/>
      <c r="X1110" s="120"/>
      <c r="Y1110" s="120"/>
      <c r="Z1110" s="120"/>
      <c r="AA1110" s="120"/>
    </row>
    <row r="1111">
      <c r="A1111" s="120"/>
      <c r="B1111" s="115"/>
      <c r="C1111" s="108"/>
      <c r="D1111" s="109"/>
      <c r="E1111" s="114"/>
      <c r="F1111" s="117"/>
      <c r="G1111" s="108"/>
      <c r="H1111" s="108"/>
      <c r="I1111" s="119"/>
      <c r="J1111" s="119"/>
      <c r="K1111" s="120"/>
      <c r="L1111" s="114"/>
      <c r="M1111" s="120"/>
      <c r="N1111" s="120"/>
      <c r="O1111" s="120"/>
      <c r="P1111" s="120"/>
      <c r="Q1111" s="120"/>
      <c r="R1111" s="120"/>
      <c r="S1111" s="120"/>
      <c r="T1111" s="120"/>
      <c r="U1111" s="120"/>
      <c r="V1111" s="120"/>
      <c r="W1111" s="120"/>
      <c r="X1111" s="120"/>
      <c r="Y1111" s="120"/>
      <c r="Z1111" s="120"/>
      <c r="AA1111" s="120"/>
    </row>
    <row r="1112">
      <c r="A1112" s="120"/>
      <c r="B1112" s="115"/>
      <c r="C1112" s="108"/>
      <c r="D1112" s="109"/>
      <c r="E1112" s="114"/>
      <c r="F1112" s="117"/>
      <c r="G1112" s="108"/>
      <c r="H1112" s="108"/>
      <c r="I1112" s="119"/>
      <c r="J1112" s="119"/>
      <c r="K1112" s="120"/>
      <c r="L1112" s="114"/>
      <c r="M1112" s="120"/>
      <c r="N1112" s="120"/>
      <c r="O1112" s="120"/>
      <c r="P1112" s="120"/>
      <c r="Q1112" s="120"/>
      <c r="R1112" s="120"/>
      <c r="S1112" s="120"/>
      <c r="T1112" s="120"/>
      <c r="U1112" s="120"/>
      <c r="V1112" s="120"/>
      <c r="W1112" s="120"/>
      <c r="X1112" s="120"/>
      <c r="Y1112" s="120"/>
      <c r="Z1112" s="120"/>
      <c r="AA1112" s="120"/>
    </row>
    <row r="1113">
      <c r="A1113" s="120"/>
      <c r="B1113" s="115"/>
      <c r="C1113" s="108"/>
      <c r="D1113" s="109"/>
      <c r="E1113" s="114"/>
      <c r="F1113" s="117"/>
      <c r="G1113" s="108"/>
      <c r="H1113" s="108"/>
      <c r="I1113" s="119"/>
      <c r="J1113" s="119"/>
      <c r="K1113" s="120"/>
      <c r="L1113" s="114"/>
      <c r="M1113" s="120"/>
      <c r="N1113" s="120"/>
      <c r="O1113" s="120"/>
      <c r="P1113" s="120"/>
      <c r="Q1113" s="120"/>
      <c r="R1113" s="120"/>
      <c r="S1113" s="120"/>
      <c r="T1113" s="120"/>
      <c r="U1113" s="120"/>
      <c r="V1113" s="120"/>
      <c r="W1113" s="120"/>
      <c r="X1113" s="120"/>
      <c r="Y1113" s="120"/>
      <c r="Z1113" s="120"/>
      <c r="AA1113" s="120"/>
    </row>
    <row r="1114">
      <c r="A1114" s="120"/>
      <c r="B1114" s="115"/>
      <c r="C1114" s="108"/>
      <c r="D1114" s="109"/>
      <c r="E1114" s="114"/>
      <c r="F1114" s="117"/>
      <c r="G1114" s="108"/>
      <c r="H1114" s="108"/>
      <c r="I1114" s="119"/>
      <c r="J1114" s="119"/>
      <c r="K1114" s="120"/>
      <c r="L1114" s="114"/>
      <c r="M1114" s="120"/>
      <c r="N1114" s="120"/>
      <c r="O1114" s="120"/>
      <c r="P1114" s="120"/>
      <c r="Q1114" s="120"/>
      <c r="R1114" s="120"/>
      <c r="S1114" s="120"/>
      <c r="T1114" s="120"/>
      <c r="U1114" s="120"/>
      <c r="V1114" s="120"/>
      <c r="W1114" s="120"/>
      <c r="X1114" s="120"/>
      <c r="Y1114" s="120"/>
      <c r="Z1114" s="120"/>
      <c r="AA1114" s="120"/>
    </row>
    <row r="1115">
      <c r="A1115" s="120"/>
      <c r="B1115" s="115"/>
      <c r="C1115" s="108"/>
      <c r="D1115" s="109"/>
      <c r="E1115" s="114"/>
      <c r="F1115" s="117"/>
      <c r="G1115" s="108"/>
      <c r="H1115" s="108"/>
      <c r="I1115" s="119"/>
      <c r="J1115" s="119"/>
      <c r="K1115" s="120"/>
      <c r="L1115" s="114"/>
      <c r="M1115" s="120"/>
      <c r="N1115" s="120"/>
      <c r="O1115" s="120"/>
      <c r="P1115" s="120"/>
      <c r="Q1115" s="120"/>
      <c r="R1115" s="120"/>
      <c r="S1115" s="120"/>
      <c r="T1115" s="120"/>
      <c r="U1115" s="120"/>
      <c r="V1115" s="120"/>
      <c r="W1115" s="120"/>
      <c r="X1115" s="120"/>
      <c r="Y1115" s="120"/>
      <c r="Z1115" s="120"/>
      <c r="AA1115" s="120"/>
    </row>
    <row r="1116">
      <c r="A1116" s="120"/>
      <c r="B1116" s="115"/>
      <c r="C1116" s="108"/>
      <c r="D1116" s="109"/>
      <c r="E1116" s="114"/>
      <c r="F1116" s="117"/>
      <c r="G1116" s="108"/>
      <c r="H1116" s="108"/>
      <c r="I1116" s="119"/>
      <c r="J1116" s="119"/>
      <c r="K1116" s="120"/>
      <c r="L1116" s="114"/>
      <c r="M1116" s="120"/>
      <c r="N1116" s="120"/>
      <c r="O1116" s="120"/>
      <c r="P1116" s="120"/>
      <c r="Q1116" s="120"/>
      <c r="R1116" s="120"/>
      <c r="S1116" s="120"/>
      <c r="T1116" s="120"/>
      <c r="U1116" s="120"/>
      <c r="V1116" s="120"/>
      <c r="W1116" s="120"/>
      <c r="X1116" s="120"/>
      <c r="Y1116" s="120"/>
      <c r="Z1116" s="120"/>
      <c r="AA1116" s="120"/>
    </row>
    <row r="1117">
      <c r="A1117" s="120"/>
      <c r="B1117" s="115"/>
      <c r="C1117" s="108"/>
      <c r="D1117" s="109"/>
      <c r="E1117" s="114"/>
      <c r="F1117" s="117"/>
      <c r="G1117" s="108"/>
      <c r="H1117" s="108"/>
      <c r="I1117" s="119"/>
      <c r="J1117" s="119"/>
      <c r="K1117" s="120"/>
      <c r="L1117" s="114"/>
      <c r="M1117" s="120"/>
      <c r="N1117" s="120"/>
      <c r="O1117" s="120"/>
      <c r="P1117" s="120"/>
      <c r="Q1117" s="120"/>
      <c r="R1117" s="120"/>
      <c r="S1117" s="120"/>
      <c r="T1117" s="120"/>
      <c r="U1117" s="120"/>
      <c r="V1117" s="120"/>
      <c r="W1117" s="120"/>
      <c r="X1117" s="120"/>
      <c r="Y1117" s="120"/>
      <c r="Z1117" s="120"/>
      <c r="AA1117" s="120"/>
    </row>
    <row r="1118">
      <c r="A1118" s="120"/>
      <c r="B1118" s="115"/>
      <c r="C1118" s="108"/>
      <c r="D1118" s="109"/>
      <c r="E1118" s="114"/>
      <c r="F1118" s="117"/>
      <c r="G1118" s="108"/>
      <c r="H1118" s="108"/>
      <c r="I1118" s="119"/>
      <c r="J1118" s="119"/>
      <c r="K1118" s="120"/>
      <c r="L1118" s="114"/>
      <c r="M1118" s="120"/>
      <c r="N1118" s="120"/>
      <c r="O1118" s="120"/>
      <c r="P1118" s="120"/>
      <c r="Q1118" s="120"/>
      <c r="R1118" s="120"/>
      <c r="S1118" s="120"/>
      <c r="T1118" s="120"/>
      <c r="U1118" s="120"/>
      <c r="V1118" s="120"/>
      <c r="W1118" s="120"/>
      <c r="X1118" s="120"/>
      <c r="Y1118" s="120"/>
      <c r="Z1118" s="120"/>
      <c r="AA1118" s="120"/>
    </row>
    <row r="1119">
      <c r="A1119" s="120"/>
      <c r="B1119" s="115"/>
      <c r="C1119" s="108"/>
      <c r="D1119" s="109"/>
      <c r="E1119" s="114"/>
      <c r="F1119" s="117"/>
      <c r="G1119" s="108"/>
      <c r="H1119" s="108"/>
      <c r="I1119" s="119"/>
      <c r="J1119" s="119"/>
      <c r="K1119" s="120"/>
      <c r="L1119" s="114"/>
      <c r="M1119" s="120"/>
      <c r="N1119" s="120"/>
      <c r="O1119" s="120"/>
      <c r="P1119" s="120"/>
      <c r="Q1119" s="120"/>
      <c r="R1119" s="120"/>
      <c r="S1119" s="120"/>
      <c r="T1119" s="120"/>
      <c r="U1119" s="120"/>
      <c r="V1119" s="120"/>
      <c r="W1119" s="120"/>
      <c r="X1119" s="120"/>
      <c r="Y1119" s="120"/>
      <c r="Z1119" s="120"/>
      <c r="AA1119" s="120"/>
    </row>
    <row r="1120">
      <c r="A1120" s="120"/>
      <c r="B1120" s="115"/>
      <c r="C1120" s="108"/>
      <c r="D1120" s="109"/>
      <c r="E1120" s="114"/>
      <c r="F1120" s="117"/>
      <c r="G1120" s="108"/>
      <c r="H1120" s="108"/>
      <c r="I1120" s="119"/>
      <c r="J1120" s="119"/>
      <c r="K1120" s="120"/>
      <c r="L1120" s="114"/>
      <c r="M1120" s="120"/>
      <c r="N1120" s="120"/>
      <c r="O1120" s="120"/>
      <c r="P1120" s="120"/>
      <c r="Q1120" s="120"/>
      <c r="R1120" s="120"/>
      <c r="S1120" s="120"/>
      <c r="T1120" s="120"/>
      <c r="U1120" s="120"/>
      <c r="V1120" s="120"/>
      <c r="W1120" s="120"/>
      <c r="X1120" s="120"/>
      <c r="Y1120" s="120"/>
      <c r="Z1120" s="120"/>
      <c r="AA1120" s="120"/>
    </row>
    <row r="1121">
      <c r="A1121" s="120"/>
      <c r="B1121" s="115"/>
      <c r="C1121" s="108"/>
      <c r="D1121" s="109"/>
      <c r="E1121" s="114"/>
      <c r="F1121" s="117"/>
      <c r="G1121" s="108"/>
      <c r="H1121" s="108"/>
      <c r="I1121" s="119"/>
      <c r="J1121" s="119"/>
      <c r="K1121" s="120"/>
      <c r="L1121" s="114"/>
      <c r="M1121" s="120"/>
      <c r="N1121" s="120"/>
      <c r="O1121" s="120"/>
      <c r="P1121" s="120"/>
      <c r="Q1121" s="120"/>
      <c r="R1121" s="120"/>
      <c r="S1121" s="120"/>
      <c r="T1121" s="120"/>
      <c r="U1121" s="120"/>
      <c r="V1121" s="120"/>
      <c r="W1121" s="120"/>
      <c r="X1121" s="120"/>
      <c r="Y1121" s="120"/>
      <c r="Z1121" s="120"/>
      <c r="AA1121" s="120"/>
    </row>
    <row r="1122">
      <c r="A1122" s="120"/>
      <c r="B1122" s="115"/>
      <c r="C1122" s="108"/>
      <c r="D1122" s="109"/>
      <c r="E1122" s="114"/>
      <c r="F1122" s="117"/>
      <c r="G1122" s="108"/>
      <c r="H1122" s="108"/>
      <c r="I1122" s="119"/>
      <c r="J1122" s="119"/>
      <c r="K1122" s="120"/>
      <c r="L1122" s="114"/>
      <c r="M1122" s="120"/>
      <c r="N1122" s="120"/>
      <c r="O1122" s="120"/>
      <c r="P1122" s="120"/>
      <c r="Q1122" s="120"/>
      <c r="R1122" s="120"/>
      <c r="S1122" s="120"/>
      <c r="T1122" s="120"/>
      <c r="U1122" s="120"/>
      <c r="V1122" s="120"/>
      <c r="W1122" s="120"/>
      <c r="X1122" s="120"/>
      <c r="Y1122" s="120"/>
      <c r="Z1122" s="120"/>
      <c r="AA1122" s="120"/>
    </row>
    <row r="1123">
      <c r="A1123" s="120"/>
      <c r="B1123" s="115"/>
      <c r="C1123" s="108"/>
      <c r="D1123" s="109"/>
      <c r="E1123" s="114"/>
      <c r="F1123" s="117"/>
      <c r="G1123" s="108"/>
      <c r="H1123" s="108"/>
      <c r="I1123" s="119"/>
      <c r="J1123" s="119"/>
      <c r="K1123" s="120"/>
      <c r="L1123" s="114"/>
      <c r="M1123" s="120"/>
      <c r="N1123" s="120"/>
      <c r="O1123" s="120"/>
      <c r="P1123" s="120"/>
      <c r="Q1123" s="120"/>
      <c r="R1123" s="120"/>
      <c r="S1123" s="120"/>
      <c r="T1123" s="120"/>
      <c r="U1123" s="120"/>
      <c r="V1123" s="120"/>
      <c r="W1123" s="120"/>
      <c r="X1123" s="120"/>
      <c r="Y1123" s="120"/>
      <c r="Z1123" s="120"/>
      <c r="AA1123" s="120"/>
    </row>
    <row r="1124">
      <c r="A1124" s="120"/>
      <c r="B1124" s="115"/>
      <c r="C1124" s="108"/>
      <c r="D1124" s="109"/>
      <c r="E1124" s="114"/>
      <c r="F1124" s="117"/>
      <c r="G1124" s="108"/>
      <c r="H1124" s="108"/>
      <c r="I1124" s="119"/>
      <c r="J1124" s="119"/>
      <c r="K1124" s="120"/>
      <c r="L1124" s="114"/>
      <c r="M1124" s="120"/>
      <c r="N1124" s="120"/>
      <c r="O1124" s="120"/>
      <c r="P1124" s="120"/>
      <c r="Q1124" s="120"/>
      <c r="R1124" s="120"/>
      <c r="S1124" s="120"/>
      <c r="T1124" s="120"/>
      <c r="U1124" s="120"/>
      <c r="V1124" s="120"/>
      <c r="W1124" s="120"/>
      <c r="X1124" s="120"/>
      <c r="Y1124" s="120"/>
      <c r="Z1124" s="120"/>
      <c r="AA1124" s="120"/>
    </row>
    <row r="1125">
      <c r="A1125" s="120"/>
      <c r="B1125" s="115"/>
      <c r="C1125" s="108"/>
      <c r="D1125" s="109"/>
      <c r="E1125" s="114"/>
      <c r="F1125" s="117"/>
      <c r="G1125" s="108"/>
      <c r="H1125" s="108"/>
      <c r="I1125" s="119"/>
      <c r="J1125" s="119"/>
      <c r="K1125" s="120"/>
      <c r="L1125" s="114"/>
      <c r="M1125" s="120"/>
      <c r="N1125" s="120"/>
      <c r="O1125" s="120"/>
      <c r="P1125" s="120"/>
      <c r="Q1125" s="120"/>
      <c r="R1125" s="120"/>
      <c r="S1125" s="120"/>
      <c r="T1125" s="120"/>
      <c r="U1125" s="120"/>
      <c r="V1125" s="120"/>
      <c r="W1125" s="120"/>
      <c r="X1125" s="120"/>
      <c r="Y1125" s="120"/>
      <c r="Z1125" s="120"/>
      <c r="AA1125" s="120"/>
    </row>
    <row r="1126">
      <c r="A1126" s="120"/>
      <c r="B1126" s="115"/>
      <c r="C1126" s="108"/>
      <c r="D1126" s="109"/>
      <c r="E1126" s="114"/>
      <c r="F1126" s="117"/>
      <c r="G1126" s="108"/>
      <c r="H1126" s="108"/>
      <c r="I1126" s="119"/>
      <c r="J1126" s="119"/>
      <c r="K1126" s="120"/>
      <c r="L1126" s="114"/>
      <c r="M1126" s="120"/>
      <c r="N1126" s="120"/>
      <c r="O1126" s="120"/>
      <c r="P1126" s="120"/>
      <c r="Q1126" s="120"/>
      <c r="R1126" s="120"/>
      <c r="S1126" s="120"/>
      <c r="T1126" s="120"/>
      <c r="U1126" s="120"/>
      <c r="V1126" s="120"/>
      <c r="W1126" s="120"/>
      <c r="X1126" s="120"/>
      <c r="Y1126" s="120"/>
      <c r="Z1126" s="120"/>
      <c r="AA1126" s="120"/>
    </row>
    <row r="1127">
      <c r="A1127" s="120"/>
      <c r="B1127" s="115"/>
      <c r="C1127" s="108"/>
      <c r="D1127" s="109"/>
      <c r="E1127" s="114"/>
      <c r="F1127" s="117"/>
      <c r="G1127" s="108"/>
      <c r="H1127" s="108"/>
      <c r="I1127" s="119"/>
      <c r="J1127" s="119"/>
      <c r="K1127" s="120"/>
      <c r="L1127" s="114"/>
      <c r="M1127" s="120"/>
      <c r="N1127" s="120"/>
      <c r="O1127" s="120"/>
      <c r="P1127" s="120"/>
      <c r="Q1127" s="120"/>
      <c r="R1127" s="120"/>
      <c r="S1127" s="120"/>
      <c r="T1127" s="120"/>
      <c r="U1127" s="120"/>
      <c r="V1127" s="120"/>
      <c r="W1127" s="120"/>
      <c r="X1127" s="120"/>
      <c r="Y1127" s="120"/>
      <c r="Z1127" s="120"/>
      <c r="AA1127" s="120"/>
    </row>
    <row r="1128">
      <c r="A1128" s="120"/>
      <c r="B1128" s="115"/>
      <c r="C1128" s="108"/>
      <c r="D1128" s="109"/>
      <c r="E1128" s="114"/>
      <c r="F1128" s="117"/>
      <c r="G1128" s="108"/>
      <c r="H1128" s="108"/>
      <c r="I1128" s="119"/>
      <c r="J1128" s="119"/>
      <c r="K1128" s="120"/>
      <c r="L1128" s="114"/>
      <c r="M1128" s="120"/>
      <c r="N1128" s="120"/>
      <c r="O1128" s="120"/>
      <c r="P1128" s="120"/>
      <c r="Q1128" s="120"/>
      <c r="R1128" s="120"/>
      <c r="S1128" s="120"/>
      <c r="T1128" s="120"/>
      <c r="U1128" s="120"/>
      <c r="V1128" s="120"/>
      <c r="W1128" s="120"/>
      <c r="X1128" s="120"/>
      <c r="Y1128" s="120"/>
      <c r="Z1128" s="120"/>
      <c r="AA1128" s="120"/>
    </row>
    <row r="1129">
      <c r="A1129" s="120"/>
      <c r="B1129" s="115"/>
      <c r="C1129" s="108"/>
      <c r="D1129" s="109"/>
      <c r="E1129" s="114"/>
      <c r="F1129" s="117"/>
      <c r="G1129" s="108"/>
      <c r="H1129" s="108"/>
      <c r="I1129" s="119"/>
      <c r="J1129" s="119"/>
      <c r="K1129" s="120"/>
      <c r="L1129" s="114"/>
      <c r="M1129" s="120"/>
      <c r="N1129" s="120"/>
      <c r="O1129" s="120"/>
      <c r="P1129" s="120"/>
      <c r="Q1129" s="120"/>
      <c r="R1129" s="120"/>
      <c r="S1129" s="120"/>
      <c r="T1129" s="120"/>
      <c r="U1129" s="120"/>
      <c r="V1129" s="120"/>
      <c r="W1129" s="120"/>
      <c r="X1129" s="120"/>
      <c r="Y1129" s="120"/>
      <c r="Z1129" s="120"/>
      <c r="AA1129" s="120"/>
    </row>
    <row r="1130">
      <c r="A1130" s="120"/>
      <c r="B1130" s="115"/>
      <c r="C1130" s="108"/>
      <c r="D1130" s="109"/>
      <c r="E1130" s="114"/>
      <c r="F1130" s="117"/>
      <c r="G1130" s="108"/>
      <c r="H1130" s="108"/>
      <c r="I1130" s="119"/>
      <c r="J1130" s="119"/>
      <c r="K1130" s="120"/>
      <c r="L1130" s="114"/>
      <c r="M1130" s="120"/>
      <c r="N1130" s="120"/>
      <c r="O1130" s="120"/>
      <c r="P1130" s="120"/>
      <c r="Q1130" s="120"/>
      <c r="R1130" s="120"/>
      <c r="S1130" s="120"/>
      <c r="T1130" s="120"/>
      <c r="U1130" s="120"/>
      <c r="V1130" s="120"/>
      <c r="W1130" s="120"/>
      <c r="X1130" s="120"/>
      <c r="Y1130" s="120"/>
      <c r="Z1130" s="120"/>
      <c r="AA1130" s="120"/>
    </row>
    <row r="1131">
      <c r="A1131" s="120"/>
      <c r="B1131" s="115"/>
      <c r="C1131" s="108"/>
      <c r="D1131" s="109"/>
      <c r="E1131" s="114"/>
      <c r="F1131" s="117"/>
      <c r="G1131" s="108"/>
      <c r="H1131" s="108"/>
      <c r="I1131" s="119"/>
      <c r="J1131" s="119"/>
      <c r="K1131" s="120"/>
      <c r="L1131" s="114"/>
      <c r="M1131" s="120"/>
      <c r="N1131" s="120"/>
      <c r="O1131" s="120"/>
      <c r="P1131" s="120"/>
      <c r="Q1131" s="120"/>
      <c r="R1131" s="120"/>
      <c r="S1131" s="120"/>
      <c r="T1131" s="120"/>
      <c r="U1131" s="120"/>
      <c r="V1131" s="120"/>
      <c r="W1131" s="120"/>
      <c r="X1131" s="120"/>
      <c r="Y1131" s="120"/>
      <c r="Z1131" s="120"/>
      <c r="AA1131" s="120"/>
    </row>
    <row r="1132">
      <c r="A1132" s="120"/>
      <c r="B1132" s="115"/>
      <c r="C1132" s="108"/>
      <c r="D1132" s="109"/>
      <c r="E1132" s="114"/>
      <c r="F1132" s="117"/>
      <c r="G1132" s="108"/>
      <c r="H1132" s="108"/>
      <c r="I1132" s="119"/>
      <c r="J1132" s="119"/>
      <c r="K1132" s="120"/>
      <c r="L1132" s="114"/>
      <c r="M1132" s="120"/>
      <c r="N1132" s="120"/>
      <c r="O1132" s="120"/>
      <c r="P1132" s="120"/>
      <c r="Q1132" s="120"/>
      <c r="R1132" s="120"/>
      <c r="S1132" s="120"/>
      <c r="T1132" s="120"/>
      <c r="U1132" s="120"/>
      <c r="V1132" s="120"/>
      <c r="W1132" s="120"/>
      <c r="X1132" s="120"/>
      <c r="Y1132" s="120"/>
      <c r="Z1132" s="120"/>
      <c r="AA1132" s="120"/>
    </row>
    <row r="1133">
      <c r="A1133" s="120"/>
      <c r="B1133" s="115"/>
      <c r="C1133" s="108"/>
      <c r="D1133" s="109"/>
      <c r="E1133" s="114"/>
      <c r="F1133" s="117"/>
      <c r="G1133" s="108"/>
      <c r="H1133" s="108"/>
      <c r="I1133" s="119"/>
      <c r="J1133" s="119"/>
      <c r="K1133" s="120"/>
      <c r="L1133" s="114"/>
      <c r="M1133" s="120"/>
      <c r="N1133" s="120"/>
      <c r="O1133" s="120"/>
      <c r="P1133" s="120"/>
      <c r="Q1133" s="120"/>
      <c r="R1133" s="120"/>
      <c r="S1133" s="120"/>
      <c r="T1133" s="120"/>
      <c r="U1133" s="120"/>
      <c r="V1133" s="120"/>
      <c r="W1133" s="120"/>
      <c r="X1133" s="120"/>
      <c r="Y1133" s="120"/>
      <c r="Z1133" s="120"/>
      <c r="AA1133" s="120"/>
    </row>
    <row r="1134">
      <c r="A1134" s="120"/>
      <c r="B1134" s="115"/>
      <c r="C1134" s="108"/>
      <c r="D1134" s="109"/>
      <c r="E1134" s="114"/>
      <c r="F1134" s="117"/>
      <c r="G1134" s="108"/>
      <c r="H1134" s="108"/>
      <c r="I1134" s="119"/>
      <c r="J1134" s="119"/>
      <c r="K1134" s="120"/>
      <c r="L1134" s="114"/>
      <c r="M1134" s="120"/>
      <c r="N1134" s="120"/>
      <c r="O1134" s="120"/>
      <c r="P1134" s="120"/>
      <c r="Q1134" s="120"/>
      <c r="R1134" s="120"/>
      <c r="S1134" s="120"/>
      <c r="T1134" s="120"/>
      <c r="U1134" s="120"/>
      <c r="V1134" s="120"/>
      <c r="W1134" s="120"/>
      <c r="X1134" s="120"/>
      <c r="Y1134" s="120"/>
      <c r="Z1134" s="120"/>
      <c r="AA1134" s="120"/>
    </row>
    <row r="1135">
      <c r="A1135" s="120"/>
      <c r="B1135" s="115"/>
      <c r="C1135" s="108"/>
      <c r="D1135" s="109"/>
      <c r="E1135" s="114"/>
      <c r="F1135" s="117"/>
      <c r="G1135" s="108"/>
      <c r="H1135" s="108"/>
      <c r="I1135" s="119"/>
      <c r="J1135" s="119"/>
      <c r="K1135" s="120"/>
      <c r="L1135" s="114"/>
      <c r="M1135" s="120"/>
      <c r="N1135" s="120"/>
      <c r="O1135" s="120"/>
      <c r="P1135" s="120"/>
      <c r="Q1135" s="120"/>
      <c r="R1135" s="120"/>
      <c r="S1135" s="120"/>
      <c r="T1135" s="120"/>
      <c r="U1135" s="120"/>
      <c r="V1135" s="120"/>
      <c r="W1135" s="120"/>
      <c r="X1135" s="120"/>
      <c r="Y1135" s="120"/>
      <c r="Z1135" s="120"/>
      <c r="AA1135" s="120"/>
    </row>
    <row r="1136">
      <c r="A1136" s="120"/>
      <c r="B1136" s="115"/>
      <c r="C1136" s="108"/>
      <c r="D1136" s="109"/>
      <c r="E1136" s="114"/>
      <c r="F1136" s="117"/>
      <c r="G1136" s="108"/>
      <c r="H1136" s="108"/>
      <c r="I1136" s="119"/>
      <c r="J1136" s="119"/>
      <c r="K1136" s="120"/>
      <c r="L1136" s="114"/>
      <c r="M1136" s="120"/>
      <c r="N1136" s="120"/>
      <c r="O1136" s="120"/>
      <c r="P1136" s="120"/>
      <c r="Q1136" s="120"/>
      <c r="R1136" s="120"/>
      <c r="S1136" s="120"/>
      <c r="T1136" s="120"/>
      <c r="U1136" s="120"/>
      <c r="V1136" s="120"/>
      <c r="W1136" s="120"/>
      <c r="X1136" s="120"/>
      <c r="Y1136" s="120"/>
      <c r="Z1136" s="120"/>
      <c r="AA1136" s="120"/>
    </row>
    <row r="1137">
      <c r="A1137" s="120"/>
      <c r="B1137" s="115"/>
      <c r="C1137" s="108"/>
      <c r="D1137" s="109"/>
      <c r="E1137" s="114"/>
      <c r="F1137" s="117"/>
      <c r="G1137" s="108"/>
      <c r="H1137" s="108"/>
      <c r="I1137" s="119"/>
      <c r="J1137" s="119"/>
      <c r="K1137" s="120"/>
      <c r="L1137" s="114"/>
      <c r="M1137" s="120"/>
      <c r="N1137" s="120"/>
      <c r="O1137" s="120"/>
      <c r="P1137" s="120"/>
      <c r="Q1137" s="120"/>
      <c r="R1137" s="120"/>
      <c r="S1137" s="120"/>
      <c r="T1137" s="120"/>
      <c r="U1137" s="120"/>
      <c r="V1137" s="120"/>
      <c r="W1137" s="120"/>
      <c r="X1137" s="120"/>
      <c r="Y1137" s="120"/>
      <c r="Z1137" s="120"/>
      <c r="AA1137" s="120"/>
    </row>
    <row r="1138">
      <c r="A1138" s="120"/>
      <c r="B1138" s="115"/>
      <c r="C1138" s="108"/>
      <c r="D1138" s="109"/>
      <c r="E1138" s="114"/>
      <c r="F1138" s="117"/>
      <c r="G1138" s="108"/>
      <c r="H1138" s="108"/>
      <c r="I1138" s="119"/>
      <c r="J1138" s="119"/>
      <c r="K1138" s="120"/>
      <c r="L1138" s="114"/>
      <c r="M1138" s="120"/>
      <c r="N1138" s="120"/>
      <c r="O1138" s="120"/>
      <c r="P1138" s="120"/>
      <c r="Q1138" s="120"/>
      <c r="R1138" s="120"/>
      <c r="S1138" s="120"/>
      <c r="T1138" s="120"/>
      <c r="U1138" s="120"/>
      <c r="V1138" s="120"/>
      <c r="W1138" s="120"/>
      <c r="X1138" s="120"/>
      <c r="Y1138" s="120"/>
      <c r="Z1138" s="120"/>
      <c r="AA1138" s="120"/>
    </row>
    <row r="1139">
      <c r="A1139" s="120"/>
      <c r="B1139" s="115"/>
      <c r="C1139" s="108"/>
      <c r="D1139" s="109"/>
      <c r="E1139" s="114"/>
      <c r="F1139" s="117"/>
      <c r="G1139" s="108"/>
      <c r="H1139" s="108"/>
      <c r="I1139" s="119"/>
      <c r="J1139" s="119"/>
      <c r="K1139" s="120"/>
      <c r="L1139" s="114"/>
      <c r="M1139" s="120"/>
      <c r="N1139" s="120"/>
      <c r="O1139" s="120"/>
      <c r="P1139" s="120"/>
      <c r="Q1139" s="120"/>
      <c r="R1139" s="120"/>
      <c r="S1139" s="120"/>
      <c r="T1139" s="120"/>
      <c r="U1139" s="120"/>
      <c r="V1139" s="120"/>
      <c r="W1139" s="120"/>
      <c r="X1139" s="120"/>
      <c r="Y1139" s="120"/>
      <c r="Z1139" s="120"/>
      <c r="AA1139" s="120"/>
    </row>
    <row r="1140">
      <c r="A1140" s="120"/>
      <c r="B1140" s="115"/>
      <c r="C1140" s="108"/>
      <c r="D1140" s="109"/>
      <c r="E1140" s="114"/>
      <c r="F1140" s="117"/>
      <c r="G1140" s="108"/>
      <c r="H1140" s="108"/>
      <c r="I1140" s="119"/>
      <c r="J1140" s="119"/>
      <c r="K1140" s="120"/>
      <c r="L1140" s="114"/>
      <c r="M1140" s="120"/>
      <c r="N1140" s="120"/>
      <c r="O1140" s="120"/>
      <c r="P1140" s="120"/>
      <c r="Q1140" s="120"/>
      <c r="R1140" s="120"/>
      <c r="S1140" s="120"/>
      <c r="T1140" s="120"/>
      <c r="U1140" s="120"/>
      <c r="V1140" s="120"/>
      <c r="W1140" s="120"/>
      <c r="X1140" s="120"/>
      <c r="Y1140" s="120"/>
      <c r="Z1140" s="120"/>
      <c r="AA1140" s="120"/>
    </row>
    <row r="1141">
      <c r="A1141" s="120"/>
      <c r="B1141" s="115"/>
      <c r="C1141" s="108"/>
      <c r="D1141" s="109"/>
      <c r="E1141" s="114"/>
      <c r="F1141" s="117"/>
      <c r="G1141" s="108"/>
      <c r="H1141" s="108"/>
      <c r="I1141" s="119"/>
      <c r="J1141" s="119"/>
      <c r="K1141" s="120"/>
      <c r="L1141" s="114"/>
      <c r="M1141" s="120"/>
      <c r="N1141" s="120"/>
      <c r="O1141" s="120"/>
      <c r="P1141" s="120"/>
      <c r="Q1141" s="120"/>
      <c r="R1141" s="120"/>
      <c r="S1141" s="120"/>
      <c r="T1141" s="120"/>
      <c r="U1141" s="120"/>
      <c r="V1141" s="120"/>
      <c r="W1141" s="120"/>
      <c r="X1141" s="120"/>
      <c r="Y1141" s="120"/>
      <c r="Z1141" s="120"/>
      <c r="AA1141" s="120"/>
    </row>
    <row r="1142">
      <c r="A1142" s="120"/>
      <c r="B1142" s="115"/>
      <c r="C1142" s="108"/>
      <c r="D1142" s="109"/>
      <c r="E1142" s="114"/>
      <c r="F1142" s="117"/>
      <c r="G1142" s="108"/>
      <c r="H1142" s="108"/>
      <c r="I1142" s="119"/>
      <c r="J1142" s="119"/>
      <c r="K1142" s="120"/>
      <c r="L1142" s="114"/>
      <c r="M1142" s="120"/>
      <c r="N1142" s="120"/>
      <c r="O1142" s="120"/>
      <c r="P1142" s="120"/>
      <c r="Q1142" s="120"/>
      <c r="R1142" s="120"/>
      <c r="S1142" s="120"/>
      <c r="T1142" s="120"/>
      <c r="U1142" s="120"/>
      <c r="V1142" s="120"/>
      <c r="W1142" s="120"/>
      <c r="X1142" s="120"/>
      <c r="Y1142" s="120"/>
      <c r="Z1142" s="120"/>
      <c r="AA1142" s="120"/>
    </row>
    <row r="1143">
      <c r="A1143" s="120"/>
      <c r="B1143" s="115"/>
      <c r="C1143" s="108"/>
      <c r="D1143" s="109"/>
      <c r="E1143" s="114"/>
      <c r="F1143" s="117"/>
      <c r="G1143" s="108"/>
      <c r="H1143" s="108"/>
      <c r="I1143" s="119"/>
      <c r="J1143" s="119"/>
      <c r="K1143" s="120"/>
      <c r="L1143" s="114"/>
      <c r="M1143" s="120"/>
      <c r="N1143" s="120"/>
      <c r="O1143" s="120"/>
      <c r="P1143" s="120"/>
      <c r="Q1143" s="120"/>
      <c r="R1143" s="120"/>
      <c r="S1143" s="120"/>
      <c r="T1143" s="120"/>
      <c r="U1143" s="120"/>
      <c r="V1143" s="120"/>
      <c r="W1143" s="120"/>
      <c r="X1143" s="120"/>
      <c r="Y1143" s="120"/>
      <c r="Z1143" s="120"/>
      <c r="AA1143" s="120"/>
    </row>
    <row r="1144">
      <c r="A1144" s="120"/>
      <c r="B1144" s="115"/>
      <c r="C1144" s="108"/>
      <c r="D1144" s="109"/>
      <c r="E1144" s="114"/>
      <c r="F1144" s="117"/>
      <c r="G1144" s="108"/>
      <c r="H1144" s="108"/>
      <c r="I1144" s="119"/>
      <c r="J1144" s="119"/>
      <c r="K1144" s="120"/>
      <c r="L1144" s="114"/>
      <c r="M1144" s="120"/>
      <c r="N1144" s="120"/>
      <c r="O1144" s="120"/>
      <c r="P1144" s="120"/>
      <c r="Q1144" s="120"/>
      <c r="R1144" s="120"/>
      <c r="S1144" s="120"/>
      <c r="T1144" s="120"/>
      <c r="U1144" s="120"/>
      <c r="V1144" s="120"/>
      <c r="W1144" s="120"/>
      <c r="X1144" s="120"/>
      <c r="Y1144" s="120"/>
      <c r="Z1144" s="120"/>
      <c r="AA1144" s="120"/>
    </row>
    <row r="1145">
      <c r="A1145" s="120"/>
      <c r="B1145" s="115"/>
      <c r="C1145" s="108"/>
      <c r="D1145" s="109"/>
      <c r="E1145" s="114"/>
      <c r="F1145" s="117"/>
      <c r="G1145" s="108"/>
      <c r="H1145" s="108"/>
      <c r="I1145" s="119"/>
      <c r="J1145" s="119"/>
      <c r="K1145" s="120"/>
      <c r="L1145" s="114"/>
      <c r="M1145" s="120"/>
      <c r="N1145" s="120"/>
      <c r="O1145" s="120"/>
      <c r="P1145" s="120"/>
      <c r="Q1145" s="120"/>
      <c r="R1145" s="120"/>
      <c r="S1145" s="120"/>
      <c r="T1145" s="120"/>
      <c r="U1145" s="120"/>
      <c r="V1145" s="120"/>
      <c r="W1145" s="120"/>
      <c r="X1145" s="120"/>
      <c r="Y1145" s="120"/>
      <c r="Z1145" s="120"/>
      <c r="AA1145" s="120"/>
    </row>
    <row r="1146">
      <c r="A1146" s="120"/>
      <c r="B1146" s="115"/>
      <c r="C1146" s="108"/>
      <c r="D1146" s="109"/>
      <c r="E1146" s="114"/>
      <c r="F1146" s="117"/>
      <c r="G1146" s="108"/>
      <c r="H1146" s="108"/>
      <c r="I1146" s="119"/>
      <c r="J1146" s="119"/>
      <c r="K1146" s="120"/>
      <c r="L1146" s="114"/>
      <c r="M1146" s="120"/>
      <c r="N1146" s="120"/>
      <c r="O1146" s="120"/>
      <c r="P1146" s="120"/>
      <c r="Q1146" s="120"/>
      <c r="R1146" s="120"/>
      <c r="S1146" s="120"/>
      <c r="T1146" s="120"/>
      <c r="U1146" s="120"/>
      <c r="V1146" s="120"/>
      <c r="W1146" s="120"/>
      <c r="X1146" s="120"/>
      <c r="Y1146" s="120"/>
      <c r="Z1146" s="120"/>
      <c r="AA1146" s="120"/>
    </row>
    <row r="1147">
      <c r="A1147" s="120"/>
      <c r="B1147" s="115"/>
      <c r="C1147" s="108"/>
      <c r="D1147" s="109"/>
      <c r="E1147" s="114"/>
      <c r="F1147" s="117"/>
      <c r="G1147" s="108"/>
      <c r="H1147" s="108"/>
      <c r="I1147" s="119"/>
      <c r="J1147" s="119"/>
      <c r="K1147" s="120"/>
      <c r="L1147" s="114"/>
      <c r="M1147" s="120"/>
      <c r="N1147" s="120"/>
      <c r="O1147" s="120"/>
      <c r="P1147" s="120"/>
      <c r="Q1147" s="120"/>
      <c r="R1147" s="120"/>
      <c r="S1147" s="120"/>
      <c r="T1147" s="120"/>
      <c r="U1147" s="120"/>
      <c r="V1147" s="120"/>
      <c r="W1147" s="120"/>
      <c r="X1147" s="120"/>
      <c r="Y1147" s="120"/>
      <c r="Z1147" s="120"/>
      <c r="AA1147" s="120"/>
    </row>
    <row r="1148">
      <c r="A1148" s="120"/>
      <c r="B1148" s="115"/>
      <c r="C1148" s="108"/>
      <c r="D1148" s="109"/>
      <c r="E1148" s="114"/>
      <c r="F1148" s="117"/>
      <c r="G1148" s="108"/>
      <c r="H1148" s="108"/>
      <c r="I1148" s="119"/>
      <c r="J1148" s="119"/>
      <c r="K1148" s="120"/>
      <c r="L1148" s="114"/>
      <c r="M1148" s="120"/>
      <c r="N1148" s="120"/>
      <c r="O1148" s="120"/>
      <c r="P1148" s="120"/>
      <c r="Q1148" s="120"/>
      <c r="R1148" s="120"/>
      <c r="S1148" s="120"/>
      <c r="T1148" s="120"/>
      <c r="U1148" s="120"/>
      <c r="V1148" s="120"/>
      <c r="W1148" s="120"/>
      <c r="X1148" s="120"/>
      <c r="Y1148" s="120"/>
      <c r="Z1148" s="120"/>
      <c r="AA1148" s="120"/>
    </row>
    <row r="1149">
      <c r="A1149" s="120"/>
      <c r="B1149" s="115"/>
      <c r="C1149" s="108"/>
      <c r="D1149" s="109"/>
      <c r="E1149" s="114"/>
      <c r="F1149" s="117"/>
      <c r="G1149" s="108"/>
      <c r="H1149" s="108"/>
      <c r="I1149" s="119"/>
      <c r="J1149" s="119"/>
      <c r="K1149" s="120"/>
      <c r="L1149" s="114"/>
      <c r="M1149" s="120"/>
      <c r="N1149" s="120"/>
      <c r="O1149" s="120"/>
      <c r="P1149" s="120"/>
      <c r="Q1149" s="120"/>
      <c r="R1149" s="120"/>
      <c r="S1149" s="120"/>
      <c r="T1149" s="120"/>
      <c r="U1149" s="120"/>
      <c r="V1149" s="120"/>
      <c r="W1149" s="120"/>
      <c r="X1149" s="120"/>
      <c r="Y1149" s="120"/>
      <c r="Z1149" s="120"/>
      <c r="AA1149" s="120"/>
    </row>
    <row r="1150">
      <c r="A1150" s="120"/>
      <c r="B1150" s="115"/>
      <c r="C1150" s="108"/>
      <c r="D1150" s="109"/>
      <c r="E1150" s="114"/>
      <c r="F1150" s="117"/>
      <c r="G1150" s="108"/>
      <c r="H1150" s="108"/>
      <c r="I1150" s="119"/>
      <c r="J1150" s="119"/>
      <c r="K1150" s="120"/>
      <c r="L1150" s="114"/>
      <c r="M1150" s="120"/>
      <c r="N1150" s="120"/>
      <c r="O1150" s="120"/>
      <c r="P1150" s="120"/>
      <c r="Q1150" s="120"/>
      <c r="R1150" s="120"/>
      <c r="S1150" s="120"/>
      <c r="T1150" s="120"/>
      <c r="U1150" s="120"/>
      <c r="V1150" s="120"/>
      <c r="W1150" s="120"/>
      <c r="X1150" s="120"/>
      <c r="Y1150" s="120"/>
      <c r="Z1150" s="120"/>
      <c r="AA1150" s="120"/>
    </row>
    <row r="1151">
      <c r="A1151" s="120"/>
      <c r="B1151" s="115"/>
      <c r="C1151" s="108"/>
      <c r="D1151" s="109"/>
      <c r="E1151" s="114"/>
      <c r="F1151" s="117"/>
      <c r="G1151" s="108"/>
      <c r="H1151" s="108"/>
      <c r="I1151" s="119"/>
      <c r="J1151" s="119"/>
      <c r="K1151" s="120"/>
      <c r="L1151" s="114"/>
      <c r="M1151" s="120"/>
      <c r="N1151" s="120"/>
      <c r="O1151" s="120"/>
      <c r="P1151" s="120"/>
      <c r="Q1151" s="120"/>
      <c r="R1151" s="120"/>
      <c r="S1151" s="120"/>
      <c r="T1151" s="120"/>
      <c r="U1151" s="120"/>
      <c r="V1151" s="120"/>
      <c r="W1151" s="120"/>
      <c r="X1151" s="120"/>
      <c r="Y1151" s="120"/>
      <c r="Z1151" s="120"/>
      <c r="AA1151" s="120"/>
    </row>
    <row r="1152">
      <c r="A1152" s="120"/>
      <c r="B1152" s="115"/>
      <c r="C1152" s="108"/>
      <c r="D1152" s="109"/>
      <c r="E1152" s="114"/>
      <c r="F1152" s="117"/>
      <c r="G1152" s="108"/>
      <c r="H1152" s="108"/>
      <c r="I1152" s="119"/>
      <c r="J1152" s="119"/>
      <c r="K1152" s="120"/>
      <c r="L1152" s="114"/>
      <c r="M1152" s="120"/>
      <c r="N1152" s="120"/>
      <c r="O1152" s="120"/>
      <c r="P1152" s="120"/>
      <c r="Q1152" s="120"/>
      <c r="R1152" s="120"/>
      <c r="S1152" s="120"/>
      <c r="T1152" s="120"/>
      <c r="U1152" s="120"/>
      <c r="V1152" s="120"/>
      <c r="W1152" s="120"/>
      <c r="X1152" s="120"/>
      <c r="Y1152" s="120"/>
      <c r="Z1152" s="120"/>
      <c r="AA1152" s="120"/>
    </row>
    <row r="1153">
      <c r="A1153" s="120"/>
      <c r="B1153" s="115"/>
      <c r="C1153" s="108"/>
      <c r="D1153" s="109"/>
      <c r="E1153" s="114"/>
      <c r="F1153" s="117"/>
      <c r="G1153" s="108"/>
      <c r="H1153" s="108"/>
      <c r="I1153" s="119"/>
      <c r="J1153" s="119"/>
      <c r="K1153" s="120"/>
      <c r="L1153" s="114"/>
      <c r="M1153" s="120"/>
      <c r="N1153" s="120"/>
      <c r="O1153" s="120"/>
      <c r="P1153" s="120"/>
      <c r="Q1153" s="120"/>
      <c r="R1153" s="120"/>
      <c r="S1153" s="120"/>
      <c r="T1153" s="120"/>
      <c r="U1153" s="120"/>
      <c r="V1153" s="120"/>
      <c r="W1153" s="120"/>
      <c r="X1153" s="120"/>
      <c r="Y1153" s="120"/>
      <c r="Z1153" s="120"/>
      <c r="AA1153" s="120"/>
    </row>
    <row r="1154">
      <c r="A1154" s="120"/>
      <c r="B1154" s="115"/>
      <c r="C1154" s="108"/>
      <c r="D1154" s="109"/>
      <c r="E1154" s="114"/>
      <c r="F1154" s="117"/>
      <c r="G1154" s="108"/>
      <c r="H1154" s="108"/>
      <c r="I1154" s="119"/>
      <c r="J1154" s="119"/>
      <c r="K1154" s="120"/>
      <c r="L1154" s="114"/>
      <c r="M1154" s="120"/>
      <c r="N1154" s="120"/>
      <c r="O1154" s="120"/>
      <c r="P1154" s="120"/>
      <c r="Q1154" s="120"/>
      <c r="R1154" s="120"/>
      <c r="S1154" s="120"/>
      <c r="T1154" s="120"/>
      <c r="U1154" s="120"/>
      <c r="V1154" s="120"/>
      <c r="W1154" s="120"/>
      <c r="X1154" s="120"/>
      <c r="Y1154" s="120"/>
      <c r="Z1154" s="120"/>
      <c r="AA1154" s="120"/>
    </row>
    <row r="1155">
      <c r="A1155" s="120"/>
      <c r="B1155" s="115"/>
      <c r="C1155" s="108"/>
      <c r="D1155" s="109"/>
      <c r="E1155" s="114"/>
      <c r="F1155" s="117"/>
      <c r="G1155" s="108"/>
      <c r="H1155" s="108"/>
      <c r="I1155" s="119"/>
      <c r="J1155" s="119"/>
      <c r="K1155" s="120"/>
      <c r="L1155" s="114"/>
      <c r="M1155" s="120"/>
      <c r="N1155" s="120"/>
      <c r="O1155" s="120"/>
      <c r="P1155" s="120"/>
      <c r="Q1155" s="120"/>
      <c r="R1155" s="120"/>
      <c r="S1155" s="120"/>
      <c r="T1155" s="120"/>
      <c r="U1155" s="120"/>
      <c r="V1155" s="120"/>
      <c r="W1155" s="120"/>
      <c r="X1155" s="120"/>
      <c r="Y1155" s="120"/>
      <c r="Z1155" s="120"/>
      <c r="AA1155" s="120"/>
    </row>
    <row r="1156">
      <c r="A1156" s="120"/>
      <c r="B1156" s="115"/>
      <c r="C1156" s="108"/>
      <c r="D1156" s="109"/>
      <c r="E1156" s="114"/>
      <c r="F1156" s="117"/>
      <c r="G1156" s="108"/>
      <c r="H1156" s="108"/>
      <c r="I1156" s="119"/>
      <c r="J1156" s="119"/>
      <c r="K1156" s="120"/>
      <c r="L1156" s="114"/>
      <c r="M1156" s="120"/>
      <c r="N1156" s="120"/>
      <c r="O1156" s="120"/>
      <c r="P1156" s="120"/>
      <c r="Q1156" s="120"/>
      <c r="R1156" s="120"/>
      <c r="S1156" s="120"/>
      <c r="T1156" s="120"/>
      <c r="U1156" s="120"/>
      <c r="V1156" s="120"/>
      <c r="W1156" s="120"/>
      <c r="X1156" s="120"/>
      <c r="Y1156" s="120"/>
      <c r="Z1156" s="120"/>
      <c r="AA1156" s="120"/>
    </row>
    <row r="1157">
      <c r="A1157" s="120"/>
      <c r="B1157" s="115"/>
      <c r="C1157" s="108"/>
      <c r="D1157" s="109"/>
      <c r="E1157" s="114"/>
      <c r="F1157" s="117"/>
      <c r="G1157" s="108"/>
      <c r="H1157" s="108"/>
      <c r="I1157" s="119"/>
      <c r="J1157" s="119"/>
      <c r="K1157" s="120"/>
      <c r="L1157" s="114"/>
      <c r="M1157" s="120"/>
      <c r="N1157" s="120"/>
      <c r="O1157" s="120"/>
      <c r="P1157" s="120"/>
      <c r="Q1157" s="120"/>
      <c r="R1157" s="120"/>
      <c r="S1157" s="120"/>
      <c r="T1157" s="120"/>
      <c r="U1157" s="120"/>
      <c r="V1157" s="120"/>
      <c r="W1157" s="120"/>
      <c r="X1157" s="120"/>
      <c r="Y1157" s="120"/>
      <c r="Z1157" s="120"/>
      <c r="AA1157" s="120"/>
    </row>
    <row r="1158">
      <c r="A1158" s="120"/>
      <c r="B1158" s="115"/>
      <c r="C1158" s="108"/>
      <c r="D1158" s="109"/>
      <c r="E1158" s="114"/>
      <c r="F1158" s="117"/>
      <c r="G1158" s="108"/>
      <c r="H1158" s="108"/>
      <c r="I1158" s="119"/>
      <c r="J1158" s="119"/>
      <c r="K1158" s="120"/>
      <c r="L1158" s="114"/>
      <c r="M1158" s="120"/>
      <c r="N1158" s="120"/>
      <c r="O1158" s="120"/>
      <c r="P1158" s="120"/>
      <c r="Q1158" s="120"/>
      <c r="R1158" s="120"/>
      <c r="S1158" s="120"/>
      <c r="T1158" s="120"/>
      <c r="U1158" s="120"/>
      <c r="V1158" s="120"/>
      <c r="W1158" s="120"/>
      <c r="X1158" s="120"/>
      <c r="Y1158" s="120"/>
      <c r="Z1158" s="120"/>
      <c r="AA1158" s="120"/>
    </row>
    <row r="1159">
      <c r="A1159" s="120"/>
      <c r="B1159" s="115"/>
      <c r="C1159" s="108"/>
      <c r="D1159" s="109"/>
      <c r="E1159" s="114"/>
      <c r="F1159" s="117"/>
      <c r="G1159" s="108"/>
      <c r="H1159" s="108"/>
      <c r="I1159" s="119"/>
      <c r="J1159" s="119"/>
      <c r="K1159" s="120"/>
      <c r="L1159" s="114"/>
      <c r="M1159" s="120"/>
      <c r="N1159" s="120"/>
      <c r="O1159" s="120"/>
      <c r="P1159" s="120"/>
      <c r="Q1159" s="120"/>
      <c r="R1159" s="120"/>
      <c r="S1159" s="120"/>
      <c r="T1159" s="120"/>
      <c r="U1159" s="120"/>
      <c r="V1159" s="120"/>
      <c r="W1159" s="120"/>
      <c r="X1159" s="120"/>
      <c r="Y1159" s="120"/>
      <c r="Z1159" s="120"/>
      <c r="AA1159" s="120"/>
    </row>
    <row r="1160">
      <c r="A1160" s="120"/>
      <c r="B1160" s="115"/>
      <c r="C1160" s="108"/>
      <c r="D1160" s="109"/>
      <c r="E1160" s="114"/>
      <c r="F1160" s="117"/>
      <c r="G1160" s="108"/>
      <c r="H1160" s="108"/>
      <c r="I1160" s="119"/>
      <c r="J1160" s="119"/>
      <c r="K1160" s="120"/>
      <c r="L1160" s="114"/>
      <c r="M1160" s="120"/>
      <c r="N1160" s="120"/>
      <c r="O1160" s="120"/>
      <c r="P1160" s="120"/>
      <c r="Q1160" s="120"/>
      <c r="R1160" s="120"/>
      <c r="S1160" s="120"/>
      <c r="T1160" s="120"/>
      <c r="U1160" s="120"/>
      <c r="V1160" s="120"/>
      <c r="W1160" s="120"/>
      <c r="X1160" s="120"/>
      <c r="Y1160" s="120"/>
      <c r="Z1160" s="120"/>
      <c r="AA1160" s="120"/>
    </row>
    <row r="1161">
      <c r="A1161" s="120"/>
      <c r="B1161" s="115"/>
      <c r="C1161" s="108"/>
      <c r="D1161" s="109"/>
      <c r="E1161" s="114"/>
      <c r="F1161" s="117"/>
      <c r="G1161" s="108"/>
      <c r="H1161" s="108"/>
      <c r="I1161" s="119"/>
      <c r="J1161" s="119"/>
      <c r="K1161" s="120"/>
      <c r="L1161" s="114"/>
      <c r="M1161" s="120"/>
      <c r="N1161" s="120"/>
      <c r="O1161" s="120"/>
      <c r="P1161" s="120"/>
      <c r="Q1161" s="120"/>
      <c r="R1161" s="120"/>
      <c r="S1161" s="120"/>
      <c r="T1161" s="120"/>
      <c r="U1161" s="120"/>
      <c r="V1161" s="120"/>
      <c r="W1161" s="120"/>
      <c r="X1161" s="120"/>
      <c r="Y1161" s="120"/>
      <c r="Z1161" s="120"/>
      <c r="AA1161" s="120"/>
    </row>
    <row r="1162">
      <c r="A1162" s="120"/>
      <c r="B1162" s="115"/>
      <c r="C1162" s="108"/>
      <c r="D1162" s="109"/>
      <c r="E1162" s="114"/>
      <c r="F1162" s="117"/>
      <c r="G1162" s="108"/>
      <c r="H1162" s="108"/>
      <c r="I1162" s="119"/>
      <c r="J1162" s="119"/>
      <c r="K1162" s="120"/>
      <c r="L1162" s="114"/>
      <c r="M1162" s="120"/>
      <c r="N1162" s="120"/>
      <c r="O1162" s="120"/>
      <c r="P1162" s="120"/>
      <c r="Q1162" s="120"/>
      <c r="R1162" s="120"/>
      <c r="S1162" s="120"/>
      <c r="T1162" s="120"/>
      <c r="U1162" s="120"/>
      <c r="V1162" s="120"/>
      <c r="W1162" s="120"/>
      <c r="X1162" s="120"/>
      <c r="Y1162" s="120"/>
      <c r="Z1162" s="120"/>
      <c r="AA1162" s="120"/>
    </row>
    <row r="1163">
      <c r="A1163" s="120"/>
      <c r="B1163" s="115"/>
      <c r="C1163" s="108"/>
      <c r="D1163" s="109"/>
      <c r="E1163" s="114"/>
      <c r="F1163" s="117"/>
      <c r="G1163" s="108"/>
      <c r="H1163" s="108"/>
      <c r="I1163" s="119"/>
      <c r="J1163" s="119"/>
      <c r="K1163" s="120"/>
      <c r="L1163" s="114"/>
      <c r="M1163" s="120"/>
      <c r="N1163" s="120"/>
      <c r="O1163" s="120"/>
      <c r="P1163" s="120"/>
      <c r="Q1163" s="120"/>
      <c r="R1163" s="120"/>
      <c r="S1163" s="120"/>
      <c r="T1163" s="120"/>
      <c r="U1163" s="120"/>
      <c r="V1163" s="120"/>
      <c r="W1163" s="120"/>
      <c r="X1163" s="120"/>
      <c r="Y1163" s="120"/>
      <c r="Z1163" s="120"/>
      <c r="AA1163" s="120"/>
    </row>
    <row r="1164">
      <c r="A1164" s="120"/>
      <c r="B1164" s="115"/>
      <c r="C1164" s="108"/>
      <c r="D1164" s="109"/>
      <c r="E1164" s="114"/>
      <c r="F1164" s="117"/>
      <c r="G1164" s="108"/>
      <c r="H1164" s="108"/>
      <c r="I1164" s="119"/>
      <c r="J1164" s="119"/>
      <c r="K1164" s="120"/>
      <c r="L1164" s="114"/>
      <c r="M1164" s="120"/>
      <c r="N1164" s="120"/>
      <c r="O1164" s="120"/>
      <c r="P1164" s="120"/>
      <c r="Q1164" s="120"/>
      <c r="R1164" s="120"/>
      <c r="S1164" s="120"/>
      <c r="T1164" s="120"/>
      <c r="U1164" s="120"/>
      <c r="V1164" s="120"/>
      <c r="W1164" s="120"/>
      <c r="X1164" s="120"/>
      <c r="Y1164" s="120"/>
      <c r="Z1164" s="120"/>
      <c r="AA1164" s="120"/>
    </row>
    <row r="1165">
      <c r="A1165" s="120"/>
      <c r="B1165" s="115"/>
      <c r="C1165" s="108"/>
      <c r="D1165" s="109"/>
      <c r="E1165" s="114"/>
      <c r="F1165" s="117"/>
      <c r="G1165" s="108"/>
      <c r="H1165" s="108"/>
      <c r="I1165" s="119"/>
      <c r="J1165" s="119"/>
      <c r="K1165" s="120"/>
      <c r="L1165" s="114"/>
      <c r="M1165" s="120"/>
      <c r="N1165" s="120"/>
      <c r="O1165" s="120"/>
      <c r="P1165" s="120"/>
      <c r="Q1165" s="120"/>
      <c r="R1165" s="120"/>
      <c r="S1165" s="120"/>
      <c r="T1165" s="120"/>
      <c r="U1165" s="120"/>
      <c r="V1165" s="120"/>
      <c r="W1165" s="120"/>
      <c r="X1165" s="120"/>
      <c r="Y1165" s="120"/>
      <c r="Z1165" s="120"/>
      <c r="AA1165" s="120"/>
    </row>
    <row r="1166">
      <c r="A1166" s="120"/>
      <c r="B1166" s="115"/>
      <c r="C1166" s="108"/>
      <c r="D1166" s="109"/>
      <c r="E1166" s="114"/>
      <c r="F1166" s="117"/>
      <c r="G1166" s="108"/>
      <c r="H1166" s="108"/>
      <c r="I1166" s="119"/>
      <c r="J1166" s="119"/>
      <c r="K1166" s="120"/>
      <c r="L1166" s="114"/>
      <c r="M1166" s="120"/>
      <c r="N1166" s="120"/>
      <c r="O1166" s="120"/>
      <c r="P1166" s="120"/>
      <c r="Q1166" s="120"/>
      <c r="R1166" s="120"/>
      <c r="S1166" s="120"/>
      <c r="T1166" s="120"/>
      <c r="U1166" s="120"/>
      <c r="V1166" s="120"/>
      <c r="W1166" s="120"/>
      <c r="X1166" s="120"/>
      <c r="Y1166" s="120"/>
      <c r="Z1166" s="120"/>
      <c r="AA1166" s="120"/>
    </row>
    <row r="1167">
      <c r="A1167" s="120"/>
      <c r="B1167" s="115"/>
      <c r="C1167" s="108"/>
      <c r="D1167" s="109"/>
      <c r="E1167" s="114"/>
      <c r="F1167" s="117"/>
      <c r="G1167" s="108"/>
      <c r="H1167" s="108"/>
      <c r="I1167" s="119"/>
      <c r="J1167" s="119"/>
      <c r="K1167" s="120"/>
      <c r="L1167" s="114"/>
      <c r="M1167" s="120"/>
      <c r="N1167" s="120"/>
      <c r="O1167" s="120"/>
      <c r="P1167" s="120"/>
      <c r="Q1167" s="120"/>
      <c r="R1167" s="120"/>
      <c r="S1167" s="120"/>
      <c r="T1167" s="120"/>
      <c r="U1167" s="120"/>
      <c r="V1167" s="120"/>
      <c r="W1167" s="120"/>
      <c r="X1167" s="120"/>
      <c r="Y1167" s="120"/>
      <c r="Z1167" s="120"/>
      <c r="AA1167" s="120"/>
    </row>
    <row r="1168">
      <c r="A1168" s="120"/>
      <c r="B1168" s="115"/>
      <c r="C1168" s="108"/>
      <c r="D1168" s="109"/>
      <c r="E1168" s="114"/>
      <c r="F1168" s="117"/>
      <c r="G1168" s="108"/>
      <c r="H1168" s="108"/>
      <c r="I1168" s="119"/>
      <c r="J1168" s="119"/>
      <c r="K1168" s="120"/>
      <c r="L1168" s="114"/>
      <c r="M1168" s="120"/>
      <c r="N1168" s="120"/>
      <c r="O1168" s="120"/>
      <c r="P1168" s="120"/>
      <c r="Q1168" s="120"/>
      <c r="R1168" s="120"/>
      <c r="S1168" s="120"/>
      <c r="T1168" s="120"/>
      <c r="U1168" s="120"/>
      <c r="V1168" s="120"/>
      <c r="W1168" s="120"/>
      <c r="X1168" s="120"/>
      <c r="Y1168" s="120"/>
      <c r="Z1168" s="120"/>
      <c r="AA1168" s="120"/>
    </row>
    <row r="1169">
      <c r="A1169" s="120"/>
      <c r="B1169" s="115"/>
      <c r="C1169" s="108"/>
      <c r="D1169" s="109"/>
      <c r="E1169" s="114"/>
      <c r="F1169" s="117"/>
      <c r="G1169" s="108"/>
      <c r="H1169" s="108"/>
      <c r="I1169" s="119"/>
      <c r="J1169" s="119"/>
      <c r="K1169" s="120"/>
      <c r="L1169" s="114"/>
      <c r="M1169" s="120"/>
      <c r="N1169" s="120"/>
      <c r="O1169" s="120"/>
      <c r="P1169" s="120"/>
      <c r="Q1169" s="120"/>
      <c r="R1169" s="120"/>
      <c r="S1169" s="120"/>
      <c r="T1169" s="120"/>
      <c r="U1169" s="120"/>
      <c r="V1169" s="120"/>
      <c r="W1169" s="120"/>
      <c r="X1169" s="120"/>
      <c r="Y1169" s="120"/>
      <c r="Z1169" s="120"/>
      <c r="AA1169" s="120"/>
    </row>
    <row r="1170">
      <c r="A1170" s="120"/>
      <c r="B1170" s="115"/>
      <c r="C1170" s="108"/>
      <c r="D1170" s="109"/>
      <c r="E1170" s="114"/>
      <c r="F1170" s="117"/>
      <c r="G1170" s="108"/>
      <c r="H1170" s="108"/>
      <c r="I1170" s="119"/>
      <c r="J1170" s="119"/>
      <c r="K1170" s="120"/>
      <c r="L1170" s="114"/>
      <c r="M1170" s="120"/>
      <c r="N1170" s="120"/>
      <c r="O1170" s="120"/>
      <c r="P1170" s="120"/>
      <c r="Q1170" s="120"/>
      <c r="R1170" s="120"/>
      <c r="S1170" s="120"/>
      <c r="T1170" s="120"/>
      <c r="U1170" s="120"/>
      <c r="V1170" s="120"/>
      <c r="W1170" s="120"/>
      <c r="X1170" s="120"/>
      <c r="Y1170" s="120"/>
      <c r="Z1170" s="120"/>
      <c r="AA1170" s="120"/>
    </row>
    <row r="1171">
      <c r="A1171" s="120"/>
      <c r="B1171" s="115"/>
      <c r="C1171" s="108"/>
      <c r="D1171" s="109"/>
      <c r="E1171" s="114"/>
      <c r="F1171" s="117"/>
      <c r="G1171" s="108"/>
      <c r="H1171" s="108"/>
      <c r="I1171" s="119"/>
      <c r="J1171" s="119"/>
      <c r="K1171" s="120"/>
      <c r="L1171" s="114"/>
      <c r="M1171" s="120"/>
      <c r="N1171" s="120"/>
      <c r="O1171" s="120"/>
      <c r="P1171" s="120"/>
      <c r="Q1171" s="120"/>
      <c r="R1171" s="120"/>
      <c r="S1171" s="120"/>
      <c r="T1171" s="120"/>
      <c r="U1171" s="120"/>
      <c r="V1171" s="120"/>
      <c r="W1171" s="120"/>
      <c r="X1171" s="120"/>
      <c r="Y1171" s="120"/>
      <c r="Z1171" s="120"/>
      <c r="AA1171" s="120"/>
    </row>
    <row r="1172">
      <c r="A1172" s="120"/>
      <c r="B1172" s="115"/>
      <c r="C1172" s="108"/>
      <c r="D1172" s="109"/>
      <c r="E1172" s="114"/>
      <c r="F1172" s="117"/>
      <c r="G1172" s="108"/>
      <c r="H1172" s="108"/>
      <c r="I1172" s="119"/>
      <c r="J1172" s="119"/>
      <c r="K1172" s="120"/>
      <c r="L1172" s="114"/>
      <c r="M1172" s="120"/>
      <c r="N1172" s="120"/>
      <c r="O1172" s="120"/>
      <c r="P1172" s="120"/>
      <c r="Q1172" s="120"/>
      <c r="R1172" s="120"/>
      <c r="S1172" s="120"/>
      <c r="T1172" s="120"/>
      <c r="U1172" s="120"/>
      <c r="V1172" s="120"/>
      <c r="W1172" s="120"/>
      <c r="X1172" s="120"/>
      <c r="Y1172" s="120"/>
      <c r="Z1172" s="120"/>
      <c r="AA1172" s="120"/>
    </row>
    <row r="1173">
      <c r="A1173" s="120"/>
      <c r="B1173" s="115"/>
      <c r="C1173" s="108"/>
      <c r="D1173" s="109"/>
      <c r="E1173" s="114"/>
      <c r="F1173" s="117"/>
      <c r="G1173" s="108"/>
      <c r="H1173" s="108"/>
      <c r="I1173" s="119"/>
      <c r="J1173" s="119"/>
      <c r="K1173" s="120"/>
      <c r="L1173" s="114"/>
      <c r="M1173" s="120"/>
      <c r="N1173" s="120"/>
      <c r="O1173" s="120"/>
      <c r="P1173" s="120"/>
      <c r="Q1173" s="120"/>
      <c r="R1173" s="120"/>
      <c r="S1173" s="120"/>
      <c r="T1173" s="120"/>
      <c r="U1173" s="120"/>
      <c r="V1173" s="120"/>
      <c r="W1173" s="120"/>
      <c r="X1173" s="120"/>
      <c r="Y1173" s="120"/>
      <c r="Z1173" s="120"/>
      <c r="AA1173" s="120"/>
    </row>
    <row r="1174">
      <c r="A1174" s="120"/>
      <c r="B1174" s="115"/>
      <c r="C1174" s="108"/>
      <c r="D1174" s="109"/>
      <c r="E1174" s="114"/>
      <c r="F1174" s="117"/>
      <c r="G1174" s="108"/>
      <c r="H1174" s="108"/>
      <c r="I1174" s="119"/>
      <c r="J1174" s="119"/>
      <c r="K1174" s="120"/>
      <c r="L1174" s="114"/>
      <c r="M1174" s="120"/>
      <c r="N1174" s="120"/>
      <c r="O1174" s="120"/>
      <c r="P1174" s="120"/>
      <c r="Q1174" s="120"/>
      <c r="R1174" s="120"/>
      <c r="S1174" s="120"/>
      <c r="T1174" s="120"/>
      <c r="U1174" s="120"/>
      <c r="V1174" s="120"/>
      <c r="W1174" s="120"/>
      <c r="X1174" s="120"/>
      <c r="Y1174" s="120"/>
      <c r="Z1174" s="120"/>
      <c r="AA1174" s="120"/>
    </row>
    <row r="1175">
      <c r="A1175" s="120"/>
      <c r="B1175" s="115"/>
      <c r="C1175" s="108"/>
      <c r="D1175" s="109"/>
      <c r="E1175" s="114"/>
      <c r="F1175" s="117"/>
      <c r="G1175" s="108"/>
      <c r="H1175" s="108"/>
      <c r="I1175" s="119"/>
      <c r="J1175" s="119"/>
      <c r="K1175" s="120"/>
      <c r="L1175" s="114"/>
      <c r="M1175" s="120"/>
      <c r="N1175" s="120"/>
      <c r="O1175" s="120"/>
      <c r="P1175" s="120"/>
      <c r="Q1175" s="120"/>
      <c r="R1175" s="120"/>
      <c r="S1175" s="120"/>
      <c r="T1175" s="120"/>
      <c r="U1175" s="120"/>
      <c r="V1175" s="120"/>
      <c r="W1175" s="120"/>
      <c r="X1175" s="120"/>
      <c r="Y1175" s="120"/>
      <c r="Z1175" s="120"/>
      <c r="AA1175" s="120"/>
    </row>
    <row r="1176">
      <c r="A1176" s="120"/>
      <c r="B1176" s="115"/>
      <c r="C1176" s="108"/>
      <c r="D1176" s="109"/>
      <c r="E1176" s="114"/>
      <c r="F1176" s="117"/>
      <c r="G1176" s="108"/>
      <c r="H1176" s="108"/>
      <c r="I1176" s="119"/>
      <c r="J1176" s="119"/>
      <c r="K1176" s="120"/>
      <c r="L1176" s="114"/>
      <c r="M1176" s="120"/>
      <c r="N1176" s="120"/>
      <c r="O1176" s="120"/>
      <c r="P1176" s="120"/>
      <c r="Q1176" s="120"/>
      <c r="R1176" s="120"/>
      <c r="S1176" s="120"/>
      <c r="T1176" s="120"/>
      <c r="U1176" s="120"/>
      <c r="V1176" s="120"/>
      <c r="W1176" s="120"/>
      <c r="X1176" s="120"/>
      <c r="Y1176" s="120"/>
      <c r="Z1176" s="120"/>
      <c r="AA1176" s="120"/>
    </row>
    <row r="1177">
      <c r="A1177" s="120"/>
      <c r="B1177" s="115"/>
      <c r="C1177" s="108"/>
      <c r="D1177" s="109"/>
      <c r="E1177" s="114"/>
      <c r="F1177" s="117"/>
      <c r="G1177" s="108"/>
      <c r="H1177" s="108"/>
      <c r="I1177" s="119"/>
      <c r="J1177" s="119"/>
      <c r="K1177" s="120"/>
      <c r="L1177" s="114"/>
      <c r="M1177" s="120"/>
      <c r="N1177" s="120"/>
      <c r="O1177" s="120"/>
      <c r="P1177" s="120"/>
      <c r="Q1177" s="120"/>
      <c r="R1177" s="120"/>
      <c r="S1177" s="120"/>
      <c r="T1177" s="120"/>
      <c r="U1177" s="120"/>
      <c r="V1177" s="120"/>
      <c r="W1177" s="120"/>
      <c r="X1177" s="120"/>
      <c r="Y1177" s="120"/>
      <c r="Z1177" s="120"/>
      <c r="AA1177" s="120"/>
    </row>
    <row r="1178">
      <c r="A1178" s="120"/>
      <c r="B1178" s="115"/>
      <c r="C1178" s="108"/>
      <c r="D1178" s="109"/>
      <c r="E1178" s="114"/>
      <c r="F1178" s="117"/>
      <c r="G1178" s="108"/>
      <c r="H1178" s="108"/>
      <c r="I1178" s="119"/>
      <c r="J1178" s="119"/>
      <c r="K1178" s="120"/>
      <c r="L1178" s="114"/>
      <c r="M1178" s="120"/>
      <c r="N1178" s="120"/>
      <c r="O1178" s="120"/>
      <c r="P1178" s="120"/>
      <c r="Q1178" s="120"/>
      <c r="R1178" s="120"/>
      <c r="S1178" s="120"/>
      <c r="T1178" s="120"/>
      <c r="U1178" s="120"/>
      <c r="V1178" s="120"/>
      <c r="W1178" s="120"/>
      <c r="X1178" s="120"/>
      <c r="Y1178" s="120"/>
      <c r="Z1178" s="120"/>
      <c r="AA1178" s="120"/>
    </row>
    <row r="1179">
      <c r="A1179" s="120"/>
      <c r="B1179" s="115"/>
      <c r="C1179" s="108"/>
      <c r="D1179" s="109"/>
      <c r="E1179" s="114"/>
      <c r="F1179" s="117"/>
      <c r="G1179" s="108"/>
      <c r="H1179" s="108"/>
      <c r="I1179" s="119"/>
      <c r="J1179" s="119"/>
      <c r="K1179" s="120"/>
      <c r="L1179" s="114"/>
      <c r="M1179" s="120"/>
      <c r="N1179" s="120"/>
      <c r="O1179" s="120"/>
      <c r="P1179" s="120"/>
      <c r="Q1179" s="120"/>
      <c r="R1179" s="120"/>
      <c r="S1179" s="120"/>
      <c r="T1179" s="120"/>
      <c r="U1179" s="120"/>
      <c r="V1179" s="120"/>
      <c r="W1179" s="120"/>
      <c r="X1179" s="120"/>
      <c r="Y1179" s="120"/>
      <c r="Z1179" s="120"/>
      <c r="AA1179" s="120"/>
    </row>
    <row r="1180">
      <c r="A1180" s="120"/>
      <c r="B1180" s="115"/>
      <c r="C1180" s="108"/>
      <c r="D1180" s="109"/>
      <c r="E1180" s="114"/>
      <c r="F1180" s="117"/>
      <c r="G1180" s="108"/>
      <c r="H1180" s="108"/>
      <c r="I1180" s="119"/>
      <c r="J1180" s="119"/>
      <c r="K1180" s="120"/>
      <c r="L1180" s="114"/>
      <c r="M1180" s="120"/>
      <c r="N1180" s="120"/>
      <c r="O1180" s="120"/>
      <c r="P1180" s="120"/>
      <c r="Q1180" s="120"/>
      <c r="R1180" s="120"/>
      <c r="S1180" s="120"/>
      <c r="T1180" s="120"/>
      <c r="U1180" s="120"/>
      <c r="V1180" s="120"/>
      <c r="W1180" s="120"/>
      <c r="X1180" s="120"/>
      <c r="Y1180" s="120"/>
      <c r="Z1180" s="120"/>
      <c r="AA1180" s="120"/>
    </row>
    <row r="1181">
      <c r="A1181" s="120"/>
      <c r="B1181" s="115"/>
      <c r="C1181" s="108"/>
      <c r="D1181" s="109"/>
      <c r="E1181" s="114"/>
      <c r="F1181" s="117"/>
      <c r="G1181" s="108"/>
      <c r="H1181" s="108"/>
      <c r="I1181" s="119"/>
      <c r="J1181" s="119"/>
      <c r="K1181" s="120"/>
      <c r="L1181" s="114"/>
      <c r="M1181" s="120"/>
      <c r="N1181" s="120"/>
      <c r="O1181" s="120"/>
      <c r="P1181" s="120"/>
      <c r="Q1181" s="120"/>
      <c r="R1181" s="120"/>
      <c r="S1181" s="120"/>
      <c r="T1181" s="120"/>
      <c r="U1181" s="120"/>
      <c r="V1181" s="120"/>
      <c r="W1181" s="120"/>
      <c r="X1181" s="120"/>
      <c r="Y1181" s="120"/>
      <c r="Z1181" s="120"/>
      <c r="AA1181" s="120"/>
    </row>
    <row r="1182">
      <c r="A1182" s="120"/>
      <c r="B1182" s="115"/>
      <c r="C1182" s="108"/>
      <c r="D1182" s="109"/>
      <c r="E1182" s="114"/>
      <c r="F1182" s="117"/>
      <c r="G1182" s="108"/>
      <c r="H1182" s="108"/>
      <c r="I1182" s="119"/>
      <c r="J1182" s="119"/>
      <c r="K1182" s="120"/>
      <c r="L1182" s="114"/>
      <c r="M1182" s="120"/>
      <c r="N1182" s="120"/>
      <c r="O1182" s="120"/>
      <c r="P1182" s="120"/>
      <c r="Q1182" s="120"/>
      <c r="R1182" s="120"/>
      <c r="S1182" s="120"/>
      <c r="T1182" s="120"/>
      <c r="U1182" s="120"/>
      <c r="V1182" s="120"/>
      <c r="W1182" s="120"/>
      <c r="X1182" s="120"/>
      <c r="Y1182" s="120"/>
      <c r="Z1182" s="120"/>
      <c r="AA1182" s="120"/>
    </row>
    <row r="1183">
      <c r="A1183" s="120"/>
      <c r="B1183" s="115"/>
      <c r="C1183" s="108"/>
      <c r="D1183" s="109"/>
      <c r="E1183" s="114"/>
      <c r="F1183" s="117"/>
      <c r="G1183" s="108"/>
      <c r="H1183" s="108"/>
      <c r="I1183" s="119"/>
      <c r="J1183" s="119"/>
      <c r="K1183" s="120"/>
      <c r="L1183" s="114"/>
      <c r="M1183" s="120"/>
      <c r="N1183" s="120"/>
      <c r="O1183" s="120"/>
      <c r="P1183" s="120"/>
      <c r="Q1183" s="120"/>
      <c r="R1183" s="120"/>
      <c r="S1183" s="120"/>
      <c r="T1183" s="120"/>
      <c r="U1183" s="120"/>
      <c r="V1183" s="120"/>
      <c r="W1183" s="120"/>
      <c r="X1183" s="120"/>
      <c r="Y1183" s="120"/>
      <c r="Z1183" s="120"/>
      <c r="AA1183" s="120"/>
    </row>
    <row r="1184">
      <c r="A1184" s="120"/>
      <c r="B1184" s="115"/>
      <c r="C1184" s="108"/>
      <c r="D1184" s="109"/>
      <c r="E1184" s="114"/>
      <c r="F1184" s="117"/>
      <c r="G1184" s="108"/>
      <c r="H1184" s="108"/>
      <c r="I1184" s="119"/>
      <c r="J1184" s="119"/>
      <c r="K1184" s="120"/>
      <c r="L1184" s="114"/>
      <c r="M1184" s="120"/>
      <c r="N1184" s="120"/>
      <c r="O1184" s="120"/>
      <c r="P1184" s="120"/>
      <c r="Q1184" s="120"/>
      <c r="R1184" s="120"/>
      <c r="S1184" s="120"/>
      <c r="T1184" s="120"/>
      <c r="U1184" s="120"/>
      <c r="V1184" s="120"/>
      <c r="W1184" s="120"/>
      <c r="X1184" s="120"/>
      <c r="Y1184" s="120"/>
      <c r="Z1184" s="120"/>
      <c r="AA1184" s="120"/>
    </row>
    <row r="1185">
      <c r="A1185" s="120"/>
      <c r="B1185" s="115"/>
      <c r="C1185" s="108"/>
      <c r="D1185" s="109"/>
      <c r="E1185" s="114"/>
      <c r="F1185" s="117"/>
      <c r="G1185" s="108"/>
      <c r="H1185" s="108"/>
      <c r="I1185" s="119"/>
      <c r="J1185" s="119"/>
      <c r="K1185" s="120"/>
      <c r="L1185" s="114"/>
      <c r="M1185" s="120"/>
      <c r="N1185" s="120"/>
      <c r="O1185" s="120"/>
      <c r="P1185" s="120"/>
      <c r="Q1185" s="120"/>
      <c r="R1185" s="120"/>
      <c r="S1185" s="120"/>
      <c r="T1185" s="120"/>
      <c r="U1185" s="120"/>
      <c r="V1185" s="120"/>
      <c r="W1185" s="120"/>
      <c r="X1185" s="120"/>
      <c r="Y1185" s="120"/>
      <c r="Z1185" s="120"/>
      <c r="AA1185" s="120"/>
    </row>
    <row r="1186">
      <c r="A1186" s="120"/>
      <c r="B1186" s="115"/>
      <c r="C1186" s="108"/>
      <c r="D1186" s="109"/>
      <c r="E1186" s="114"/>
      <c r="F1186" s="117"/>
      <c r="G1186" s="108"/>
      <c r="H1186" s="108"/>
      <c r="I1186" s="119"/>
      <c r="J1186" s="119"/>
      <c r="K1186" s="120"/>
      <c r="L1186" s="114"/>
      <c r="M1186" s="120"/>
      <c r="N1186" s="120"/>
      <c r="O1186" s="120"/>
      <c r="P1186" s="120"/>
      <c r="Q1186" s="120"/>
      <c r="R1186" s="120"/>
      <c r="S1186" s="120"/>
      <c r="T1186" s="120"/>
      <c r="U1186" s="120"/>
      <c r="V1186" s="120"/>
      <c r="W1186" s="120"/>
      <c r="X1186" s="120"/>
      <c r="Y1186" s="120"/>
      <c r="Z1186" s="120"/>
      <c r="AA1186" s="120"/>
    </row>
    <row r="1187">
      <c r="A1187" s="120"/>
      <c r="B1187" s="115"/>
      <c r="C1187" s="108"/>
      <c r="D1187" s="109"/>
      <c r="E1187" s="114"/>
      <c r="F1187" s="117"/>
      <c r="G1187" s="108"/>
      <c r="H1187" s="108"/>
      <c r="I1187" s="119"/>
      <c r="J1187" s="119"/>
      <c r="K1187" s="120"/>
      <c r="L1187" s="114"/>
      <c r="M1187" s="120"/>
      <c r="N1187" s="120"/>
      <c r="O1187" s="120"/>
      <c r="P1187" s="120"/>
      <c r="Q1187" s="120"/>
      <c r="R1187" s="120"/>
      <c r="S1187" s="120"/>
      <c r="T1187" s="120"/>
      <c r="U1187" s="120"/>
      <c r="V1187" s="120"/>
      <c r="W1187" s="120"/>
      <c r="X1187" s="120"/>
      <c r="Y1187" s="120"/>
      <c r="Z1187" s="120"/>
      <c r="AA1187" s="120"/>
    </row>
    <row r="1188">
      <c r="A1188" s="120"/>
      <c r="B1188" s="115"/>
      <c r="C1188" s="108"/>
      <c r="D1188" s="109"/>
      <c r="E1188" s="114"/>
      <c r="F1188" s="117"/>
      <c r="G1188" s="108"/>
      <c r="H1188" s="108"/>
      <c r="I1188" s="119"/>
      <c r="J1188" s="119"/>
      <c r="K1188" s="120"/>
      <c r="L1188" s="114"/>
      <c r="M1188" s="120"/>
      <c r="N1188" s="120"/>
      <c r="O1188" s="120"/>
      <c r="P1188" s="120"/>
      <c r="Q1188" s="120"/>
      <c r="R1188" s="120"/>
      <c r="S1188" s="120"/>
      <c r="T1188" s="120"/>
      <c r="U1188" s="120"/>
      <c r="V1188" s="120"/>
      <c r="W1188" s="120"/>
      <c r="X1188" s="120"/>
      <c r="Y1188" s="120"/>
      <c r="Z1188" s="120"/>
      <c r="AA1188" s="120"/>
    </row>
    <row r="1189">
      <c r="A1189" s="120"/>
      <c r="B1189" s="115"/>
      <c r="C1189" s="108"/>
      <c r="D1189" s="109"/>
      <c r="E1189" s="114"/>
      <c r="F1189" s="117"/>
      <c r="G1189" s="108"/>
      <c r="H1189" s="108"/>
      <c r="I1189" s="119"/>
      <c r="J1189" s="119"/>
      <c r="K1189" s="120"/>
      <c r="L1189" s="114"/>
      <c r="M1189" s="120"/>
      <c r="N1189" s="120"/>
      <c r="O1189" s="120"/>
      <c r="P1189" s="120"/>
      <c r="Q1189" s="120"/>
      <c r="R1189" s="120"/>
      <c r="S1189" s="120"/>
      <c r="T1189" s="120"/>
      <c r="U1189" s="120"/>
      <c r="V1189" s="120"/>
      <c r="W1189" s="120"/>
      <c r="X1189" s="120"/>
      <c r="Y1189" s="120"/>
      <c r="Z1189" s="120"/>
      <c r="AA1189" s="120"/>
    </row>
    <row r="1190">
      <c r="A1190" s="120"/>
      <c r="B1190" s="115"/>
      <c r="C1190" s="108"/>
      <c r="D1190" s="109"/>
      <c r="E1190" s="114"/>
      <c r="F1190" s="117"/>
      <c r="G1190" s="108"/>
      <c r="H1190" s="108"/>
      <c r="I1190" s="119"/>
      <c r="J1190" s="119"/>
      <c r="K1190" s="120"/>
      <c r="L1190" s="114"/>
      <c r="M1190" s="120"/>
      <c r="N1190" s="120"/>
      <c r="O1190" s="120"/>
      <c r="P1190" s="120"/>
      <c r="Q1190" s="120"/>
      <c r="R1190" s="120"/>
      <c r="S1190" s="120"/>
      <c r="T1190" s="120"/>
      <c r="U1190" s="120"/>
      <c r="V1190" s="120"/>
      <c r="W1190" s="120"/>
      <c r="X1190" s="120"/>
      <c r="Y1190" s="120"/>
      <c r="Z1190" s="120"/>
      <c r="AA1190" s="120"/>
    </row>
    <row r="1191">
      <c r="A1191" s="120"/>
      <c r="B1191" s="115"/>
      <c r="C1191" s="108"/>
      <c r="D1191" s="109"/>
      <c r="E1191" s="114"/>
      <c r="F1191" s="117"/>
      <c r="G1191" s="108"/>
      <c r="H1191" s="108"/>
      <c r="I1191" s="119"/>
      <c r="J1191" s="119"/>
      <c r="K1191" s="120"/>
      <c r="L1191" s="114"/>
      <c r="M1191" s="120"/>
      <c r="N1191" s="120"/>
      <c r="O1191" s="120"/>
      <c r="P1191" s="120"/>
      <c r="Q1191" s="120"/>
      <c r="R1191" s="120"/>
      <c r="S1191" s="120"/>
      <c r="T1191" s="120"/>
      <c r="U1191" s="120"/>
      <c r="V1191" s="120"/>
      <c r="W1191" s="120"/>
      <c r="X1191" s="120"/>
      <c r="Y1191" s="120"/>
      <c r="Z1191" s="120"/>
      <c r="AA1191" s="120"/>
    </row>
    <row r="1192">
      <c r="A1192" s="120"/>
      <c r="B1192" s="115"/>
      <c r="C1192" s="108"/>
      <c r="D1192" s="109"/>
      <c r="E1192" s="114"/>
      <c r="F1192" s="117"/>
      <c r="G1192" s="108"/>
      <c r="H1192" s="108"/>
      <c r="I1192" s="119"/>
      <c r="J1192" s="119"/>
      <c r="K1192" s="120"/>
      <c r="L1192" s="114"/>
      <c r="M1192" s="120"/>
      <c r="N1192" s="120"/>
      <c r="O1192" s="120"/>
      <c r="P1192" s="120"/>
      <c r="Q1192" s="120"/>
      <c r="R1192" s="120"/>
      <c r="S1192" s="120"/>
      <c r="T1192" s="120"/>
      <c r="U1192" s="120"/>
      <c r="V1192" s="120"/>
      <c r="W1192" s="120"/>
      <c r="X1192" s="120"/>
      <c r="Y1192" s="120"/>
      <c r="Z1192" s="120"/>
      <c r="AA1192" s="120"/>
    </row>
    <row r="1193">
      <c r="A1193" s="120"/>
      <c r="B1193" s="115"/>
      <c r="C1193" s="108"/>
      <c r="D1193" s="109"/>
      <c r="E1193" s="114"/>
      <c r="F1193" s="117"/>
      <c r="G1193" s="108"/>
      <c r="H1193" s="108"/>
      <c r="I1193" s="119"/>
      <c r="J1193" s="119"/>
      <c r="K1193" s="120"/>
      <c r="L1193" s="114"/>
      <c r="M1193" s="120"/>
      <c r="N1193" s="120"/>
      <c r="O1193" s="120"/>
      <c r="P1193" s="120"/>
      <c r="Q1193" s="120"/>
      <c r="R1193" s="120"/>
      <c r="S1193" s="120"/>
      <c r="T1193" s="120"/>
      <c r="U1193" s="120"/>
      <c r="V1193" s="120"/>
      <c r="W1193" s="120"/>
      <c r="X1193" s="120"/>
      <c r="Y1193" s="120"/>
      <c r="Z1193" s="120"/>
      <c r="AA1193" s="120"/>
    </row>
    <row r="1194">
      <c r="A1194" s="120"/>
      <c r="B1194" s="115"/>
      <c r="C1194" s="108"/>
      <c r="D1194" s="109"/>
      <c r="E1194" s="114"/>
      <c r="F1194" s="117"/>
      <c r="G1194" s="108"/>
      <c r="H1194" s="108"/>
      <c r="I1194" s="119"/>
      <c r="J1194" s="119"/>
      <c r="K1194" s="120"/>
      <c r="L1194" s="114"/>
      <c r="M1194" s="120"/>
      <c r="N1194" s="120"/>
      <c r="O1194" s="120"/>
      <c r="P1194" s="120"/>
      <c r="Q1194" s="120"/>
      <c r="R1194" s="120"/>
      <c r="S1194" s="120"/>
      <c r="T1194" s="120"/>
      <c r="U1194" s="120"/>
      <c r="V1194" s="120"/>
      <c r="W1194" s="120"/>
      <c r="X1194" s="120"/>
      <c r="Y1194" s="120"/>
      <c r="Z1194" s="120"/>
      <c r="AA1194" s="120"/>
    </row>
    <row r="1195">
      <c r="A1195" s="120"/>
      <c r="B1195" s="115"/>
      <c r="C1195" s="108"/>
      <c r="D1195" s="109"/>
      <c r="E1195" s="114"/>
      <c r="F1195" s="117"/>
      <c r="G1195" s="108"/>
      <c r="H1195" s="108"/>
      <c r="I1195" s="119"/>
      <c r="J1195" s="119"/>
      <c r="K1195" s="120"/>
      <c r="L1195" s="114"/>
      <c r="M1195" s="120"/>
      <c r="N1195" s="120"/>
      <c r="O1195" s="120"/>
      <c r="P1195" s="120"/>
      <c r="Q1195" s="120"/>
      <c r="R1195" s="120"/>
      <c r="S1195" s="120"/>
      <c r="T1195" s="120"/>
      <c r="U1195" s="120"/>
      <c r="V1195" s="120"/>
      <c r="W1195" s="120"/>
      <c r="X1195" s="120"/>
      <c r="Y1195" s="120"/>
      <c r="Z1195" s="120"/>
      <c r="AA1195" s="120"/>
    </row>
    <row r="1196">
      <c r="A1196" s="120"/>
      <c r="B1196" s="115"/>
      <c r="C1196" s="108"/>
      <c r="D1196" s="109"/>
      <c r="E1196" s="114"/>
      <c r="F1196" s="117"/>
      <c r="G1196" s="108"/>
      <c r="H1196" s="108"/>
      <c r="I1196" s="119"/>
      <c r="J1196" s="119"/>
      <c r="K1196" s="120"/>
      <c r="L1196" s="114"/>
      <c r="M1196" s="120"/>
      <c r="N1196" s="120"/>
      <c r="O1196" s="120"/>
      <c r="P1196" s="120"/>
      <c r="Q1196" s="120"/>
      <c r="R1196" s="120"/>
      <c r="S1196" s="120"/>
      <c r="T1196" s="120"/>
      <c r="U1196" s="120"/>
      <c r="V1196" s="120"/>
      <c r="W1196" s="120"/>
      <c r="X1196" s="120"/>
      <c r="Y1196" s="120"/>
      <c r="Z1196" s="120"/>
      <c r="AA1196" s="120"/>
    </row>
    <row r="1197">
      <c r="A1197" s="120"/>
      <c r="B1197" s="115"/>
      <c r="C1197" s="108"/>
      <c r="D1197" s="109"/>
      <c r="E1197" s="114"/>
      <c r="F1197" s="117"/>
      <c r="G1197" s="108"/>
      <c r="H1197" s="108"/>
      <c r="I1197" s="119"/>
      <c r="J1197" s="119"/>
      <c r="K1197" s="120"/>
      <c r="L1197" s="114"/>
      <c r="M1197" s="120"/>
      <c r="N1197" s="120"/>
      <c r="O1197" s="120"/>
      <c r="P1197" s="120"/>
      <c r="Q1197" s="120"/>
      <c r="R1197" s="120"/>
      <c r="S1197" s="120"/>
      <c r="T1197" s="120"/>
      <c r="U1197" s="120"/>
      <c r="V1197" s="120"/>
      <c r="W1197" s="120"/>
      <c r="X1197" s="120"/>
      <c r="Y1197" s="120"/>
      <c r="Z1197" s="120"/>
      <c r="AA1197" s="120"/>
    </row>
    <row r="1198">
      <c r="A1198" s="120"/>
      <c r="B1198" s="115"/>
      <c r="C1198" s="108"/>
      <c r="D1198" s="109"/>
      <c r="E1198" s="114"/>
      <c r="F1198" s="117"/>
      <c r="G1198" s="108"/>
      <c r="H1198" s="108"/>
      <c r="I1198" s="119"/>
      <c r="J1198" s="119"/>
      <c r="K1198" s="120"/>
      <c r="L1198" s="114"/>
      <c r="M1198" s="120"/>
      <c r="N1198" s="120"/>
      <c r="O1198" s="120"/>
      <c r="P1198" s="120"/>
      <c r="Q1198" s="120"/>
      <c r="R1198" s="120"/>
      <c r="S1198" s="120"/>
      <c r="T1198" s="120"/>
      <c r="U1198" s="120"/>
      <c r="V1198" s="120"/>
      <c r="W1198" s="120"/>
      <c r="X1198" s="120"/>
      <c r="Y1198" s="120"/>
      <c r="Z1198" s="120"/>
      <c r="AA1198" s="120"/>
    </row>
    <row r="1199">
      <c r="A1199" s="120"/>
      <c r="B1199" s="115"/>
      <c r="C1199" s="108"/>
      <c r="D1199" s="109"/>
      <c r="E1199" s="114"/>
      <c r="F1199" s="117"/>
      <c r="G1199" s="108"/>
      <c r="H1199" s="108"/>
      <c r="I1199" s="119"/>
      <c r="J1199" s="119"/>
      <c r="K1199" s="120"/>
      <c r="L1199" s="114"/>
      <c r="M1199" s="120"/>
      <c r="N1199" s="120"/>
      <c r="O1199" s="120"/>
      <c r="P1199" s="120"/>
      <c r="Q1199" s="120"/>
      <c r="R1199" s="120"/>
      <c r="S1199" s="120"/>
      <c r="T1199" s="120"/>
      <c r="U1199" s="120"/>
      <c r="V1199" s="120"/>
      <c r="W1199" s="120"/>
      <c r="X1199" s="120"/>
      <c r="Y1199" s="120"/>
      <c r="Z1199" s="120"/>
      <c r="AA1199" s="120"/>
    </row>
    <row r="1200">
      <c r="A1200" s="120"/>
      <c r="B1200" s="115"/>
      <c r="C1200" s="108"/>
      <c r="D1200" s="109"/>
      <c r="E1200" s="114"/>
      <c r="F1200" s="117"/>
      <c r="G1200" s="108"/>
      <c r="H1200" s="108"/>
      <c r="I1200" s="119"/>
      <c r="J1200" s="119"/>
      <c r="K1200" s="120"/>
      <c r="L1200" s="114"/>
      <c r="M1200" s="120"/>
      <c r="N1200" s="120"/>
      <c r="O1200" s="120"/>
      <c r="P1200" s="120"/>
      <c r="Q1200" s="120"/>
      <c r="R1200" s="120"/>
      <c r="S1200" s="120"/>
      <c r="T1200" s="120"/>
      <c r="U1200" s="120"/>
      <c r="V1200" s="120"/>
      <c r="W1200" s="120"/>
      <c r="X1200" s="120"/>
      <c r="Y1200" s="120"/>
      <c r="Z1200" s="120"/>
      <c r="AA1200" s="120"/>
    </row>
    <row r="1201">
      <c r="A1201" s="120"/>
      <c r="B1201" s="115"/>
      <c r="C1201" s="108"/>
      <c r="D1201" s="109"/>
      <c r="E1201" s="114"/>
      <c r="F1201" s="117"/>
      <c r="G1201" s="108"/>
      <c r="H1201" s="108"/>
      <c r="I1201" s="119"/>
      <c r="J1201" s="119"/>
      <c r="K1201" s="120"/>
      <c r="L1201" s="114"/>
      <c r="M1201" s="120"/>
      <c r="N1201" s="120"/>
      <c r="O1201" s="120"/>
      <c r="P1201" s="120"/>
      <c r="Q1201" s="120"/>
      <c r="R1201" s="120"/>
      <c r="S1201" s="120"/>
      <c r="T1201" s="120"/>
      <c r="U1201" s="120"/>
      <c r="V1201" s="120"/>
      <c r="W1201" s="120"/>
      <c r="X1201" s="120"/>
      <c r="Y1201" s="120"/>
      <c r="Z1201" s="120"/>
      <c r="AA1201" s="120"/>
    </row>
    <row r="1202">
      <c r="A1202" s="120"/>
      <c r="B1202" s="115"/>
      <c r="C1202" s="108"/>
      <c r="D1202" s="109"/>
      <c r="E1202" s="114"/>
      <c r="F1202" s="117"/>
      <c r="G1202" s="108"/>
      <c r="H1202" s="108"/>
      <c r="I1202" s="119"/>
      <c r="J1202" s="119"/>
      <c r="K1202" s="120"/>
      <c r="L1202" s="114"/>
      <c r="M1202" s="120"/>
      <c r="N1202" s="120"/>
      <c r="O1202" s="120"/>
      <c r="P1202" s="120"/>
      <c r="Q1202" s="120"/>
      <c r="R1202" s="120"/>
      <c r="S1202" s="120"/>
      <c r="T1202" s="120"/>
      <c r="U1202" s="120"/>
      <c r="V1202" s="120"/>
      <c r="W1202" s="120"/>
      <c r="X1202" s="120"/>
      <c r="Y1202" s="120"/>
      <c r="Z1202" s="120"/>
      <c r="AA1202" s="120"/>
    </row>
    <row r="1203">
      <c r="A1203" s="120"/>
      <c r="B1203" s="115"/>
      <c r="C1203" s="108"/>
      <c r="D1203" s="109"/>
      <c r="E1203" s="114"/>
      <c r="F1203" s="117"/>
      <c r="G1203" s="108"/>
      <c r="H1203" s="108"/>
      <c r="I1203" s="119"/>
      <c r="J1203" s="119"/>
      <c r="K1203" s="120"/>
      <c r="L1203" s="114"/>
      <c r="M1203" s="120"/>
      <c r="N1203" s="120"/>
      <c r="O1203" s="120"/>
      <c r="P1203" s="120"/>
      <c r="Q1203" s="120"/>
      <c r="R1203" s="120"/>
      <c r="S1203" s="120"/>
      <c r="T1203" s="120"/>
      <c r="U1203" s="120"/>
      <c r="V1203" s="120"/>
      <c r="W1203" s="120"/>
      <c r="X1203" s="120"/>
      <c r="Y1203" s="120"/>
      <c r="Z1203" s="120"/>
      <c r="AA1203" s="120"/>
    </row>
    <row r="1204">
      <c r="A1204" s="120"/>
      <c r="B1204" s="115"/>
      <c r="C1204" s="108"/>
      <c r="D1204" s="109"/>
      <c r="E1204" s="114"/>
      <c r="F1204" s="117"/>
      <c r="G1204" s="108"/>
      <c r="H1204" s="108"/>
      <c r="I1204" s="119"/>
      <c r="J1204" s="119"/>
      <c r="K1204" s="120"/>
      <c r="L1204" s="114"/>
      <c r="M1204" s="120"/>
      <c r="N1204" s="120"/>
      <c r="O1204" s="120"/>
      <c r="P1204" s="120"/>
      <c r="Q1204" s="120"/>
      <c r="R1204" s="120"/>
      <c r="S1204" s="120"/>
      <c r="T1204" s="120"/>
      <c r="U1204" s="120"/>
      <c r="V1204" s="120"/>
      <c r="W1204" s="120"/>
      <c r="X1204" s="120"/>
      <c r="Y1204" s="120"/>
      <c r="Z1204" s="120"/>
      <c r="AA1204" s="120"/>
    </row>
    <row r="1205">
      <c r="A1205" s="120"/>
      <c r="B1205" s="115"/>
      <c r="C1205" s="108"/>
      <c r="D1205" s="109"/>
      <c r="E1205" s="114"/>
      <c r="F1205" s="117"/>
      <c r="G1205" s="108"/>
      <c r="H1205" s="108"/>
      <c r="I1205" s="119"/>
      <c r="J1205" s="119"/>
      <c r="K1205" s="120"/>
      <c r="L1205" s="114"/>
      <c r="M1205" s="120"/>
      <c r="N1205" s="120"/>
      <c r="O1205" s="120"/>
      <c r="P1205" s="120"/>
      <c r="Q1205" s="120"/>
      <c r="R1205" s="120"/>
      <c r="S1205" s="120"/>
      <c r="T1205" s="120"/>
      <c r="U1205" s="120"/>
      <c r="V1205" s="120"/>
      <c r="W1205" s="120"/>
      <c r="X1205" s="120"/>
      <c r="Y1205" s="120"/>
      <c r="Z1205" s="120"/>
      <c r="AA1205" s="120"/>
    </row>
    <row r="1206">
      <c r="A1206" s="120"/>
      <c r="B1206" s="115"/>
      <c r="C1206" s="108"/>
      <c r="D1206" s="109"/>
      <c r="E1206" s="114"/>
      <c r="F1206" s="117"/>
      <c r="G1206" s="108"/>
      <c r="H1206" s="108"/>
      <c r="I1206" s="119"/>
      <c r="J1206" s="119"/>
      <c r="K1206" s="120"/>
      <c r="L1206" s="114"/>
      <c r="M1206" s="120"/>
      <c r="N1206" s="120"/>
      <c r="O1206" s="120"/>
      <c r="P1206" s="120"/>
      <c r="Q1206" s="120"/>
      <c r="R1206" s="120"/>
      <c r="S1206" s="120"/>
      <c r="T1206" s="120"/>
      <c r="U1206" s="120"/>
      <c r="V1206" s="120"/>
      <c r="W1206" s="120"/>
      <c r="X1206" s="120"/>
      <c r="Y1206" s="120"/>
      <c r="Z1206" s="120"/>
      <c r="AA1206" s="120"/>
    </row>
    <row r="1207">
      <c r="A1207" s="120"/>
      <c r="B1207" s="115"/>
      <c r="C1207" s="108"/>
      <c r="D1207" s="109"/>
      <c r="E1207" s="114"/>
      <c r="F1207" s="117"/>
      <c r="G1207" s="108"/>
      <c r="H1207" s="108"/>
      <c r="I1207" s="119"/>
      <c r="J1207" s="119"/>
      <c r="K1207" s="120"/>
      <c r="L1207" s="114"/>
      <c r="M1207" s="120"/>
      <c r="N1207" s="120"/>
      <c r="O1207" s="120"/>
      <c r="P1207" s="120"/>
      <c r="Q1207" s="120"/>
      <c r="R1207" s="120"/>
      <c r="S1207" s="120"/>
      <c r="T1207" s="120"/>
      <c r="U1207" s="120"/>
      <c r="V1207" s="120"/>
      <c r="W1207" s="120"/>
      <c r="X1207" s="120"/>
      <c r="Y1207" s="120"/>
      <c r="Z1207" s="120"/>
      <c r="AA1207" s="120"/>
    </row>
    <row r="1208">
      <c r="A1208" s="120"/>
      <c r="B1208" s="115"/>
      <c r="C1208" s="108"/>
      <c r="D1208" s="109"/>
      <c r="E1208" s="114"/>
      <c r="F1208" s="117"/>
      <c r="G1208" s="108"/>
      <c r="H1208" s="108"/>
      <c r="I1208" s="119"/>
      <c r="J1208" s="119"/>
      <c r="K1208" s="120"/>
      <c r="L1208" s="114"/>
      <c r="M1208" s="120"/>
      <c r="N1208" s="120"/>
      <c r="O1208" s="120"/>
      <c r="P1208" s="120"/>
      <c r="Q1208" s="120"/>
      <c r="R1208" s="120"/>
      <c r="S1208" s="120"/>
      <c r="T1208" s="120"/>
      <c r="U1208" s="120"/>
      <c r="V1208" s="120"/>
      <c r="W1208" s="120"/>
      <c r="X1208" s="120"/>
      <c r="Y1208" s="120"/>
      <c r="Z1208" s="120"/>
      <c r="AA1208" s="120"/>
    </row>
    <row r="1209">
      <c r="A1209" s="120"/>
      <c r="B1209" s="115"/>
      <c r="C1209" s="108"/>
      <c r="D1209" s="109"/>
      <c r="E1209" s="114"/>
      <c r="F1209" s="117"/>
      <c r="G1209" s="108"/>
      <c r="H1209" s="108"/>
      <c r="I1209" s="119"/>
      <c r="J1209" s="119"/>
      <c r="K1209" s="120"/>
      <c r="L1209" s="114"/>
      <c r="M1209" s="120"/>
      <c r="N1209" s="120"/>
      <c r="O1209" s="120"/>
      <c r="P1209" s="120"/>
      <c r="Q1209" s="120"/>
      <c r="R1209" s="120"/>
      <c r="S1209" s="120"/>
      <c r="T1209" s="120"/>
      <c r="U1209" s="120"/>
      <c r="V1209" s="120"/>
      <c r="W1209" s="120"/>
      <c r="X1209" s="120"/>
      <c r="Y1209" s="120"/>
      <c r="Z1209" s="120"/>
      <c r="AA1209" s="120"/>
    </row>
    <row r="1210">
      <c r="A1210" s="120"/>
      <c r="B1210" s="115"/>
      <c r="C1210" s="108"/>
      <c r="D1210" s="109"/>
      <c r="E1210" s="114"/>
      <c r="F1210" s="117"/>
      <c r="G1210" s="108"/>
      <c r="H1210" s="108"/>
      <c r="I1210" s="119"/>
      <c r="J1210" s="119"/>
      <c r="K1210" s="120"/>
      <c r="L1210" s="114"/>
      <c r="M1210" s="120"/>
      <c r="N1210" s="120"/>
      <c r="O1210" s="120"/>
      <c r="P1210" s="120"/>
      <c r="Q1210" s="120"/>
      <c r="R1210" s="120"/>
      <c r="S1210" s="120"/>
      <c r="T1210" s="120"/>
      <c r="U1210" s="120"/>
      <c r="V1210" s="120"/>
      <c r="W1210" s="120"/>
      <c r="X1210" s="120"/>
      <c r="Y1210" s="120"/>
      <c r="Z1210" s="120"/>
      <c r="AA1210" s="120"/>
    </row>
    <row r="1211">
      <c r="A1211" s="120"/>
      <c r="B1211" s="115"/>
      <c r="C1211" s="108"/>
      <c r="D1211" s="109"/>
      <c r="E1211" s="114"/>
      <c r="F1211" s="117"/>
      <c r="G1211" s="108"/>
      <c r="H1211" s="108"/>
      <c r="I1211" s="119"/>
      <c r="J1211" s="119"/>
      <c r="K1211" s="120"/>
      <c r="L1211" s="114"/>
      <c r="M1211" s="120"/>
      <c r="N1211" s="120"/>
      <c r="O1211" s="120"/>
      <c r="P1211" s="120"/>
      <c r="Q1211" s="120"/>
      <c r="R1211" s="120"/>
      <c r="S1211" s="120"/>
      <c r="T1211" s="120"/>
      <c r="U1211" s="120"/>
      <c r="V1211" s="120"/>
      <c r="W1211" s="120"/>
      <c r="X1211" s="120"/>
      <c r="Y1211" s="120"/>
      <c r="Z1211" s="120"/>
      <c r="AA1211" s="120"/>
    </row>
    <row r="1212">
      <c r="A1212" s="120"/>
      <c r="B1212" s="115"/>
      <c r="C1212" s="108"/>
      <c r="D1212" s="109"/>
      <c r="E1212" s="114"/>
      <c r="F1212" s="117"/>
      <c r="G1212" s="108"/>
      <c r="H1212" s="108"/>
      <c r="I1212" s="119"/>
      <c r="J1212" s="119"/>
      <c r="K1212" s="120"/>
      <c r="L1212" s="114"/>
      <c r="M1212" s="120"/>
      <c r="N1212" s="120"/>
      <c r="O1212" s="120"/>
      <c r="P1212" s="120"/>
      <c r="Q1212" s="120"/>
      <c r="R1212" s="120"/>
      <c r="S1212" s="120"/>
      <c r="T1212" s="120"/>
      <c r="U1212" s="120"/>
      <c r="V1212" s="120"/>
      <c r="W1212" s="120"/>
      <c r="X1212" s="120"/>
      <c r="Y1212" s="120"/>
      <c r="Z1212" s="120"/>
      <c r="AA1212" s="120"/>
    </row>
    <row r="1213">
      <c r="A1213" s="120"/>
      <c r="B1213" s="115"/>
      <c r="C1213" s="108"/>
      <c r="D1213" s="109"/>
      <c r="E1213" s="114"/>
      <c r="F1213" s="117"/>
      <c r="G1213" s="108"/>
      <c r="H1213" s="108"/>
      <c r="I1213" s="119"/>
      <c r="J1213" s="119"/>
      <c r="K1213" s="120"/>
      <c r="L1213" s="114"/>
      <c r="M1213" s="120"/>
      <c r="N1213" s="120"/>
      <c r="O1213" s="120"/>
      <c r="P1213" s="120"/>
      <c r="Q1213" s="120"/>
      <c r="R1213" s="120"/>
      <c r="S1213" s="120"/>
      <c r="T1213" s="120"/>
      <c r="U1213" s="120"/>
      <c r="V1213" s="120"/>
      <c r="W1213" s="120"/>
      <c r="X1213" s="120"/>
      <c r="Y1213" s="120"/>
      <c r="Z1213" s="120"/>
      <c r="AA1213" s="120"/>
    </row>
    <row r="1214">
      <c r="A1214" s="120"/>
      <c r="B1214" s="115"/>
      <c r="C1214" s="108"/>
      <c r="D1214" s="109"/>
      <c r="E1214" s="114"/>
      <c r="F1214" s="117"/>
      <c r="G1214" s="108"/>
      <c r="H1214" s="108"/>
      <c r="I1214" s="119"/>
      <c r="J1214" s="119"/>
      <c r="K1214" s="120"/>
      <c r="L1214" s="114"/>
      <c r="M1214" s="120"/>
      <c r="N1214" s="120"/>
      <c r="O1214" s="120"/>
      <c r="P1214" s="120"/>
      <c r="Q1214" s="120"/>
      <c r="R1214" s="120"/>
      <c r="S1214" s="120"/>
      <c r="T1214" s="120"/>
      <c r="U1214" s="120"/>
      <c r="V1214" s="120"/>
      <c r="W1214" s="120"/>
      <c r="X1214" s="120"/>
      <c r="Y1214" s="120"/>
      <c r="Z1214" s="120"/>
      <c r="AA1214" s="120"/>
    </row>
    <row r="1215">
      <c r="A1215" s="120"/>
      <c r="B1215" s="115"/>
      <c r="C1215" s="108"/>
      <c r="D1215" s="109"/>
      <c r="E1215" s="114"/>
      <c r="F1215" s="117"/>
      <c r="G1215" s="108"/>
      <c r="H1215" s="108"/>
      <c r="I1215" s="119"/>
      <c r="J1215" s="119"/>
      <c r="K1215" s="120"/>
      <c r="L1215" s="114"/>
      <c r="M1215" s="120"/>
      <c r="N1215" s="120"/>
      <c r="O1215" s="120"/>
      <c r="P1215" s="120"/>
      <c r="Q1215" s="120"/>
      <c r="R1215" s="120"/>
      <c r="S1215" s="120"/>
      <c r="T1215" s="120"/>
      <c r="U1215" s="120"/>
      <c r="V1215" s="120"/>
      <c r="W1215" s="120"/>
      <c r="X1215" s="120"/>
      <c r="Y1215" s="120"/>
      <c r="Z1215" s="120"/>
      <c r="AA1215" s="120"/>
    </row>
    <row r="1216">
      <c r="A1216" s="120"/>
      <c r="B1216" s="115"/>
      <c r="C1216" s="108"/>
      <c r="D1216" s="109"/>
      <c r="E1216" s="114"/>
      <c r="F1216" s="117"/>
      <c r="G1216" s="108"/>
      <c r="H1216" s="108"/>
      <c r="I1216" s="119"/>
      <c r="J1216" s="119"/>
      <c r="K1216" s="120"/>
      <c r="L1216" s="114"/>
      <c r="M1216" s="120"/>
      <c r="N1216" s="120"/>
      <c r="O1216" s="120"/>
      <c r="P1216" s="120"/>
      <c r="Q1216" s="120"/>
      <c r="R1216" s="120"/>
      <c r="S1216" s="120"/>
      <c r="T1216" s="120"/>
      <c r="U1216" s="120"/>
      <c r="V1216" s="120"/>
      <c r="W1216" s="120"/>
      <c r="X1216" s="120"/>
      <c r="Y1216" s="120"/>
      <c r="Z1216" s="120"/>
      <c r="AA1216" s="120"/>
    </row>
    <row r="1217">
      <c r="A1217" s="120"/>
      <c r="B1217" s="115"/>
      <c r="C1217" s="108"/>
      <c r="D1217" s="109"/>
      <c r="E1217" s="114"/>
      <c r="F1217" s="117"/>
      <c r="G1217" s="108"/>
      <c r="H1217" s="108"/>
      <c r="I1217" s="119"/>
      <c r="J1217" s="119"/>
      <c r="K1217" s="120"/>
      <c r="L1217" s="114"/>
      <c r="M1217" s="120"/>
      <c r="N1217" s="120"/>
      <c r="O1217" s="120"/>
      <c r="P1217" s="120"/>
      <c r="Q1217" s="120"/>
      <c r="R1217" s="120"/>
      <c r="S1217" s="120"/>
      <c r="T1217" s="120"/>
      <c r="U1217" s="120"/>
      <c r="V1217" s="120"/>
      <c r="W1217" s="120"/>
      <c r="X1217" s="120"/>
      <c r="Y1217" s="120"/>
      <c r="Z1217" s="120"/>
      <c r="AA1217" s="120"/>
    </row>
    <row r="1218">
      <c r="A1218" s="120"/>
      <c r="B1218" s="115"/>
      <c r="C1218" s="108"/>
      <c r="D1218" s="109"/>
      <c r="E1218" s="114"/>
      <c r="F1218" s="117"/>
      <c r="G1218" s="108"/>
      <c r="H1218" s="108"/>
      <c r="I1218" s="119"/>
      <c r="J1218" s="119"/>
      <c r="K1218" s="120"/>
      <c r="L1218" s="114"/>
      <c r="M1218" s="120"/>
      <c r="N1218" s="120"/>
      <c r="O1218" s="120"/>
      <c r="P1218" s="120"/>
      <c r="Q1218" s="120"/>
      <c r="R1218" s="120"/>
      <c r="S1218" s="120"/>
      <c r="T1218" s="120"/>
      <c r="U1218" s="120"/>
      <c r="V1218" s="120"/>
      <c r="W1218" s="120"/>
      <c r="X1218" s="120"/>
      <c r="Y1218" s="120"/>
      <c r="Z1218" s="120"/>
      <c r="AA1218" s="120"/>
    </row>
    <row r="1219">
      <c r="A1219" s="120"/>
      <c r="B1219" s="115"/>
      <c r="C1219" s="108"/>
      <c r="D1219" s="109"/>
      <c r="E1219" s="114"/>
      <c r="F1219" s="117"/>
      <c r="G1219" s="108"/>
      <c r="H1219" s="108"/>
      <c r="I1219" s="119"/>
      <c r="J1219" s="119"/>
      <c r="K1219" s="120"/>
      <c r="L1219" s="114"/>
      <c r="M1219" s="120"/>
      <c r="N1219" s="120"/>
      <c r="O1219" s="120"/>
      <c r="P1219" s="120"/>
      <c r="Q1219" s="120"/>
      <c r="R1219" s="120"/>
      <c r="S1219" s="120"/>
      <c r="T1219" s="120"/>
      <c r="U1219" s="120"/>
      <c r="V1219" s="120"/>
      <c r="W1219" s="120"/>
      <c r="X1219" s="120"/>
      <c r="Y1219" s="120"/>
      <c r="Z1219" s="120"/>
      <c r="AA1219" s="120"/>
    </row>
    <row r="1220">
      <c r="A1220" s="120"/>
      <c r="B1220" s="115"/>
      <c r="C1220" s="108"/>
      <c r="D1220" s="109"/>
      <c r="E1220" s="114"/>
      <c r="F1220" s="117"/>
      <c r="G1220" s="108"/>
      <c r="H1220" s="108"/>
      <c r="I1220" s="119"/>
      <c r="J1220" s="119"/>
      <c r="K1220" s="120"/>
      <c r="L1220" s="114"/>
      <c r="M1220" s="120"/>
      <c r="N1220" s="120"/>
      <c r="O1220" s="120"/>
      <c r="P1220" s="120"/>
      <c r="Q1220" s="120"/>
      <c r="R1220" s="120"/>
      <c r="S1220" s="120"/>
      <c r="T1220" s="120"/>
      <c r="U1220" s="120"/>
      <c r="V1220" s="120"/>
      <c r="W1220" s="120"/>
      <c r="X1220" s="120"/>
      <c r="Y1220" s="120"/>
      <c r="Z1220" s="120"/>
      <c r="AA1220" s="120"/>
    </row>
    <row r="1221">
      <c r="A1221" s="120"/>
      <c r="B1221" s="115"/>
      <c r="C1221" s="108"/>
      <c r="D1221" s="109"/>
      <c r="E1221" s="114"/>
      <c r="F1221" s="117"/>
      <c r="G1221" s="108"/>
      <c r="H1221" s="108"/>
      <c r="I1221" s="119"/>
      <c r="J1221" s="119"/>
      <c r="K1221" s="120"/>
      <c r="L1221" s="114"/>
      <c r="M1221" s="120"/>
      <c r="N1221" s="120"/>
      <c r="O1221" s="120"/>
      <c r="P1221" s="120"/>
      <c r="Q1221" s="120"/>
      <c r="R1221" s="120"/>
      <c r="S1221" s="120"/>
      <c r="T1221" s="120"/>
      <c r="U1221" s="120"/>
      <c r="V1221" s="120"/>
      <c r="W1221" s="120"/>
      <c r="X1221" s="120"/>
      <c r="Y1221" s="120"/>
      <c r="Z1221" s="120"/>
      <c r="AA1221" s="120"/>
    </row>
    <row r="1222">
      <c r="A1222" s="120"/>
      <c r="B1222" s="115"/>
      <c r="C1222" s="108"/>
      <c r="D1222" s="109"/>
      <c r="E1222" s="114"/>
      <c r="F1222" s="117"/>
      <c r="G1222" s="108"/>
      <c r="H1222" s="108"/>
      <c r="I1222" s="119"/>
      <c r="J1222" s="119"/>
      <c r="K1222" s="120"/>
      <c r="L1222" s="114"/>
      <c r="M1222" s="120"/>
      <c r="N1222" s="120"/>
      <c r="O1222" s="120"/>
      <c r="P1222" s="120"/>
      <c r="Q1222" s="120"/>
      <c r="R1222" s="120"/>
      <c r="S1222" s="120"/>
      <c r="T1222" s="120"/>
      <c r="U1222" s="120"/>
      <c r="V1222" s="120"/>
      <c r="W1222" s="120"/>
      <c r="X1222" s="120"/>
      <c r="Y1222" s="120"/>
      <c r="Z1222" s="120"/>
      <c r="AA1222" s="120"/>
    </row>
    <row r="1223">
      <c r="A1223" s="120"/>
      <c r="B1223" s="115"/>
      <c r="C1223" s="108"/>
      <c r="D1223" s="109"/>
      <c r="E1223" s="114"/>
      <c r="F1223" s="117"/>
      <c r="G1223" s="108"/>
      <c r="H1223" s="108"/>
      <c r="I1223" s="119"/>
      <c r="J1223" s="119"/>
      <c r="K1223" s="120"/>
      <c r="L1223" s="114"/>
      <c r="M1223" s="120"/>
      <c r="N1223" s="120"/>
      <c r="O1223" s="120"/>
      <c r="P1223" s="120"/>
      <c r="Q1223" s="120"/>
      <c r="R1223" s="120"/>
      <c r="S1223" s="120"/>
      <c r="T1223" s="120"/>
      <c r="U1223" s="120"/>
      <c r="V1223" s="120"/>
      <c r="W1223" s="120"/>
      <c r="X1223" s="120"/>
      <c r="Y1223" s="120"/>
      <c r="Z1223" s="120"/>
      <c r="AA1223" s="120"/>
    </row>
    <row r="1224">
      <c r="A1224" s="120"/>
      <c r="B1224" s="115"/>
      <c r="C1224" s="108"/>
      <c r="D1224" s="109"/>
      <c r="E1224" s="114"/>
      <c r="F1224" s="117"/>
      <c r="G1224" s="108"/>
      <c r="H1224" s="108"/>
      <c r="I1224" s="119"/>
      <c r="J1224" s="119"/>
      <c r="K1224" s="120"/>
      <c r="L1224" s="114"/>
      <c r="M1224" s="120"/>
      <c r="N1224" s="120"/>
      <c r="O1224" s="120"/>
      <c r="P1224" s="120"/>
      <c r="Q1224" s="120"/>
      <c r="R1224" s="120"/>
      <c r="S1224" s="120"/>
      <c r="T1224" s="120"/>
      <c r="U1224" s="120"/>
      <c r="V1224" s="120"/>
      <c r="W1224" s="120"/>
      <c r="X1224" s="120"/>
      <c r="Y1224" s="120"/>
      <c r="Z1224" s="120"/>
      <c r="AA1224" s="120"/>
    </row>
    <row r="1225">
      <c r="A1225" s="120"/>
      <c r="B1225" s="115"/>
      <c r="C1225" s="108"/>
      <c r="D1225" s="109"/>
      <c r="E1225" s="114"/>
      <c r="F1225" s="117"/>
      <c r="G1225" s="108"/>
      <c r="H1225" s="108"/>
      <c r="I1225" s="119"/>
      <c r="J1225" s="119"/>
      <c r="K1225" s="120"/>
      <c r="L1225" s="114"/>
      <c r="M1225" s="120"/>
      <c r="N1225" s="120"/>
      <c r="O1225" s="120"/>
      <c r="P1225" s="120"/>
      <c r="Q1225" s="120"/>
      <c r="R1225" s="120"/>
      <c r="S1225" s="120"/>
      <c r="T1225" s="120"/>
      <c r="U1225" s="120"/>
      <c r="V1225" s="120"/>
      <c r="W1225" s="120"/>
      <c r="X1225" s="120"/>
      <c r="Y1225" s="120"/>
      <c r="Z1225" s="120"/>
      <c r="AA1225" s="120"/>
    </row>
    <row r="1226">
      <c r="A1226" s="120"/>
      <c r="B1226" s="115"/>
      <c r="C1226" s="108"/>
      <c r="D1226" s="109"/>
      <c r="E1226" s="114"/>
      <c r="F1226" s="117"/>
      <c r="G1226" s="108"/>
      <c r="H1226" s="108"/>
      <c r="I1226" s="119"/>
      <c r="J1226" s="119"/>
      <c r="K1226" s="120"/>
      <c r="L1226" s="114"/>
      <c r="M1226" s="120"/>
      <c r="N1226" s="120"/>
      <c r="O1226" s="120"/>
      <c r="P1226" s="120"/>
      <c r="Q1226" s="120"/>
      <c r="R1226" s="120"/>
      <c r="S1226" s="120"/>
      <c r="T1226" s="120"/>
      <c r="U1226" s="120"/>
      <c r="V1226" s="120"/>
      <c r="W1226" s="120"/>
      <c r="X1226" s="120"/>
      <c r="Y1226" s="120"/>
      <c r="Z1226" s="120"/>
      <c r="AA1226" s="120"/>
    </row>
    <row r="1227">
      <c r="A1227" s="120"/>
      <c r="B1227" s="115"/>
      <c r="C1227" s="108"/>
      <c r="D1227" s="109"/>
      <c r="E1227" s="114"/>
      <c r="F1227" s="117"/>
      <c r="G1227" s="108"/>
      <c r="H1227" s="108"/>
      <c r="I1227" s="119"/>
      <c r="J1227" s="119"/>
      <c r="K1227" s="120"/>
      <c r="L1227" s="114"/>
      <c r="M1227" s="120"/>
      <c r="N1227" s="120"/>
      <c r="O1227" s="120"/>
      <c r="P1227" s="120"/>
      <c r="Q1227" s="120"/>
      <c r="R1227" s="120"/>
      <c r="S1227" s="120"/>
      <c r="T1227" s="120"/>
      <c r="U1227" s="120"/>
      <c r="V1227" s="120"/>
      <c r="W1227" s="120"/>
      <c r="X1227" s="120"/>
      <c r="Y1227" s="120"/>
      <c r="Z1227" s="120"/>
      <c r="AA1227" s="120"/>
    </row>
    <row r="1228">
      <c r="A1228" s="120"/>
      <c r="B1228" s="115"/>
      <c r="C1228" s="108"/>
      <c r="D1228" s="109"/>
      <c r="E1228" s="114"/>
      <c r="F1228" s="117"/>
      <c r="G1228" s="108"/>
      <c r="H1228" s="108"/>
      <c r="I1228" s="119"/>
      <c r="J1228" s="119"/>
      <c r="K1228" s="120"/>
      <c r="L1228" s="114"/>
      <c r="M1228" s="120"/>
      <c r="N1228" s="120"/>
      <c r="O1228" s="120"/>
      <c r="P1228" s="120"/>
      <c r="Q1228" s="120"/>
      <c r="R1228" s="120"/>
      <c r="S1228" s="120"/>
      <c r="T1228" s="120"/>
      <c r="U1228" s="120"/>
      <c r="V1228" s="120"/>
      <c r="W1228" s="120"/>
      <c r="X1228" s="120"/>
      <c r="Y1228" s="120"/>
      <c r="Z1228" s="120"/>
      <c r="AA1228" s="120"/>
    </row>
    <row r="1229">
      <c r="A1229" s="120"/>
      <c r="B1229" s="115"/>
      <c r="C1229" s="108"/>
      <c r="D1229" s="109"/>
      <c r="E1229" s="114"/>
      <c r="F1229" s="117"/>
      <c r="G1229" s="108"/>
      <c r="H1229" s="108"/>
      <c r="I1229" s="119"/>
      <c r="J1229" s="119"/>
      <c r="K1229" s="120"/>
      <c r="L1229" s="114"/>
      <c r="M1229" s="120"/>
      <c r="N1229" s="120"/>
      <c r="O1229" s="120"/>
      <c r="P1229" s="120"/>
      <c r="Q1229" s="120"/>
      <c r="R1229" s="120"/>
      <c r="S1229" s="120"/>
      <c r="T1229" s="120"/>
      <c r="U1229" s="120"/>
      <c r="V1229" s="120"/>
      <c r="W1229" s="120"/>
      <c r="X1229" s="120"/>
      <c r="Y1229" s="120"/>
      <c r="Z1229" s="120"/>
      <c r="AA1229" s="120"/>
    </row>
    <row r="1230">
      <c r="A1230" s="120"/>
      <c r="B1230" s="115"/>
      <c r="C1230" s="108"/>
      <c r="D1230" s="109"/>
      <c r="E1230" s="114"/>
      <c r="F1230" s="117"/>
      <c r="G1230" s="108"/>
      <c r="H1230" s="108"/>
      <c r="I1230" s="119"/>
      <c r="J1230" s="119"/>
      <c r="K1230" s="120"/>
      <c r="L1230" s="114"/>
      <c r="M1230" s="120"/>
      <c r="N1230" s="120"/>
      <c r="O1230" s="120"/>
      <c r="P1230" s="120"/>
      <c r="Q1230" s="120"/>
      <c r="R1230" s="120"/>
      <c r="S1230" s="120"/>
      <c r="T1230" s="120"/>
      <c r="U1230" s="120"/>
      <c r="V1230" s="120"/>
      <c r="W1230" s="120"/>
      <c r="X1230" s="120"/>
      <c r="Y1230" s="120"/>
      <c r="Z1230" s="120"/>
      <c r="AA1230" s="120"/>
    </row>
    <row r="1231">
      <c r="A1231" s="120"/>
      <c r="B1231" s="115"/>
      <c r="C1231" s="108"/>
      <c r="D1231" s="109"/>
      <c r="E1231" s="114"/>
      <c r="F1231" s="117"/>
      <c r="G1231" s="108"/>
      <c r="H1231" s="108"/>
      <c r="I1231" s="119"/>
      <c r="J1231" s="119"/>
      <c r="K1231" s="120"/>
      <c r="L1231" s="114"/>
      <c r="M1231" s="120"/>
      <c r="N1231" s="120"/>
      <c r="O1231" s="120"/>
      <c r="P1231" s="120"/>
      <c r="Q1231" s="120"/>
      <c r="R1231" s="120"/>
      <c r="S1231" s="120"/>
      <c r="T1231" s="120"/>
      <c r="U1231" s="120"/>
      <c r="V1231" s="120"/>
      <c r="W1231" s="120"/>
      <c r="X1231" s="120"/>
      <c r="Y1231" s="120"/>
      <c r="Z1231" s="120"/>
      <c r="AA1231" s="120"/>
    </row>
    <row r="1232">
      <c r="A1232" s="120"/>
      <c r="B1232" s="115"/>
      <c r="C1232" s="108"/>
      <c r="D1232" s="109"/>
      <c r="E1232" s="114"/>
      <c r="F1232" s="117"/>
      <c r="G1232" s="108"/>
      <c r="H1232" s="108"/>
      <c r="I1232" s="119"/>
      <c r="J1232" s="119"/>
      <c r="K1232" s="120"/>
      <c r="L1232" s="114"/>
      <c r="M1232" s="120"/>
      <c r="N1232" s="120"/>
      <c r="O1232" s="120"/>
      <c r="P1232" s="120"/>
      <c r="Q1232" s="120"/>
      <c r="R1232" s="120"/>
      <c r="S1232" s="120"/>
      <c r="T1232" s="120"/>
      <c r="U1232" s="120"/>
      <c r="V1232" s="120"/>
      <c r="W1232" s="120"/>
      <c r="X1232" s="120"/>
      <c r="Y1232" s="120"/>
      <c r="Z1232" s="120"/>
      <c r="AA1232" s="120"/>
    </row>
    <row r="1233">
      <c r="A1233" s="120"/>
      <c r="B1233" s="115"/>
      <c r="C1233" s="108"/>
      <c r="D1233" s="109"/>
      <c r="E1233" s="114"/>
      <c r="F1233" s="117"/>
      <c r="G1233" s="108"/>
      <c r="H1233" s="108"/>
      <c r="I1233" s="119"/>
      <c r="J1233" s="119"/>
      <c r="K1233" s="120"/>
      <c r="L1233" s="114"/>
      <c r="M1233" s="120"/>
      <c r="N1233" s="120"/>
      <c r="O1233" s="120"/>
      <c r="P1233" s="120"/>
      <c r="Q1233" s="120"/>
      <c r="R1233" s="120"/>
      <c r="S1233" s="120"/>
      <c r="T1233" s="120"/>
      <c r="U1233" s="120"/>
      <c r="V1233" s="120"/>
      <c r="W1233" s="120"/>
      <c r="X1233" s="120"/>
      <c r="Y1233" s="120"/>
      <c r="Z1233" s="120"/>
      <c r="AA1233" s="120"/>
    </row>
    <row r="1234">
      <c r="A1234" s="120"/>
      <c r="B1234" s="115"/>
      <c r="C1234" s="108"/>
      <c r="D1234" s="109"/>
      <c r="E1234" s="114"/>
      <c r="F1234" s="117"/>
      <c r="G1234" s="108"/>
      <c r="H1234" s="108"/>
      <c r="I1234" s="119"/>
      <c r="J1234" s="119"/>
      <c r="K1234" s="120"/>
      <c r="L1234" s="114"/>
      <c r="M1234" s="120"/>
      <c r="N1234" s="120"/>
      <c r="O1234" s="120"/>
      <c r="P1234" s="120"/>
      <c r="Q1234" s="120"/>
      <c r="R1234" s="120"/>
      <c r="S1234" s="120"/>
      <c r="T1234" s="120"/>
      <c r="U1234" s="120"/>
      <c r="V1234" s="120"/>
      <c r="W1234" s="120"/>
      <c r="X1234" s="120"/>
      <c r="Y1234" s="120"/>
      <c r="Z1234" s="120"/>
      <c r="AA1234" s="120"/>
    </row>
    <row r="1235">
      <c r="A1235" s="120"/>
      <c r="B1235" s="115"/>
      <c r="C1235" s="108"/>
      <c r="D1235" s="109"/>
      <c r="E1235" s="114"/>
      <c r="F1235" s="117"/>
      <c r="G1235" s="108"/>
      <c r="H1235" s="108"/>
      <c r="I1235" s="119"/>
      <c r="J1235" s="119"/>
      <c r="K1235" s="120"/>
      <c r="L1235" s="114"/>
      <c r="M1235" s="120"/>
      <c r="N1235" s="120"/>
      <c r="O1235" s="120"/>
      <c r="P1235" s="120"/>
      <c r="Q1235" s="120"/>
      <c r="R1235" s="120"/>
      <c r="S1235" s="120"/>
      <c r="T1235" s="120"/>
      <c r="U1235" s="120"/>
      <c r="V1235" s="120"/>
      <c r="W1235" s="120"/>
      <c r="X1235" s="120"/>
      <c r="Y1235" s="120"/>
      <c r="Z1235" s="120"/>
      <c r="AA1235" s="120"/>
    </row>
    <row r="1236">
      <c r="A1236" s="120"/>
      <c r="B1236" s="115"/>
      <c r="C1236" s="108"/>
      <c r="D1236" s="109"/>
      <c r="E1236" s="114"/>
      <c r="F1236" s="117"/>
      <c r="G1236" s="108"/>
      <c r="H1236" s="108"/>
      <c r="I1236" s="119"/>
      <c r="J1236" s="119"/>
      <c r="K1236" s="120"/>
      <c r="L1236" s="114"/>
      <c r="M1236" s="120"/>
      <c r="N1236" s="120"/>
      <c r="O1236" s="120"/>
      <c r="P1236" s="120"/>
      <c r="Q1236" s="120"/>
      <c r="R1236" s="120"/>
      <c r="S1236" s="120"/>
      <c r="T1236" s="120"/>
      <c r="U1236" s="120"/>
      <c r="V1236" s="120"/>
      <c r="W1236" s="120"/>
      <c r="X1236" s="120"/>
      <c r="Y1236" s="120"/>
      <c r="Z1236" s="120"/>
      <c r="AA1236" s="120"/>
    </row>
    <row r="1237">
      <c r="A1237" s="120"/>
      <c r="B1237" s="115"/>
      <c r="C1237" s="108"/>
      <c r="D1237" s="109"/>
      <c r="E1237" s="114"/>
      <c r="F1237" s="117"/>
      <c r="G1237" s="108"/>
      <c r="H1237" s="108"/>
      <c r="I1237" s="119"/>
      <c r="J1237" s="119"/>
      <c r="K1237" s="120"/>
      <c r="L1237" s="114"/>
      <c r="M1237" s="120"/>
      <c r="N1237" s="120"/>
      <c r="O1237" s="120"/>
      <c r="P1237" s="120"/>
      <c r="Q1237" s="120"/>
      <c r="R1237" s="120"/>
      <c r="S1237" s="120"/>
      <c r="T1237" s="120"/>
      <c r="U1237" s="120"/>
      <c r="V1237" s="120"/>
      <c r="W1237" s="120"/>
      <c r="X1237" s="120"/>
      <c r="Y1237" s="120"/>
      <c r="Z1237" s="120"/>
      <c r="AA1237" s="120"/>
    </row>
    <row r="1238">
      <c r="A1238" s="120"/>
      <c r="B1238" s="115"/>
      <c r="C1238" s="108"/>
      <c r="D1238" s="109"/>
      <c r="E1238" s="114"/>
      <c r="F1238" s="117"/>
      <c r="G1238" s="108"/>
      <c r="H1238" s="108"/>
      <c r="I1238" s="119"/>
      <c r="J1238" s="119"/>
      <c r="K1238" s="120"/>
      <c r="L1238" s="114"/>
      <c r="M1238" s="120"/>
      <c r="N1238" s="120"/>
      <c r="O1238" s="120"/>
      <c r="P1238" s="120"/>
      <c r="Q1238" s="120"/>
      <c r="R1238" s="120"/>
      <c r="S1238" s="120"/>
      <c r="T1238" s="120"/>
      <c r="U1238" s="120"/>
      <c r="V1238" s="120"/>
      <c r="W1238" s="120"/>
      <c r="X1238" s="120"/>
      <c r="Y1238" s="120"/>
      <c r="Z1238" s="120"/>
      <c r="AA1238" s="120"/>
    </row>
    <row r="1239">
      <c r="A1239" s="120"/>
      <c r="B1239" s="115"/>
      <c r="C1239" s="108"/>
      <c r="D1239" s="109"/>
      <c r="E1239" s="114"/>
      <c r="F1239" s="117"/>
      <c r="G1239" s="108"/>
      <c r="H1239" s="108"/>
      <c r="I1239" s="119"/>
      <c r="J1239" s="119"/>
      <c r="K1239" s="120"/>
      <c r="L1239" s="114"/>
      <c r="M1239" s="120"/>
      <c r="N1239" s="120"/>
      <c r="O1239" s="120"/>
      <c r="P1239" s="120"/>
      <c r="Q1239" s="120"/>
      <c r="R1239" s="120"/>
      <c r="S1239" s="120"/>
      <c r="T1239" s="120"/>
      <c r="U1239" s="120"/>
      <c r="V1239" s="120"/>
      <c r="W1239" s="120"/>
      <c r="X1239" s="120"/>
      <c r="Y1239" s="120"/>
      <c r="Z1239" s="120"/>
      <c r="AA1239" s="120"/>
    </row>
    <row r="1240">
      <c r="A1240" s="120"/>
      <c r="B1240" s="115"/>
      <c r="C1240" s="108"/>
      <c r="D1240" s="109"/>
      <c r="E1240" s="114"/>
      <c r="F1240" s="117"/>
      <c r="G1240" s="108"/>
      <c r="H1240" s="108"/>
      <c r="I1240" s="119"/>
      <c r="J1240" s="119"/>
      <c r="K1240" s="120"/>
      <c r="L1240" s="114"/>
      <c r="M1240" s="120"/>
      <c r="N1240" s="120"/>
      <c r="O1240" s="120"/>
      <c r="P1240" s="120"/>
      <c r="Q1240" s="120"/>
      <c r="R1240" s="120"/>
      <c r="S1240" s="120"/>
      <c r="T1240" s="120"/>
      <c r="U1240" s="120"/>
      <c r="V1240" s="120"/>
      <c r="W1240" s="120"/>
      <c r="X1240" s="120"/>
      <c r="Y1240" s="120"/>
      <c r="Z1240" s="120"/>
      <c r="AA1240" s="120"/>
    </row>
    <row r="1241">
      <c r="A1241" s="120"/>
      <c r="B1241" s="115"/>
      <c r="C1241" s="108"/>
      <c r="D1241" s="109"/>
      <c r="E1241" s="114"/>
      <c r="F1241" s="117"/>
      <c r="G1241" s="108"/>
      <c r="H1241" s="108"/>
      <c r="I1241" s="119"/>
      <c r="J1241" s="119"/>
      <c r="K1241" s="120"/>
      <c r="L1241" s="114"/>
      <c r="M1241" s="120"/>
      <c r="N1241" s="120"/>
      <c r="O1241" s="120"/>
      <c r="P1241" s="120"/>
      <c r="Q1241" s="120"/>
      <c r="R1241" s="120"/>
      <c r="S1241" s="120"/>
      <c r="T1241" s="120"/>
      <c r="U1241" s="120"/>
      <c r="V1241" s="120"/>
      <c r="W1241" s="120"/>
      <c r="X1241" s="120"/>
      <c r="Y1241" s="120"/>
      <c r="Z1241" s="120"/>
      <c r="AA1241" s="120"/>
    </row>
    <row r="1242">
      <c r="A1242" s="120"/>
      <c r="B1242" s="115"/>
      <c r="C1242" s="108"/>
      <c r="D1242" s="109"/>
      <c r="E1242" s="114"/>
      <c r="F1242" s="117"/>
      <c r="G1242" s="108"/>
      <c r="H1242" s="108"/>
      <c r="I1242" s="119"/>
      <c r="J1242" s="119"/>
      <c r="K1242" s="120"/>
      <c r="L1242" s="114"/>
      <c r="M1242" s="120"/>
      <c r="N1242" s="120"/>
      <c r="O1242" s="120"/>
      <c r="P1242" s="120"/>
      <c r="Q1242" s="120"/>
      <c r="R1242" s="120"/>
      <c r="S1242" s="120"/>
      <c r="T1242" s="120"/>
      <c r="U1242" s="120"/>
      <c r="V1242" s="120"/>
      <c r="W1242" s="120"/>
      <c r="X1242" s="120"/>
      <c r="Y1242" s="120"/>
      <c r="Z1242" s="120"/>
      <c r="AA1242" s="120"/>
    </row>
    <row r="1243">
      <c r="A1243" s="120"/>
      <c r="B1243" s="115"/>
      <c r="C1243" s="108"/>
      <c r="D1243" s="109"/>
      <c r="E1243" s="114"/>
      <c r="F1243" s="117"/>
      <c r="G1243" s="108"/>
      <c r="H1243" s="108"/>
      <c r="I1243" s="119"/>
      <c r="J1243" s="119"/>
      <c r="K1243" s="120"/>
      <c r="L1243" s="114"/>
      <c r="M1243" s="120"/>
      <c r="N1243" s="120"/>
      <c r="O1243" s="120"/>
      <c r="P1243" s="120"/>
      <c r="Q1243" s="120"/>
      <c r="R1243" s="120"/>
      <c r="S1243" s="120"/>
      <c r="T1243" s="120"/>
      <c r="U1243" s="120"/>
      <c r="V1243" s="120"/>
      <c r="W1243" s="120"/>
      <c r="X1243" s="120"/>
      <c r="Y1243" s="120"/>
      <c r="Z1243" s="120"/>
      <c r="AA1243" s="120"/>
    </row>
    <row r="1244">
      <c r="A1244" s="120"/>
      <c r="B1244" s="115"/>
      <c r="C1244" s="108"/>
      <c r="D1244" s="109"/>
      <c r="E1244" s="114"/>
      <c r="F1244" s="117"/>
      <c r="G1244" s="108"/>
      <c r="H1244" s="108"/>
      <c r="I1244" s="119"/>
      <c r="J1244" s="119"/>
      <c r="K1244" s="120"/>
      <c r="L1244" s="114"/>
      <c r="M1244" s="120"/>
      <c r="N1244" s="120"/>
      <c r="O1244" s="120"/>
      <c r="P1244" s="120"/>
      <c r="Q1244" s="120"/>
      <c r="R1244" s="120"/>
      <c r="S1244" s="120"/>
      <c r="T1244" s="120"/>
      <c r="U1244" s="120"/>
      <c r="V1244" s="120"/>
      <c r="W1244" s="120"/>
      <c r="X1244" s="120"/>
      <c r="Y1244" s="120"/>
      <c r="Z1244" s="120"/>
      <c r="AA1244" s="120"/>
    </row>
    <row r="1245">
      <c r="A1245" s="120"/>
      <c r="B1245" s="115"/>
      <c r="C1245" s="108"/>
      <c r="D1245" s="109"/>
      <c r="E1245" s="114"/>
      <c r="F1245" s="117"/>
      <c r="G1245" s="108"/>
      <c r="H1245" s="108"/>
      <c r="I1245" s="119"/>
      <c r="J1245" s="119"/>
      <c r="K1245" s="120"/>
      <c r="L1245" s="114"/>
      <c r="M1245" s="120"/>
      <c r="N1245" s="120"/>
      <c r="O1245" s="120"/>
      <c r="P1245" s="120"/>
      <c r="Q1245" s="120"/>
      <c r="R1245" s="120"/>
      <c r="S1245" s="120"/>
      <c r="T1245" s="120"/>
      <c r="U1245" s="120"/>
      <c r="V1245" s="120"/>
      <c r="W1245" s="120"/>
      <c r="X1245" s="120"/>
      <c r="Y1245" s="120"/>
      <c r="Z1245" s="120"/>
      <c r="AA1245" s="120"/>
    </row>
    <row r="1246">
      <c r="A1246" s="120"/>
      <c r="B1246" s="115"/>
      <c r="C1246" s="108"/>
      <c r="D1246" s="109"/>
      <c r="E1246" s="114"/>
      <c r="F1246" s="117"/>
      <c r="G1246" s="108"/>
      <c r="H1246" s="108"/>
      <c r="I1246" s="119"/>
      <c r="J1246" s="119"/>
      <c r="K1246" s="120"/>
      <c r="L1246" s="114"/>
      <c r="M1246" s="120"/>
      <c r="N1246" s="120"/>
      <c r="O1246" s="120"/>
      <c r="P1246" s="120"/>
      <c r="Q1246" s="120"/>
      <c r="R1246" s="120"/>
      <c r="S1246" s="120"/>
      <c r="T1246" s="120"/>
      <c r="U1246" s="120"/>
      <c r="V1246" s="120"/>
      <c r="W1246" s="120"/>
      <c r="X1246" s="120"/>
      <c r="Y1246" s="120"/>
      <c r="Z1246" s="120"/>
      <c r="AA1246" s="120"/>
    </row>
    <row r="1247">
      <c r="A1247" s="120"/>
      <c r="B1247" s="115"/>
      <c r="C1247" s="108"/>
      <c r="D1247" s="109"/>
      <c r="E1247" s="114"/>
      <c r="F1247" s="117"/>
      <c r="G1247" s="108"/>
      <c r="H1247" s="108"/>
      <c r="I1247" s="119"/>
      <c r="J1247" s="119"/>
      <c r="K1247" s="120"/>
      <c r="L1247" s="114"/>
      <c r="M1247" s="120"/>
      <c r="N1247" s="120"/>
      <c r="O1247" s="120"/>
      <c r="P1247" s="120"/>
      <c r="Q1247" s="120"/>
      <c r="R1247" s="120"/>
      <c r="S1247" s="120"/>
      <c r="T1247" s="120"/>
      <c r="U1247" s="120"/>
      <c r="V1247" s="120"/>
      <c r="W1247" s="120"/>
      <c r="X1247" s="120"/>
      <c r="Y1247" s="120"/>
      <c r="Z1247" s="120"/>
      <c r="AA1247" s="120"/>
    </row>
    <row r="1248">
      <c r="A1248" s="120"/>
      <c r="B1248" s="115"/>
      <c r="C1248" s="108"/>
      <c r="D1248" s="109"/>
      <c r="E1248" s="114"/>
      <c r="F1248" s="117"/>
      <c r="G1248" s="108"/>
      <c r="H1248" s="108"/>
      <c r="I1248" s="119"/>
      <c r="J1248" s="119"/>
      <c r="K1248" s="120"/>
      <c r="L1248" s="114"/>
      <c r="M1248" s="120"/>
      <c r="N1248" s="120"/>
      <c r="O1248" s="120"/>
      <c r="P1248" s="120"/>
      <c r="Q1248" s="120"/>
      <c r="R1248" s="120"/>
      <c r="S1248" s="120"/>
      <c r="T1248" s="120"/>
      <c r="U1248" s="120"/>
      <c r="V1248" s="120"/>
      <c r="W1248" s="120"/>
      <c r="X1248" s="120"/>
      <c r="Y1248" s="120"/>
      <c r="Z1248" s="120"/>
      <c r="AA1248" s="120"/>
    </row>
    <row r="1249">
      <c r="A1249" s="120"/>
      <c r="B1249" s="115"/>
      <c r="C1249" s="108"/>
      <c r="D1249" s="109"/>
      <c r="E1249" s="114"/>
      <c r="F1249" s="117"/>
      <c r="G1249" s="108"/>
      <c r="H1249" s="108"/>
      <c r="I1249" s="119"/>
      <c r="J1249" s="119"/>
      <c r="K1249" s="120"/>
      <c r="L1249" s="114"/>
      <c r="M1249" s="120"/>
      <c r="N1249" s="120"/>
      <c r="O1249" s="120"/>
      <c r="P1249" s="120"/>
      <c r="Q1249" s="120"/>
      <c r="R1249" s="120"/>
      <c r="S1249" s="120"/>
      <c r="T1249" s="120"/>
      <c r="U1249" s="120"/>
      <c r="V1249" s="120"/>
      <c r="W1249" s="120"/>
      <c r="X1249" s="120"/>
      <c r="Y1249" s="120"/>
      <c r="Z1249" s="120"/>
      <c r="AA1249" s="120"/>
    </row>
    <row r="1250">
      <c r="A1250" s="120"/>
      <c r="B1250" s="115"/>
      <c r="C1250" s="108"/>
      <c r="D1250" s="109"/>
      <c r="E1250" s="114"/>
      <c r="F1250" s="117"/>
      <c r="G1250" s="108"/>
      <c r="H1250" s="108"/>
      <c r="I1250" s="119"/>
      <c r="J1250" s="119"/>
      <c r="K1250" s="120"/>
      <c r="L1250" s="114"/>
      <c r="M1250" s="120"/>
      <c r="N1250" s="120"/>
      <c r="O1250" s="120"/>
      <c r="P1250" s="120"/>
      <c r="Q1250" s="120"/>
      <c r="R1250" s="120"/>
      <c r="S1250" s="120"/>
      <c r="T1250" s="120"/>
      <c r="U1250" s="120"/>
      <c r="V1250" s="120"/>
      <c r="W1250" s="120"/>
      <c r="X1250" s="120"/>
      <c r="Y1250" s="120"/>
      <c r="Z1250" s="120"/>
      <c r="AA1250" s="120"/>
    </row>
    <row r="1251">
      <c r="A1251" s="120"/>
      <c r="B1251" s="115"/>
      <c r="C1251" s="108"/>
      <c r="D1251" s="109"/>
      <c r="E1251" s="114"/>
      <c r="F1251" s="117"/>
      <c r="G1251" s="108"/>
      <c r="H1251" s="108"/>
      <c r="I1251" s="119"/>
      <c r="J1251" s="119"/>
      <c r="K1251" s="120"/>
      <c r="L1251" s="114"/>
      <c r="M1251" s="120"/>
      <c r="N1251" s="120"/>
      <c r="O1251" s="120"/>
      <c r="P1251" s="120"/>
      <c r="Q1251" s="120"/>
      <c r="R1251" s="120"/>
      <c r="S1251" s="120"/>
      <c r="T1251" s="120"/>
      <c r="U1251" s="120"/>
      <c r="V1251" s="120"/>
      <c r="W1251" s="120"/>
      <c r="X1251" s="120"/>
      <c r="Y1251" s="120"/>
      <c r="Z1251" s="120"/>
      <c r="AA1251" s="120"/>
    </row>
    <row r="1252">
      <c r="A1252" s="120"/>
      <c r="B1252" s="115"/>
      <c r="C1252" s="108"/>
      <c r="D1252" s="109"/>
      <c r="E1252" s="114"/>
      <c r="F1252" s="117"/>
      <c r="G1252" s="108"/>
      <c r="H1252" s="108"/>
      <c r="I1252" s="119"/>
      <c r="J1252" s="119"/>
      <c r="K1252" s="120"/>
      <c r="L1252" s="114"/>
      <c r="M1252" s="120"/>
      <c r="N1252" s="120"/>
      <c r="O1252" s="120"/>
      <c r="P1252" s="120"/>
      <c r="Q1252" s="120"/>
      <c r="R1252" s="120"/>
      <c r="S1252" s="120"/>
      <c r="T1252" s="120"/>
      <c r="U1252" s="120"/>
      <c r="V1252" s="120"/>
      <c r="W1252" s="120"/>
      <c r="X1252" s="120"/>
      <c r="Y1252" s="120"/>
      <c r="Z1252" s="120"/>
      <c r="AA1252" s="120"/>
    </row>
    <row r="1253">
      <c r="A1253" s="120"/>
      <c r="B1253" s="115"/>
      <c r="C1253" s="108"/>
      <c r="D1253" s="109"/>
      <c r="E1253" s="114"/>
      <c r="F1253" s="117"/>
      <c r="G1253" s="108"/>
      <c r="H1253" s="108"/>
      <c r="I1253" s="119"/>
      <c r="J1253" s="119"/>
      <c r="K1253" s="120"/>
      <c r="L1253" s="114"/>
      <c r="M1253" s="120"/>
      <c r="N1253" s="120"/>
      <c r="O1253" s="120"/>
      <c r="P1253" s="120"/>
      <c r="Q1253" s="120"/>
      <c r="R1253" s="120"/>
      <c r="S1253" s="120"/>
      <c r="T1253" s="120"/>
      <c r="U1253" s="120"/>
      <c r="V1253" s="120"/>
      <c r="W1253" s="120"/>
      <c r="X1253" s="120"/>
      <c r="Y1253" s="120"/>
      <c r="Z1253" s="120"/>
      <c r="AA1253" s="120"/>
    </row>
    <row r="1254">
      <c r="A1254" s="120"/>
      <c r="B1254" s="115"/>
      <c r="C1254" s="108"/>
      <c r="D1254" s="109"/>
      <c r="E1254" s="114"/>
      <c r="F1254" s="117"/>
      <c r="G1254" s="108"/>
      <c r="H1254" s="108"/>
      <c r="I1254" s="119"/>
      <c r="J1254" s="119"/>
      <c r="K1254" s="120"/>
      <c r="L1254" s="114"/>
      <c r="M1254" s="120"/>
      <c r="N1254" s="120"/>
      <c r="O1254" s="120"/>
      <c r="P1254" s="120"/>
      <c r="Q1254" s="120"/>
      <c r="R1254" s="120"/>
      <c r="S1254" s="120"/>
      <c r="T1254" s="120"/>
      <c r="U1254" s="120"/>
      <c r="V1254" s="120"/>
      <c r="W1254" s="120"/>
      <c r="X1254" s="120"/>
      <c r="Y1254" s="120"/>
      <c r="Z1254" s="120"/>
      <c r="AA1254" s="120"/>
    </row>
    <row r="1255">
      <c r="A1255" s="120"/>
      <c r="B1255" s="115"/>
      <c r="C1255" s="108"/>
      <c r="D1255" s="109"/>
      <c r="E1255" s="114"/>
      <c r="F1255" s="117"/>
      <c r="G1255" s="108"/>
      <c r="H1255" s="108"/>
      <c r="I1255" s="119"/>
      <c r="J1255" s="119"/>
      <c r="K1255" s="120"/>
      <c r="L1255" s="114"/>
      <c r="M1255" s="120"/>
      <c r="N1255" s="120"/>
      <c r="O1255" s="120"/>
      <c r="P1255" s="120"/>
      <c r="Q1255" s="120"/>
      <c r="R1255" s="120"/>
      <c r="S1255" s="120"/>
      <c r="T1255" s="120"/>
      <c r="U1255" s="120"/>
      <c r="V1255" s="120"/>
      <c r="W1255" s="120"/>
      <c r="X1255" s="120"/>
      <c r="Y1255" s="120"/>
      <c r="Z1255" s="120"/>
      <c r="AA1255" s="120"/>
    </row>
    <row r="1256">
      <c r="A1256" s="120"/>
      <c r="B1256" s="115"/>
      <c r="C1256" s="108"/>
      <c r="D1256" s="109"/>
      <c r="E1256" s="114"/>
      <c r="F1256" s="117"/>
      <c r="G1256" s="108"/>
      <c r="H1256" s="108"/>
      <c r="I1256" s="119"/>
      <c r="J1256" s="119"/>
      <c r="K1256" s="120"/>
      <c r="L1256" s="114"/>
      <c r="M1256" s="120"/>
      <c r="N1256" s="120"/>
      <c r="O1256" s="120"/>
      <c r="P1256" s="120"/>
      <c r="Q1256" s="120"/>
      <c r="R1256" s="120"/>
      <c r="S1256" s="120"/>
      <c r="T1256" s="120"/>
      <c r="U1256" s="120"/>
      <c r="V1256" s="120"/>
      <c r="W1256" s="120"/>
      <c r="X1256" s="120"/>
      <c r="Y1256" s="120"/>
      <c r="Z1256" s="120"/>
      <c r="AA1256" s="120"/>
    </row>
    <row r="1257">
      <c r="A1257" s="120"/>
      <c r="B1257" s="115"/>
      <c r="C1257" s="108"/>
      <c r="D1257" s="109"/>
      <c r="E1257" s="114"/>
      <c r="F1257" s="117"/>
      <c r="G1257" s="108"/>
      <c r="H1257" s="108"/>
      <c r="I1257" s="119"/>
      <c r="J1257" s="119"/>
      <c r="K1257" s="120"/>
      <c r="L1257" s="114"/>
      <c r="M1257" s="120"/>
      <c r="N1257" s="120"/>
      <c r="O1257" s="120"/>
      <c r="P1257" s="120"/>
      <c r="Q1257" s="120"/>
      <c r="R1257" s="120"/>
      <c r="S1257" s="120"/>
      <c r="T1257" s="120"/>
      <c r="U1257" s="120"/>
      <c r="V1257" s="120"/>
      <c r="W1257" s="120"/>
      <c r="X1257" s="120"/>
      <c r="Y1257" s="120"/>
      <c r="Z1257" s="120"/>
      <c r="AA1257" s="120"/>
    </row>
    <row r="1258">
      <c r="A1258" s="120"/>
      <c r="B1258" s="115"/>
      <c r="C1258" s="108"/>
      <c r="D1258" s="109"/>
      <c r="E1258" s="114"/>
      <c r="F1258" s="117"/>
      <c r="G1258" s="108"/>
      <c r="H1258" s="108"/>
      <c r="I1258" s="119"/>
      <c r="J1258" s="119"/>
      <c r="K1258" s="120"/>
      <c r="L1258" s="114"/>
      <c r="M1258" s="120"/>
      <c r="N1258" s="120"/>
      <c r="O1258" s="120"/>
      <c r="P1258" s="120"/>
      <c r="Q1258" s="120"/>
      <c r="R1258" s="120"/>
      <c r="S1258" s="120"/>
      <c r="T1258" s="120"/>
      <c r="U1258" s="120"/>
      <c r="V1258" s="120"/>
      <c r="W1258" s="120"/>
      <c r="X1258" s="120"/>
      <c r="Y1258" s="120"/>
      <c r="Z1258" s="120"/>
      <c r="AA1258" s="120"/>
    </row>
  </sheetData>
  <autoFilter ref="$B$2:$E$1258"/>
  <mergeCells count="46">
    <mergeCell ref="B3:B20"/>
    <mergeCell ref="B22:B39"/>
    <mergeCell ref="B41:B58"/>
    <mergeCell ref="B60:B77"/>
    <mergeCell ref="B79:B96"/>
    <mergeCell ref="B98:B115"/>
    <mergeCell ref="B117:B134"/>
    <mergeCell ref="B136:B153"/>
    <mergeCell ref="B155:B172"/>
    <mergeCell ref="B174:B191"/>
    <mergeCell ref="B193:B210"/>
    <mergeCell ref="B212:B229"/>
    <mergeCell ref="B231:B248"/>
    <mergeCell ref="B250:B267"/>
    <mergeCell ref="B269:B286"/>
    <mergeCell ref="B288:B305"/>
    <mergeCell ref="B307:B324"/>
    <mergeCell ref="B326:B343"/>
    <mergeCell ref="B345:B362"/>
    <mergeCell ref="B364:B381"/>
    <mergeCell ref="B383:B400"/>
    <mergeCell ref="B402:B419"/>
    <mergeCell ref="B421:B438"/>
    <mergeCell ref="B440:B457"/>
    <mergeCell ref="B459:B476"/>
    <mergeCell ref="B478:B495"/>
    <mergeCell ref="B497:B514"/>
    <mergeCell ref="B516:B533"/>
    <mergeCell ref="B535:B552"/>
    <mergeCell ref="B554:B571"/>
    <mergeCell ref="B573:B590"/>
    <mergeCell ref="B592:B608"/>
    <mergeCell ref="B610:B626"/>
    <mergeCell ref="B628:B644"/>
    <mergeCell ref="B646:B662"/>
    <mergeCell ref="B784:B798"/>
    <mergeCell ref="B800:B814"/>
    <mergeCell ref="B816:B830"/>
    <mergeCell ref="B832:B846"/>
    <mergeCell ref="B664:B680"/>
    <mergeCell ref="B682:B697"/>
    <mergeCell ref="B699:B714"/>
    <mergeCell ref="B716:B731"/>
    <mergeCell ref="B733:B748"/>
    <mergeCell ref="B750:B765"/>
    <mergeCell ref="B767:B782"/>
  </mergeCells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  <hyperlink r:id="rId18" ref="I20"/>
    <hyperlink r:id="rId19" ref="I22"/>
    <hyperlink r:id="rId20" ref="I23"/>
    <hyperlink r:id="rId21" ref="I24"/>
    <hyperlink r:id="rId22" ref="I25"/>
    <hyperlink r:id="rId23" ref="I26"/>
    <hyperlink r:id="rId24" ref="I27"/>
    <hyperlink r:id="rId25" ref="I28"/>
    <hyperlink r:id="rId26" ref="I29"/>
    <hyperlink r:id="rId27" ref="I30"/>
    <hyperlink r:id="rId28" ref="I31"/>
    <hyperlink r:id="rId29" ref="I32"/>
    <hyperlink r:id="rId30" ref="I33"/>
    <hyperlink r:id="rId31" ref="I34"/>
    <hyperlink r:id="rId32" ref="I35"/>
    <hyperlink r:id="rId33" ref="I36"/>
    <hyperlink r:id="rId34" ref="I37"/>
    <hyperlink r:id="rId35" ref="I38"/>
    <hyperlink r:id="rId36" ref="I39"/>
    <hyperlink r:id="rId37" ref="I41"/>
    <hyperlink r:id="rId38" ref="I42"/>
    <hyperlink r:id="rId39" ref="I43"/>
    <hyperlink r:id="rId40" ref="I44"/>
    <hyperlink r:id="rId41" ref="I45"/>
    <hyperlink r:id="rId42" ref="I46"/>
    <hyperlink r:id="rId43" ref="I47"/>
    <hyperlink r:id="rId44" ref="I48"/>
    <hyperlink r:id="rId45" ref="I49"/>
    <hyperlink r:id="rId46" ref="I50"/>
    <hyperlink r:id="rId47" ref="I51"/>
    <hyperlink r:id="rId48" ref="I52"/>
    <hyperlink r:id="rId49" ref="I53"/>
    <hyperlink r:id="rId50" ref="I54"/>
    <hyperlink r:id="rId51" ref="I55"/>
    <hyperlink r:id="rId52" ref="I56"/>
    <hyperlink r:id="rId53" ref="I57"/>
    <hyperlink r:id="rId54" ref="I58"/>
    <hyperlink r:id="rId55" ref="I60"/>
    <hyperlink r:id="rId56" ref="I61"/>
    <hyperlink r:id="rId57" ref="I62"/>
    <hyperlink r:id="rId58" ref="I63"/>
    <hyperlink r:id="rId59" ref="I64"/>
    <hyperlink r:id="rId60" ref="I65"/>
    <hyperlink r:id="rId61" ref="I66"/>
    <hyperlink r:id="rId62" ref="I67"/>
    <hyperlink r:id="rId63" ref="I68"/>
    <hyperlink r:id="rId64" ref="I69"/>
    <hyperlink r:id="rId65" ref="I70"/>
    <hyperlink r:id="rId66" ref="I71"/>
    <hyperlink r:id="rId67" ref="I72"/>
    <hyperlink r:id="rId68" ref="I73"/>
    <hyperlink r:id="rId69" ref="I74"/>
    <hyperlink r:id="rId70" ref="I75"/>
    <hyperlink r:id="rId71" ref="I76"/>
    <hyperlink r:id="rId72" ref="I77"/>
    <hyperlink r:id="rId73" ref="I79"/>
    <hyperlink r:id="rId74" ref="I80"/>
    <hyperlink r:id="rId75" ref="I81"/>
    <hyperlink r:id="rId76" ref="I82"/>
    <hyperlink r:id="rId77" ref="I83"/>
    <hyperlink r:id="rId78" ref="I84"/>
    <hyperlink r:id="rId79" ref="I85"/>
    <hyperlink r:id="rId80" ref="I86"/>
    <hyperlink r:id="rId81" ref="I87"/>
    <hyperlink r:id="rId82" ref="I88"/>
    <hyperlink r:id="rId83" ref="I89"/>
    <hyperlink r:id="rId84" ref="I90"/>
    <hyperlink r:id="rId85" ref="I91"/>
    <hyperlink r:id="rId86" ref="I92"/>
    <hyperlink r:id="rId87" ref="I93"/>
    <hyperlink r:id="rId88" ref="I94"/>
    <hyperlink r:id="rId89" ref="I95"/>
    <hyperlink r:id="rId90" ref="I96"/>
    <hyperlink r:id="rId91" ref="I98"/>
    <hyperlink r:id="rId92" ref="I99"/>
    <hyperlink r:id="rId93" ref="I100"/>
    <hyperlink r:id="rId94" ref="I101"/>
    <hyperlink r:id="rId95" ref="I102"/>
    <hyperlink r:id="rId96" ref="I103"/>
    <hyperlink r:id="rId97" ref="I104"/>
    <hyperlink r:id="rId98" ref="I105"/>
    <hyperlink r:id="rId99" ref="I106"/>
    <hyperlink r:id="rId100" ref="I107"/>
    <hyperlink r:id="rId101" ref="I108"/>
    <hyperlink r:id="rId102" ref="I109"/>
    <hyperlink r:id="rId103" ref="I110"/>
    <hyperlink r:id="rId104" ref="I111"/>
    <hyperlink r:id="rId105" ref="I112"/>
    <hyperlink r:id="rId106" ref="I113"/>
    <hyperlink r:id="rId107" ref="I114"/>
    <hyperlink r:id="rId108" ref="I115"/>
    <hyperlink r:id="rId109" ref="I117"/>
    <hyperlink r:id="rId110" ref="I118"/>
    <hyperlink r:id="rId111" ref="I119"/>
    <hyperlink r:id="rId112" ref="I120"/>
    <hyperlink r:id="rId113" ref="I121"/>
    <hyperlink r:id="rId114" ref="I122"/>
    <hyperlink r:id="rId115" ref="I123"/>
    <hyperlink r:id="rId116" ref="I124"/>
    <hyperlink r:id="rId117" ref="I125"/>
    <hyperlink r:id="rId118" ref="I126"/>
    <hyperlink r:id="rId119" ref="I127"/>
    <hyperlink r:id="rId120" ref="I128"/>
    <hyperlink r:id="rId121" ref="I129"/>
    <hyperlink r:id="rId122" ref="I130"/>
    <hyperlink r:id="rId123" ref="I131"/>
    <hyperlink r:id="rId124" ref="I132"/>
    <hyperlink r:id="rId125" ref="I133"/>
    <hyperlink r:id="rId126" ref="I134"/>
    <hyperlink r:id="rId127" ref="I136"/>
    <hyperlink r:id="rId128" ref="I137"/>
    <hyperlink r:id="rId129" ref="I138"/>
    <hyperlink r:id="rId130" ref="I139"/>
    <hyperlink r:id="rId131" ref="I140"/>
    <hyperlink r:id="rId132" ref="I141"/>
    <hyperlink r:id="rId133" ref="I142"/>
    <hyperlink r:id="rId134" ref="I143"/>
    <hyperlink r:id="rId135" ref="I144"/>
    <hyperlink r:id="rId136" ref="I145"/>
    <hyperlink r:id="rId137" ref="I146"/>
    <hyperlink r:id="rId138" ref="I147"/>
    <hyperlink r:id="rId139" ref="I148"/>
    <hyperlink r:id="rId140" ref="I149"/>
    <hyperlink r:id="rId141" ref="I150"/>
    <hyperlink r:id="rId142" ref="I151"/>
    <hyperlink r:id="rId143" ref="I152"/>
    <hyperlink r:id="rId144" ref="I153"/>
    <hyperlink r:id="rId145" ref="I155"/>
    <hyperlink r:id="rId146" ref="I156"/>
    <hyperlink r:id="rId147" ref="I157"/>
    <hyperlink r:id="rId148" ref="I158"/>
    <hyperlink r:id="rId149" ref="I159"/>
    <hyperlink r:id="rId150" ref="I160"/>
    <hyperlink r:id="rId151" ref="I161"/>
    <hyperlink r:id="rId152" ref="I162"/>
    <hyperlink r:id="rId153" ref="I163"/>
    <hyperlink r:id="rId154" ref="I164"/>
    <hyperlink r:id="rId155" ref="I165"/>
    <hyperlink r:id="rId156" ref="I166"/>
    <hyperlink r:id="rId157" ref="I167"/>
    <hyperlink r:id="rId158" ref="I168"/>
    <hyperlink r:id="rId159" ref="I169"/>
    <hyperlink r:id="rId160" ref="I170"/>
    <hyperlink r:id="rId161" ref="I171"/>
    <hyperlink r:id="rId162" ref="I172"/>
    <hyperlink r:id="rId163" ref="I174"/>
    <hyperlink r:id="rId164" ref="I175"/>
    <hyperlink r:id="rId165" ref="I176"/>
    <hyperlink r:id="rId166" ref="I177"/>
    <hyperlink r:id="rId167" ref="I178"/>
    <hyperlink r:id="rId168" ref="I179"/>
    <hyperlink r:id="rId169" ref="I180"/>
    <hyperlink r:id="rId170" ref="I181"/>
    <hyperlink r:id="rId171" ref="I182"/>
    <hyperlink r:id="rId172" ref="I183"/>
    <hyperlink r:id="rId173" ref="I184"/>
    <hyperlink r:id="rId174" ref="I185"/>
    <hyperlink r:id="rId175" ref="I186"/>
    <hyperlink r:id="rId176" ref="I187"/>
    <hyperlink r:id="rId177" ref="I188"/>
    <hyperlink r:id="rId178" ref="I189"/>
    <hyperlink r:id="rId179" ref="I190"/>
    <hyperlink r:id="rId180" ref="I191"/>
    <hyperlink r:id="rId181" ref="I193"/>
    <hyperlink r:id="rId182" ref="I194"/>
    <hyperlink r:id="rId183" ref="I195"/>
    <hyperlink r:id="rId184" ref="I196"/>
    <hyperlink r:id="rId185" ref="I197"/>
    <hyperlink r:id="rId186" ref="I198"/>
    <hyperlink r:id="rId187" ref="I199"/>
    <hyperlink r:id="rId188" ref="I200"/>
    <hyperlink r:id="rId189" ref="I201"/>
    <hyperlink r:id="rId190" ref="I202"/>
    <hyperlink r:id="rId191" ref="I203"/>
    <hyperlink r:id="rId192" ref="I204"/>
    <hyperlink r:id="rId193" ref="I205"/>
    <hyperlink r:id="rId194" ref="I206"/>
    <hyperlink r:id="rId195" ref="I207"/>
    <hyperlink r:id="rId196" ref="I208"/>
    <hyperlink r:id="rId197" ref="I209"/>
    <hyperlink r:id="rId198" ref="I210"/>
    <hyperlink r:id="rId199" ref="I212"/>
    <hyperlink r:id="rId200" ref="I213"/>
    <hyperlink r:id="rId201" ref="I214"/>
    <hyperlink r:id="rId202" ref="I215"/>
    <hyperlink r:id="rId203" ref="I216"/>
    <hyperlink r:id="rId204" ref="I217"/>
    <hyperlink r:id="rId205" ref="I218"/>
    <hyperlink r:id="rId206" ref="I219"/>
    <hyperlink r:id="rId207" ref="I220"/>
    <hyperlink r:id="rId208" ref="I221"/>
    <hyperlink r:id="rId209" ref="I222"/>
    <hyperlink r:id="rId210" ref="I223"/>
    <hyperlink r:id="rId211" ref="I224"/>
    <hyperlink r:id="rId212" ref="I225"/>
    <hyperlink r:id="rId213" ref="I226"/>
    <hyperlink r:id="rId214" ref="I227"/>
    <hyperlink r:id="rId215" ref="I228"/>
    <hyperlink r:id="rId216" ref="I229"/>
    <hyperlink r:id="rId217" ref="I231"/>
    <hyperlink r:id="rId218" ref="I232"/>
    <hyperlink r:id="rId219" ref="I233"/>
    <hyperlink r:id="rId220" ref="I234"/>
    <hyperlink r:id="rId221" ref="I235"/>
    <hyperlink r:id="rId222" ref="I236"/>
    <hyperlink r:id="rId223" ref="I237"/>
    <hyperlink r:id="rId224" ref="I238"/>
    <hyperlink r:id="rId225" ref="I239"/>
    <hyperlink r:id="rId226" ref="I240"/>
    <hyperlink r:id="rId227" ref="I241"/>
    <hyperlink r:id="rId228" ref="I242"/>
    <hyperlink r:id="rId229" ref="I243"/>
    <hyperlink r:id="rId230" ref="I244"/>
    <hyperlink r:id="rId231" ref="I245"/>
    <hyperlink r:id="rId232" ref="I246"/>
    <hyperlink r:id="rId233" ref="I247"/>
    <hyperlink r:id="rId234" ref="I248"/>
    <hyperlink r:id="rId235" ref="I250"/>
    <hyperlink r:id="rId236" ref="I251"/>
    <hyperlink r:id="rId237" ref="I252"/>
    <hyperlink r:id="rId238" ref="I253"/>
    <hyperlink r:id="rId239" ref="I254"/>
    <hyperlink r:id="rId240" ref="I255"/>
    <hyperlink r:id="rId241" ref="I256"/>
    <hyperlink r:id="rId242" ref="I257"/>
    <hyperlink r:id="rId243" ref="I258"/>
    <hyperlink r:id="rId244" ref="I259"/>
    <hyperlink r:id="rId245" ref="I260"/>
    <hyperlink r:id="rId246" ref="I261"/>
    <hyperlink r:id="rId247" ref="I262"/>
    <hyperlink r:id="rId248" ref="I263"/>
    <hyperlink r:id="rId249" ref="I264"/>
    <hyperlink r:id="rId250" ref="I265"/>
    <hyperlink r:id="rId251" ref="I266"/>
    <hyperlink r:id="rId252" ref="I267"/>
    <hyperlink r:id="rId253" ref="I269"/>
    <hyperlink r:id="rId254" ref="I270"/>
    <hyperlink r:id="rId255" ref="I271"/>
    <hyperlink r:id="rId256" ref="I272"/>
    <hyperlink r:id="rId257" ref="I273"/>
    <hyperlink r:id="rId258" ref="I274"/>
    <hyperlink r:id="rId259" ref="I275"/>
    <hyperlink r:id="rId260" ref="I276"/>
    <hyperlink r:id="rId261" ref="I277"/>
    <hyperlink r:id="rId262" ref="I278"/>
    <hyperlink r:id="rId263" ref="I279"/>
    <hyperlink r:id="rId264" ref="I280"/>
    <hyperlink r:id="rId265" ref="I281"/>
    <hyperlink r:id="rId266" ref="I282"/>
    <hyperlink r:id="rId267" ref="I283"/>
    <hyperlink r:id="rId268" ref="I284"/>
    <hyperlink r:id="rId269" ref="I285"/>
    <hyperlink r:id="rId270" ref="I286"/>
    <hyperlink r:id="rId271" ref="I288"/>
    <hyperlink r:id="rId272" ref="I289"/>
    <hyperlink r:id="rId273" ref="I290"/>
    <hyperlink r:id="rId274" ref="I291"/>
    <hyperlink r:id="rId275" ref="I292"/>
    <hyperlink r:id="rId276" ref="I293"/>
    <hyperlink r:id="rId277" ref="I294"/>
    <hyperlink r:id="rId278" ref="I295"/>
    <hyperlink r:id="rId279" ref="I296"/>
    <hyperlink r:id="rId280" ref="I297"/>
    <hyperlink r:id="rId281" ref="I298"/>
    <hyperlink r:id="rId282" ref="I299"/>
    <hyperlink r:id="rId283" ref="I300"/>
    <hyperlink r:id="rId284" ref="I301"/>
    <hyperlink r:id="rId285" ref="I302"/>
    <hyperlink r:id="rId286" ref="I303"/>
    <hyperlink r:id="rId287" ref="I304"/>
    <hyperlink r:id="rId288" ref="I305"/>
    <hyperlink r:id="rId289" ref="I307"/>
    <hyperlink r:id="rId290" ref="I308"/>
    <hyperlink r:id="rId291" ref="I309"/>
    <hyperlink r:id="rId292" ref="I310"/>
    <hyperlink r:id="rId293" ref="I311"/>
    <hyperlink r:id="rId294" ref="I312"/>
    <hyperlink r:id="rId295" ref="I313"/>
    <hyperlink r:id="rId296" ref="I314"/>
    <hyperlink r:id="rId297" ref="I315"/>
    <hyperlink r:id="rId298" ref="I316"/>
    <hyperlink r:id="rId299" ref="I317"/>
    <hyperlink r:id="rId300" ref="I318"/>
    <hyperlink r:id="rId301" ref="I319"/>
    <hyperlink r:id="rId302" ref="I320"/>
    <hyperlink r:id="rId303" ref="I321"/>
    <hyperlink r:id="rId304" ref="I322"/>
    <hyperlink r:id="rId305" ref="I323"/>
    <hyperlink r:id="rId306" ref="I324"/>
    <hyperlink r:id="rId307" ref="I326"/>
    <hyperlink r:id="rId308" ref="I327"/>
    <hyperlink r:id="rId309" ref="I328"/>
    <hyperlink r:id="rId310" ref="I329"/>
    <hyperlink r:id="rId311" ref="I330"/>
    <hyperlink r:id="rId312" ref="I331"/>
    <hyperlink r:id="rId313" ref="I332"/>
    <hyperlink r:id="rId314" ref="I333"/>
    <hyperlink r:id="rId315" ref="I334"/>
    <hyperlink r:id="rId316" ref="I335"/>
    <hyperlink r:id="rId317" ref="I336"/>
    <hyperlink r:id="rId318" ref="I337"/>
    <hyperlink r:id="rId319" ref="I338"/>
    <hyperlink r:id="rId320" ref="I339"/>
    <hyperlink r:id="rId321" ref="I340"/>
    <hyperlink r:id="rId322" ref="I341"/>
    <hyperlink r:id="rId323" ref="I342"/>
    <hyperlink r:id="rId324" ref="I343"/>
    <hyperlink r:id="rId325" ref="I345"/>
    <hyperlink r:id="rId326" ref="I346"/>
    <hyperlink r:id="rId327" ref="I347"/>
    <hyperlink r:id="rId328" ref="I348"/>
    <hyperlink r:id="rId329" ref="I349"/>
    <hyperlink r:id="rId330" ref="I350"/>
    <hyperlink r:id="rId331" ref="I351"/>
    <hyperlink r:id="rId332" ref="I352"/>
    <hyperlink r:id="rId333" ref="I353"/>
    <hyperlink r:id="rId334" ref="I354"/>
    <hyperlink r:id="rId335" ref="I355"/>
    <hyperlink r:id="rId336" ref="I356"/>
    <hyperlink r:id="rId337" ref="I357"/>
    <hyperlink r:id="rId338" ref="I358"/>
    <hyperlink r:id="rId339" ref="I359"/>
    <hyperlink r:id="rId340" ref="I360"/>
    <hyperlink r:id="rId341" ref="I361"/>
    <hyperlink r:id="rId342" ref="I362"/>
    <hyperlink r:id="rId343" ref="I364"/>
    <hyperlink r:id="rId344" ref="I365"/>
    <hyperlink r:id="rId345" ref="I366"/>
    <hyperlink r:id="rId346" ref="I367"/>
    <hyperlink r:id="rId347" ref="I368"/>
    <hyperlink r:id="rId348" ref="I369"/>
    <hyperlink r:id="rId349" ref="I370"/>
    <hyperlink r:id="rId350" ref="I371"/>
    <hyperlink r:id="rId351" ref="I372"/>
    <hyperlink r:id="rId352" ref="I373"/>
    <hyperlink r:id="rId353" ref="I374"/>
    <hyperlink r:id="rId354" ref="I375"/>
    <hyperlink r:id="rId355" ref="I376"/>
    <hyperlink r:id="rId356" ref="I377"/>
    <hyperlink r:id="rId357" ref="I378"/>
    <hyperlink r:id="rId358" ref="I379"/>
    <hyperlink r:id="rId359" ref="I380"/>
    <hyperlink r:id="rId360" ref="I381"/>
    <hyperlink r:id="rId361" ref="I383"/>
    <hyperlink r:id="rId362" ref="I384"/>
    <hyperlink r:id="rId363" ref="I385"/>
    <hyperlink r:id="rId364" ref="I386"/>
    <hyperlink r:id="rId365" ref="I387"/>
    <hyperlink r:id="rId366" ref="I388"/>
    <hyperlink r:id="rId367" ref="I389"/>
    <hyperlink r:id="rId368" ref="I390"/>
    <hyperlink r:id="rId369" ref="I391"/>
    <hyperlink r:id="rId370" ref="I392"/>
    <hyperlink r:id="rId371" ref="I393"/>
    <hyperlink r:id="rId372" ref="I394"/>
    <hyperlink r:id="rId373" ref="I395"/>
    <hyperlink r:id="rId374" ref="I396"/>
    <hyperlink r:id="rId375" ref="I397"/>
    <hyperlink r:id="rId376" ref="I398"/>
    <hyperlink r:id="rId377" ref="I399"/>
    <hyperlink r:id="rId378" ref="I400"/>
    <hyperlink r:id="rId379" ref="I402"/>
    <hyperlink r:id="rId380" ref="I403"/>
    <hyperlink r:id="rId381" ref="I404"/>
    <hyperlink r:id="rId382" ref="I405"/>
    <hyperlink r:id="rId383" ref="I406"/>
    <hyperlink r:id="rId384" ref="I407"/>
    <hyperlink r:id="rId385" ref="I408"/>
    <hyperlink r:id="rId386" ref="I409"/>
    <hyperlink r:id="rId387" ref="I410"/>
    <hyperlink r:id="rId388" ref="I411"/>
    <hyperlink r:id="rId389" ref="I412"/>
    <hyperlink r:id="rId390" ref="I413"/>
    <hyperlink r:id="rId391" ref="I414"/>
    <hyperlink r:id="rId392" ref="I415"/>
    <hyperlink r:id="rId393" ref="I416"/>
    <hyperlink r:id="rId394" ref="I417"/>
    <hyperlink r:id="rId395" ref="I418"/>
    <hyperlink r:id="rId396" ref="I419"/>
    <hyperlink r:id="rId397" ref="I421"/>
    <hyperlink r:id="rId398" ref="I422"/>
    <hyperlink r:id="rId399" ref="I423"/>
    <hyperlink r:id="rId400" ref="I424"/>
    <hyperlink r:id="rId401" ref="I425"/>
    <hyperlink r:id="rId402" ref="I426"/>
    <hyperlink r:id="rId403" ref="I427"/>
    <hyperlink r:id="rId404" ref="I428"/>
    <hyperlink r:id="rId405" ref="I429"/>
    <hyperlink r:id="rId406" ref="I430"/>
    <hyperlink r:id="rId407" ref="I431"/>
    <hyperlink r:id="rId408" ref="I432"/>
    <hyperlink r:id="rId409" ref="I433"/>
    <hyperlink r:id="rId410" ref="I434"/>
    <hyperlink r:id="rId411" ref="I435"/>
    <hyperlink r:id="rId412" ref="I436"/>
    <hyperlink r:id="rId413" ref="I437"/>
    <hyperlink r:id="rId414" ref="I438"/>
    <hyperlink r:id="rId415" ref="I440"/>
    <hyperlink r:id="rId416" ref="I441"/>
    <hyperlink r:id="rId417" ref="I442"/>
    <hyperlink r:id="rId418" ref="I443"/>
    <hyperlink r:id="rId419" ref="I444"/>
    <hyperlink r:id="rId420" ref="I445"/>
    <hyperlink r:id="rId421" ref="I446"/>
    <hyperlink r:id="rId422" ref="I447"/>
    <hyperlink r:id="rId423" ref="I448"/>
    <hyperlink r:id="rId424" ref="I449"/>
    <hyperlink r:id="rId425" ref="I450"/>
    <hyperlink r:id="rId426" ref="I451"/>
    <hyperlink r:id="rId427" ref="I452"/>
    <hyperlink r:id="rId428" ref="I453"/>
    <hyperlink r:id="rId429" ref="I454"/>
    <hyperlink r:id="rId430" ref="I455"/>
    <hyperlink r:id="rId431" ref="I456"/>
    <hyperlink r:id="rId432" ref="I457"/>
    <hyperlink r:id="rId433" ref="I459"/>
    <hyperlink r:id="rId434" ref="I460"/>
    <hyperlink r:id="rId435" ref="I461"/>
    <hyperlink r:id="rId436" ref="I462"/>
    <hyperlink r:id="rId437" ref="I463"/>
    <hyperlink r:id="rId438" ref="I464"/>
    <hyperlink r:id="rId439" ref="I465"/>
    <hyperlink r:id="rId440" ref="I466"/>
    <hyperlink r:id="rId441" ref="I467"/>
    <hyperlink r:id="rId442" ref="I468"/>
    <hyperlink r:id="rId443" ref="I469"/>
    <hyperlink r:id="rId444" ref="I470"/>
    <hyperlink r:id="rId445" ref="I471"/>
    <hyperlink r:id="rId446" ref="I472"/>
    <hyperlink r:id="rId447" ref="I473"/>
    <hyperlink r:id="rId448" ref="I474"/>
    <hyperlink r:id="rId449" ref="I475"/>
    <hyperlink r:id="rId450" ref="I476"/>
    <hyperlink r:id="rId451" ref="I478"/>
    <hyperlink r:id="rId452" ref="I479"/>
    <hyperlink r:id="rId453" ref="I480"/>
    <hyperlink r:id="rId454" ref="I481"/>
    <hyperlink r:id="rId455" ref="I482"/>
    <hyperlink r:id="rId456" ref="I483"/>
    <hyperlink r:id="rId457" ref="I484"/>
    <hyperlink r:id="rId458" ref="I485"/>
    <hyperlink r:id="rId459" ref="I486"/>
    <hyperlink r:id="rId460" ref="I487"/>
    <hyperlink r:id="rId461" ref="I488"/>
    <hyperlink r:id="rId462" ref="I489"/>
    <hyperlink r:id="rId463" ref="I490"/>
    <hyperlink r:id="rId464" ref="I491"/>
    <hyperlink r:id="rId465" ref="I492"/>
    <hyperlink r:id="rId466" ref="I493"/>
    <hyperlink r:id="rId467" ref="I494"/>
    <hyperlink r:id="rId468" ref="I495"/>
    <hyperlink r:id="rId469" ref="I497"/>
    <hyperlink r:id="rId470" ref="I498"/>
    <hyperlink r:id="rId471" ref="I499"/>
    <hyperlink r:id="rId472" ref="I500"/>
    <hyperlink r:id="rId473" ref="I501"/>
    <hyperlink r:id="rId474" ref="I502"/>
    <hyperlink r:id="rId475" ref="I503"/>
    <hyperlink r:id="rId476" ref="I504"/>
    <hyperlink r:id="rId477" ref="I505"/>
    <hyperlink r:id="rId478" ref="I506"/>
    <hyperlink r:id="rId479" ref="I507"/>
    <hyperlink r:id="rId480" ref="I508"/>
    <hyperlink r:id="rId481" ref="I509"/>
    <hyperlink r:id="rId482" ref="I510"/>
    <hyperlink r:id="rId483" ref="I511"/>
    <hyperlink r:id="rId484" ref="I512"/>
    <hyperlink r:id="rId485" ref="I513"/>
    <hyperlink r:id="rId486" ref="I514"/>
    <hyperlink r:id="rId487" ref="I516"/>
    <hyperlink r:id="rId488" ref="I517"/>
    <hyperlink r:id="rId489" ref="I518"/>
    <hyperlink r:id="rId490" ref="I519"/>
    <hyperlink r:id="rId491" ref="I520"/>
    <hyperlink r:id="rId492" ref="I521"/>
    <hyperlink r:id="rId493" ref="I522"/>
    <hyperlink r:id="rId494" ref="I523"/>
    <hyperlink r:id="rId495" ref="I524"/>
    <hyperlink r:id="rId496" ref="I525"/>
    <hyperlink r:id="rId497" ref="I526"/>
    <hyperlink r:id="rId498" ref="I527"/>
    <hyperlink r:id="rId499" ref="I528"/>
    <hyperlink r:id="rId500" ref="I529"/>
    <hyperlink r:id="rId501" ref="I530"/>
    <hyperlink r:id="rId502" ref="I531"/>
    <hyperlink r:id="rId503" ref="I532"/>
    <hyperlink r:id="rId504" ref="I533"/>
    <hyperlink r:id="rId505" ref="I535"/>
    <hyperlink r:id="rId506" ref="I536"/>
    <hyperlink r:id="rId507" ref="I537"/>
    <hyperlink r:id="rId508" ref="I538"/>
    <hyperlink r:id="rId509" ref="I539"/>
    <hyperlink r:id="rId510" ref="I540"/>
    <hyperlink r:id="rId511" ref="I541"/>
    <hyperlink r:id="rId512" ref="I542"/>
    <hyperlink r:id="rId513" ref="I543"/>
    <hyperlink r:id="rId514" ref="I544"/>
    <hyperlink r:id="rId515" ref="I545"/>
    <hyperlink r:id="rId516" ref="I546"/>
    <hyperlink r:id="rId517" ref="I547"/>
    <hyperlink r:id="rId518" ref="I548"/>
    <hyperlink r:id="rId519" ref="I549"/>
    <hyperlink r:id="rId520" ref="I550"/>
    <hyperlink r:id="rId521" ref="I551"/>
    <hyperlink r:id="rId522" ref="I552"/>
    <hyperlink r:id="rId523" ref="I554"/>
    <hyperlink r:id="rId524" ref="I555"/>
    <hyperlink r:id="rId525" ref="I556"/>
    <hyperlink r:id="rId526" ref="I557"/>
    <hyperlink r:id="rId527" ref="I558"/>
    <hyperlink r:id="rId528" ref="I559"/>
    <hyperlink r:id="rId529" ref="I560"/>
    <hyperlink r:id="rId530" ref="I561"/>
    <hyperlink r:id="rId531" ref="I562"/>
    <hyperlink r:id="rId532" ref="I563"/>
    <hyperlink r:id="rId533" ref="I564"/>
    <hyperlink r:id="rId534" ref="I565"/>
    <hyperlink r:id="rId535" ref="I566"/>
    <hyperlink r:id="rId536" ref="I567"/>
    <hyperlink r:id="rId537" ref="I568"/>
    <hyperlink r:id="rId538" ref="I569"/>
    <hyperlink r:id="rId539" ref="I570"/>
    <hyperlink r:id="rId540" ref="I571"/>
    <hyperlink r:id="rId541" ref="I573"/>
    <hyperlink r:id="rId542" ref="I574"/>
    <hyperlink r:id="rId543" ref="I575"/>
    <hyperlink r:id="rId544" ref="I576"/>
    <hyperlink r:id="rId545" ref="I577"/>
    <hyperlink r:id="rId546" ref="I578"/>
    <hyperlink r:id="rId547" ref="I579"/>
    <hyperlink r:id="rId548" ref="I580"/>
    <hyperlink r:id="rId549" ref="I581"/>
    <hyperlink r:id="rId550" ref="I582"/>
    <hyperlink r:id="rId551" ref="I583"/>
    <hyperlink r:id="rId552" ref="I584"/>
    <hyperlink r:id="rId553" ref="I585"/>
    <hyperlink r:id="rId554" ref="I586"/>
    <hyperlink r:id="rId555" ref="I587"/>
    <hyperlink r:id="rId556" ref="I588"/>
    <hyperlink r:id="rId557" ref="I589"/>
    <hyperlink r:id="rId558" ref="I590"/>
    <hyperlink r:id="rId559" ref="I592"/>
    <hyperlink r:id="rId560" ref="I593"/>
    <hyperlink r:id="rId561" ref="I594"/>
    <hyperlink r:id="rId562" ref="I595"/>
    <hyperlink r:id="rId563" ref="I596"/>
    <hyperlink r:id="rId564" ref="I597"/>
    <hyperlink r:id="rId565" ref="I598"/>
    <hyperlink r:id="rId566" ref="I599"/>
    <hyperlink r:id="rId567" ref="I600"/>
    <hyperlink r:id="rId568" ref="I601"/>
    <hyperlink r:id="rId569" ref="I602"/>
    <hyperlink r:id="rId570" ref="I603"/>
    <hyperlink r:id="rId571" ref="I604"/>
    <hyperlink r:id="rId572" ref="I605"/>
    <hyperlink r:id="rId573" ref="I606"/>
    <hyperlink r:id="rId574" ref="I607"/>
    <hyperlink r:id="rId575" ref="I608"/>
    <hyperlink r:id="rId576" ref="I610"/>
    <hyperlink r:id="rId577" ref="I611"/>
    <hyperlink r:id="rId578" ref="I612"/>
    <hyperlink r:id="rId579" ref="I613"/>
    <hyperlink r:id="rId580" ref="I614"/>
    <hyperlink r:id="rId581" ref="I615"/>
    <hyperlink r:id="rId582" ref="I616"/>
    <hyperlink r:id="rId583" ref="I617"/>
    <hyperlink r:id="rId584" ref="I618"/>
    <hyperlink r:id="rId585" ref="I619"/>
    <hyperlink r:id="rId586" ref="I620"/>
    <hyperlink r:id="rId587" ref="I621"/>
    <hyperlink r:id="rId588" ref="I622"/>
    <hyperlink r:id="rId589" ref="I623"/>
    <hyperlink r:id="rId590" ref="I624"/>
    <hyperlink r:id="rId591" ref="I625"/>
    <hyperlink r:id="rId592" ref="I626"/>
    <hyperlink r:id="rId593" ref="I628"/>
    <hyperlink r:id="rId594" ref="I629"/>
    <hyperlink r:id="rId595" ref="I630"/>
    <hyperlink r:id="rId596" ref="I631"/>
    <hyperlink r:id="rId597" ref="I632"/>
    <hyperlink r:id="rId598" ref="I633"/>
    <hyperlink r:id="rId599" ref="I634"/>
    <hyperlink r:id="rId600" ref="I635"/>
    <hyperlink r:id="rId601" ref="I636"/>
    <hyperlink r:id="rId602" ref="I637"/>
    <hyperlink r:id="rId603" ref="I638"/>
    <hyperlink r:id="rId604" ref="I639"/>
    <hyperlink r:id="rId605" ref="I640"/>
    <hyperlink r:id="rId606" ref="I641"/>
    <hyperlink r:id="rId607" ref="I642"/>
    <hyperlink r:id="rId608" ref="I643"/>
    <hyperlink r:id="rId609" ref="I644"/>
    <hyperlink r:id="rId610" ref="I646"/>
    <hyperlink r:id="rId611" ref="I647"/>
    <hyperlink r:id="rId612" ref="I648"/>
    <hyperlink r:id="rId613" ref="I649"/>
    <hyperlink r:id="rId614" ref="I650"/>
    <hyperlink r:id="rId615" ref="I651"/>
    <hyperlink r:id="rId616" ref="I652"/>
    <hyperlink r:id="rId617" ref="I653"/>
    <hyperlink r:id="rId618" ref="I654"/>
    <hyperlink r:id="rId619" ref="I655"/>
    <hyperlink r:id="rId620" ref="I656"/>
    <hyperlink r:id="rId621" ref="I657"/>
    <hyperlink r:id="rId622" ref="I658"/>
    <hyperlink r:id="rId623" ref="I659"/>
    <hyperlink r:id="rId624" ref="I660"/>
    <hyperlink r:id="rId625" ref="I661"/>
    <hyperlink r:id="rId626" ref="I662"/>
    <hyperlink r:id="rId627" ref="I664"/>
    <hyperlink r:id="rId628" ref="I665"/>
    <hyperlink r:id="rId629" ref="I666"/>
    <hyperlink r:id="rId630" ref="I667"/>
    <hyperlink r:id="rId631" ref="I668"/>
    <hyperlink r:id="rId632" ref="I669"/>
    <hyperlink r:id="rId633" ref="I670"/>
    <hyperlink r:id="rId634" ref="I671"/>
    <hyperlink r:id="rId635" ref="I672"/>
    <hyperlink r:id="rId636" ref="I673"/>
    <hyperlink r:id="rId637" ref="I674"/>
    <hyperlink r:id="rId638" ref="I675"/>
    <hyperlink r:id="rId639" ref="I676"/>
    <hyperlink r:id="rId640" ref="I677"/>
    <hyperlink r:id="rId641" ref="I678"/>
    <hyperlink r:id="rId642" ref="I679"/>
    <hyperlink r:id="rId643" ref="I680"/>
    <hyperlink r:id="rId644" ref="I682"/>
    <hyperlink r:id="rId645" ref="I683"/>
    <hyperlink r:id="rId646" ref="I684"/>
    <hyperlink r:id="rId647" ref="I685"/>
    <hyperlink r:id="rId648" ref="I686"/>
    <hyperlink r:id="rId649" ref="I687"/>
    <hyperlink r:id="rId650" ref="I688"/>
    <hyperlink r:id="rId651" ref="I689"/>
    <hyperlink r:id="rId652" ref="I690"/>
    <hyperlink r:id="rId653" ref="I691"/>
    <hyperlink r:id="rId654" ref="I692"/>
    <hyperlink r:id="rId655" ref="I693"/>
    <hyperlink r:id="rId656" ref="I694"/>
    <hyperlink r:id="rId657" ref="I695"/>
    <hyperlink r:id="rId658" ref="I696"/>
    <hyperlink r:id="rId659" ref="I697"/>
    <hyperlink r:id="rId660" ref="I699"/>
    <hyperlink r:id="rId661" ref="I700"/>
    <hyperlink r:id="rId662" ref="I701"/>
    <hyperlink r:id="rId663" ref="I702"/>
    <hyperlink r:id="rId664" ref="I703"/>
    <hyperlink r:id="rId665" ref="I704"/>
    <hyperlink r:id="rId666" ref="I705"/>
    <hyperlink r:id="rId667" ref="I706"/>
    <hyperlink r:id="rId668" ref="I707"/>
    <hyperlink r:id="rId669" ref="I708"/>
    <hyperlink r:id="rId670" ref="I709"/>
    <hyperlink r:id="rId671" ref="I710"/>
    <hyperlink r:id="rId672" ref="I711"/>
    <hyperlink r:id="rId673" ref="I712"/>
    <hyperlink r:id="rId674" ref="I713"/>
    <hyperlink r:id="rId675" ref="I714"/>
    <hyperlink r:id="rId676" ref="I716"/>
    <hyperlink r:id="rId677" ref="I717"/>
    <hyperlink r:id="rId678" ref="I718"/>
    <hyperlink r:id="rId679" ref="I719"/>
    <hyperlink r:id="rId680" ref="I720"/>
    <hyperlink r:id="rId681" ref="I721"/>
    <hyperlink r:id="rId682" ref="I722"/>
    <hyperlink r:id="rId683" ref="I723"/>
    <hyperlink r:id="rId684" ref="I724"/>
    <hyperlink r:id="rId685" ref="I725"/>
    <hyperlink r:id="rId686" ref="I726"/>
    <hyperlink r:id="rId687" ref="I727"/>
    <hyperlink r:id="rId688" ref="I728"/>
    <hyperlink r:id="rId689" ref="I729"/>
    <hyperlink r:id="rId690" ref="I730"/>
    <hyperlink r:id="rId691" ref="I731"/>
    <hyperlink r:id="rId692" ref="I733"/>
    <hyperlink r:id="rId693" ref="I734"/>
    <hyperlink r:id="rId694" ref="I735"/>
    <hyperlink r:id="rId695" ref="I736"/>
    <hyperlink r:id="rId696" ref="I737"/>
    <hyperlink r:id="rId697" ref="I738"/>
    <hyperlink r:id="rId698" ref="I739"/>
    <hyperlink r:id="rId699" ref="I740"/>
    <hyperlink r:id="rId700" ref="I741"/>
    <hyperlink r:id="rId701" ref="I742"/>
    <hyperlink r:id="rId702" ref="I743"/>
    <hyperlink r:id="rId703" ref="I744"/>
    <hyperlink r:id="rId704" ref="I745"/>
    <hyperlink r:id="rId705" ref="I746"/>
    <hyperlink r:id="rId706" ref="I747"/>
    <hyperlink r:id="rId707" ref="I748"/>
    <hyperlink r:id="rId708" ref="I750"/>
    <hyperlink r:id="rId709" ref="I751"/>
    <hyperlink r:id="rId710" ref="I752"/>
    <hyperlink r:id="rId711" ref="I753"/>
    <hyperlink r:id="rId712" ref="I754"/>
    <hyperlink r:id="rId713" ref="I755"/>
    <hyperlink r:id="rId714" ref="I756"/>
    <hyperlink r:id="rId715" ref="I757"/>
    <hyperlink r:id="rId716" ref="I758"/>
    <hyperlink r:id="rId717" ref="I759"/>
    <hyperlink r:id="rId718" ref="I760"/>
    <hyperlink r:id="rId719" ref="I761"/>
    <hyperlink r:id="rId720" ref="I762"/>
    <hyperlink r:id="rId721" ref="I763"/>
    <hyperlink r:id="rId722" ref="I764"/>
    <hyperlink r:id="rId723" ref="I765"/>
    <hyperlink r:id="rId724" ref="I767"/>
    <hyperlink r:id="rId725" ref="I768"/>
    <hyperlink r:id="rId726" ref="I769"/>
    <hyperlink r:id="rId727" ref="I770"/>
    <hyperlink r:id="rId728" ref="I771"/>
    <hyperlink r:id="rId729" ref="I772"/>
    <hyperlink r:id="rId730" ref="I773"/>
    <hyperlink r:id="rId731" ref="I774"/>
    <hyperlink r:id="rId732" ref="I775"/>
    <hyperlink r:id="rId733" ref="I776"/>
    <hyperlink r:id="rId734" ref="I777"/>
    <hyperlink r:id="rId735" ref="I778"/>
    <hyperlink r:id="rId736" ref="I779"/>
    <hyperlink r:id="rId737" ref="I780"/>
    <hyperlink r:id="rId738" ref="I781"/>
    <hyperlink r:id="rId739" ref="I782"/>
    <hyperlink r:id="rId740" ref="I784"/>
    <hyperlink r:id="rId741" ref="I785"/>
    <hyperlink r:id="rId742" ref="I786"/>
    <hyperlink r:id="rId743" ref="I787"/>
    <hyperlink r:id="rId744" ref="I788"/>
    <hyperlink r:id="rId745" ref="I789"/>
    <hyperlink r:id="rId746" ref="I790"/>
    <hyperlink r:id="rId747" ref="I791"/>
    <hyperlink r:id="rId748" ref="I792"/>
    <hyperlink r:id="rId749" ref="I793"/>
    <hyperlink r:id="rId750" ref="I794"/>
    <hyperlink r:id="rId751" ref="I795"/>
    <hyperlink r:id="rId752" ref="I796"/>
    <hyperlink r:id="rId753" ref="I797"/>
    <hyperlink r:id="rId754" ref="I798"/>
    <hyperlink r:id="rId755" ref="I800"/>
    <hyperlink r:id="rId756" ref="I801"/>
    <hyperlink r:id="rId757" ref="I802"/>
    <hyperlink r:id="rId758" ref="I803"/>
    <hyperlink r:id="rId759" ref="I804"/>
    <hyperlink r:id="rId760" ref="I805"/>
    <hyperlink r:id="rId761" ref="I806"/>
    <hyperlink r:id="rId762" ref="I807"/>
    <hyperlink r:id="rId763" ref="I808"/>
    <hyperlink r:id="rId764" ref="I809"/>
    <hyperlink r:id="rId765" ref="I810"/>
    <hyperlink r:id="rId766" ref="I811"/>
    <hyperlink r:id="rId767" ref="I812"/>
    <hyperlink r:id="rId768" ref="I813"/>
    <hyperlink r:id="rId769" ref="I814"/>
    <hyperlink r:id="rId770" ref="I816"/>
    <hyperlink r:id="rId771" ref="I817"/>
    <hyperlink r:id="rId772" ref="I818"/>
    <hyperlink r:id="rId773" ref="I819"/>
    <hyperlink r:id="rId774" ref="I820"/>
    <hyperlink r:id="rId775" ref="I821"/>
    <hyperlink r:id="rId776" ref="I822"/>
    <hyperlink r:id="rId777" ref="I823"/>
    <hyperlink r:id="rId778" ref="I824"/>
    <hyperlink r:id="rId779" ref="I825"/>
    <hyperlink r:id="rId780" ref="I826"/>
    <hyperlink r:id="rId781" ref="I827"/>
    <hyperlink r:id="rId782" ref="I828"/>
    <hyperlink r:id="rId783" ref="I829"/>
    <hyperlink r:id="rId784" ref="I830"/>
    <hyperlink r:id="rId785" ref="I832"/>
    <hyperlink r:id="rId786" ref="I833"/>
    <hyperlink r:id="rId787" ref="I834"/>
    <hyperlink r:id="rId788" ref="I835"/>
    <hyperlink r:id="rId789" ref="I836"/>
    <hyperlink r:id="rId790" ref="I837"/>
    <hyperlink r:id="rId791" ref="I838"/>
    <hyperlink r:id="rId792" ref="I839"/>
    <hyperlink r:id="rId793" ref="I840"/>
    <hyperlink r:id="rId794" ref="I841"/>
    <hyperlink r:id="rId795" ref="I842"/>
    <hyperlink r:id="rId796" ref="I843"/>
    <hyperlink r:id="rId797" ref="I844"/>
    <hyperlink r:id="rId798" ref="I845"/>
    <hyperlink r:id="rId799" ref="I846"/>
  </hyperlinks>
  <drawing r:id="rId80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2.0" topLeftCell="A23" activePane="bottomLeft" state="frozen"/>
      <selection activeCell="B24" sqref="B24" pane="bottomLeft"/>
    </sheetView>
  </sheetViews>
  <sheetFormatPr customHeight="1" defaultColWidth="12.63" defaultRowHeight="15.75"/>
  <cols>
    <col customWidth="1" min="1" max="1" width="1.38"/>
    <col customWidth="1" min="2" max="2" width="12.63"/>
    <col customWidth="1" min="3" max="3" width="15.5"/>
    <col customWidth="1" min="4" max="4" width="12.63"/>
    <col customWidth="1" min="5" max="5" width="93.88"/>
    <col customWidth="1" min="6" max="7" width="11.75"/>
    <col customWidth="1" min="8" max="8" width="37.63"/>
    <col customWidth="1" min="9" max="9" width="12.63"/>
    <col customWidth="1" hidden="1" min="10" max="10" width="12.63"/>
    <col customWidth="1" hidden="1" min="11" max="11" width="13.63"/>
    <col customWidth="1" hidden="1" min="12" max="13" width="15.5"/>
  </cols>
  <sheetData>
    <row r="1">
      <c r="A1" s="1"/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126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1"/>
      <c r="B2" s="127" t="s">
        <v>0</v>
      </c>
      <c r="C2" s="127" t="s">
        <v>1525</v>
      </c>
      <c r="D2" s="127" t="s">
        <v>1526</v>
      </c>
      <c r="E2" s="127" t="s">
        <v>1527</v>
      </c>
      <c r="F2" s="127" t="s">
        <v>1528</v>
      </c>
      <c r="G2" s="127" t="s">
        <v>1529</v>
      </c>
      <c r="H2" s="127" t="s">
        <v>1530</v>
      </c>
      <c r="I2" s="127" t="s">
        <v>1531</v>
      </c>
      <c r="J2" s="127" t="s">
        <v>1532</v>
      </c>
      <c r="K2" s="128" t="s">
        <v>1533</v>
      </c>
      <c r="L2" s="128" t="s">
        <v>1534</v>
      </c>
      <c r="M2" s="128" t="s">
        <v>1535</v>
      </c>
      <c r="N2" s="129" t="s">
        <v>1536</v>
      </c>
      <c r="O2" s="130" t="s">
        <v>1537</v>
      </c>
      <c r="P2" s="131" t="s">
        <v>1538</v>
      </c>
      <c r="Q2" s="2"/>
      <c r="R2" s="2"/>
      <c r="S2" s="2"/>
      <c r="T2" s="2"/>
      <c r="U2" s="2"/>
      <c r="V2" s="132"/>
      <c r="W2" s="2"/>
      <c r="X2" s="2"/>
      <c r="Y2" s="2"/>
      <c r="Z2" s="2"/>
      <c r="AA2" s="2"/>
      <c r="AB2" s="2"/>
      <c r="AC2" s="2"/>
      <c r="AD2" s="2"/>
      <c r="AE2" s="2"/>
      <c r="AF2" s="2"/>
    </row>
    <row r="3" hidden="1">
      <c r="A3" s="2"/>
      <c r="B3" s="133" t="s">
        <v>1539</v>
      </c>
      <c r="C3" s="42"/>
      <c r="D3" s="134"/>
      <c r="E3" s="12" t="s">
        <v>7</v>
      </c>
      <c r="F3" s="134"/>
      <c r="G3" s="134"/>
      <c r="H3" s="134"/>
      <c r="I3" s="11">
        <v>0.0</v>
      </c>
      <c r="J3" s="135"/>
      <c r="K3" s="1"/>
      <c r="L3" s="1"/>
      <c r="M3" s="1"/>
      <c r="N3" s="1"/>
      <c r="O3" s="1"/>
      <c r="P3" s="136">
        <v>1600.0</v>
      </c>
      <c r="Q3" s="2"/>
      <c r="R3" s="2"/>
      <c r="S3" s="2"/>
      <c r="T3" s="30"/>
      <c r="U3" s="2"/>
      <c r="V3" s="137"/>
      <c r="W3" s="2"/>
      <c r="X3" s="2"/>
      <c r="Y3" s="2"/>
      <c r="Z3" s="2"/>
      <c r="AA3" s="2"/>
      <c r="AB3" s="2"/>
      <c r="AC3" s="2"/>
      <c r="AD3" s="2"/>
      <c r="AE3" s="2"/>
      <c r="AF3" s="2"/>
    </row>
    <row r="4" hidden="1">
      <c r="A4" s="2"/>
      <c r="B4" s="18"/>
      <c r="C4" s="11"/>
      <c r="D4" s="11"/>
      <c r="E4" s="12" t="s">
        <v>9</v>
      </c>
      <c r="F4" s="11"/>
      <c r="G4" s="11"/>
      <c r="H4" s="11"/>
      <c r="I4" s="11">
        <v>0.0</v>
      </c>
      <c r="J4" s="138"/>
      <c r="K4" s="1"/>
      <c r="L4" s="1"/>
      <c r="M4" s="1"/>
      <c r="N4" s="1"/>
      <c r="O4" s="1"/>
      <c r="P4" s="139">
        <v>2200.0</v>
      </c>
      <c r="Q4" s="2"/>
      <c r="R4" s="2"/>
      <c r="S4" s="2"/>
      <c r="T4" s="30"/>
      <c r="U4" s="2"/>
      <c r="V4" s="137"/>
      <c r="W4" s="2"/>
      <c r="X4" s="2"/>
      <c r="Y4" s="2"/>
      <c r="Z4" s="2"/>
      <c r="AA4" s="2"/>
      <c r="AB4" s="2"/>
      <c r="AC4" s="2"/>
      <c r="AD4" s="2"/>
      <c r="AE4" s="2"/>
      <c r="AF4" s="2"/>
    </row>
    <row r="5" hidden="1">
      <c r="A5" s="2"/>
      <c r="B5" s="18"/>
      <c r="C5" s="11"/>
      <c r="D5" s="11"/>
      <c r="E5" s="12" t="s">
        <v>11</v>
      </c>
      <c r="F5" s="11"/>
      <c r="G5" s="11"/>
      <c r="H5" s="11"/>
      <c r="I5" s="11">
        <v>0.0</v>
      </c>
      <c r="J5" s="138"/>
      <c r="K5" s="1"/>
      <c r="L5" s="1"/>
      <c r="M5" s="1"/>
      <c r="N5" s="1"/>
      <c r="O5" s="1"/>
      <c r="P5" s="139">
        <v>4100.0</v>
      </c>
      <c r="Q5" s="2"/>
      <c r="R5" s="2"/>
      <c r="S5" s="2"/>
      <c r="T5" s="30"/>
      <c r="U5" s="2"/>
      <c r="V5" s="137"/>
      <c r="W5" s="2"/>
      <c r="X5" s="2"/>
      <c r="Y5" s="2"/>
      <c r="Z5" s="2"/>
      <c r="AA5" s="2"/>
      <c r="AB5" s="2"/>
      <c r="AC5" s="2"/>
      <c r="AD5" s="2"/>
      <c r="AE5" s="2"/>
      <c r="AF5" s="2"/>
    </row>
    <row r="6" hidden="1">
      <c r="A6" s="2"/>
      <c r="B6" s="18"/>
      <c r="C6" s="61"/>
      <c r="D6" s="61"/>
      <c r="E6" s="12" t="s">
        <v>13</v>
      </c>
      <c r="F6" s="11"/>
      <c r="G6" s="11"/>
      <c r="H6" s="11"/>
      <c r="I6" s="11">
        <v>0.0</v>
      </c>
      <c r="J6" s="138"/>
      <c r="K6" s="1"/>
      <c r="L6" s="1"/>
      <c r="M6" s="1"/>
      <c r="N6" s="1"/>
      <c r="O6" s="1"/>
      <c r="P6" s="139">
        <v>5100.0</v>
      </c>
      <c r="Q6" s="2"/>
      <c r="R6" s="2"/>
      <c r="S6" s="2"/>
      <c r="T6" s="1"/>
      <c r="U6" s="2"/>
      <c r="V6" s="132"/>
      <c r="W6" s="2"/>
      <c r="X6" s="2"/>
      <c r="Y6" s="2"/>
      <c r="Z6" s="2"/>
      <c r="AA6" s="2"/>
      <c r="AB6" s="2"/>
      <c r="AC6" s="2"/>
      <c r="AD6" s="2"/>
      <c r="AE6" s="2"/>
      <c r="AF6" s="2"/>
    </row>
    <row r="7" hidden="1">
      <c r="A7" s="2"/>
      <c r="B7" s="18"/>
      <c r="C7" s="61"/>
      <c r="D7" s="61"/>
      <c r="E7" s="12" t="s">
        <v>15</v>
      </c>
      <c r="F7" s="11"/>
      <c r="G7" s="11"/>
      <c r="H7" s="11"/>
      <c r="I7" s="11">
        <v>0.0</v>
      </c>
      <c r="J7" s="138"/>
      <c r="K7" s="1"/>
      <c r="L7" s="1"/>
      <c r="M7" s="1"/>
      <c r="N7" s="1"/>
      <c r="O7" s="1"/>
      <c r="P7" s="139" t="s">
        <v>1540</v>
      </c>
      <c r="Q7" s="2"/>
      <c r="R7" s="2"/>
      <c r="S7" s="2"/>
      <c r="T7" s="1"/>
      <c r="U7" s="2"/>
      <c r="V7" s="132"/>
      <c r="W7" s="2"/>
      <c r="X7" s="2"/>
      <c r="Y7" s="2"/>
      <c r="Z7" s="2"/>
      <c r="AA7" s="2"/>
      <c r="AB7" s="2"/>
      <c r="AC7" s="2"/>
      <c r="AD7" s="2"/>
      <c r="AE7" s="2"/>
      <c r="AF7" s="2"/>
    </row>
    <row r="8" hidden="1">
      <c r="A8" s="2"/>
      <c r="B8" s="18"/>
      <c r="C8" s="61"/>
      <c r="D8" s="61"/>
      <c r="E8" s="32" t="s">
        <v>16</v>
      </c>
      <c r="F8" s="11"/>
      <c r="G8" s="11"/>
      <c r="H8" s="11"/>
      <c r="I8" s="11">
        <v>0.0</v>
      </c>
      <c r="J8" s="138"/>
      <c r="K8" s="1"/>
      <c r="L8" s="1"/>
      <c r="M8" s="1"/>
      <c r="N8" s="1"/>
      <c r="O8" s="1"/>
      <c r="P8" s="139">
        <v>500.0</v>
      </c>
      <c r="Q8" s="2"/>
      <c r="R8" s="2"/>
      <c r="S8" s="2"/>
      <c r="T8" s="30"/>
      <c r="U8" s="2"/>
      <c r="V8" s="137"/>
      <c r="W8" s="2"/>
      <c r="X8" s="2"/>
      <c r="Y8" s="2"/>
      <c r="Z8" s="2"/>
      <c r="AA8" s="2"/>
      <c r="AB8" s="2"/>
      <c r="AC8" s="2"/>
      <c r="AD8" s="2"/>
      <c r="AE8" s="2"/>
      <c r="AF8" s="2"/>
    </row>
    <row r="9" hidden="1">
      <c r="A9" s="2"/>
      <c r="B9" s="18"/>
      <c r="C9" s="61"/>
      <c r="D9" s="61"/>
      <c r="E9" s="32" t="s">
        <v>1541</v>
      </c>
      <c r="F9" s="11"/>
      <c r="G9" s="11"/>
      <c r="H9" s="11"/>
      <c r="I9" s="11">
        <v>0.0</v>
      </c>
      <c r="J9" s="138"/>
      <c r="K9" s="1"/>
      <c r="L9" s="1"/>
      <c r="M9" s="1"/>
      <c r="N9" s="1"/>
      <c r="O9" s="1"/>
      <c r="P9" s="139">
        <v>600.0</v>
      </c>
      <c r="Q9" s="2"/>
      <c r="R9" s="2"/>
      <c r="S9" s="2"/>
      <c r="T9" s="1"/>
      <c r="U9" s="2"/>
      <c r="V9" s="132"/>
      <c r="W9" s="2"/>
      <c r="X9" s="2"/>
      <c r="Y9" s="2"/>
      <c r="Z9" s="2"/>
      <c r="AA9" s="2"/>
      <c r="AB9" s="2"/>
      <c r="AC9" s="2"/>
      <c r="AD9" s="2"/>
      <c r="AE9" s="2"/>
      <c r="AF9" s="2"/>
    </row>
    <row r="10" hidden="1">
      <c r="A10" s="2"/>
      <c r="B10" s="18"/>
      <c r="C10" s="61"/>
      <c r="D10" s="61"/>
      <c r="E10" s="32" t="s">
        <v>1542</v>
      </c>
      <c r="F10" s="11"/>
      <c r="G10" s="11"/>
      <c r="H10" s="11"/>
      <c r="I10" s="11">
        <v>0.0</v>
      </c>
      <c r="J10" s="138"/>
      <c r="K10" s="1"/>
      <c r="L10" s="1"/>
      <c r="M10" s="1"/>
      <c r="N10" s="1"/>
      <c r="O10" s="1"/>
      <c r="P10" s="139">
        <v>1100.0</v>
      </c>
      <c r="Q10" s="2"/>
      <c r="R10" s="2"/>
      <c r="S10" s="2"/>
      <c r="T10" s="1"/>
      <c r="U10" s="2"/>
      <c r="V10" s="13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idden="1">
      <c r="A11" s="2"/>
      <c r="B11" s="18"/>
      <c r="C11" s="61"/>
      <c r="D11" s="61"/>
      <c r="E11" s="32" t="s">
        <v>1543</v>
      </c>
      <c r="F11" s="11"/>
      <c r="G11" s="11"/>
      <c r="H11" s="11"/>
      <c r="I11" s="11">
        <v>0.0</v>
      </c>
      <c r="J11" s="138"/>
      <c r="K11" s="1"/>
      <c r="L11" s="1"/>
      <c r="M11" s="1"/>
      <c r="N11" s="1"/>
      <c r="O11" s="1"/>
      <c r="P11" s="139">
        <v>1600.0</v>
      </c>
      <c r="Q11" s="2"/>
      <c r="R11" s="2"/>
      <c r="S11" s="2"/>
      <c r="T11" s="1"/>
      <c r="U11" s="2"/>
      <c r="V11" s="13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idden="1">
      <c r="A12" s="2"/>
      <c r="B12" s="18"/>
      <c r="C12" s="61"/>
      <c r="D12" s="61"/>
      <c r="E12" s="32" t="s">
        <v>1544</v>
      </c>
      <c r="F12" s="11"/>
      <c r="G12" s="11"/>
      <c r="H12" s="11"/>
      <c r="I12" s="11">
        <v>0.0</v>
      </c>
      <c r="J12" s="138"/>
      <c r="K12" s="1"/>
      <c r="L12" s="1"/>
      <c r="M12" s="1"/>
      <c r="N12" s="1"/>
      <c r="O12" s="1"/>
      <c r="P12" s="139">
        <v>1600.0</v>
      </c>
      <c r="Q12" s="2"/>
      <c r="R12" s="2"/>
      <c r="S12" s="2"/>
      <c r="T12" s="1"/>
      <c r="U12" s="2"/>
      <c r="V12" s="13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idden="1">
      <c r="A13" s="2"/>
      <c r="B13" s="18"/>
      <c r="C13" s="61"/>
      <c r="D13" s="61"/>
      <c r="E13" s="32" t="s">
        <v>1545</v>
      </c>
      <c r="F13" s="11"/>
      <c r="G13" s="11"/>
      <c r="H13" s="11"/>
      <c r="I13" s="11">
        <v>0.0</v>
      </c>
      <c r="J13" s="138"/>
      <c r="K13" s="1"/>
      <c r="L13" s="1"/>
      <c r="M13" s="1"/>
      <c r="N13" s="1"/>
      <c r="O13" s="1"/>
      <c r="P13" s="139">
        <v>1600.0</v>
      </c>
      <c r="Q13" s="2"/>
      <c r="R13" s="2"/>
      <c r="S13" s="2"/>
      <c r="T13" s="1"/>
      <c r="U13" s="2"/>
      <c r="V13" s="13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idden="1">
      <c r="A14" s="2"/>
      <c r="B14" s="18"/>
      <c r="C14" s="61"/>
      <c r="D14" s="61"/>
      <c r="E14" s="32" t="s">
        <v>17</v>
      </c>
      <c r="F14" s="11"/>
      <c r="G14" s="11"/>
      <c r="H14" s="11"/>
      <c r="I14" s="11">
        <v>0.0</v>
      </c>
      <c r="J14" s="138"/>
      <c r="K14" s="1"/>
      <c r="L14" s="1"/>
      <c r="M14" s="1"/>
      <c r="N14" s="1"/>
      <c r="O14" s="1"/>
      <c r="P14" s="139">
        <v>1100.0</v>
      </c>
      <c r="Q14" s="2"/>
      <c r="R14" s="2"/>
      <c r="S14" s="2"/>
      <c r="T14" s="1"/>
      <c r="U14" s="2"/>
      <c r="V14" s="13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idden="1">
      <c r="A15" s="2"/>
      <c r="B15" s="18"/>
      <c r="C15" s="61"/>
      <c r="D15" s="61"/>
      <c r="E15" s="140" t="s">
        <v>1546</v>
      </c>
      <c r="F15" s="11"/>
      <c r="G15" s="11"/>
      <c r="H15" s="11"/>
      <c r="I15" s="11">
        <v>0.0</v>
      </c>
      <c r="J15" s="138"/>
      <c r="K15" s="1"/>
      <c r="L15" s="1"/>
      <c r="M15" s="1"/>
      <c r="N15" s="1"/>
      <c r="O15" s="1"/>
      <c r="P15" s="139">
        <v>1.0</v>
      </c>
      <c r="Q15" s="2"/>
      <c r="R15" s="2"/>
      <c r="S15" s="2"/>
      <c r="T15" s="1"/>
      <c r="U15" s="2"/>
      <c r="V15" s="13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idden="1">
      <c r="A16" s="2"/>
      <c r="B16" s="18"/>
      <c r="C16" s="61"/>
      <c r="D16" s="61"/>
      <c r="E16" s="140" t="s">
        <v>1547</v>
      </c>
      <c r="F16" s="11"/>
      <c r="G16" s="11"/>
      <c r="H16" s="11"/>
      <c r="I16" s="11">
        <v>0.0</v>
      </c>
      <c r="J16" s="138"/>
      <c r="K16" s="1"/>
      <c r="L16" s="1"/>
      <c r="M16" s="1"/>
      <c r="N16" s="1"/>
      <c r="O16" s="1"/>
      <c r="P16" s="139">
        <v>1.0</v>
      </c>
      <c r="Q16" s="2"/>
      <c r="R16" s="2"/>
      <c r="S16" s="2"/>
      <c r="T16" s="2"/>
      <c r="U16" s="2"/>
      <c r="V16" s="13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idden="1">
      <c r="A17" s="2"/>
      <c r="B17" s="18"/>
      <c r="C17" s="61"/>
      <c r="D17" s="61"/>
      <c r="E17" s="140" t="s">
        <v>1548</v>
      </c>
      <c r="F17" s="11"/>
      <c r="G17" s="11"/>
      <c r="H17" s="11"/>
      <c r="I17" s="11">
        <v>0.0</v>
      </c>
      <c r="J17" s="138"/>
      <c r="K17" s="1"/>
      <c r="L17" s="1"/>
      <c r="M17" s="1"/>
      <c r="N17" s="1"/>
      <c r="O17" s="1"/>
      <c r="P17" s="139">
        <v>1.0</v>
      </c>
      <c r="Q17" s="2"/>
      <c r="R17" s="2"/>
      <c r="S17" s="2"/>
      <c r="T17" s="30"/>
      <c r="U17" s="1"/>
      <c r="V17" s="137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idden="1">
      <c r="A18" s="2"/>
      <c r="B18" s="18"/>
      <c r="C18" s="61"/>
      <c r="D18" s="61"/>
      <c r="E18" s="32" t="s">
        <v>1549</v>
      </c>
      <c r="F18" s="11"/>
      <c r="G18" s="11"/>
      <c r="H18" s="11"/>
      <c r="I18" s="11">
        <v>90.0</v>
      </c>
      <c r="J18" s="138"/>
      <c r="K18" s="1"/>
      <c r="L18" s="1"/>
      <c r="M18" s="1"/>
      <c r="N18" s="1"/>
      <c r="O18" s="1"/>
      <c r="P18" s="139">
        <v>1.0</v>
      </c>
      <c r="Q18" s="2"/>
      <c r="R18" s="2"/>
      <c r="S18" s="2"/>
      <c r="T18" s="30"/>
      <c r="U18" s="1"/>
      <c r="V18" s="137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idden="1">
      <c r="A19" s="2"/>
      <c r="B19" s="18"/>
      <c r="C19" s="61"/>
      <c r="D19" s="61"/>
      <c r="E19" s="32" t="s">
        <v>1550</v>
      </c>
      <c r="F19" s="11"/>
      <c r="G19" s="11"/>
      <c r="H19" s="11"/>
      <c r="I19" s="11">
        <v>90.0</v>
      </c>
      <c r="J19" s="138"/>
      <c r="K19" s="1"/>
      <c r="L19" s="1"/>
      <c r="M19" s="1"/>
      <c r="N19" s="1"/>
      <c r="O19" s="1"/>
      <c r="P19" s="139">
        <v>1.0</v>
      </c>
      <c r="Q19" s="2"/>
      <c r="R19" s="2"/>
      <c r="S19" s="2"/>
      <c r="T19" s="30"/>
      <c r="U19" s="1"/>
      <c r="V19" s="137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idden="1">
      <c r="A20" s="2"/>
      <c r="B20" s="18"/>
      <c r="C20" s="61"/>
      <c r="D20" s="61"/>
      <c r="E20" s="140" t="s">
        <v>1551</v>
      </c>
      <c r="F20" s="11"/>
      <c r="G20" s="11"/>
      <c r="H20" s="11"/>
      <c r="I20" s="11">
        <v>0.0</v>
      </c>
      <c r="J20" s="138"/>
      <c r="K20" s="1"/>
      <c r="L20" s="1"/>
      <c r="M20" s="1"/>
      <c r="N20" s="1"/>
      <c r="O20" s="1"/>
      <c r="P20" s="139">
        <v>1.0</v>
      </c>
      <c r="Q20" s="2"/>
      <c r="R20" s="2"/>
      <c r="S20" s="2"/>
      <c r="T20" s="30"/>
      <c r="U20" s="1"/>
      <c r="V20" s="137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idden="1">
      <c r="A21" s="2"/>
      <c r="B21" s="18"/>
      <c r="C21" s="61"/>
      <c r="D21" s="61"/>
      <c r="E21" s="140" t="s">
        <v>18</v>
      </c>
      <c r="F21" s="11"/>
      <c r="G21" s="11"/>
      <c r="H21" s="11"/>
      <c r="I21" s="11">
        <v>0.0</v>
      </c>
      <c r="J21" s="138"/>
      <c r="K21" s="1"/>
      <c r="L21" s="1"/>
      <c r="M21" s="1"/>
      <c r="N21" s="1"/>
      <c r="O21" s="1"/>
      <c r="P21" s="139">
        <v>0.0</v>
      </c>
      <c r="Q21" s="2"/>
      <c r="R21" s="2"/>
      <c r="S21" s="2"/>
      <c r="T21" s="30"/>
      <c r="U21" s="1"/>
      <c r="V21" s="137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idden="1">
      <c r="A22" s="2"/>
      <c r="B22" s="35"/>
      <c r="C22" s="73"/>
      <c r="D22" s="73"/>
      <c r="E22" s="49" t="s">
        <v>19</v>
      </c>
      <c r="F22" s="36"/>
      <c r="G22" s="36"/>
      <c r="H22" s="36"/>
      <c r="I22" s="36">
        <v>0.0</v>
      </c>
      <c r="J22" s="141"/>
      <c r="K22" s="1"/>
      <c r="L22" s="1"/>
      <c r="M22" s="1"/>
      <c r="N22" s="1"/>
      <c r="O22" s="1"/>
      <c r="P22" s="142">
        <v>1000.0</v>
      </c>
      <c r="Q22" s="2"/>
      <c r="R22" s="2"/>
      <c r="S22" s="2"/>
      <c r="T22" s="30"/>
      <c r="U22" s="1"/>
      <c r="V22" s="137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2"/>
      <c r="B23" s="2"/>
      <c r="C23" s="2"/>
      <c r="D23" s="2"/>
      <c r="E23" s="99"/>
      <c r="F23" s="1"/>
      <c r="G23" s="1"/>
      <c r="H23" s="1"/>
      <c r="I23" s="1"/>
      <c r="J23" s="1"/>
      <c r="K23" s="1"/>
      <c r="L23" s="1"/>
      <c r="M23" s="1"/>
      <c r="N23" s="2"/>
      <c r="O23" s="2"/>
      <c r="P23" s="126"/>
      <c r="Q23" s="2"/>
      <c r="R23" s="2"/>
      <c r="S23" s="2"/>
      <c r="T23" s="30"/>
      <c r="U23" s="2"/>
      <c r="V23" s="137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2"/>
      <c r="B24" s="133" t="s">
        <v>23</v>
      </c>
      <c r="C24" s="42"/>
      <c r="D24" s="42"/>
      <c r="E24" s="43" t="s">
        <v>1552</v>
      </c>
      <c r="F24" s="42"/>
      <c r="G24" s="42"/>
      <c r="H24" s="42"/>
      <c r="I24" s="42">
        <v>0.0</v>
      </c>
      <c r="J24" s="42"/>
      <c r="K24" s="42"/>
      <c r="L24" s="42"/>
      <c r="M24" s="42"/>
      <c r="N24" s="55"/>
      <c r="O24" s="143"/>
      <c r="P24" s="136"/>
      <c r="Q24" s="2"/>
      <c r="S24" s="2"/>
      <c r="T24" s="30"/>
      <c r="U24" s="2"/>
      <c r="V24" s="137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2"/>
      <c r="B25" s="18"/>
      <c r="C25" s="11"/>
      <c r="D25" s="11"/>
      <c r="E25" s="32" t="s">
        <v>1553</v>
      </c>
      <c r="F25" s="11"/>
      <c r="G25" s="11"/>
      <c r="H25" s="11"/>
      <c r="I25" s="11">
        <v>0.0</v>
      </c>
      <c r="J25" s="11"/>
      <c r="K25" s="11"/>
      <c r="L25" s="11"/>
      <c r="M25" s="11"/>
      <c r="N25" s="11">
        <v>30.0</v>
      </c>
      <c r="O25" s="138" t="s">
        <v>1554</v>
      </c>
      <c r="P25" s="139"/>
      <c r="Q25" s="2"/>
      <c r="S25" s="2"/>
      <c r="T25" s="30"/>
      <c r="U25" s="2"/>
      <c r="V25" s="13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2"/>
      <c r="B26" s="18"/>
      <c r="C26" s="11"/>
      <c r="D26" s="11"/>
      <c r="E26" s="32" t="s">
        <v>1555</v>
      </c>
      <c r="F26" s="11"/>
      <c r="G26" s="11"/>
      <c r="H26" s="11"/>
      <c r="I26" s="11">
        <v>0.0</v>
      </c>
      <c r="J26" s="11"/>
      <c r="K26" s="11"/>
      <c r="L26" s="11"/>
      <c r="M26" s="11"/>
      <c r="N26" s="11">
        <v>30.0</v>
      </c>
      <c r="O26" s="138" t="s">
        <v>1554</v>
      </c>
      <c r="P26" s="139"/>
      <c r="Q26" s="2"/>
      <c r="S26" s="2"/>
      <c r="T26" s="30"/>
      <c r="U26" s="2"/>
      <c r="V26" s="13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2"/>
      <c r="B27" s="18"/>
      <c r="C27" s="11"/>
      <c r="D27" s="11"/>
      <c r="E27" s="32" t="s">
        <v>1556</v>
      </c>
      <c r="F27" s="11"/>
      <c r="G27" s="11"/>
      <c r="H27" s="11"/>
      <c r="I27" s="11">
        <v>0.0</v>
      </c>
      <c r="J27" s="11"/>
      <c r="K27" s="11"/>
      <c r="L27" s="11"/>
      <c r="M27" s="11"/>
      <c r="N27" s="61"/>
      <c r="O27" s="144"/>
      <c r="P27" s="139"/>
      <c r="Q27" s="2"/>
      <c r="S27" s="2"/>
      <c r="T27" s="30"/>
      <c r="U27" s="2"/>
      <c r="V27" s="13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>
      <c r="A28" s="2"/>
      <c r="B28" s="18"/>
      <c r="C28" s="11"/>
      <c r="D28" s="11"/>
      <c r="E28" s="32" t="s">
        <v>1557</v>
      </c>
      <c r="F28" s="11"/>
      <c r="G28" s="11"/>
      <c r="H28" s="11"/>
      <c r="I28" s="11">
        <v>0.0</v>
      </c>
      <c r="J28" s="11"/>
      <c r="K28" s="11"/>
      <c r="L28" s="11"/>
      <c r="M28" s="11"/>
      <c r="N28" s="61"/>
      <c r="O28" s="144"/>
      <c r="P28" s="139"/>
      <c r="Q28" s="2"/>
      <c r="S28" s="2"/>
      <c r="T28" s="30"/>
      <c r="U28" s="2"/>
      <c r="V28" s="13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>
      <c r="A29" s="2"/>
      <c r="B29" s="18"/>
      <c r="C29" s="11"/>
      <c r="D29" s="11"/>
      <c r="E29" s="32" t="s">
        <v>1558</v>
      </c>
      <c r="F29" s="11"/>
      <c r="G29" s="11"/>
      <c r="H29" s="11"/>
      <c r="I29" s="11">
        <v>180.0</v>
      </c>
      <c r="J29" s="11"/>
      <c r="K29" s="11"/>
      <c r="L29" s="11"/>
      <c r="M29" s="11"/>
      <c r="N29" s="61"/>
      <c r="O29" s="144"/>
      <c r="P29" s="139"/>
      <c r="Q29" s="2"/>
      <c r="S29" s="2"/>
      <c r="T29" s="2"/>
      <c r="U29" s="2"/>
      <c r="V29" s="13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2"/>
      <c r="B30" s="18"/>
      <c r="C30" s="11"/>
      <c r="D30" s="11"/>
      <c r="E30" s="32" t="s">
        <v>1559</v>
      </c>
      <c r="F30" s="11"/>
      <c r="G30" s="11"/>
      <c r="H30" s="11"/>
      <c r="I30" s="11">
        <v>180.0</v>
      </c>
      <c r="J30" s="11"/>
      <c r="K30" s="11"/>
      <c r="L30" s="11"/>
      <c r="M30" s="11"/>
      <c r="N30" s="61"/>
      <c r="O30" s="144"/>
      <c r="P30" s="139"/>
      <c r="Q30" s="2"/>
      <c r="S30" s="2"/>
      <c r="T30" s="1"/>
      <c r="U30" s="2"/>
      <c r="V30" s="13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2"/>
      <c r="B31" s="18"/>
      <c r="C31" s="61"/>
      <c r="D31" s="61"/>
      <c r="E31" s="32" t="s">
        <v>1560</v>
      </c>
      <c r="F31" s="11"/>
      <c r="G31" s="11"/>
      <c r="H31" s="11"/>
      <c r="I31" s="11">
        <v>90.0</v>
      </c>
      <c r="J31" s="11"/>
      <c r="K31" s="11"/>
      <c r="L31" s="11"/>
      <c r="M31" s="11"/>
      <c r="N31" s="61"/>
      <c r="O31" s="144"/>
      <c r="P31" s="139"/>
      <c r="Q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2"/>
      <c r="B32" s="18"/>
      <c r="C32" s="11"/>
      <c r="D32" s="11"/>
      <c r="E32" s="32" t="s">
        <v>1561</v>
      </c>
      <c r="F32" s="11"/>
      <c r="G32" s="11"/>
      <c r="H32" s="11"/>
      <c r="I32" s="11">
        <v>90.0</v>
      </c>
      <c r="J32" s="11"/>
      <c r="K32" s="11"/>
      <c r="L32" s="11"/>
      <c r="M32" s="11"/>
      <c r="N32" s="61"/>
      <c r="O32" s="144"/>
      <c r="P32" s="139"/>
      <c r="Q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2"/>
      <c r="B33" s="18"/>
      <c r="C33" s="11"/>
      <c r="D33" s="11"/>
      <c r="E33" s="32" t="s">
        <v>1562</v>
      </c>
      <c r="F33" s="11"/>
      <c r="G33" s="11"/>
      <c r="H33" s="11"/>
      <c r="I33" s="11">
        <v>90.0</v>
      </c>
      <c r="J33" s="11"/>
      <c r="K33" s="11"/>
      <c r="L33" s="11"/>
      <c r="M33" s="11"/>
      <c r="N33" s="61"/>
      <c r="O33" s="144"/>
      <c r="P33" s="139"/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2"/>
      <c r="B34" s="18"/>
      <c r="C34" s="61"/>
      <c r="D34" s="61"/>
      <c r="E34" s="32" t="s">
        <v>1563</v>
      </c>
      <c r="F34" s="11"/>
      <c r="G34" s="11"/>
      <c r="H34" s="11"/>
      <c r="I34" s="11">
        <v>90.0</v>
      </c>
      <c r="J34" s="11"/>
      <c r="K34" s="11"/>
      <c r="L34" s="11"/>
      <c r="M34" s="11"/>
      <c r="N34" s="11">
        <v>20.0</v>
      </c>
      <c r="O34" s="138" t="s">
        <v>1554</v>
      </c>
      <c r="P34" s="139"/>
      <c r="Q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2"/>
      <c r="B35" s="18"/>
      <c r="C35" s="61"/>
      <c r="D35" s="61"/>
      <c r="E35" s="32" t="s">
        <v>1564</v>
      </c>
      <c r="F35" s="11"/>
      <c r="G35" s="11"/>
      <c r="H35" s="11"/>
      <c r="I35" s="11">
        <v>90.0</v>
      </c>
      <c r="J35" s="11"/>
      <c r="K35" s="11"/>
      <c r="L35" s="11"/>
      <c r="M35" s="11"/>
      <c r="N35" s="11">
        <v>20.0</v>
      </c>
      <c r="O35" s="138" t="s">
        <v>1554</v>
      </c>
      <c r="P35" s="139"/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2"/>
      <c r="B36" s="18"/>
      <c r="C36" s="61"/>
      <c r="D36" s="61"/>
      <c r="E36" s="32" t="s">
        <v>1565</v>
      </c>
      <c r="F36" s="11"/>
      <c r="G36" s="11"/>
      <c r="H36" s="11"/>
      <c r="I36" s="11">
        <v>90.0</v>
      </c>
      <c r="J36" s="11"/>
      <c r="K36" s="11"/>
      <c r="L36" s="11"/>
      <c r="M36" s="11"/>
      <c r="N36" s="61"/>
      <c r="O36" s="144"/>
      <c r="P36" s="139"/>
      <c r="Q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2"/>
      <c r="B37" s="18"/>
      <c r="C37" s="61"/>
      <c r="D37" s="61"/>
      <c r="E37" s="32" t="s">
        <v>1566</v>
      </c>
      <c r="F37" s="11"/>
      <c r="G37" s="11"/>
      <c r="H37" s="11"/>
      <c r="I37" s="11">
        <v>90.0</v>
      </c>
      <c r="J37" s="11"/>
      <c r="K37" s="11"/>
      <c r="L37" s="11"/>
      <c r="M37" s="11"/>
      <c r="N37" s="61"/>
      <c r="O37" s="144"/>
      <c r="P37" s="139"/>
      <c r="Q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2"/>
      <c r="B38" s="18"/>
      <c r="C38" s="61"/>
      <c r="D38" s="61"/>
      <c r="E38" s="12" t="s">
        <v>1567</v>
      </c>
      <c r="F38" s="11"/>
      <c r="G38" s="11"/>
      <c r="H38" s="11"/>
      <c r="I38" s="11">
        <v>180.0</v>
      </c>
      <c r="J38" s="11"/>
      <c r="K38" s="11"/>
      <c r="L38" s="11"/>
      <c r="M38" s="11"/>
      <c r="N38" s="11">
        <v>50.0</v>
      </c>
      <c r="O38" s="138" t="s">
        <v>1554</v>
      </c>
      <c r="P38" s="139"/>
      <c r="Q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2"/>
      <c r="B39" s="18"/>
      <c r="C39" s="61"/>
      <c r="D39" s="61"/>
      <c r="E39" s="32" t="s">
        <v>1568</v>
      </c>
      <c r="F39" s="11"/>
      <c r="G39" s="11"/>
      <c r="H39" s="11"/>
      <c r="I39" s="11">
        <v>90.0</v>
      </c>
      <c r="J39" s="11"/>
      <c r="K39" s="11"/>
      <c r="L39" s="11"/>
      <c r="M39" s="11"/>
      <c r="N39" s="61"/>
      <c r="O39" s="144"/>
      <c r="P39" s="139"/>
      <c r="Q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2"/>
      <c r="B40" s="18"/>
      <c r="C40" s="11"/>
      <c r="D40" s="11"/>
      <c r="E40" s="32" t="s">
        <v>1569</v>
      </c>
      <c r="F40" s="11"/>
      <c r="G40" s="11"/>
      <c r="H40" s="11"/>
      <c r="I40" s="11">
        <v>180.0</v>
      </c>
      <c r="J40" s="11"/>
      <c r="K40" s="11"/>
      <c r="L40" s="11"/>
      <c r="M40" s="11"/>
      <c r="N40" s="11"/>
      <c r="O40" s="138"/>
      <c r="P40" s="139"/>
      <c r="Q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2"/>
      <c r="B41" s="18"/>
      <c r="C41" s="61"/>
      <c r="D41" s="61"/>
      <c r="E41" s="32" t="s">
        <v>1570</v>
      </c>
      <c r="F41" s="11"/>
      <c r="G41" s="11"/>
      <c r="H41" s="11"/>
      <c r="I41" s="11">
        <v>180.0</v>
      </c>
      <c r="J41" s="11"/>
      <c r="K41" s="11"/>
      <c r="L41" s="11"/>
      <c r="M41" s="11"/>
      <c r="N41" s="61"/>
      <c r="O41" s="144"/>
      <c r="P41" s="139"/>
      <c r="Q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2"/>
      <c r="B42" s="18"/>
      <c r="C42" s="11"/>
      <c r="D42" s="11"/>
      <c r="E42" s="32" t="s">
        <v>1571</v>
      </c>
      <c r="F42" s="11"/>
      <c r="G42" s="11"/>
      <c r="H42" s="11"/>
      <c r="I42" s="11">
        <v>180.0</v>
      </c>
      <c r="J42" s="11"/>
      <c r="K42" s="11"/>
      <c r="L42" s="11"/>
      <c r="M42" s="11"/>
      <c r="N42" s="11"/>
      <c r="O42" s="138"/>
      <c r="P42" s="139"/>
      <c r="Q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2"/>
      <c r="B43" s="18"/>
      <c r="C43" s="61"/>
      <c r="D43" s="61"/>
      <c r="E43" s="32" t="s">
        <v>1572</v>
      </c>
      <c r="F43" s="11"/>
      <c r="G43" s="11"/>
      <c r="H43" s="11"/>
      <c r="I43" s="11">
        <v>90.0</v>
      </c>
      <c r="J43" s="11"/>
      <c r="K43" s="11"/>
      <c r="L43" s="11"/>
      <c r="M43" s="11"/>
      <c r="N43" s="61"/>
      <c r="O43" s="144"/>
      <c r="P43" s="139"/>
      <c r="Q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2"/>
      <c r="B44" s="18"/>
      <c r="C44" s="61"/>
      <c r="D44" s="61"/>
      <c r="E44" s="32" t="s">
        <v>1573</v>
      </c>
      <c r="F44" s="11"/>
      <c r="G44" s="11"/>
      <c r="H44" s="11"/>
      <c r="I44" s="11">
        <v>90.0</v>
      </c>
      <c r="J44" s="11"/>
      <c r="K44" s="11"/>
      <c r="L44" s="11"/>
      <c r="M44" s="11"/>
      <c r="N44" s="61"/>
      <c r="O44" s="144"/>
      <c r="P44" s="139"/>
      <c r="Q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2"/>
      <c r="B45" s="18"/>
      <c r="C45" s="61"/>
      <c r="D45" s="61"/>
      <c r="E45" s="32" t="s">
        <v>1574</v>
      </c>
      <c r="F45" s="11"/>
      <c r="G45" s="11"/>
      <c r="H45" s="11"/>
      <c r="I45" s="11">
        <v>90.0</v>
      </c>
      <c r="J45" s="11"/>
      <c r="K45" s="11"/>
      <c r="L45" s="11"/>
      <c r="M45" s="11"/>
      <c r="N45" s="61"/>
      <c r="O45" s="144"/>
      <c r="P45" s="139"/>
      <c r="Q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2"/>
      <c r="B46" s="18"/>
      <c r="C46" s="61"/>
      <c r="D46" s="61"/>
      <c r="E46" s="32" t="s">
        <v>1575</v>
      </c>
      <c r="F46" s="11"/>
      <c r="G46" s="11"/>
      <c r="H46" s="11"/>
      <c r="I46" s="11">
        <v>90.0</v>
      </c>
      <c r="J46" s="11"/>
      <c r="K46" s="11"/>
      <c r="L46" s="11"/>
      <c r="M46" s="11"/>
      <c r="N46" s="61"/>
      <c r="O46" s="144"/>
      <c r="P46" s="139"/>
      <c r="Q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2"/>
      <c r="B47" s="18"/>
      <c r="C47" s="61"/>
      <c r="D47" s="61"/>
      <c r="E47" s="32" t="s">
        <v>1576</v>
      </c>
      <c r="F47" s="11"/>
      <c r="G47" s="11"/>
      <c r="H47" s="11"/>
      <c r="I47" s="11">
        <v>90.0</v>
      </c>
      <c r="J47" s="11"/>
      <c r="K47" s="11"/>
      <c r="L47" s="11"/>
      <c r="M47" s="11"/>
      <c r="N47" s="61"/>
      <c r="O47" s="144"/>
      <c r="P47" s="139"/>
      <c r="Q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2"/>
      <c r="B48" s="18"/>
      <c r="C48" s="61"/>
      <c r="D48" s="61"/>
      <c r="E48" s="32" t="s">
        <v>1577</v>
      </c>
      <c r="F48" s="11"/>
      <c r="G48" s="11"/>
      <c r="H48" s="11"/>
      <c r="I48" s="11">
        <v>90.0</v>
      </c>
      <c r="J48" s="11"/>
      <c r="K48" s="11"/>
      <c r="L48" s="11"/>
      <c r="M48" s="11"/>
      <c r="N48" s="61"/>
      <c r="O48" s="144"/>
      <c r="P48" s="139"/>
      <c r="Q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2"/>
      <c r="B49" s="18"/>
      <c r="C49" s="61"/>
      <c r="D49" s="61"/>
      <c r="E49" s="32" t="s">
        <v>1578</v>
      </c>
      <c r="F49" s="11"/>
      <c r="G49" s="11"/>
      <c r="H49" s="11"/>
      <c r="I49" s="11">
        <v>90.0</v>
      </c>
      <c r="J49" s="11"/>
      <c r="K49" s="11"/>
      <c r="L49" s="11"/>
      <c r="M49" s="11"/>
      <c r="N49" s="61"/>
      <c r="O49" s="144"/>
      <c r="P49" s="139"/>
      <c r="Q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2"/>
      <c r="B50" s="18"/>
      <c r="C50" s="61"/>
      <c r="D50" s="61"/>
      <c r="E50" s="32" t="s">
        <v>1579</v>
      </c>
      <c r="F50" s="11"/>
      <c r="G50" s="11"/>
      <c r="H50" s="11"/>
      <c r="I50" s="11">
        <v>90.0</v>
      </c>
      <c r="J50" s="11"/>
      <c r="K50" s="11"/>
      <c r="L50" s="11"/>
      <c r="M50" s="11"/>
      <c r="N50" s="61"/>
      <c r="O50" s="144"/>
      <c r="P50" s="139"/>
      <c r="Q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2"/>
      <c r="B51" s="18"/>
      <c r="C51" s="61"/>
      <c r="D51" s="61"/>
      <c r="E51" s="32" t="s">
        <v>1580</v>
      </c>
      <c r="F51" s="11"/>
      <c r="G51" s="11"/>
      <c r="H51" s="11"/>
      <c r="I51" s="11">
        <v>90.0</v>
      </c>
      <c r="J51" s="11"/>
      <c r="K51" s="11"/>
      <c r="L51" s="11"/>
      <c r="M51" s="11"/>
      <c r="N51" s="61"/>
      <c r="O51" s="144"/>
      <c r="P51" s="139"/>
      <c r="Q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2"/>
      <c r="B52" s="35"/>
      <c r="C52" s="73"/>
      <c r="D52" s="73"/>
      <c r="E52" s="49" t="s">
        <v>1581</v>
      </c>
      <c r="F52" s="36"/>
      <c r="G52" s="36"/>
      <c r="H52" s="36"/>
      <c r="I52" s="36">
        <v>90.0</v>
      </c>
      <c r="J52" s="36"/>
      <c r="K52" s="36"/>
      <c r="L52" s="36"/>
      <c r="M52" s="36"/>
      <c r="N52" s="73"/>
      <c r="O52" s="145"/>
      <c r="P52" s="142"/>
      <c r="Q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2"/>
      <c r="B53" s="2"/>
      <c r="C53" s="2"/>
      <c r="D53" s="2"/>
      <c r="E53" s="132"/>
      <c r="F53" s="2"/>
      <c r="G53" s="2"/>
      <c r="H53" s="2"/>
      <c r="I53" s="2"/>
      <c r="J53" s="2"/>
      <c r="K53" s="2"/>
      <c r="L53" s="2"/>
      <c r="M53" s="2"/>
      <c r="N53" s="1"/>
      <c r="O53" s="1"/>
      <c r="P53" s="126"/>
      <c r="Q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2"/>
      <c r="B54" s="2"/>
      <c r="C54" s="2"/>
      <c r="Q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2"/>
      <c r="B55" s="2"/>
      <c r="C55" s="2"/>
      <c r="D55" s="1" t="s">
        <v>383</v>
      </c>
      <c r="E55" s="132" t="s">
        <v>463</v>
      </c>
      <c r="F55" s="2"/>
      <c r="G55" s="1" t="s">
        <v>1582</v>
      </c>
      <c r="H55" s="1" t="s">
        <v>1583</v>
      </c>
      <c r="I55" s="1">
        <v>0.0</v>
      </c>
      <c r="J55" s="2"/>
      <c r="K55" s="2"/>
      <c r="L55" s="2"/>
      <c r="M55" s="2"/>
      <c r="N55" s="1"/>
      <c r="O55" s="1"/>
      <c r="P55" s="146">
        <v>1100.0</v>
      </c>
      <c r="Q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2"/>
      <c r="B56" s="147" t="s">
        <v>1584</v>
      </c>
      <c r="C56" s="42" t="s">
        <v>1585</v>
      </c>
      <c r="D56" s="42" t="s">
        <v>1586</v>
      </c>
      <c r="E56" s="43" t="s">
        <v>1587</v>
      </c>
      <c r="F56" s="42"/>
      <c r="G56" s="42" t="s">
        <v>1582</v>
      </c>
      <c r="H56" s="42" t="s">
        <v>1588</v>
      </c>
      <c r="I56" s="148">
        <v>0.0</v>
      </c>
      <c r="J56" s="149" t="s">
        <v>1589</v>
      </c>
      <c r="K56" s="149"/>
      <c r="L56" s="149"/>
      <c r="M56" s="149"/>
      <c r="N56" s="150"/>
      <c r="O56" s="151"/>
      <c r="P56" s="152">
        <v>1.0</v>
      </c>
      <c r="Q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2"/>
      <c r="B57" s="18"/>
      <c r="C57" s="11" t="s">
        <v>1590</v>
      </c>
      <c r="D57" s="11" t="s">
        <v>1586</v>
      </c>
      <c r="E57" s="140" t="s">
        <v>1591</v>
      </c>
      <c r="F57" s="11"/>
      <c r="G57" s="11" t="s">
        <v>1582</v>
      </c>
      <c r="H57" s="11" t="s">
        <v>1588</v>
      </c>
      <c r="I57" s="153">
        <v>0.0</v>
      </c>
      <c r="J57" s="138" t="s">
        <v>1589</v>
      </c>
      <c r="K57" s="138"/>
      <c r="L57" s="138"/>
      <c r="M57" s="138"/>
      <c r="N57" s="154"/>
      <c r="O57" s="155"/>
      <c r="P57" s="156">
        <v>400.0</v>
      </c>
      <c r="Q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18"/>
      <c r="C58" s="11" t="s">
        <v>1592</v>
      </c>
      <c r="D58" s="11" t="s">
        <v>1586</v>
      </c>
      <c r="E58" s="140" t="s">
        <v>1593</v>
      </c>
      <c r="F58" s="11"/>
      <c r="G58" s="11" t="s">
        <v>1582</v>
      </c>
      <c r="H58" s="11" t="s">
        <v>1588</v>
      </c>
      <c r="I58" s="153">
        <v>0.0</v>
      </c>
      <c r="J58" s="138" t="s">
        <v>1589</v>
      </c>
      <c r="K58" s="138"/>
      <c r="L58" s="138"/>
      <c r="M58" s="138"/>
      <c r="N58" s="154"/>
      <c r="O58" s="155"/>
      <c r="P58" s="156">
        <v>900.0</v>
      </c>
      <c r="Q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18"/>
      <c r="C59" s="11" t="s">
        <v>1594</v>
      </c>
      <c r="D59" s="11" t="s">
        <v>1586</v>
      </c>
      <c r="E59" s="140" t="s">
        <v>1595</v>
      </c>
      <c r="F59" s="11"/>
      <c r="G59" s="11" t="s">
        <v>1582</v>
      </c>
      <c r="H59" s="11" t="s">
        <v>1588</v>
      </c>
      <c r="I59" s="153">
        <v>180.0</v>
      </c>
      <c r="J59" s="138" t="s">
        <v>1589</v>
      </c>
      <c r="K59" s="138"/>
      <c r="L59" s="138"/>
      <c r="M59" s="138"/>
      <c r="N59" s="154"/>
      <c r="O59" s="155"/>
      <c r="P59" s="156">
        <v>700.0</v>
      </c>
      <c r="Q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18"/>
      <c r="C60" s="11" t="s">
        <v>1596</v>
      </c>
      <c r="D60" s="11" t="s">
        <v>1586</v>
      </c>
      <c r="E60" s="32" t="s">
        <v>1597</v>
      </c>
      <c r="F60" s="11"/>
      <c r="G60" s="11" t="s">
        <v>1582</v>
      </c>
      <c r="H60" s="11" t="s">
        <v>1588</v>
      </c>
      <c r="I60" s="153">
        <v>90.0</v>
      </c>
      <c r="J60" s="138" t="s">
        <v>1589</v>
      </c>
      <c r="K60" s="138"/>
      <c r="L60" s="138"/>
      <c r="M60" s="138"/>
      <c r="N60" s="154"/>
      <c r="O60" s="155"/>
      <c r="P60" s="156">
        <v>700.0</v>
      </c>
      <c r="Q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2"/>
      <c r="B61" s="18"/>
      <c r="C61" s="11" t="s">
        <v>1598</v>
      </c>
      <c r="D61" s="11" t="s">
        <v>1586</v>
      </c>
      <c r="E61" s="32" t="s">
        <v>1599</v>
      </c>
      <c r="F61" s="11"/>
      <c r="G61" s="11" t="s">
        <v>1582</v>
      </c>
      <c r="H61" s="11" t="s">
        <v>1588</v>
      </c>
      <c r="I61" s="153">
        <v>90.0</v>
      </c>
      <c r="J61" s="138" t="s">
        <v>1589</v>
      </c>
      <c r="K61" s="138"/>
      <c r="L61" s="138"/>
      <c r="M61" s="138"/>
      <c r="N61" s="154"/>
      <c r="O61" s="155"/>
      <c r="P61" s="156">
        <v>800.0</v>
      </c>
      <c r="Q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2"/>
      <c r="B62" s="18"/>
      <c r="C62" s="11" t="s">
        <v>1600</v>
      </c>
      <c r="D62" s="11" t="s">
        <v>1586</v>
      </c>
      <c r="E62" s="32" t="s">
        <v>1601</v>
      </c>
      <c r="F62" s="11"/>
      <c r="G62" s="11" t="s">
        <v>1582</v>
      </c>
      <c r="H62" s="11" t="s">
        <v>1588</v>
      </c>
      <c r="I62" s="153">
        <v>90.0</v>
      </c>
      <c r="J62" s="138" t="s">
        <v>1589</v>
      </c>
      <c r="K62" s="138"/>
      <c r="L62" s="138"/>
      <c r="M62" s="138"/>
      <c r="N62" s="154"/>
      <c r="O62" s="155"/>
      <c r="P62" s="156">
        <v>700.0</v>
      </c>
      <c r="Q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2"/>
      <c r="B63" s="18"/>
      <c r="C63" s="11" t="s">
        <v>1602</v>
      </c>
      <c r="D63" s="11" t="s">
        <v>1586</v>
      </c>
      <c r="E63" s="32" t="s">
        <v>1603</v>
      </c>
      <c r="F63" s="11"/>
      <c r="G63" s="11" t="s">
        <v>1582</v>
      </c>
      <c r="H63" s="11" t="s">
        <v>1588</v>
      </c>
      <c r="I63" s="153">
        <v>90.0</v>
      </c>
      <c r="J63" s="138" t="s">
        <v>1589</v>
      </c>
      <c r="K63" s="138"/>
      <c r="L63" s="138"/>
      <c r="M63" s="138"/>
      <c r="N63" s="154"/>
      <c r="O63" s="155"/>
      <c r="P63" s="156">
        <v>700.0</v>
      </c>
      <c r="Q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2"/>
      <c r="B64" s="18"/>
      <c r="C64" s="11" t="s">
        <v>1604</v>
      </c>
      <c r="D64" s="11" t="s">
        <v>1586</v>
      </c>
      <c r="E64" s="32" t="s">
        <v>1605</v>
      </c>
      <c r="F64" s="11"/>
      <c r="G64" s="11" t="s">
        <v>1582</v>
      </c>
      <c r="H64" s="11" t="s">
        <v>1588</v>
      </c>
      <c r="I64" s="153">
        <v>180.0</v>
      </c>
      <c r="J64" s="138" t="s">
        <v>1589</v>
      </c>
      <c r="K64" s="138"/>
      <c r="L64" s="138"/>
      <c r="M64" s="138"/>
      <c r="N64" s="153">
        <v>50.0</v>
      </c>
      <c r="O64" s="157" t="s">
        <v>1554</v>
      </c>
      <c r="P64" s="156">
        <v>500.0</v>
      </c>
      <c r="Q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2"/>
      <c r="B65" s="18"/>
      <c r="C65" s="11" t="s">
        <v>1606</v>
      </c>
      <c r="D65" s="11" t="s">
        <v>1586</v>
      </c>
      <c r="E65" s="32" t="s">
        <v>1607</v>
      </c>
      <c r="F65" s="11"/>
      <c r="G65" s="11" t="s">
        <v>1582</v>
      </c>
      <c r="H65" s="11" t="s">
        <v>1588</v>
      </c>
      <c r="I65" s="153">
        <v>180.0</v>
      </c>
      <c r="J65" s="138" t="s">
        <v>1589</v>
      </c>
      <c r="K65" s="138"/>
      <c r="L65" s="138"/>
      <c r="M65" s="138"/>
      <c r="N65" s="154"/>
      <c r="O65" s="155"/>
      <c r="P65" s="156">
        <v>800.0</v>
      </c>
      <c r="Q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2"/>
      <c r="B66" s="18"/>
      <c r="C66" s="11" t="s">
        <v>1608</v>
      </c>
      <c r="D66" s="11" t="s">
        <v>1586</v>
      </c>
      <c r="E66" s="32" t="s">
        <v>1609</v>
      </c>
      <c r="F66" s="11"/>
      <c r="G66" s="11" t="s">
        <v>1582</v>
      </c>
      <c r="H66" s="11" t="s">
        <v>1588</v>
      </c>
      <c r="I66" s="11">
        <v>90.0</v>
      </c>
      <c r="J66" s="138" t="s">
        <v>1589</v>
      </c>
      <c r="K66" s="138"/>
      <c r="L66" s="138"/>
      <c r="M66" s="138"/>
      <c r="N66" s="154"/>
      <c r="O66" s="155"/>
      <c r="P66" s="156">
        <v>700.0</v>
      </c>
      <c r="Q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2"/>
      <c r="B67" s="18"/>
      <c r="C67" s="11" t="s">
        <v>1610</v>
      </c>
      <c r="D67" s="11" t="s">
        <v>1586</v>
      </c>
      <c r="E67" s="32" t="s">
        <v>1611</v>
      </c>
      <c r="F67" s="11"/>
      <c r="G67" s="11" t="s">
        <v>1582</v>
      </c>
      <c r="H67" s="11" t="s">
        <v>1588</v>
      </c>
      <c r="I67" s="153">
        <v>90.0</v>
      </c>
      <c r="J67" s="138" t="s">
        <v>1589</v>
      </c>
      <c r="K67" s="138"/>
      <c r="L67" s="138"/>
      <c r="M67" s="138"/>
      <c r="N67" s="154"/>
      <c r="O67" s="155"/>
      <c r="P67" s="156">
        <v>700.0</v>
      </c>
      <c r="Q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2"/>
      <c r="B68" s="18"/>
      <c r="C68" s="11" t="s">
        <v>1612</v>
      </c>
      <c r="D68" s="11" t="s">
        <v>1586</v>
      </c>
      <c r="E68" s="32" t="s">
        <v>1613</v>
      </c>
      <c r="F68" s="11"/>
      <c r="G68" s="11" t="s">
        <v>1582</v>
      </c>
      <c r="H68" s="11" t="s">
        <v>1588</v>
      </c>
      <c r="I68" s="153">
        <v>90.0</v>
      </c>
      <c r="J68" s="138" t="s">
        <v>1589</v>
      </c>
      <c r="K68" s="138"/>
      <c r="L68" s="138"/>
      <c r="M68" s="138"/>
      <c r="N68" s="154"/>
      <c r="O68" s="155"/>
      <c r="P68" s="156">
        <v>800.0</v>
      </c>
      <c r="Q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2"/>
      <c r="B69" s="18"/>
      <c r="C69" s="11" t="s">
        <v>1614</v>
      </c>
      <c r="D69" s="11" t="s">
        <v>1586</v>
      </c>
      <c r="E69" s="32" t="s">
        <v>1615</v>
      </c>
      <c r="F69" s="11"/>
      <c r="G69" s="11" t="s">
        <v>1582</v>
      </c>
      <c r="H69" s="11" t="s">
        <v>1588</v>
      </c>
      <c r="I69" s="153">
        <v>90.0</v>
      </c>
      <c r="J69" s="138" t="s">
        <v>1589</v>
      </c>
      <c r="K69" s="138"/>
      <c r="L69" s="138"/>
      <c r="M69" s="138"/>
      <c r="N69" s="154"/>
      <c r="O69" s="155"/>
      <c r="P69" s="156">
        <v>800.0</v>
      </c>
      <c r="Q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2"/>
      <c r="B70" s="18"/>
      <c r="C70" s="11" t="s">
        <v>1616</v>
      </c>
      <c r="D70" s="11" t="s">
        <v>1586</v>
      </c>
      <c r="E70" s="32" t="s">
        <v>1617</v>
      </c>
      <c r="F70" s="11"/>
      <c r="G70" s="11" t="s">
        <v>1582</v>
      </c>
      <c r="H70" s="11" t="s">
        <v>1588</v>
      </c>
      <c r="I70" s="153">
        <v>90.0</v>
      </c>
      <c r="J70" s="138" t="s">
        <v>1589</v>
      </c>
      <c r="K70" s="138"/>
      <c r="L70" s="138"/>
      <c r="M70" s="138"/>
      <c r="N70" s="154"/>
      <c r="O70" s="155"/>
      <c r="P70" s="156">
        <v>1000.0</v>
      </c>
      <c r="Q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2"/>
      <c r="B71" s="18"/>
      <c r="C71" s="11" t="s">
        <v>1618</v>
      </c>
      <c r="D71" s="11" t="s">
        <v>1586</v>
      </c>
      <c r="E71" s="32" t="s">
        <v>1619</v>
      </c>
      <c r="F71" s="11"/>
      <c r="G71" s="11" t="s">
        <v>1582</v>
      </c>
      <c r="H71" s="11" t="s">
        <v>1588</v>
      </c>
      <c r="I71" s="153">
        <v>90.0</v>
      </c>
      <c r="J71" s="138" t="s">
        <v>1589</v>
      </c>
      <c r="K71" s="138"/>
      <c r="L71" s="138"/>
      <c r="M71" s="138"/>
      <c r="N71" s="154"/>
      <c r="O71" s="155"/>
      <c r="P71" s="156">
        <v>1600.0</v>
      </c>
      <c r="Q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2"/>
      <c r="B72" s="18"/>
      <c r="C72" s="11" t="s">
        <v>1620</v>
      </c>
      <c r="D72" s="11" t="s">
        <v>1586</v>
      </c>
      <c r="E72" s="32" t="s">
        <v>1621</v>
      </c>
      <c r="F72" s="11"/>
      <c r="G72" s="11" t="s">
        <v>1582</v>
      </c>
      <c r="H72" s="11" t="s">
        <v>1588</v>
      </c>
      <c r="I72" s="153">
        <v>90.0</v>
      </c>
      <c r="J72" s="138" t="s">
        <v>1589</v>
      </c>
      <c r="K72" s="138"/>
      <c r="L72" s="138"/>
      <c r="M72" s="138"/>
      <c r="N72" s="154"/>
      <c r="O72" s="155"/>
      <c r="P72" s="156">
        <v>2000.0</v>
      </c>
      <c r="Q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18"/>
      <c r="C73" s="11" t="s">
        <v>1622</v>
      </c>
      <c r="D73" s="11" t="s">
        <v>1586</v>
      </c>
      <c r="E73" s="32" t="s">
        <v>1623</v>
      </c>
      <c r="F73" s="11"/>
      <c r="G73" s="11" t="s">
        <v>1582</v>
      </c>
      <c r="H73" s="11" t="s">
        <v>1588</v>
      </c>
      <c r="I73" s="153">
        <v>90.0</v>
      </c>
      <c r="J73" s="138" t="s">
        <v>1589</v>
      </c>
      <c r="K73" s="138"/>
      <c r="L73" s="138"/>
      <c r="M73" s="138"/>
      <c r="N73" s="154"/>
      <c r="O73" s="155"/>
      <c r="P73" s="139">
        <v>2000.0</v>
      </c>
      <c r="Q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35"/>
      <c r="C74" s="36" t="s">
        <v>1624</v>
      </c>
      <c r="D74" s="36" t="s">
        <v>1586</v>
      </c>
      <c r="E74" s="158" t="s">
        <v>1625</v>
      </c>
      <c r="F74" s="36"/>
      <c r="G74" s="36" t="s">
        <v>1582</v>
      </c>
      <c r="H74" s="36" t="s">
        <v>1588</v>
      </c>
      <c r="I74" s="159">
        <v>90.0</v>
      </c>
      <c r="J74" s="141" t="s">
        <v>1589</v>
      </c>
      <c r="K74" s="141"/>
      <c r="L74" s="141"/>
      <c r="M74" s="141"/>
      <c r="N74" s="160"/>
      <c r="O74" s="161"/>
      <c r="P74" s="142">
        <v>900.0</v>
      </c>
      <c r="Q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147" t="s">
        <v>83</v>
      </c>
      <c r="C75" s="42" t="s">
        <v>1626</v>
      </c>
      <c r="D75" s="42" t="s">
        <v>1586</v>
      </c>
      <c r="E75" s="43" t="s">
        <v>1627</v>
      </c>
      <c r="F75" s="42"/>
      <c r="G75" s="42" t="s">
        <v>1582</v>
      </c>
      <c r="H75" s="42" t="s">
        <v>1628</v>
      </c>
      <c r="I75" s="148">
        <v>0.0</v>
      </c>
      <c r="J75" s="149" t="s">
        <v>1589</v>
      </c>
      <c r="K75" s="149"/>
      <c r="L75" s="149"/>
      <c r="M75" s="149"/>
      <c r="N75" s="150"/>
      <c r="O75" s="151"/>
      <c r="P75" s="136">
        <v>1.0</v>
      </c>
      <c r="Q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18"/>
      <c r="C76" s="11" t="s">
        <v>1629</v>
      </c>
      <c r="D76" s="11" t="s">
        <v>1586</v>
      </c>
      <c r="E76" s="140" t="s">
        <v>1630</v>
      </c>
      <c r="F76" s="11"/>
      <c r="G76" s="11" t="s">
        <v>1582</v>
      </c>
      <c r="H76" s="11" t="s">
        <v>1628</v>
      </c>
      <c r="I76" s="153">
        <v>0.0</v>
      </c>
      <c r="J76" s="138" t="s">
        <v>1589</v>
      </c>
      <c r="K76" s="138"/>
      <c r="L76" s="138"/>
      <c r="M76" s="138"/>
      <c r="N76" s="154"/>
      <c r="O76" s="155"/>
      <c r="P76" s="139">
        <v>400.0</v>
      </c>
      <c r="Q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2"/>
      <c r="B77" s="18"/>
      <c r="C77" s="11" t="s">
        <v>1631</v>
      </c>
      <c r="D77" s="11" t="s">
        <v>1586</v>
      </c>
      <c r="E77" s="140" t="s">
        <v>1632</v>
      </c>
      <c r="F77" s="11"/>
      <c r="G77" s="11" t="s">
        <v>1582</v>
      </c>
      <c r="H77" s="11" t="s">
        <v>1628</v>
      </c>
      <c r="I77" s="153">
        <v>0.0</v>
      </c>
      <c r="J77" s="138" t="s">
        <v>1589</v>
      </c>
      <c r="K77" s="138"/>
      <c r="L77" s="138"/>
      <c r="M77" s="138"/>
      <c r="N77" s="154"/>
      <c r="O77" s="155"/>
      <c r="P77" s="139">
        <v>1000.0</v>
      </c>
      <c r="Q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"/>
      <c r="B78" s="18"/>
      <c r="C78" s="11" t="s">
        <v>1633</v>
      </c>
      <c r="D78" s="11" t="s">
        <v>1586</v>
      </c>
      <c r="E78" s="140" t="s">
        <v>1634</v>
      </c>
      <c r="F78" s="11"/>
      <c r="G78" s="11" t="s">
        <v>1582</v>
      </c>
      <c r="H78" s="11" t="s">
        <v>1628</v>
      </c>
      <c r="I78" s="153">
        <v>180.0</v>
      </c>
      <c r="J78" s="138" t="s">
        <v>1589</v>
      </c>
      <c r="K78" s="138"/>
      <c r="L78" s="138"/>
      <c r="M78" s="138"/>
      <c r="N78" s="154"/>
      <c r="O78" s="155"/>
      <c r="P78" s="139">
        <v>800.0</v>
      </c>
      <c r="Q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2"/>
      <c r="B79" s="18"/>
      <c r="C79" s="11" t="s">
        <v>1635</v>
      </c>
      <c r="D79" s="11" t="s">
        <v>1586</v>
      </c>
      <c r="E79" s="32" t="s">
        <v>1636</v>
      </c>
      <c r="F79" s="11"/>
      <c r="G79" s="11" t="s">
        <v>1582</v>
      </c>
      <c r="H79" s="11" t="s">
        <v>1628</v>
      </c>
      <c r="I79" s="153">
        <v>90.0</v>
      </c>
      <c r="J79" s="138" t="s">
        <v>1589</v>
      </c>
      <c r="K79" s="138"/>
      <c r="L79" s="138"/>
      <c r="M79" s="138"/>
      <c r="N79" s="154"/>
      <c r="O79" s="155"/>
      <c r="P79" s="139">
        <v>900.0</v>
      </c>
      <c r="Q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2"/>
      <c r="B80" s="18"/>
      <c r="C80" s="11" t="s">
        <v>1637</v>
      </c>
      <c r="D80" s="11" t="s">
        <v>1586</v>
      </c>
      <c r="E80" s="32" t="s">
        <v>1638</v>
      </c>
      <c r="F80" s="11"/>
      <c r="G80" s="11" t="s">
        <v>1582</v>
      </c>
      <c r="H80" s="11" t="s">
        <v>1628</v>
      </c>
      <c r="I80" s="153">
        <v>90.0</v>
      </c>
      <c r="J80" s="138" t="s">
        <v>1589</v>
      </c>
      <c r="K80" s="138"/>
      <c r="L80" s="138"/>
      <c r="M80" s="138"/>
      <c r="N80" s="154"/>
      <c r="O80" s="155"/>
      <c r="P80" s="139">
        <v>900.0</v>
      </c>
      <c r="Q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2"/>
      <c r="B81" s="18"/>
      <c r="C81" s="11" t="s">
        <v>1639</v>
      </c>
      <c r="D81" s="11" t="s">
        <v>1586</v>
      </c>
      <c r="E81" s="32" t="s">
        <v>1640</v>
      </c>
      <c r="F81" s="11"/>
      <c r="G81" s="11" t="s">
        <v>1582</v>
      </c>
      <c r="H81" s="11" t="s">
        <v>1628</v>
      </c>
      <c r="I81" s="153">
        <v>90.0</v>
      </c>
      <c r="J81" s="138" t="s">
        <v>1589</v>
      </c>
      <c r="K81" s="138"/>
      <c r="L81" s="138"/>
      <c r="M81" s="138"/>
      <c r="N81" s="153">
        <v>20.0</v>
      </c>
      <c r="O81" s="157" t="s">
        <v>1554</v>
      </c>
      <c r="P81" s="139">
        <v>2000.0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2"/>
      <c r="B82" s="18"/>
      <c r="C82" s="11" t="s">
        <v>1641</v>
      </c>
      <c r="D82" s="11" t="s">
        <v>1586</v>
      </c>
      <c r="E82" s="32" t="s">
        <v>1642</v>
      </c>
      <c r="F82" s="11"/>
      <c r="G82" s="11" t="s">
        <v>1582</v>
      </c>
      <c r="H82" s="11" t="s">
        <v>1628</v>
      </c>
      <c r="I82" s="153">
        <v>90.0</v>
      </c>
      <c r="J82" s="138" t="s">
        <v>1589</v>
      </c>
      <c r="K82" s="138"/>
      <c r="L82" s="138"/>
      <c r="M82" s="138"/>
      <c r="N82" s="154"/>
      <c r="O82" s="155"/>
      <c r="P82" s="139">
        <v>800.0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2"/>
      <c r="B83" s="18"/>
      <c r="C83" s="11" t="s">
        <v>1643</v>
      </c>
      <c r="D83" s="11" t="s">
        <v>1586</v>
      </c>
      <c r="E83" s="32" t="s">
        <v>1644</v>
      </c>
      <c r="F83" s="11"/>
      <c r="G83" s="11" t="s">
        <v>1582</v>
      </c>
      <c r="H83" s="11" t="s">
        <v>1628</v>
      </c>
      <c r="I83" s="153">
        <v>90.0</v>
      </c>
      <c r="J83" s="138" t="s">
        <v>1589</v>
      </c>
      <c r="K83" s="138"/>
      <c r="L83" s="138"/>
      <c r="M83" s="138"/>
      <c r="N83" s="154"/>
      <c r="O83" s="155"/>
      <c r="P83" s="139">
        <v>900.0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2"/>
      <c r="B84" s="18"/>
      <c r="C84" s="11" t="s">
        <v>1645</v>
      </c>
      <c r="D84" s="11" t="s">
        <v>1586</v>
      </c>
      <c r="E84" s="32" t="s">
        <v>1646</v>
      </c>
      <c r="F84" s="11"/>
      <c r="G84" s="11" t="s">
        <v>1582</v>
      </c>
      <c r="H84" s="11" t="s">
        <v>1628</v>
      </c>
      <c r="I84" s="153">
        <v>180.0</v>
      </c>
      <c r="J84" s="138" t="s">
        <v>1589</v>
      </c>
      <c r="K84" s="138"/>
      <c r="L84" s="138"/>
      <c r="M84" s="138"/>
      <c r="N84" s="153">
        <v>50.0</v>
      </c>
      <c r="O84" s="157" t="s">
        <v>1554</v>
      </c>
      <c r="P84" s="139">
        <v>800.0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2"/>
      <c r="B85" s="18"/>
      <c r="C85" s="11" t="s">
        <v>1647</v>
      </c>
      <c r="D85" s="11" t="s">
        <v>1586</v>
      </c>
      <c r="E85" s="32" t="s">
        <v>1648</v>
      </c>
      <c r="F85" s="11"/>
      <c r="G85" s="11" t="s">
        <v>1582</v>
      </c>
      <c r="H85" s="11" t="s">
        <v>1628</v>
      </c>
      <c r="I85" s="153">
        <v>180.0</v>
      </c>
      <c r="J85" s="138" t="s">
        <v>1589</v>
      </c>
      <c r="K85" s="138"/>
      <c r="L85" s="138"/>
      <c r="M85" s="138"/>
      <c r="N85" s="154"/>
      <c r="O85" s="155"/>
      <c r="P85" s="139">
        <v>800.0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18"/>
      <c r="C86" s="11" t="s">
        <v>1649</v>
      </c>
      <c r="D86" s="11" t="s">
        <v>1586</v>
      </c>
      <c r="E86" s="32" t="s">
        <v>1650</v>
      </c>
      <c r="F86" s="11"/>
      <c r="G86" s="11" t="s">
        <v>1582</v>
      </c>
      <c r="H86" s="11" t="s">
        <v>1628</v>
      </c>
      <c r="I86" s="11">
        <v>90.0</v>
      </c>
      <c r="J86" s="138" t="s">
        <v>1589</v>
      </c>
      <c r="K86" s="138"/>
      <c r="L86" s="138"/>
      <c r="M86" s="138"/>
      <c r="N86" s="154"/>
      <c r="O86" s="155"/>
      <c r="P86" s="139">
        <v>900.0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18"/>
      <c r="C87" s="11" t="s">
        <v>1651</v>
      </c>
      <c r="D87" s="11" t="s">
        <v>1586</v>
      </c>
      <c r="E87" s="32" t="s">
        <v>1652</v>
      </c>
      <c r="F87" s="11"/>
      <c r="G87" s="11" t="s">
        <v>1582</v>
      </c>
      <c r="H87" s="11" t="s">
        <v>1628</v>
      </c>
      <c r="I87" s="153">
        <v>90.0</v>
      </c>
      <c r="J87" s="138" t="s">
        <v>1589</v>
      </c>
      <c r="K87" s="138"/>
      <c r="L87" s="138"/>
      <c r="M87" s="138"/>
      <c r="N87" s="154"/>
      <c r="O87" s="155"/>
      <c r="P87" s="139">
        <v>900.0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18"/>
      <c r="C88" s="11" t="s">
        <v>1653</v>
      </c>
      <c r="D88" s="11" t="s">
        <v>1586</v>
      </c>
      <c r="E88" s="32" t="s">
        <v>1654</v>
      </c>
      <c r="F88" s="11"/>
      <c r="G88" s="11" t="s">
        <v>1582</v>
      </c>
      <c r="H88" s="11" t="s">
        <v>1628</v>
      </c>
      <c r="I88" s="153">
        <v>90.0</v>
      </c>
      <c r="J88" s="138" t="s">
        <v>1589</v>
      </c>
      <c r="K88" s="138"/>
      <c r="L88" s="138"/>
      <c r="M88" s="138"/>
      <c r="N88" s="154"/>
      <c r="O88" s="155"/>
      <c r="P88" s="139">
        <v>1000.0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18"/>
      <c r="C89" s="11" t="s">
        <v>1655</v>
      </c>
      <c r="D89" s="11" t="s">
        <v>1586</v>
      </c>
      <c r="E89" s="32" t="s">
        <v>1656</v>
      </c>
      <c r="F89" s="11"/>
      <c r="G89" s="11" t="s">
        <v>1582</v>
      </c>
      <c r="H89" s="11" t="s">
        <v>1628</v>
      </c>
      <c r="I89" s="153">
        <v>90.0</v>
      </c>
      <c r="J89" s="138" t="s">
        <v>1589</v>
      </c>
      <c r="K89" s="138"/>
      <c r="L89" s="138"/>
      <c r="M89" s="138"/>
      <c r="N89" s="154"/>
      <c r="O89" s="155"/>
      <c r="P89" s="139">
        <v>1000.0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18"/>
      <c r="C90" s="11" t="s">
        <v>1657</v>
      </c>
      <c r="D90" s="11" t="s">
        <v>1586</v>
      </c>
      <c r="E90" s="32" t="s">
        <v>1658</v>
      </c>
      <c r="F90" s="11"/>
      <c r="G90" s="11" t="s">
        <v>1582</v>
      </c>
      <c r="H90" s="11" t="s">
        <v>1628</v>
      </c>
      <c r="I90" s="153">
        <v>90.0</v>
      </c>
      <c r="J90" s="138" t="s">
        <v>1589</v>
      </c>
      <c r="K90" s="138"/>
      <c r="L90" s="138"/>
      <c r="M90" s="138"/>
      <c r="N90" s="154"/>
      <c r="O90" s="155"/>
      <c r="P90" s="139">
        <v>1200.0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18"/>
      <c r="C91" s="11" t="s">
        <v>1659</v>
      </c>
      <c r="D91" s="11" t="s">
        <v>1586</v>
      </c>
      <c r="E91" s="32" t="s">
        <v>1660</v>
      </c>
      <c r="F91" s="11"/>
      <c r="G91" s="11" t="s">
        <v>1582</v>
      </c>
      <c r="H91" s="11" t="s">
        <v>1628</v>
      </c>
      <c r="I91" s="153">
        <v>90.0</v>
      </c>
      <c r="J91" s="138" t="s">
        <v>1589</v>
      </c>
      <c r="K91" s="138"/>
      <c r="L91" s="138"/>
      <c r="M91" s="138"/>
      <c r="N91" s="154"/>
      <c r="O91" s="155"/>
      <c r="P91" s="139">
        <v>1800.0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18"/>
      <c r="C92" s="11" t="s">
        <v>1661</v>
      </c>
      <c r="D92" s="11" t="s">
        <v>1586</v>
      </c>
      <c r="E92" s="32" t="s">
        <v>1662</v>
      </c>
      <c r="F92" s="11"/>
      <c r="G92" s="11" t="s">
        <v>1582</v>
      </c>
      <c r="H92" s="11" t="s">
        <v>1628</v>
      </c>
      <c r="I92" s="153">
        <v>90.0</v>
      </c>
      <c r="J92" s="138" t="s">
        <v>1589</v>
      </c>
      <c r="K92" s="138"/>
      <c r="L92" s="138"/>
      <c r="M92" s="138"/>
      <c r="N92" s="154"/>
      <c r="O92" s="155"/>
      <c r="P92" s="139">
        <v>2000.0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18"/>
      <c r="C93" s="11" t="s">
        <v>1663</v>
      </c>
      <c r="D93" s="11" t="s">
        <v>1586</v>
      </c>
      <c r="E93" s="32" t="s">
        <v>1664</v>
      </c>
      <c r="F93" s="11"/>
      <c r="G93" s="11" t="s">
        <v>1582</v>
      </c>
      <c r="H93" s="11" t="s">
        <v>1628</v>
      </c>
      <c r="I93" s="153">
        <v>90.0</v>
      </c>
      <c r="J93" s="138" t="s">
        <v>1589</v>
      </c>
      <c r="K93" s="138"/>
      <c r="L93" s="138"/>
      <c r="M93" s="138"/>
      <c r="N93" s="154"/>
      <c r="O93" s="155"/>
      <c r="P93" s="139">
        <v>2000.0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35"/>
      <c r="C94" s="36" t="s">
        <v>1665</v>
      </c>
      <c r="D94" s="36" t="s">
        <v>1586</v>
      </c>
      <c r="E94" s="158" t="s">
        <v>1666</v>
      </c>
      <c r="F94" s="36"/>
      <c r="G94" s="36" t="s">
        <v>1582</v>
      </c>
      <c r="H94" s="36" t="s">
        <v>1628</v>
      </c>
      <c r="I94" s="159">
        <v>90.0</v>
      </c>
      <c r="J94" s="141" t="s">
        <v>1589</v>
      </c>
      <c r="K94" s="141"/>
      <c r="L94" s="141"/>
      <c r="M94" s="141"/>
      <c r="N94" s="160"/>
      <c r="O94" s="161"/>
      <c r="P94" s="142">
        <v>1000.0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147" t="s">
        <v>90</v>
      </c>
      <c r="C95" s="42" t="s">
        <v>1667</v>
      </c>
      <c r="D95" s="42" t="s">
        <v>1586</v>
      </c>
      <c r="E95" s="43" t="s">
        <v>1668</v>
      </c>
      <c r="F95" s="42"/>
      <c r="G95" s="42" t="s">
        <v>1582</v>
      </c>
      <c r="H95" s="42" t="s">
        <v>1669</v>
      </c>
      <c r="I95" s="148">
        <v>0.0</v>
      </c>
      <c r="J95" s="149" t="s">
        <v>1589</v>
      </c>
      <c r="K95" s="149"/>
      <c r="L95" s="149"/>
      <c r="M95" s="149"/>
      <c r="N95" s="150"/>
      <c r="O95" s="151"/>
      <c r="P95" s="136">
        <v>1.0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18"/>
      <c r="C96" s="11" t="s">
        <v>1670</v>
      </c>
      <c r="D96" s="11" t="s">
        <v>1586</v>
      </c>
      <c r="E96" s="140" t="s">
        <v>1671</v>
      </c>
      <c r="F96" s="11"/>
      <c r="G96" s="11" t="s">
        <v>1582</v>
      </c>
      <c r="H96" s="11" t="s">
        <v>1669</v>
      </c>
      <c r="I96" s="153">
        <v>0.0</v>
      </c>
      <c r="J96" s="138" t="s">
        <v>1589</v>
      </c>
      <c r="K96" s="138"/>
      <c r="L96" s="138"/>
      <c r="M96" s="138"/>
      <c r="N96" s="154"/>
      <c r="O96" s="155"/>
      <c r="P96" s="139">
        <v>400.0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18"/>
      <c r="C97" s="11" t="s">
        <v>1672</v>
      </c>
      <c r="D97" s="11" t="s">
        <v>1586</v>
      </c>
      <c r="E97" s="140" t="s">
        <v>1673</v>
      </c>
      <c r="F97" s="11"/>
      <c r="G97" s="11" t="s">
        <v>1582</v>
      </c>
      <c r="H97" s="11" t="s">
        <v>1669</v>
      </c>
      <c r="I97" s="153">
        <v>0.0</v>
      </c>
      <c r="J97" s="138" t="s">
        <v>1589</v>
      </c>
      <c r="K97" s="138"/>
      <c r="L97" s="138"/>
      <c r="M97" s="138"/>
      <c r="N97" s="154"/>
      <c r="O97" s="155"/>
      <c r="P97" s="139">
        <v>1000.0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18"/>
      <c r="C98" s="11" t="s">
        <v>1674</v>
      </c>
      <c r="D98" s="11" t="s">
        <v>1586</v>
      </c>
      <c r="E98" s="140" t="s">
        <v>1675</v>
      </c>
      <c r="F98" s="11"/>
      <c r="G98" s="11" t="s">
        <v>1582</v>
      </c>
      <c r="H98" s="11" t="s">
        <v>1669</v>
      </c>
      <c r="I98" s="153">
        <v>180.0</v>
      </c>
      <c r="J98" s="138" t="s">
        <v>1589</v>
      </c>
      <c r="K98" s="138"/>
      <c r="L98" s="138"/>
      <c r="M98" s="138"/>
      <c r="N98" s="154"/>
      <c r="O98" s="155"/>
      <c r="P98" s="139">
        <v>800.0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2"/>
      <c r="B99" s="18"/>
      <c r="C99" s="11" t="s">
        <v>1676</v>
      </c>
      <c r="D99" s="11" t="s">
        <v>1586</v>
      </c>
      <c r="E99" s="32" t="s">
        <v>1677</v>
      </c>
      <c r="F99" s="11"/>
      <c r="G99" s="11" t="s">
        <v>1582</v>
      </c>
      <c r="H99" s="11" t="s">
        <v>1669</v>
      </c>
      <c r="I99" s="153">
        <v>90.0</v>
      </c>
      <c r="J99" s="138" t="s">
        <v>1589</v>
      </c>
      <c r="K99" s="138"/>
      <c r="L99" s="138"/>
      <c r="M99" s="138"/>
      <c r="N99" s="154"/>
      <c r="O99" s="155"/>
      <c r="P99" s="139">
        <v>900.0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2"/>
      <c r="B100" s="18"/>
      <c r="C100" s="11" t="s">
        <v>1678</v>
      </c>
      <c r="D100" s="11" t="s">
        <v>1586</v>
      </c>
      <c r="E100" s="32" t="s">
        <v>1679</v>
      </c>
      <c r="F100" s="11"/>
      <c r="G100" s="11" t="s">
        <v>1582</v>
      </c>
      <c r="H100" s="11" t="s">
        <v>1669</v>
      </c>
      <c r="I100" s="153">
        <v>90.0</v>
      </c>
      <c r="J100" s="138" t="s">
        <v>1589</v>
      </c>
      <c r="K100" s="138"/>
      <c r="L100" s="138"/>
      <c r="M100" s="138"/>
      <c r="N100" s="154"/>
      <c r="O100" s="155"/>
      <c r="P100" s="139">
        <v>900.0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18"/>
      <c r="C101" s="11" t="s">
        <v>1680</v>
      </c>
      <c r="D101" s="11" t="s">
        <v>1586</v>
      </c>
      <c r="E101" s="32" t="s">
        <v>1681</v>
      </c>
      <c r="F101" s="11"/>
      <c r="G101" s="11" t="s">
        <v>1582</v>
      </c>
      <c r="H101" s="11" t="s">
        <v>1669</v>
      </c>
      <c r="I101" s="153">
        <v>90.0</v>
      </c>
      <c r="J101" s="138" t="s">
        <v>1589</v>
      </c>
      <c r="K101" s="138"/>
      <c r="L101" s="138"/>
      <c r="M101" s="138"/>
      <c r="N101" s="153">
        <v>20.0</v>
      </c>
      <c r="O101" s="157" t="s">
        <v>1554</v>
      </c>
      <c r="P101" s="139">
        <v>2000.0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2"/>
      <c r="B102" s="18"/>
      <c r="C102" s="11" t="s">
        <v>1682</v>
      </c>
      <c r="D102" s="11" t="s">
        <v>1586</v>
      </c>
      <c r="E102" s="32" t="s">
        <v>1683</v>
      </c>
      <c r="F102" s="11"/>
      <c r="G102" s="11" t="s">
        <v>1582</v>
      </c>
      <c r="H102" s="11" t="s">
        <v>1669</v>
      </c>
      <c r="I102" s="153">
        <v>90.0</v>
      </c>
      <c r="J102" s="138" t="s">
        <v>1589</v>
      </c>
      <c r="K102" s="138"/>
      <c r="L102" s="138"/>
      <c r="M102" s="138"/>
      <c r="N102" s="154"/>
      <c r="O102" s="155"/>
      <c r="P102" s="139">
        <v>800.0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18"/>
      <c r="C103" s="11" t="s">
        <v>1684</v>
      </c>
      <c r="D103" s="11" t="s">
        <v>1586</v>
      </c>
      <c r="E103" s="32" t="s">
        <v>1685</v>
      </c>
      <c r="F103" s="11"/>
      <c r="G103" s="11" t="s">
        <v>1582</v>
      </c>
      <c r="H103" s="11" t="s">
        <v>1669</v>
      </c>
      <c r="I103" s="153">
        <v>90.0</v>
      </c>
      <c r="J103" s="138" t="s">
        <v>1589</v>
      </c>
      <c r="K103" s="138"/>
      <c r="L103" s="138"/>
      <c r="M103" s="138"/>
      <c r="N103" s="154"/>
      <c r="O103" s="155"/>
      <c r="P103" s="139">
        <v>900.0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18"/>
      <c r="C104" s="11" t="s">
        <v>1686</v>
      </c>
      <c r="D104" s="11" t="s">
        <v>1586</v>
      </c>
      <c r="E104" s="32" t="s">
        <v>1687</v>
      </c>
      <c r="F104" s="11"/>
      <c r="G104" s="11" t="s">
        <v>1582</v>
      </c>
      <c r="H104" s="11" t="s">
        <v>1669</v>
      </c>
      <c r="I104" s="153">
        <v>180.0</v>
      </c>
      <c r="J104" s="138" t="s">
        <v>1589</v>
      </c>
      <c r="K104" s="138"/>
      <c r="L104" s="138"/>
      <c r="M104" s="138"/>
      <c r="N104" s="153">
        <v>50.0</v>
      </c>
      <c r="O104" s="157" t="s">
        <v>1554</v>
      </c>
      <c r="P104" s="139">
        <v>800.0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18"/>
      <c r="C105" s="11" t="s">
        <v>1688</v>
      </c>
      <c r="D105" s="11" t="s">
        <v>1586</v>
      </c>
      <c r="E105" s="32" t="s">
        <v>1689</v>
      </c>
      <c r="F105" s="11"/>
      <c r="G105" s="11" t="s">
        <v>1582</v>
      </c>
      <c r="H105" s="11" t="s">
        <v>1669</v>
      </c>
      <c r="I105" s="153">
        <v>180.0</v>
      </c>
      <c r="J105" s="138" t="s">
        <v>1589</v>
      </c>
      <c r="K105" s="138"/>
      <c r="L105" s="138"/>
      <c r="M105" s="138"/>
      <c r="N105" s="154"/>
      <c r="O105" s="155"/>
      <c r="P105" s="139">
        <v>800.0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18"/>
      <c r="C106" s="11" t="s">
        <v>1690</v>
      </c>
      <c r="D106" s="11" t="s">
        <v>1586</v>
      </c>
      <c r="E106" s="32" t="s">
        <v>1691</v>
      </c>
      <c r="F106" s="11"/>
      <c r="G106" s="11" t="s">
        <v>1582</v>
      </c>
      <c r="H106" s="11" t="s">
        <v>1669</v>
      </c>
      <c r="I106" s="11">
        <v>90.0</v>
      </c>
      <c r="J106" s="138" t="s">
        <v>1589</v>
      </c>
      <c r="K106" s="138"/>
      <c r="L106" s="138"/>
      <c r="M106" s="138"/>
      <c r="N106" s="154"/>
      <c r="O106" s="155"/>
      <c r="P106" s="139">
        <v>900.0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18"/>
      <c r="C107" s="11" t="s">
        <v>1692</v>
      </c>
      <c r="D107" s="11" t="s">
        <v>1586</v>
      </c>
      <c r="E107" s="32" t="s">
        <v>1693</v>
      </c>
      <c r="F107" s="11"/>
      <c r="G107" s="11" t="s">
        <v>1582</v>
      </c>
      <c r="H107" s="11" t="s">
        <v>1669</v>
      </c>
      <c r="I107" s="153">
        <v>90.0</v>
      </c>
      <c r="J107" s="138" t="s">
        <v>1589</v>
      </c>
      <c r="K107" s="138"/>
      <c r="L107" s="138"/>
      <c r="M107" s="138"/>
      <c r="N107" s="154"/>
      <c r="O107" s="155"/>
      <c r="P107" s="139">
        <v>900.0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18"/>
      <c r="C108" s="11" t="s">
        <v>1694</v>
      </c>
      <c r="D108" s="11" t="s">
        <v>1586</v>
      </c>
      <c r="E108" s="32" t="s">
        <v>1695</v>
      </c>
      <c r="F108" s="11"/>
      <c r="G108" s="11" t="s">
        <v>1582</v>
      </c>
      <c r="H108" s="11" t="s">
        <v>1669</v>
      </c>
      <c r="I108" s="153">
        <v>90.0</v>
      </c>
      <c r="J108" s="138" t="s">
        <v>1589</v>
      </c>
      <c r="K108" s="138"/>
      <c r="L108" s="138"/>
      <c r="M108" s="138"/>
      <c r="N108" s="154"/>
      <c r="O108" s="155"/>
      <c r="P108" s="139">
        <v>1000.0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2"/>
      <c r="B109" s="18"/>
      <c r="C109" s="11" t="s">
        <v>1696</v>
      </c>
      <c r="D109" s="11" t="s">
        <v>1586</v>
      </c>
      <c r="E109" s="32" t="s">
        <v>1697</v>
      </c>
      <c r="F109" s="11"/>
      <c r="G109" s="11" t="s">
        <v>1582</v>
      </c>
      <c r="H109" s="11" t="s">
        <v>1669</v>
      </c>
      <c r="I109" s="153">
        <v>90.0</v>
      </c>
      <c r="J109" s="138" t="s">
        <v>1589</v>
      </c>
      <c r="K109" s="138"/>
      <c r="L109" s="138"/>
      <c r="M109" s="138"/>
      <c r="N109" s="154"/>
      <c r="O109" s="155"/>
      <c r="P109" s="139">
        <v>1000.0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18"/>
      <c r="C110" s="11" t="s">
        <v>1698</v>
      </c>
      <c r="D110" s="11" t="s">
        <v>1586</v>
      </c>
      <c r="E110" s="32" t="s">
        <v>1699</v>
      </c>
      <c r="F110" s="11"/>
      <c r="G110" s="11" t="s">
        <v>1582</v>
      </c>
      <c r="H110" s="11" t="s">
        <v>1669</v>
      </c>
      <c r="I110" s="153">
        <v>90.0</v>
      </c>
      <c r="J110" s="138" t="s">
        <v>1589</v>
      </c>
      <c r="K110" s="138"/>
      <c r="L110" s="138"/>
      <c r="M110" s="138"/>
      <c r="N110" s="154"/>
      <c r="O110" s="155"/>
      <c r="P110" s="139">
        <v>1200.0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18"/>
      <c r="C111" s="11" t="s">
        <v>1700</v>
      </c>
      <c r="D111" s="11" t="s">
        <v>1586</v>
      </c>
      <c r="E111" s="32" t="s">
        <v>1701</v>
      </c>
      <c r="F111" s="11"/>
      <c r="G111" s="11" t="s">
        <v>1582</v>
      </c>
      <c r="H111" s="11" t="s">
        <v>1669</v>
      </c>
      <c r="I111" s="153">
        <v>90.0</v>
      </c>
      <c r="J111" s="138" t="s">
        <v>1589</v>
      </c>
      <c r="K111" s="138"/>
      <c r="L111" s="138"/>
      <c r="M111" s="138"/>
      <c r="N111" s="154"/>
      <c r="O111" s="155"/>
      <c r="P111" s="139">
        <v>1800.0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18"/>
      <c r="C112" s="11" t="s">
        <v>1702</v>
      </c>
      <c r="D112" s="11" t="s">
        <v>1586</v>
      </c>
      <c r="E112" s="32" t="s">
        <v>1703</v>
      </c>
      <c r="F112" s="11"/>
      <c r="G112" s="11" t="s">
        <v>1582</v>
      </c>
      <c r="H112" s="11" t="s">
        <v>1669</v>
      </c>
      <c r="I112" s="153">
        <v>90.0</v>
      </c>
      <c r="J112" s="138" t="s">
        <v>1589</v>
      </c>
      <c r="K112" s="138"/>
      <c r="L112" s="138"/>
      <c r="M112" s="138"/>
      <c r="N112" s="154"/>
      <c r="O112" s="155"/>
      <c r="P112" s="139">
        <v>2000.0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"/>
      <c r="B113" s="18"/>
      <c r="C113" s="11" t="s">
        <v>1704</v>
      </c>
      <c r="D113" s="11" t="s">
        <v>1586</v>
      </c>
      <c r="E113" s="32" t="s">
        <v>1705</v>
      </c>
      <c r="F113" s="11"/>
      <c r="G113" s="11" t="s">
        <v>1582</v>
      </c>
      <c r="H113" s="11" t="s">
        <v>1669</v>
      </c>
      <c r="I113" s="153">
        <v>90.0</v>
      </c>
      <c r="J113" s="138" t="s">
        <v>1589</v>
      </c>
      <c r="K113" s="138"/>
      <c r="L113" s="138"/>
      <c r="M113" s="138"/>
      <c r="N113" s="154"/>
      <c r="O113" s="155"/>
      <c r="P113" s="139">
        <v>2000.0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35"/>
      <c r="C114" s="36" t="s">
        <v>1706</v>
      </c>
      <c r="D114" s="36" t="s">
        <v>1586</v>
      </c>
      <c r="E114" s="158" t="s">
        <v>1707</v>
      </c>
      <c r="F114" s="36"/>
      <c r="G114" s="36" t="s">
        <v>1582</v>
      </c>
      <c r="H114" s="36" t="s">
        <v>1669</v>
      </c>
      <c r="I114" s="159">
        <v>90.0</v>
      </c>
      <c r="J114" s="141" t="s">
        <v>1589</v>
      </c>
      <c r="K114" s="141"/>
      <c r="L114" s="141"/>
      <c r="M114" s="141"/>
      <c r="N114" s="160"/>
      <c r="O114" s="161"/>
      <c r="P114" s="142">
        <v>1000.0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147" t="s">
        <v>97</v>
      </c>
      <c r="C115" s="42" t="s">
        <v>1708</v>
      </c>
      <c r="D115" s="42" t="s">
        <v>1586</v>
      </c>
      <c r="E115" s="43" t="s">
        <v>1709</v>
      </c>
      <c r="F115" s="42"/>
      <c r="G115" s="42" t="s">
        <v>1582</v>
      </c>
      <c r="H115" s="42" t="s">
        <v>1710</v>
      </c>
      <c r="I115" s="148">
        <v>0.0</v>
      </c>
      <c r="J115" s="149" t="s">
        <v>1589</v>
      </c>
      <c r="K115" s="149"/>
      <c r="L115" s="149"/>
      <c r="M115" s="149"/>
      <c r="N115" s="150"/>
      <c r="O115" s="151"/>
      <c r="P115" s="136">
        <v>1.0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18"/>
      <c r="C116" s="11" t="s">
        <v>1711</v>
      </c>
      <c r="D116" s="11" t="s">
        <v>1586</v>
      </c>
      <c r="E116" s="140" t="s">
        <v>1712</v>
      </c>
      <c r="F116" s="11"/>
      <c r="G116" s="11" t="s">
        <v>1582</v>
      </c>
      <c r="H116" s="11" t="s">
        <v>1710</v>
      </c>
      <c r="I116" s="153">
        <v>0.0</v>
      </c>
      <c r="J116" s="138" t="s">
        <v>1589</v>
      </c>
      <c r="K116" s="138"/>
      <c r="L116" s="138"/>
      <c r="M116" s="138"/>
      <c r="N116" s="153">
        <v>30.0</v>
      </c>
      <c r="O116" s="157" t="s">
        <v>1554</v>
      </c>
      <c r="P116" s="139">
        <v>350.0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2"/>
      <c r="B117" s="18"/>
      <c r="C117" s="11" t="s">
        <v>1713</v>
      </c>
      <c r="D117" s="11" t="s">
        <v>1586</v>
      </c>
      <c r="E117" s="140" t="s">
        <v>1714</v>
      </c>
      <c r="F117" s="11"/>
      <c r="G117" s="11" t="s">
        <v>1582</v>
      </c>
      <c r="H117" s="11" t="s">
        <v>1710</v>
      </c>
      <c r="I117" s="153">
        <v>0.0</v>
      </c>
      <c r="J117" s="138" t="s">
        <v>1589</v>
      </c>
      <c r="K117" s="138"/>
      <c r="L117" s="138"/>
      <c r="M117" s="138"/>
      <c r="N117" s="153">
        <v>30.0</v>
      </c>
      <c r="O117" s="157" t="s">
        <v>1554</v>
      </c>
      <c r="P117" s="139">
        <v>350.0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18"/>
      <c r="C118" s="11" t="s">
        <v>1715</v>
      </c>
      <c r="D118" s="11" t="s">
        <v>1586</v>
      </c>
      <c r="E118" s="140" t="s">
        <v>1716</v>
      </c>
      <c r="F118" s="11"/>
      <c r="G118" s="11" t="s">
        <v>1582</v>
      </c>
      <c r="H118" s="11" t="s">
        <v>1710</v>
      </c>
      <c r="I118" s="153">
        <v>0.0</v>
      </c>
      <c r="J118" s="138" t="s">
        <v>1589</v>
      </c>
      <c r="K118" s="138"/>
      <c r="L118" s="138"/>
      <c r="M118" s="138"/>
      <c r="N118" s="154"/>
      <c r="O118" s="155"/>
      <c r="P118" s="139">
        <v>400.0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18"/>
      <c r="C119" s="11" t="s">
        <v>1717</v>
      </c>
      <c r="D119" s="11" t="s">
        <v>1586</v>
      </c>
      <c r="E119" s="140" t="s">
        <v>1718</v>
      </c>
      <c r="F119" s="11"/>
      <c r="G119" s="11" t="s">
        <v>1582</v>
      </c>
      <c r="H119" s="11" t="s">
        <v>1710</v>
      </c>
      <c r="I119" s="153">
        <v>0.0</v>
      </c>
      <c r="J119" s="138" t="s">
        <v>1589</v>
      </c>
      <c r="K119" s="138"/>
      <c r="L119" s="138"/>
      <c r="M119" s="138"/>
      <c r="N119" s="154"/>
      <c r="O119" s="155"/>
      <c r="P119" s="139">
        <v>1000.0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18"/>
      <c r="C120" s="11" t="s">
        <v>1719</v>
      </c>
      <c r="D120" s="11" t="s">
        <v>1586</v>
      </c>
      <c r="E120" s="140" t="s">
        <v>1720</v>
      </c>
      <c r="F120" s="11"/>
      <c r="G120" s="11" t="s">
        <v>1582</v>
      </c>
      <c r="H120" s="11" t="s">
        <v>1710</v>
      </c>
      <c r="I120" s="153">
        <v>180.0</v>
      </c>
      <c r="J120" s="138" t="s">
        <v>1589</v>
      </c>
      <c r="K120" s="138"/>
      <c r="L120" s="138"/>
      <c r="M120" s="138"/>
      <c r="N120" s="154"/>
      <c r="O120" s="155"/>
      <c r="P120" s="139">
        <v>800.0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2"/>
      <c r="B121" s="18"/>
      <c r="C121" s="11" t="s">
        <v>1721</v>
      </c>
      <c r="D121" s="11" t="s">
        <v>1586</v>
      </c>
      <c r="E121" s="32" t="s">
        <v>1722</v>
      </c>
      <c r="F121" s="11"/>
      <c r="G121" s="11" t="s">
        <v>1582</v>
      </c>
      <c r="H121" s="11" t="s">
        <v>1710</v>
      </c>
      <c r="I121" s="153">
        <v>90.0</v>
      </c>
      <c r="J121" s="138" t="s">
        <v>1589</v>
      </c>
      <c r="K121" s="138"/>
      <c r="L121" s="138"/>
      <c r="M121" s="138"/>
      <c r="N121" s="154"/>
      <c r="O121" s="155"/>
      <c r="P121" s="139">
        <v>900.0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18"/>
      <c r="C122" s="11" t="s">
        <v>1723</v>
      </c>
      <c r="D122" s="11" t="s">
        <v>1586</v>
      </c>
      <c r="E122" s="32" t="s">
        <v>1724</v>
      </c>
      <c r="F122" s="11"/>
      <c r="G122" s="11" t="s">
        <v>1582</v>
      </c>
      <c r="H122" s="11" t="s">
        <v>1710</v>
      </c>
      <c r="I122" s="153">
        <v>90.0</v>
      </c>
      <c r="J122" s="138" t="s">
        <v>1589</v>
      </c>
      <c r="K122" s="138"/>
      <c r="L122" s="138"/>
      <c r="M122" s="138"/>
      <c r="N122" s="154"/>
      <c r="O122" s="155"/>
      <c r="P122" s="139">
        <v>900.0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18"/>
      <c r="C123" s="11" t="s">
        <v>1725</v>
      </c>
      <c r="D123" s="11" t="s">
        <v>1586</v>
      </c>
      <c r="E123" s="32" t="s">
        <v>1726</v>
      </c>
      <c r="F123" s="11"/>
      <c r="G123" s="11" t="s">
        <v>1582</v>
      </c>
      <c r="H123" s="11" t="s">
        <v>1710</v>
      </c>
      <c r="I123" s="153">
        <v>90.0</v>
      </c>
      <c r="J123" s="138" t="s">
        <v>1589</v>
      </c>
      <c r="K123" s="138"/>
      <c r="L123" s="138"/>
      <c r="M123" s="138"/>
      <c r="N123" s="153">
        <v>20.0</v>
      </c>
      <c r="O123" s="157" t="s">
        <v>1554</v>
      </c>
      <c r="P123" s="139">
        <v>2000.0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2"/>
      <c r="B124" s="18"/>
      <c r="C124" s="11" t="s">
        <v>1727</v>
      </c>
      <c r="D124" s="11" t="s">
        <v>1586</v>
      </c>
      <c r="E124" s="32" t="s">
        <v>1728</v>
      </c>
      <c r="F124" s="11"/>
      <c r="G124" s="11" t="s">
        <v>1582</v>
      </c>
      <c r="H124" s="11" t="s">
        <v>1710</v>
      </c>
      <c r="I124" s="153">
        <v>90.0</v>
      </c>
      <c r="J124" s="138" t="s">
        <v>1589</v>
      </c>
      <c r="K124" s="138"/>
      <c r="L124" s="138"/>
      <c r="M124" s="138"/>
      <c r="N124" s="154"/>
      <c r="O124" s="155"/>
      <c r="P124" s="139">
        <v>800.0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18"/>
      <c r="C125" s="11" t="s">
        <v>1729</v>
      </c>
      <c r="D125" s="11" t="s">
        <v>1586</v>
      </c>
      <c r="E125" s="32" t="s">
        <v>1730</v>
      </c>
      <c r="F125" s="11"/>
      <c r="G125" s="11" t="s">
        <v>1582</v>
      </c>
      <c r="H125" s="11" t="s">
        <v>1710</v>
      </c>
      <c r="I125" s="153">
        <v>90.0</v>
      </c>
      <c r="J125" s="138" t="s">
        <v>1589</v>
      </c>
      <c r="K125" s="138"/>
      <c r="L125" s="138"/>
      <c r="M125" s="138"/>
      <c r="N125" s="154"/>
      <c r="O125" s="155"/>
      <c r="P125" s="139">
        <v>900.0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2"/>
      <c r="B126" s="18"/>
      <c r="C126" s="11" t="s">
        <v>1731</v>
      </c>
      <c r="D126" s="11" t="s">
        <v>1586</v>
      </c>
      <c r="E126" s="32" t="s">
        <v>1732</v>
      </c>
      <c r="F126" s="11"/>
      <c r="G126" s="11" t="s">
        <v>1582</v>
      </c>
      <c r="H126" s="11" t="s">
        <v>1710</v>
      </c>
      <c r="I126" s="153">
        <v>180.0</v>
      </c>
      <c r="J126" s="138" t="s">
        <v>1589</v>
      </c>
      <c r="K126" s="138"/>
      <c r="L126" s="138"/>
      <c r="M126" s="138"/>
      <c r="N126" s="153">
        <v>50.0</v>
      </c>
      <c r="O126" s="157" t="s">
        <v>1554</v>
      </c>
      <c r="P126" s="139">
        <v>1000.0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18"/>
      <c r="C127" s="11" t="s">
        <v>1733</v>
      </c>
      <c r="D127" s="11" t="s">
        <v>1586</v>
      </c>
      <c r="E127" s="32" t="s">
        <v>1734</v>
      </c>
      <c r="F127" s="11"/>
      <c r="G127" s="11" t="s">
        <v>1582</v>
      </c>
      <c r="H127" s="11" t="s">
        <v>1710</v>
      </c>
      <c r="I127" s="153">
        <v>180.0</v>
      </c>
      <c r="J127" s="138" t="s">
        <v>1589</v>
      </c>
      <c r="K127" s="138"/>
      <c r="L127" s="138"/>
      <c r="M127" s="138"/>
      <c r="N127" s="154"/>
      <c r="O127" s="155"/>
      <c r="P127" s="139">
        <v>1000.0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18"/>
      <c r="C128" s="11" t="s">
        <v>1735</v>
      </c>
      <c r="D128" s="11" t="s">
        <v>1586</v>
      </c>
      <c r="E128" s="32" t="s">
        <v>1736</v>
      </c>
      <c r="F128" s="11"/>
      <c r="G128" s="11" t="s">
        <v>1582</v>
      </c>
      <c r="H128" s="11" t="s">
        <v>1710</v>
      </c>
      <c r="I128" s="11">
        <v>90.0</v>
      </c>
      <c r="J128" s="138" t="s">
        <v>1589</v>
      </c>
      <c r="K128" s="138"/>
      <c r="L128" s="138"/>
      <c r="M128" s="138"/>
      <c r="N128" s="154"/>
      <c r="O128" s="155"/>
      <c r="P128" s="139">
        <v>900.0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18"/>
      <c r="C129" s="11" t="s">
        <v>1737</v>
      </c>
      <c r="D129" s="11" t="s">
        <v>1586</v>
      </c>
      <c r="E129" s="32" t="s">
        <v>1738</v>
      </c>
      <c r="F129" s="11"/>
      <c r="G129" s="11" t="s">
        <v>1582</v>
      </c>
      <c r="H129" s="11" t="s">
        <v>1710</v>
      </c>
      <c r="I129" s="153">
        <v>90.0</v>
      </c>
      <c r="J129" s="138" t="s">
        <v>1589</v>
      </c>
      <c r="K129" s="138"/>
      <c r="L129" s="138"/>
      <c r="M129" s="138"/>
      <c r="N129" s="154"/>
      <c r="O129" s="155"/>
      <c r="P129" s="139">
        <v>900.0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2"/>
      <c r="B130" s="18"/>
      <c r="C130" s="11" t="s">
        <v>1739</v>
      </c>
      <c r="D130" s="11" t="s">
        <v>1586</v>
      </c>
      <c r="E130" s="32" t="s">
        <v>1740</v>
      </c>
      <c r="F130" s="11"/>
      <c r="G130" s="11" t="s">
        <v>1582</v>
      </c>
      <c r="H130" s="11" t="s">
        <v>1710</v>
      </c>
      <c r="I130" s="153">
        <v>90.0</v>
      </c>
      <c r="J130" s="138" t="s">
        <v>1589</v>
      </c>
      <c r="K130" s="138"/>
      <c r="L130" s="138"/>
      <c r="M130" s="138"/>
      <c r="N130" s="154"/>
      <c r="O130" s="155"/>
      <c r="P130" s="139">
        <v>1000.0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18"/>
      <c r="C131" s="11" t="s">
        <v>1741</v>
      </c>
      <c r="D131" s="11" t="s">
        <v>1586</v>
      </c>
      <c r="E131" s="32" t="s">
        <v>1742</v>
      </c>
      <c r="F131" s="11"/>
      <c r="G131" s="11" t="s">
        <v>1582</v>
      </c>
      <c r="H131" s="11" t="s">
        <v>1710</v>
      </c>
      <c r="I131" s="153">
        <v>90.0</v>
      </c>
      <c r="J131" s="138" t="s">
        <v>1589</v>
      </c>
      <c r="K131" s="138"/>
      <c r="L131" s="138"/>
      <c r="M131" s="138"/>
      <c r="N131" s="154"/>
      <c r="O131" s="155"/>
      <c r="P131" s="139">
        <v>1000.0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18"/>
      <c r="C132" s="11" t="s">
        <v>1743</v>
      </c>
      <c r="D132" s="11" t="s">
        <v>1586</v>
      </c>
      <c r="E132" s="32" t="s">
        <v>1744</v>
      </c>
      <c r="F132" s="11"/>
      <c r="G132" s="11" t="s">
        <v>1582</v>
      </c>
      <c r="H132" s="11" t="s">
        <v>1710</v>
      </c>
      <c r="I132" s="153">
        <v>90.0</v>
      </c>
      <c r="J132" s="138" t="s">
        <v>1589</v>
      </c>
      <c r="K132" s="138"/>
      <c r="L132" s="138"/>
      <c r="M132" s="138"/>
      <c r="N132" s="154"/>
      <c r="O132" s="155"/>
      <c r="P132" s="139">
        <v>1200.0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2"/>
      <c r="B133" s="18"/>
      <c r="C133" s="11" t="s">
        <v>1745</v>
      </c>
      <c r="D133" s="11" t="s">
        <v>1586</v>
      </c>
      <c r="E133" s="32" t="s">
        <v>1746</v>
      </c>
      <c r="F133" s="11"/>
      <c r="G133" s="11" t="s">
        <v>1582</v>
      </c>
      <c r="H133" s="11" t="s">
        <v>1710</v>
      </c>
      <c r="I133" s="153">
        <v>90.0</v>
      </c>
      <c r="J133" s="138" t="s">
        <v>1589</v>
      </c>
      <c r="K133" s="138"/>
      <c r="L133" s="138"/>
      <c r="M133" s="138"/>
      <c r="N133" s="154"/>
      <c r="O133" s="155"/>
      <c r="P133" s="139">
        <v>1800.0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18"/>
      <c r="C134" s="11" t="s">
        <v>1747</v>
      </c>
      <c r="D134" s="11" t="s">
        <v>1586</v>
      </c>
      <c r="E134" s="32" t="s">
        <v>1748</v>
      </c>
      <c r="F134" s="11"/>
      <c r="G134" s="11" t="s">
        <v>1582</v>
      </c>
      <c r="H134" s="11" t="s">
        <v>1710</v>
      </c>
      <c r="I134" s="153">
        <v>90.0</v>
      </c>
      <c r="J134" s="138" t="s">
        <v>1589</v>
      </c>
      <c r="K134" s="138"/>
      <c r="L134" s="138"/>
      <c r="M134" s="138"/>
      <c r="N134" s="154"/>
      <c r="O134" s="155"/>
      <c r="P134" s="139">
        <v>2500.0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18"/>
      <c r="C135" s="11" t="s">
        <v>1749</v>
      </c>
      <c r="D135" s="11" t="s">
        <v>1586</v>
      </c>
      <c r="E135" s="32" t="s">
        <v>1750</v>
      </c>
      <c r="F135" s="11"/>
      <c r="G135" s="11" t="s">
        <v>1582</v>
      </c>
      <c r="H135" s="11" t="s">
        <v>1710</v>
      </c>
      <c r="I135" s="153">
        <v>90.0</v>
      </c>
      <c r="J135" s="138" t="s">
        <v>1589</v>
      </c>
      <c r="K135" s="138"/>
      <c r="L135" s="138"/>
      <c r="M135" s="138"/>
      <c r="N135" s="154"/>
      <c r="O135" s="155"/>
      <c r="P135" s="139">
        <v>2500.0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35"/>
      <c r="C136" s="36" t="s">
        <v>1751</v>
      </c>
      <c r="D136" s="36" t="s">
        <v>1586</v>
      </c>
      <c r="E136" s="158" t="s">
        <v>1752</v>
      </c>
      <c r="F136" s="36"/>
      <c r="G136" s="36" t="s">
        <v>1582</v>
      </c>
      <c r="H136" s="36" t="s">
        <v>1710</v>
      </c>
      <c r="I136" s="159">
        <v>90.0</v>
      </c>
      <c r="J136" s="141" t="s">
        <v>1589</v>
      </c>
      <c r="K136" s="141"/>
      <c r="L136" s="141"/>
      <c r="M136" s="141"/>
      <c r="N136" s="160"/>
      <c r="O136" s="161"/>
      <c r="P136" s="142">
        <v>1000.0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147" t="s">
        <v>104</v>
      </c>
      <c r="C137" s="42" t="s">
        <v>1753</v>
      </c>
      <c r="D137" s="42" t="s">
        <v>1586</v>
      </c>
      <c r="E137" s="43" t="s">
        <v>1754</v>
      </c>
      <c r="F137" s="42"/>
      <c r="G137" s="42" t="s">
        <v>1582</v>
      </c>
      <c r="H137" s="42" t="s">
        <v>1755</v>
      </c>
      <c r="I137" s="148">
        <v>0.0</v>
      </c>
      <c r="J137" s="149" t="s">
        <v>1589</v>
      </c>
      <c r="K137" s="149"/>
      <c r="L137" s="149"/>
      <c r="M137" s="149"/>
      <c r="N137" s="150"/>
      <c r="O137" s="151"/>
      <c r="P137" s="136">
        <v>1.0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18"/>
      <c r="C138" s="11" t="s">
        <v>1756</v>
      </c>
      <c r="D138" s="11" t="s">
        <v>1586</v>
      </c>
      <c r="E138" s="140" t="s">
        <v>1757</v>
      </c>
      <c r="F138" s="11"/>
      <c r="G138" s="11" t="s">
        <v>1582</v>
      </c>
      <c r="H138" s="11" t="s">
        <v>1755</v>
      </c>
      <c r="I138" s="153">
        <v>0.0</v>
      </c>
      <c r="J138" s="138" t="s">
        <v>1589</v>
      </c>
      <c r="K138" s="138"/>
      <c r="L138" s="138"/>
      <c r="M138" s="138"/>
      <c r="N138" s="153">
        <v>30.0</v>
      </c>
      <c r="O138" s="157" t="s">
        <v>1554</v>
      </c>
      <c r="P138" s="139">
        <v>350.0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2"/>
      <c r="B139" s="18"/>
      <c r="C139" s="11" t="s">
        <v>1758</v>
      </c>
      <c r="D139" s="11" t="s">
        <v>1586</v>
      </c>
      <c r="E139" s="140" t="s">
        <v>1759</v>
      </c>
      <c r="F139" s="11"/>
      <c r="G139" s="11" t="s">
        <v>1582</v>
      </c>
      <c r="H139" s="11" t="s">
        <v>1755</v>
      </c>
      <c r="I139" s="153">
        <v>0.0</v>
      </c>
      <c r="J139" s="138" t="s">
        <v>1589</v>
      </c>
      <c r="K139" s="138"/>
      <c r="L139" s="138"/>
      <c r="M139" s="138"/>
      <c r="N139" s="153">
        <v>30.0</v>
      </c>
      <c r="O139" s="157" t="s">
        <v>1554</v>
      </c>
      <c r="P139" s="139">
        <v>350.0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18"/>
      <c r="C140" s="11" t="s">
        <v>1760</v>
      </c>
      <c r="D140" s="11" t="s">
        <v>1586</v>
      </c>
      <c r="E140" s="140" t="s">
        <v>1761</v>
      </c>
      <c r="F140" s="11"/>
      <c r="G140" s="11" t="s">
        <v>1582</v>
      </c>
      <c r="H140" s="11" t="s">
        <v>1755</v>
      </c>
      <c r="I140" s="153">
        <v>0.0</v>
      </c>
      <c r="J140" s="138" t="s">
        <v>1589</v>
      </c>
      <c r="K140" s="138"/>
      <c r="L140" s="138"/>
      <c r="M140" s="138"/>
      <c r="N140" s="154"/>
      <c r="O140" s="155"/>
      <c r="P140" s="139">
        <v>400.0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18"/>
      <c r="C141" s="11" t="s">
        <v>1762</v>
      </c>
      <c r="D141" s="11" t="s">
        <v>1586</v>
      </c>
      <c r="E141" s="140" t="s">
        <v>1763</v>
      </c>
      <c r="F141" s="11"/>
      <c r="G141" s="11" t="s">
        <v>1582</v>
      </c>
      <c r="H141" s="11" t="s">
        <v>1755</v>
      </c>
      <c r="I141" s="153">
        <v>0.0</v>
      </c>
      <c r="J141" s="138" t="s">
        <v>1589</v>
      </c>
      <c r="K141" s="138"/>
      <c r="L141" s="138"/>
      <c r="M141" s="138"/>
      <c r="N141" s="154"/>
      <c r="O141" s="155"/>
      <c r="P141" s="139">
        <v>1000.0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18"/>
      <c r="C142" s="11" t="s">
        <v>1764</v>
      </c>
      <c r="D142" s="11" t="s">
        <v>1586</v>
      </c>
      <c r="E142" s="140" t="s">
        <v>1765</v>
      </c>
      <c r="F142" s="11"/>
      <c r="G142" s="11" t="s">
        <v>1582</v>
      </c>
      <c r="H142" s="11" t="s">
        <v>1755</v>
      </c>
      <c r="I142" s="153">
        <v>180.0</v>
      </c>
      <c r="J142" s="138" t="s">
        <v>1589</v>
      </c>
      <c r="K142" s="138"/>
      <c r="L142" s="138"/>
      <c r="M142" s="138"/>
      <c r="N142" s="154"/>
      <c r="O142" s="155"/>
      <c r="P142" s="139">
        <v>800.0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18"/>
      <c r="C143" s="11" t="s">
        <v>1766</v>
      </c>
      <c r="D143" s="11" t="s">
        <v>1586</v>
      </c>
      <c r="E143" s="32" t="s">
        <v>1767</v>
      </c>
      <c r="F143" s="11"/>
      <c r="G143" s="11" t="s">
        <v>1582</v>
      </c>
      <c r="H143" s="11" t="s">
        <v>1755</v>
      </c>
      <c r="I143" s="153">
        <v>90.0</v>
      </c>
      <c r="J143" s="138" t="s">
        <v>1589</v>
      </c>
      <c r="K143" s="138"/>
      <c r="L143" s="138"/>
      <c r="M143" s="138"/>
      <c r="N143" s="154"/>
      <c r="O143" s="155"/>
      <c r="P143" s="139">
        <v>900.0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18"/>
      <c r="C144" s="11" t="s">
        <v>1768</v>
      </c>
      <c r="D144" s="11" t="s">
        <v>1586</v>
      </c>
      <c r="E144" s="32" t="s">
        <v>1769</v>
      </c>
      <c r="F144" s="11"/>
      <c r="G144" s="11" t="s">
        <v>1582</v>
      </c>
      <c r="H144" s="11" t="s">
        <v>1755</v>
      </c>
      <c r="I144" s="153">
        <v>90.0</v>
      </c>
      <c r="J144" s="138" t="s">
        <v>1589</v>
      </c>
      <c r="K144" s="138"/>
      <c r="L144" s="138"/>
      <c r="M144" s="138"/>
      <c r="N144" s="154"/>
      <c r="O144" s="155"/>
      <c r="P144" s="139">
        <v>900.0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18"/>
      <c r="C145" s="11" t="s">
        <v>1770</v>
      </c>
      <c r="D145" s="11" t="s">
        <v>1586</v>
      </c>
      <c r="E145" s="32" t="s">
        <v>1771</v>
      </c>
      <c r="F145" s="11"/>
      <c r="G145" s="11" t="s">
        <v>1582</v>
      </c>
      <c r="H145" s="11" t="s">
        <v>1755</v>
      </c>
      <c r="I145" s="153">
        <v>90.0</v>
      </c>
      <c r="J145" s="138" t="s">
        <v>1589</v>
      </c>
      <c r="K145" s="138"/>
      <c r="L145" s="138"/>
      <c r="M145" s="138"/>
      <c r="N145" s="153">
        <v>20.0</v>
      </c>
      <c r="O145" s="157" t="s">
        <v>1554</v>
      </c>
      <c r="P145" s="139">
        <v>2500.0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18"/>
      <c r="C146" s="11" t="s">
        <v>1772</v>
      </c>
      <c r="D146" s="11" t="s">
        <v>1586</v>
      </c>
      <c r="E146" s="32" t="s">
        <v>1773</v>
      </c>
      <c r="F146" s="11"/>
      <c r="G146" s="11" t="s">
        <v>1582</v>
      </c>
      <c r="H146" s="11" t="s">
        <v>1755</v>
      </c>
      <c r="I146" s="153">
        <v>90.0</v>
      </c>
      <c r="J146" s="138" t="s">
        <v>1589</v>
      </c>
      <c r="K146" s="138"/>
      <c r="L146" s="138"/>
      <c r="M146" s="138"/>
      <c r="N146" s="154"/>
      <c r="O146" s="155"/>
      <c r="P146" s="139">
        <v>800.0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18"/>
      <c r="C147" s="11" t="s">
        <v>1774</v>
      </c>
      <c r="D147" s="11" t="s">
        <v>1586</v>
      </c>
      <c r="E147" s="32" t="s">
        <v>1775</v>
      </c>
      <c r="F147" s="11"/>
      <c r="G147" s="11" t="s">
        <v>1582</v>
      </c>
      <c r="H147" s="11" t="s">
        <v>1755</v>
      </c>
      <c r="I147" s="153">
        <v>90.0</v>
      </c>
      <c r="J147" s="138" t="s">
        <v>1589</v>
      </c>
      <c r="K147" s="138"/>
      <c r="L147" s="138"/>
      <c r="M147" s="138"/>
      <c r="N147" s="154"/>
      <c r="O147" s="155"/>
      <c r="P147" s="139">
        <v>900.0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18"/>
      <c r="C148" s="11" t="s">
        <v>1776</v>
      </c>
      <c r="D148" s="11" t="s">
        <v>1586</v>
      </c>
      <c r="E148" s="32" t="s">
        <v>1777</v>
      </c>
      <c r="F148" s="11"/>
      <c r="G148" s="11" t="s">
        <v>1582</v>
      </c>
      <c r="H148" s="11" t="s">
        <v>1755</v>
      </c>
      <c r="I148" s="153">
        <v>180.0</v>
      </c>
      <c r="J148" s="138" t="s">
        <v>1589</v>
      </c>
      <c r="K148" s="138"/>
      <c r="L148" s="138"/>
      <c r="M148" s="138"/>
      <c r="N148" s="153">
        <v>50.0</v>
      </c>
      <c r="O148" s="157" t="s">
        <v>1554</v>
      </c>
      <c r="P148" s="139">
        <v>1000.0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18"/>
      <c r="C149" s="11" t="s">
        <v>1778</v>
      </c>
      <c r="D149" s="11" t="s">
        <v>1586</v>
      </c>
      <c r="E149" s="32" t="s">
        <v>1779</v>
      </c>
      <c r="F149" s="11"/>
      <c r="G149" s="11" t="s">
        <v>1582</v>
      </c>
      <c r="H149" s="11" t="s">
        <v>1755</v>
      </c>
      <c r="I149" s="153">
        <v>180.0</v>
      </c>
      <c r="J149" s="138" t="s">
        <v>1589</v>
      </c>
      <c r="K149" s="138"/>
      <c r="L149" s="138"/>
      <c r="M149" s="138"/>
      <c r="N149" s="154"/>
      <c r="O149" s="155"/>
      <c r="P149" s="139">
        <v>1000.0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18"/>
      <c r="C150" s="11" t="s">
        <v>1780</v>
      </c>
      <c r="D150" s="11" t="s">
        <v>1586</v>
      </c>
      <c r="E150" s="32" t="s">
        <v>1781</v>
      </c>
      <c r="F150" s="11"/>
      <c r="G150" s="11" t="s">
        <v>1582</v>
      </c>
      <c r="H150" s="11" t="s">
        <v>1755</v>
      </c>
      <c r="I150" s="153">
        <v>90.0</v>
      </c>
      <c r="J150" s="138" t="s">
        <v>1589</v>
      </c>
      <c r="K150" s="138"/>
      <c r="L150" s="138"/>
      <c r="M150" s="138"/>
      <c r="N150" s="154"/>
      <c r="O150" s="155"/>
      <c r="P150" s="139">
        <v>900.0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18"/>
      <c r="C151" s="11" t="s">
        <v>1782</v>
      </c>
      <c r="D151" s="11" t="s">
        <v>1586</v>
      </c>
      <c r="E151" s="32" t="s">
        <v>1783</v>
      </c>
      <c r="F151" s="11"/>
      <c r="G151" s="11" t="s">
        <v>1582</v>
      </c>
      <c r="H151" s="11" t="s">
        <v>1755</v>
      </c>
      <c r="I151" s="153">
        <v>90.0</v>
      </c>
      <c r="J151" s="138" t="s">
        <v>1589</v>
      </c>
      <c r="K151" s="138"/>
      <c r="L151" s="138"/>
      <c r="M151" s="138"/>
      <c r="N151" s="154"/>
      <c r="O151" s="155"/>
      <c r="P151" s="139">
        <v>900.0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18"/>
      <c r="C152" s="11" t="s">
        <v>1784</v>
      </c>
      <c r="D152" s="11" t="s">
        <v>1586</v>
      </c>
      <c r="E152" s="32" t="s">
        <v>1785</v>
      </c>
      <c r="F152" s="11"/>
      <c r="G152" s="11" t="s">
        <v>1582</v>
      </c>
      <c r="H152" s="11" t="s">
        <v>1755</v>
      </c>
      <c r="I152" s="153">
        <v>90.0</v>
      </c>
      <c r="J152" s="138" t="s">
        <v>1589</v>
      </c>
      <c r="K152" s="138"/>
      <c r="L152" s="138"/>
      <c r="M152" s="138"/>
      <c r="N152" s="154"/>
      <c r="O152" s="155"/>
      <c r="P152" s="139">
        <v>1000.0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18"/>
      <c r="C153" s="11" t="s">
        <v>1786</v>
      </c>
      <c r="D153" s="11" t="s">
        <v>1586</v>
      </c>
      <c r="E153" s="32" t="s">
        <v>1787</v>
      </c>
      <c r="F153" s="11"/>
      <c r="G153" s="11" t="s">
        <v>1582</v>
      </c>
      <c r="H153" s="11" t="s">
        <v>1755</v>
      </c>
      <c r="I153" s="153">
        <v>90.0</v>
      </c>
      <c r="J153" s="138" t="s">
        <v>1589</v>
      </c>
      <c r="K153" s="138"/>
      <c r="L153" s="138"/>
      <c r="M153" s="138"/>
      <c r="N153" s="154"/>
      <c r="O153" s="155"/>
      <c r="P153" s="139">
        <v>1000.0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18"/>
      <c r="C154" s="11" t="s">
        <v>1788</v>
      </c>
      <c r="D154" s="11" t="s">
        <v>1586</v>
      </c>
      <c r="E154" s="32" t="s">
        <v>1789</v>
      </c>
      <c r="F154" s="11"/>
      <c r="G154" s="11" t="s">
        <v>1582</v>
      </c>
      <c r="H154" s="11" t="s">
        <v>1755</v>
      </c>
      <c r="I154" s="153">
        <v>90.0</v>
      </c>
      <c r="J154" s="138" t="s">
        <v>1589</v>
      </c>
      <c r="K154" s="138"/>
      <c r="L154" s="138"/>
      <c r="M154" s="138"/>
      <c r="N154" s="154"/>
      <c r="O154" s="155"/>
      <c r="P154" s="139">
        <v>1200.0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18"/>
      <c r="C155" s="11" t="s">
        <v>1790</v>
      </c>
      <c r="D155" s="11" t="s">
        <v>1586</v>
      </c>
      <c r="E155" s="32" t="s">
        <v>1791</v>
      </c>
      <c r="F155" s="11"/>
      <c r="G155" s="11" t="s">
        <v>1582</v>
      </c>
      <c r="H155" s="11" t="s">
        <v>1755</v>
      </c>
      <c r="I155" s="153">
        <v>90.0</v>
      </c>
      <c r="J155" s="138" t="s">
        <v>1589</v>
      </c>
      <c r="K155" s="138"/>
      <c r="L155" s="138"/>
      <c r="M155" s="138"/>
      <c r="N155" s="154"/>
      <c r="O155" s="155"/>
      <c r="P155" s="139">
        <v>1800.0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18"/>
      <c r="C156" s="11" t="s">
        <v>1792</v>
      </c>
      <c r="D156" s="11" t="s">
        <v>1586</v>
      </c>
      <c r="E156" s="32" t="s">
        <v>1793</v>
      </c>
      <c r="F156" s="11"/>
      <c r="G156" s="11" t="s">
        <v>1582</v>
      </c>
      <c r="H156" s="11" t="s">
        <v>1755</v>
      </c>
      <c r="I156" s="153">
        <v>90.0</v>
      </c>
      <c r="J156" s="138" t="s">
        <v>1589</v>
      </c>
      <c r="K156" s="138"/>
      <c r="L156" s="138"/>
      <c r="M156" s="138"/>
      <c r="N156" s="154"/>
      <c r="O156" s="155"/>
      <c r="P156" s="139">
        <v>2500.0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18"/>
      <c r="C157" s="11" t="s">
        <v>1794</v>
      </c>
      <c r="D157" s="11" t="s">
        <v>1586</v>
      </c>
      <c r="E157" s="32" t="s">
        <v>1795</v>
      </c>
      <c r="F157" s="11"/>
      <c r="G157" s="11" t="s">
        <v>1582</v>
      </c>
      <c r="H157" s="11" t="s">
        <v>1755</v>
      </c>
      <c r="I157" s="153">
        <v>90.0</v>
      </c>
      <c r="J157" s="138" t="s">
        <v>1589</v>
      </c>
      <c r="K157" s="138"/>
      <c r="L157" s="138"/>
      <c r="M157" s="138"/>
      <c r="N157" s="154"/>
      <c r="O157" s="155"/>
      <c r="P157" s="139">
        <v>2500.0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35"/>
      <c r="C158" s="36" t="s">
        <v>1796</v>
      </c>
      <c r="D158" s="36" t="s">
        <v>1586</v>
      </c>
      <c r="E158" s="158" t="s">
        <v>1797</v>
      </c>
      <c r="F158" s="36"/>
      <c r="G158" s="36" t="s">
        <v>1582</v>
      </c>
      <c r="H158" s="36" t="s">
        <v>1755</v>
      </c>
      <c r="I158" s="159">
        <v>90.0</v>
      </c>
      <c r="J158" s="141" t="s">
        <v>1589</v>
      </c>
      <c r="K158" s="141"/>
      <c r="L158" s="141"/>
      <c r="M158" s="141"/>
      <c r="N158" s="160"/>
      <c r="O158" s="161"/>
      <c r="P158" s="142">
        <v>1000.0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147" t="s">
        <v>111</v>
      </c>
      <c r="C159" s="42" t="s">
        <v>1798</v>
      </c>
      <c r="D159" s="42" t="s">
        <v>1586</v>
      </c>
      <c r="E159" s="43" t="s">
        <v>1799</v>
      </c>
      <c r="F159" s="42"/>
      <c r="G159" s="42" t="s">
        <v>1582</v>
      </c>
      <c r="H159" s="42" t="s">
        <v>1800</v>
      </c>
      <c r="I159" s="148">
        <v>0.0</v>
      </c>
      <c r="J159" s="149" t="s">
        <v>1589</v>
      </c>
      <c r="K159" s="149"/>
      <c r="L159" s="149"/>
      <c r="M159" s="149"/>
      <c r="N159" s="150"/>
      <c r="O159" s="151"/>
      <c r="P159" s="136">
        <v>1.0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18"/>
      <c r="C160" s="11" t="s">
        <v>1801</v>
      </c>
      <c r="D160" s="11" t="s">
        <v>1586</v>
      </c>
      <c r="E160" s="140" t="s">
        <v>1802</v>
      </c>
      <c r="F160" s="11"/>
      <c r="G160" s="11" t="s">
        <v>1582</v>
      </c>
      <c r="H160" s="11" t="s">
        <v>1800</v>
      </c>
      <c r="I160" s="153">
        <v>0.0</v>
      </c>
      <c r="J160" s="138" t="s">
        <v>1589</v>
      </c>
      <c r="K160" s="138"/>
      <c r="L160" s="138"/>
      <c r="M160" s="138"/>
      <c r="N160" s="153">
        <v>30.0</v>
      </c>
      <c r="O160" s="157" t="s">
        <v>1554</v>
      </c>
      <c r="P160" s="139">
        <v>400.0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18"/>
      <c r="C161" s="11" t="s">
        <v>1803</v>
      </c>
      <c r="D161" s="11" t="s">
        <v>1586</v>
      </c>
      <c r="E161" s="140" t="s">
        <v>1804</v>
      </c>
      <c r="F161" s="11"/>
      <c r="G161" s="11" t="s">
        <v>1582</v>
      </c>
      <c r="H161" s="11" t="s">
        <v>1800</v>
      </c>
      <c r="I161" s="153">
        <v>0.0</v>
      </c>
      <c r="J161" s="138" t="s">
        <v>1589</v>
      </c>
      <c r="K161" s="138"/>
      <c r="L161" s="138"/>
      <c r="M161" s="138"/>
      <c r="N161" s="153">
        <v>30.0</v>
      </c>
      <c r="O161" s="157" t="s">
        <v>1554</v>
      </c>
      <c r="P161" s="139">
        <v>400.0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18"/>
      <c r="C162" s="11" t="s">
        <v>1805</v>
      </c>
      <c r="D162" s="11" t="s">
        <v>1586</v>
      </c>
      <c r="E162" s="140" t="s">
        <v>1806</v>
      </c>
      <c r="F162" s="11"/>
      <c r="G162" s="11" t="s">
        <v>1582</v>
      </c>
      <c r="H162" s="11" t="s">
        <v>1800</v>
      </c>
      <c r="I162" s="153">
        <v>0.0</v>
      </c>
      <c r="J162" s="138" t="s">
        <v>1589</v>
      </c>
      <c r="K162" s="138"/>
      <c r="L162" s="138"/>
      <c r="M162" s="138"/>
      <c r="N162" s="154"/>
      <c r="O162" s="155"/>
      <c r="P162" s="139">
        <v>400.0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18"/>
      <c r="C163" s="11" t="s">
        <v>1807</v>
      </c>
      <c r="D163" s="11" t="s">
        <v>1586</v>
      </c>
      <c r="E163" s="140" t="s">
        <v>1808</v>
      </c>
      <c r="F163" s="11"/>
      <c r="G163" s="11" t="s">
        <v>1582</v>
      </c>
      <c r="H163" s="11" t="s">
        <v>1800</v>
      </c>
      <c r="I163" s="153">
        <v>0.0</v>
      </c>
      <c r="J163" s="138" t="s">
        <v>1589</v>
      </c>
      <c r="K163" s="138"/>
      <c r="L163" s="138"/>
      <c r="M163" s="138"/>
      <c r="N163" s="154"/>
      <c r="O163" s="155"/>
      <c r="P163" s="139">
        <v>1100.0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18"/>
      <c r="C164" s="11" t="s">
        <v>1809</v>
      </c>
      <c r="D164" s="11" t="s">
        <v>1586</v>
      </c>
      <c r="E164" s="140" t="s">
        <v>1810</v>
      </c>
      <c r="F164" s="11"/>
      <c r="G164" s="11" t="s">
        <v>1582</v>
      </c>
      <c r="H164" s="11" t="s">
        <v>1800</v>
      </c>
      <c r="I164" s="153">
        <v>180.0</v>
      </c>
      <c r="J164" s="138" t="s">
        <v>1589</v>
      </c>
      <c r="K164" s="138"/>
      <c r="L164" s="138"/>
      <c r="M164" s="138"/>
      <c r="N164" s="154"/>
      <c r="O164" s="155"/>
      <c r="P164" s="139">
        <v>1100.0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18"/>
      <c r="C165" s="11" t="s">
        <v>1811</v>
      </c>
      <c r="D165" s="11" t="s">
        <v>1586</v>
      </c>
      <c r="E165" s="32" t="s">
        <v>1812</v>
      </c>
      <c r="F165" s="11"/>
      <c r="G165" s="11" t="s">
        <v>1582</v>
      </c>
      <c r="H165" s="11" t="s">
        <v>1800</v>
      </c>
      <c r="I165" s="153">
        <v>90.0</v>
      </c>
      <c r="J165" s="138" t="s">
        <v>1589</v>
      </c>
      <c r="K165" s="138"/>
      <c r="L165" s="138"/>
      <c r="M165" s="138"/>
      <c r="N165" s="154"/>
      <c r="O165" s="155"/>
      <c r="P165" s="139">
        <v>1200.0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18"/>
      <c r="C166" s="11" t="s">
        <v>1813</v>
      </c>
      <c r="D166" s="11" t="s">
        <v>1586</v>
      </c>
      <c r="E166" s="32" t="s">
        <v>1814</v>
      </c>
      <c r="F166" s="11"/>
      <c r="G166" s="11" t="s">
        <v>1582</v>
      </c>
      <c r="H166" s="11" t="s">
        <v>1800</v>
      </c>
      <c r="I166" s="153">
        <v>90.0</v>
      </c>
      <c r="J166" s="138" t="s">
        <v>1589</v>
      </c>
      <c r="K166" s="138"/>
      <c r="L166" s="138"/>
      <c r="M166" s="138"/>
      <c r="N166" s="154"/>
      <c r="O166" s="155"/>
      <c r="P166" s="139">
        <v>1300.0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18"/>
      <c r="C167" s="11" t="s">
        <v>1815</v>
      </c>
      <c r="D167" s="11" t="s">
        <v>1586</v>
      </c>
      <c r="E167" s="32" t="s">
        <v>1816</v>
      </c>
      <c r="F167" s="11"/>
      <c r="G167" s="11" t="s">
        <v>1582</v>
      </c>
      <c r="H167" s="11" t="s">
        <v>1800</v>
      </c>
      <c r="I167" s="153">
        <v>90.0</v>
      </c>
      <c r="J167" s="138" t="s">
        <v>1589</v>
      </c>
      <c r="K167" s="138"/>
      <c r="L167" s="138"/>
      <c r="M167" s="138"/>
      <c r="N167" s="153">
        <v>20.0</v>
      </c>
      <c r="O167" s="157" t="s">
        <v>1554</v>
      </c>
      <c r="P167" s="139">
        <v>2000.0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18"/>
      <c r="C168" s="11" t="s">
        <v>1817</v>
      </c>
      <c r="D168" s="11" t="s">
        <v>1586</v>
      </c>
      <c r="E168" s="32" t="s">
        <v>1818</v>
      </c>
      <c r="F168" s="11"/>
      <c r="G168" s="11" t="s">
        <v>1582</v>
      </c>
      <c r="H168" s="11" t="s">
        <v>1800</v>
      </c>
      <c r="I168" s="153">
        <v>90.0</v>
      </c>
      <c r="J168" s="138" t="s">
        <v>1589</v>
      </c>
      <c r="K168" s="138"/>
      <c r="L168" s="138"/>
      <c r="M168" s="138"/>
      <c r="N168" s="154"/>
      <c r="O168" s="155"/>
      <c r="P168" s="139">
        <v>1400.0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18"/>
      <c r="C169" s="11" t="s">
        <v>1819</v>
      </c>
      <c r="D169" s="11" t="s">
        <v>1586</v>
      </c>
      <c r="E169" s="32" t="s">
        <v>1820</v>
      </c>
      <c r="F169" s="11"/>
      <c r="G169" s="11" t="s">
        <v>1582</v>
      </c>
      <c r="H169" s="11" t="s">
        <v>1800</v>
      </c>
      <c r="I169" s="153">
        <v>90.0</v>
      </c>
      <c r="J169" s="138" t="s">
        <v>1589</v>
      </c>
      <c r="K169" s="138"/>
      <c r="L169" s="138"/>
      <c r="M169" s="138"/>
      <c r="N169" s="154"/>
      <c r="O169" s="155"/>
      <c r="P169" s="139">
        <v>1500.0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18"/>
      <c r="C170" s="11" t="s">
        <v>1821</v>
      </c>
      <c r="D170" s="11" t="s">
        <v>1586</v>
      </c>
      <c r="E170" s="32" t="s">
        <v>1822</v>
      </c>
      <c r="F170" s="11"/>
      <c r="G170" s="11" t="s">
        <v>1582</v>
      </c>
      <c r="H170" s="11" t="s">
        <v>1800</v>
      </c>
      <c r="I170" s="153">
        <v>180.0</v>
      </c>
      <c r="J170" s="138" t="s">
        <v>1589</v>
      </c>
      <c r="K170" s="138"/>
      <c r="L170" s="138"/>
      <c r="M170" s="138"/>
      <c r="N170" s="153">
        <v>50.0</v>
      </c>
      <c r="O170" s="157" t="s">
        <v>1554</v>
      </c>
      <c r="P170" s="139">
        <v>1200.0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18"/>
      <c r="C171" s="11" t="s">
        <v>1823</v>
      </c>
      <c r="D171" s="11" t="s">
        <v>1586</v>
      </c>
      <c r="E171" s="32" t="s">
        <v>1824</v>
      </c>
      <c r="F171" s="11"/>
      <c r="G171" s="11" t="s">
        <v>1582</v>
      </c>
      <c r="H171" s="11" t="s">
        <v>1800</v>
      </c>
      <c r="I171" s="153">
        <v>180.0</v>
      </c>
      <c r="J171" s="138" t="s">
        <v>1589</v>
      </c>
      <c r="K171" s="138"/>
      <c r="L171" s="138"/>
      <c r="M171" s="138"/>
      <c r="N171" s="154"/>
      <c r="O171" s="155"/>
      <c r="P171" s="139">
        <v>1500.0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18"/>
      <c r="C172" s="11" t="s">
        <v>1825</v>
      </c>
      <c r="D172" s="11" t="s">
        <v>1586</v>
      </c>
      <c r="E172" s="32" t="s">
        <v>1826</v>
      </c>
      <c r="F172" s="11"/>
      <c r="G172" s="11" t="s">
        <v>1582</v>
      </c>
      <c r="H172" s="11" t="s">
        <v>1800</v>
      </c>
      <c r="I172" s="153">
        <v>90.0</v>
      </c>
      <c r="J172" s="138" t="s">
        <v>1589</v>
      </c>
      <c r="K172" s="138"/>
      <c r="L172" s="138"/>
      <c r="M172" s="138"/>
      <c r="N172" s="154"/>
      <c r="O172" s="155"/>
      <c r="P172" s="139">
        <v>2000.0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18"/>
      <c r="C173" s="11" t="s">
        <v>1827</v>
      </c>
      <c r="D173" s="11" t="s">
        <v>1586</v>
      </c>
      <c r="E173" s="32" t="s">
        <v>1828</v>
      </c>
      <c r="F173" s="11"/>
      <c r="G173" s="11" t="s">
        <v>1582</v>
      </c>
      <c r="H173" s="11" t="s">
        <v>1800</v>
      </c>
      <c r="I173" s="153">
        <v>90.0</v>
      </c>
      <c r="J173" s="138" t="s">
        <v>1589</v>
      </c>
      <c r="K173" s="138"/>
      <c r="L173" s="138"/>
      <c r="M173" s="138"/>
      <c r="N173" s="154"/>
      <c r="O173" s="155"/>
      <c r="P173" s="139">
        <v>1200.0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18"/>
      <c r="C174" s="11" t="s">
        <v>1829</v>
      </c>
      <c r="D174" s="11" t="s">
        <v>1586</v>
      </c>
      <c r="E174" s="32" t="s">
        <v>1830</v>
      </c>
      <c r="F174" s="11"/>
      <c r="G174" s="11" t="s">
        <v>1582</v>
      </c>
      <c r="H174" s="11" t="s">
        <v>1800</v>
      </c>
      <c r="I174" s="153">
        <v>90.0</v>
      </c>
      <c r="J174" s="138" t="s">
        <v>1589</v>
      </c>
      <c r="K174" s="138"/>
      <c r="L174" s="138"/>
      <c r="M174" s="138"/>
      <c r="N174" s="154"/>
      <c r="O174" s="155"/>
      <c r="P174" s="139">
        <v>1500.0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18"/>
      <c r="C175" s="11" t="s">
        <v>1831</v>
      </c>
      <c r="D175" s="11" t="s">
        <v>1586</v>
      </c>
      <c r="E175" s="32" t="s">
        <v>1832</v>
      </c>
      <c r="F175" s="11"/>
      <c r="G175" s="11" t="s">
        <v>1582</v>
      </c>
      <c r="H175" s="11" t="s">
        <v>1800</v>
      </c>
      <c r="I175" s="153">
        <v>90.0</v>
      </c>
      <c r="J175" s="138" t="s">
        <v>1589</v>
      </c>
      <c r="K175" s="138"/>
      <c r="L175" s="138"/>
      <c r="M175" s="138"/>
      <c r="N175" s="154"/>
      <c r="O175" s="155"/>
      <c r="P175" s="139">
        <v>1500.0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18"/>
      <c r="C176" s="11" t="s">
        <v>1833</v>
      </c>
      <c r="D176" s="11" t="s">
        <v>1586</v>
      </c>
      <c r="E176" s="32" t="s">
        <v>1834</v>
      </c>
      <c r="F176" s="11"/>
      <c r="G176" s="11" t="s">
        <v>1582</v>
      </c>
      <c r="H176" s="11" t="s">
        <v>1800</v>
      </c>
      <c r="I176" s="153">
        <v>90.0</v>
      </c>
      <c r="J176" s="138" t="s">
        <v>1589</v>
      </c>
      <c r="K176" s="138"/>
      <c r="L176" s="138"/>
      <c r="M176" s="138"/>
      <c r="N176" s="154"/>
      <c r="O176" s="155"/>
      <c r="P176" s="139">
        <v>1700.0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18"/>
      <c r="C177" s="11" t="s">
        <v>1835</v>
      </c>
      <c r="D177" s="11" t="s">
        <v>1586</v>
      </c>
      <c r="E177" s="32" t="s">
        <v>1836</v>
      </c>
      <c r="F177" s="11"/>
      <c r="G177" s="11" t="s">
        <v>1582</v>
      </c>
      <c r="H177" s="11" t="s">
        <v>1800</v>
      </c>
      <c r="I177" s="153">
        <v>90.0</v>
      </c>
      <c r="J177" s="138" t="s">
        <v>1589</v>
      </c>
      <c r="K177" s="138"/>
      <c r="L177" s="138"/>
      <c r="M177" s="138"/>
      <c r="N177" s="154"/>
      <c r="O177" s="155"/>
      <c r="P177" s="139">
        <v>2000.0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18"/>
      <c r="C178" s="11" t="s">
        <v>1837</v>
      </c>
      <c r="D178" s="11" t="s">
        <v>1586</v>
      </c>
      <c r="E178" s="32" t="s">
        <v>1838</v>
      </c>
      <c r="F178" s="11"/>
      <c r="G178" s="11" t="s">
        <v>1582</v>
      </c>
      <c r="H178" s="11" t="s">
        <v>1800</v>
      </c>
      <c r="I178" s="153">
        <v>90.0</v>
      </c>
      <c r="J178" s="138" t="s">
        <v>1589</v>
      </c>
      <c r="K178" s="138"/>
      <c r="L178" s="138"/>
      <c r="M178" s="138"/>
      <c r="N178" s="154"/>
      <c r="O178" s="155"/>
      <c r="P178" s="139">
        <v>2500.0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18"/>
      <c r="C179" s="11" t="s">
        <v>1839</v>
      </c>
      <c r="D179" s="11" t="s">
        <v>1586</v>
      </c>
      <c r="E179" s="32" t="s">
        <v>1840</v>
      </c>
      <c r="F179" s="11"/>
      <c r="G179" s="11" t="s">
        <v>1582</v>
      </c>
      <c r="H179" s="11" t="s">
        <v>1800</v>
      </c>
      <c r="I179" s="153">
        <v>90.0</v>
      </c>
      <c r="J179" s="138" t="s">
        <v>1589</v>
      </c>
      <c r="K179" s="138"/>
      <c r="L179" s="138"/>
      <c r="M179" s="138"/>
      <c r="N179" s="154"/>
      <c r="O179" s="155"/>
      <c r="P179" s="139">
        <v>2500.0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35"/>
      <c r="C180" s="36" t="s">
        <v>1841</v>
      </c>
      <c r="D180" s="36" t="s">
        <v>1586</v>
      </c>
      <c r="E180" s="158" t="s">
        <v>1842</v>
      </c>
      <c r="F180" s="36"/>
      <c r="G180" s="36" t="s">
        <v>1582</v>
      </c>
      <c r="H180" s="36" t="s">
        <v>1800</v>
      </c>
      <c r="I180" s="159">
        <v>90.0</v>
      </c>
      <c r="J180" s="141" t="s">
        <v>1589</v>
      </c>
      <c r="K180" s="141"/>
      <c r="L180" s="141"/>
      <c r="M180" s="141"/>
      <c r="N180" s="160"/>
      <c r="O180" s="161"/>
      <c r="P180" s="142">
        <v>1000.0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147" t="s">
        <v>118</v>
      </c>
      <c r="C181" s="42" t="s">
        <v>1843</v>
      </c>
      <c r="D181" s="42" t="s">
        <v>1586</v>
      </c>
      <c r="E181" s="43" t="s">
        <v>1844</v>
      </c>
      <c r="F181" s="42"/>
      <c r="G181" s="42" t="s">
        <v>1582</v>
      </c>
      <c r="H181" s="42" t="s">
        <v>1845</v>
      </c>
      <c r="I181" s="148">
        <v>0.0</v>
      </c>
      <c r="J181" s="149" t="s">
        <v>1589</v>
      </c>
      <c r="K181" s="149"/>
      <c r="L181" s="149"/>
      <c r="M181" s="149"/>
      <c r="N181" s="150"/>
      <c r="O181" s="151"/>
      <c r="P181" s="136">
        <v>1.0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18"/>
      <c r="C182" s="11" t="s">
        <v>1846</v>
      </c>
      <c r="D182" s="11" t="s">
        <v>1586</v>
      </c>
      <c r="E182" s="140" t="s">
        <v>1847</v>
      </c>
      <c r="F182" s="11"/>
      <c r="G182" s="11" t="s">
        <v>1582</v>
      </c>
      <c r="H182" s="11" t="s">
        <v>1845</v>
      </c>
      <c r="I182" s="153">
        <v>0.0</v>
      </c>
      <c r="J182" s="138" t="s">
        <v>1589</v>
      </c>
      <c r="K182" s="138"/>
      <c r="L182" s="138"/>
      <c r="M182" s="138"/>
      <c r="N182" s="153">
        <v>30.0</v>
      </c>
      <c r="O182" s="157" t="s">
        <v>1554</v>
      </c>
      <c r="P182" s="139">
        <v>400.0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18"/>
      <c r="C183" s="11" t="s">
        <v>1848</v>
      </c>
      <c r="D183" s="11" t="s">
        <v>1586</v>
      </c>
      <c r="E183" s="140" t="s">
        <v>1849</v>
      </c>
      <c r="F183" s="11"/>
      <c r="G183" s="11" t="s">
        <v>1582</v>
      </c>
      <c r="H183" s="11" t="s">
        <v>1845</v>
      </c>
      <c r="I183" s="153">
        <v>0.0</v>
      </c>
      <c r="J183" s="138" t="s">
        <v>1589</v>
      </c>
      <c r="K183" s="138"/>
      <c r="L183" s="138"/>
      <c r="M183" s="138"/>
      <c r="N183" s="153">
        <v>30.0</v>
      </c>
      <c r="O183" s="157" t="s">
        <v>1554</v>
      </c>
      <c r="P183" s="139">
        <v>400.0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18"/>
      <c r="C184" s="11" t="s">
        <v>1850</v>
      </c>
      <c r="D184" s="11" t="s">
        <v>1586</v>
      </c>
      <c r="E184" s="140" t="s">
        <v>1851</v>
      </c>
      <c r="F184" s="11"/>
      <c r="G184" s="11" t="s">
        <v>1582</v>
      </c>
      <c r="H184" s="11" t="s">
        <v>1845</v>
      </c>
      <c r="I184" s="153">
        <v>0.0</v>
      </c>
      <c r="J184" s="138" t="s">
        <v>1589</v>
      </c>
      <c r="K184" s="138"/>
      <c r="L184" s="138"/>
      <c r="M184" s="138"/>
      <c r="N184" s="154"/>
      <c r="O184" s="155"/>
      <c r="P184" s="139">
        <v>400.0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18"/>
      <c r="C185" s="11" t="s">
        <v>1852</v>
      </c>
      <c r="D185" s="11" t="s">
        <v>1586</v>
      </c>
      <c r="E185" s="140" t="s">
        <v>1853</v>
      </c>
      <c r="F185" s="11"/>
      <c r="G185" s="11" t="s">
        <v>1582</v>
      </c>
      <c r="H185" s="11" t="s">
        <v>1845</v>
      </c>
      <c r="I185" s="153">
        <v>0.0</v>
      </c>
      <c r="J185" s="138" t="s">
        <v>1589</v>
      </c>
      <c r="K185" s="138"/>
      <c r="L185" s="138"/>
      <c r="M185" s="138"/>
      <c r="N185" s="154"/>
      <c r="O185" s="155"/>
      <c r="P185" s="139">
        <v>1100.0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18"/>
      <c r="C186" s="11" t="s">
        <v>1854</v>
      </c>
      <c r="D186" s="11" t="s">
        <v>1586</v>
      </c>
      <c r="E186" s="140" t="s">
        <v>1855</v>
      </c>
      <c r="F186" s="11"/>
      <c r="G186" s="11" t="s">
        <v>1582</v>
      </c>
      <c r="H186" s="11" t="s">
        <v>1845</v>
      </c>
      <c r="I186" s="153">
        <v>180.0</v>
      </c>
      <c r="J186" s="138" t="s">
        <v>1589</v>
      </c>
      <c r="K186" s="138"/>
      <c r="L186" s="138"/>
      <c r="M186" s="138"/>
      <c r="N186" s="154"/>
      <c r="O186" s="155"/>
      <c r="P186" s="139">
        <v>1100.0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18"/>
      <c r="C187" s="11" t="s">
        <v>1856</v>
      </c>
      <c r="D187" s="11" t="s">
        <v>1586</v>
      </c>
      <c r="E187" s="32" t="s">
        <v>1857</v>
      </c>
      <c r="F187" s="11"/>
      <c r="G187" s="11" t="s">
        <v>1582</v>
      </c>
      <c r="H187" s="11" t="s">
        <v>1845</v>
      </c>
      <c r="I187" s="153">
        <v>90.0</v>
      </c>
      <c r="J187" s="138" t="s">
        <v>1589</v>
      </c>
      <c r="K187" s="138"/>
      <c r="L187" s="138"/>
      <c r="M187" s="138"/>
      <c r="N187" s="154"/>
      <c r="O187" s="155"/>
      <c r="P187" s="139">
        <v>1200.0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18"/>
      <c r="C188" s="11" t="s">
        <v>1858</v>
      </c>
      <c r="D188" s="11" t="s">
        <v>1586</v>
      </c>
      <c r="E188" s="32" t="s">
        <v>1859</v>
      </c>
      <c r="F188" s="11"/>
      <c r="G188" s="11" t="s">
        <v>1582</v>
      </c>
      <c r="H188" s="11" t="s">
        <v>1845</v>
      </c>
      <c r="I188" s="153">
        <v>90.0</v>
      </c>
      <c r="J188" s="138" t="s">
        <v>1589</v>
      </c>
      <c r="K188" s="138"/>
      <c r="L188" s="138"/>
      <c r="M188" s="138"/>
      <c r="N188" s="154"/>
      <c r="O188" s="155"/>
      <c r="P188" s="139">
        <v>1300.0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18"/>
      <c r="C189" s="11" t="s">
        <v>1860</v>
      </c>
      <c r="D189" s="11" t="s">
        <v>1586</v>
      </c>
      <c r="E189" s="32" t="s">
        <v>1861</v>
      </c>
      <c r="F189" s="11"/>
      <c r="G189" s="11" t="s">
        <v>1582</v>
      </c>
      <c r="H189" s="11" t="s">
        <v>1845</v>
      </c>
      <c r="I189" s="153">
        <v>90.0</v>
      </c>
      <c r="J189" s="138" t="s">
        <v>1589</v>
      </c>
      <c r="K189" s="138"/>
      <c r="L189" s="138"/>
      <c r="M189" s="138"/>
      <c r="N189" s="153">
        <v>20.0</v>
      </c>
      <c r="O189" s="157" t="s">
        <v>1554</v>
      </c>
      <c r="P189" s="139">
        <v>2500.0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18"/>
      <c r="C190" s="11" t="s">
        <v>1862</v>
      </c>
      <c r="D190" s="11" t="s">
        <v>1586</v>
      </c>
      <c r="E190" s="32" t="s">
        <v>1863</v>
      </c>
      <c r="F190" s="11"/>
      <c r="G190" s="11" t="s">
        <v>1582</v>
      </c>
      <c r="H190" s="11" t="s">
        <v>1845</v>
      </c>
      <c r="I190" s="153">
        <v>90.0</v>
      </c>
      <c r="J190" s="138" t="s">
        <v>1589</v>
      </c>
      <c r="K190" s="138"/>
      <c r="L190" s="138"/>
      <c r="M190" s="138"/>
      <c r="N190" s="154"/>
      <c r="O190" s="155"/>
      <c r="P190" s="139">
        <v>1400.0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18"/>
      <c r="C191" s="11" t="s">
        <v>1864</v>
      </c>
      <c r="D191" s="11" t="s">
        <v>1586</v>
      </c>
      <c r="E191" s="32" t="s">
        <v>1865</v>
      </c>
      <c r="F191" s="11"/>
      <c r="G191" s="11" t="s">
        <v>1582</v>
      </c>
      <c r="H191" s="11" t="s">
        <v>1845</v>
      </c>
      <c r="I191" s="153">
        <v>90.0</v>
      </c>
      <c r="J191" s="138" t="s">
        <v>1589</v>
      </c>
      <c r="K191" s="138"/>
      <c r="L191" s="138"/>
      <c r="M191" s="138"/>
      <c r="N191" s="154"/>
      <c r="O191" s="155"/>
      <c r="P191" s="139">
        <v>1500.0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18"/>
      <c r="C192" s="11" t="s">
        <v>1866</v>
      </c>
      <c r="D192" s="11" t="s">
        <v>1586</v>
      </c>
      <c r="E192" s="32" t="s">
        <v>1867</v>
      </c>
      <c r="F192" s="11"/>
      <c r="G192" s="11" t="s">
        <v>1582</v>
      </c>
      <c r="H192" s="11" t="s">
        <v>1845</v>
      </c>
      <c r="I192" s="153">
        <v>180.0</v>
      </c>
      <c r="J192" s="138" t="s">
        <v>1589</v>
      </c>
      <c r="K192" s="138"/>
      <c r="L192" s="138"/>
      <c r="M192" s="138"/>
      <c r="N192" s="153">
        <v>50.0</v>
      </c>
      <c r="O192" s="157" t="s">
        <v>1554</v>
      </c>
      <c r="P192" s="139">
        <v>1200.0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18"/>
      <c r="C193" s="11" t="s">
        <v>1868</v>
      </c>
      <c r="D193" s="11" t="s">
        <v>1586</v>
      </c>
      <c r="E193" s="32" t="s">
        <v>1869</v>
      </c>
      <c r="F193" s="11"/>
      <c r="G193" s="11" t="s">
        <v>1582</v>
      </c>
      <c r="H193" s="11" t="s">
        <v>1845</v>
      </c>
      <c r="I193" s="153">
        <v>180.0</v>
      </c>
      <c r="J193" s="138" t="s">
        <v>1589</v>
      </c>
      <c r="K193" s="138"/>
      <c r="L193" s="138"/>
      <c r="M193" s="138"/>
      <c r="N193" s="154"/>
      <c r="O193" s="155"/>
      <c r="P193" s="139">
        <v>1500.0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18"/>
      <c r="C194" s="11" t="s">
        <v>1870</v>
      </c>
      <c r="D194" s="11" t="s">
        <v>1586</v>
      </c>
      <c r="E194" s="32" t="s">
        <v>1871</v>
      </c>
      <c r="F194" s="11"/>
      <c r="G194" s="11" t="s">
        <v>1582</v>
      </c>
      <c r="H194" s="11" t="s">
        <v>1845</v>
      </c>
      <c r="I194" s="153">
        <v>90.0</v>
      </c>
      <c r="J194" s="138" t="s">
        <v>1589</v>
      </c>
      <c r="K194" s="138"/>
      <c r="L194" s="138"/>
      <c r="M194" s="138"/>
      <c r="N194" s="154"/>
      <c r="O194" s="155"/>
      <c r="P194" s="139">
        <v>2000.0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18"/>
      <c r="C195" s="11" t="s">
        <v>1872</v>
      </c>
      <c r="D195" s="11" t="s">
        <v>1586</v>
      </c>
      <c r="E195" s="32" t="s">
        <v>1873</v>
      </c>
      <c r="F195" s="11"/>
      <c r="G195" s="11" t="s">
        <v>1582</v>
      </c>
      <c r="H195" s="11" t="s">
        <v>1845</v>
      </c>
      <c r="I195" s="153">
        <v>90.0</v>
      </c>
      <c r="J195" s="138" t="s">
        <v>1589</v>
      </c>
      <c r="K195" s="138"/>
      <c r="L195" s="138"/>
      <c r="M195" s="138"/>
      <c r="N195" s="154"/>
      <c r="O195" s="155"/>
      <c r="P195" s="139">
        <v>1200.0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18"/>
      <c r="C196" s="11" t="s">
        <v>1874</v>
      </c>
      <c r="D196" s="11" t="s">
        <v>1586</v>
      </c>
      <c r="E196" s="32" t="s">
        <v>1875</v>
      </c>
      <c r="F196" s="11"/>
      <c r="G196" s="11" t="s">
        <v>1582</v>
      </c>
      <c r="H196" s="11" t="s">
        <v>1845</v>
      </c>
      <c r="I196" s="153">
        <v>90.0</v>
      </c>
      <c r="J196" s="138" t="s">
        <v>1589</v>
      </c>
      <c r="K196" s="138"/>
      <c r="L196" s="138"/>
      <c r="M196" s="138"/>
      <c r="N196" s="154"/>
      <c r="O196" s="155"/>
      <c r="P196" s="139">
        <v>1500.0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18"/>
      <c r="C197" s="11" t="s">
        <v>1876</v>
      </c>
      <c r="D197" s="11" t="s">
        <v>1586</v>
      </c>
      <c r="E197" s="32" t="s">
        <v>1877</v>
      </c>
      <c r="F197" s="11"/>
      <c r="G197" s="11" t="s">
        <v>1582</v>
      </c>
      <c r="H197" s="11" t="s">
        <v>1845</v>
      </c>
      <c r="I197" s="153">
        <v>90.0</v>
      </c>
      <c r="J197" s="138" t="s">
        <v>1589</v>
      </c>
      <c r="K197" s="138"/>
      <c r="L197" s="138"/>
      <c r="M197" s="138"/>
      <c r="N197" s="154"/>
      <c r="O197" s="155"/>
      <c r="P197" s="139">
        <v>1500.0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18"/>
      <c r="C198" s="11" t="s">
        <v>1878</v>
      </c>
      <c r="D198" s="11" t="s">
        <v>1586</v>
      </c>
      <c r="E198" s="32" t="s">
        <v>1879</v>
      </c>
      <c r="F198" s="11"/>
      <c r="G198" s="11" t="s">
        <v>1582</v>
      </c>
      <c r="H198" s="11" t="s">
        <v>1845</v>
      </c>
      <c r="I198" s="153">
        <v>90.0</v>
      </c>
      <c r="J198" s="138" t="s">
        <v>1589</v>
      </c>
      <c r="K198" s="138"/>
      <c r="L198" s="138"/>
      <c r="M198" s="138"/>
      <c r="N198" s="154"/>
      <c r="O198" s="155"/>
      <c r="P198" s="139">
        <v>1700.0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18"/>
      <c r="C199" s="11" t="s">
        <v>1880</v>
      </c>
      <c r="D199" s="11" t="s">
        <v>1586</v>
      </c>
      <c r="E199" s="32" t="s">
        <v>1881</v>
      </c>
      <c r="F199" s="11"/>
      <c r="G199" s="11" t="s">
        <v>1582</v>
      </c>
      <c r="H199" s="11" t="s">
        <v>1845</v>
      </c>
      <c r="I199" s="153">
        <v>90.0</v>
      </c>
      <c r="J199" s="138" t="s">
        <v>1589</v>
      </c>
      <c r="K199" s="138"/>
      <c r="L199" s="138"/>
      <c r="M199" s="138"/>
      <c r="N199" s="154"/>
      <c r="O199" s="155"/>
      <c r="P199" s="139">
        <v>2000.0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18"/>
      <c r="C200" s="11" t="s">
        <v>1882</v>
      </c>
      <c r="D200" s="11" t="s">
        <v>1586</v>
      </c>
      <c r="E200" s="32" t="s">
        <v>1883</v>
      </c>
      <c r="F200" s="11"/>
      <c r="G200" s="11" t="s">
        <v>1582</v>
      </c>
      <c r="H200" s="11" t="s">
        <v>1845</v>
      </c>
      <c r="I200" s="153">
        <v>90.0</v>
      </c>
      <c r="J200" s="138" t="s">
        <v>1589</v>
      </c>
      <c r="K200" s="138"/>
      <c r="L200" s="138"/>
      <c r="M200" s="138"/>
      <c r="N200" s="154"/>
      <c r="O200" s="155"/>
      <c r="P200" s="139">
        <v>2500.0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18"/>
      <c r="C201" s="11" t="s">
        <v>1884</v>
      </c>
      <c r="D201" s="11" t="s">
        <v>1586</v>
      </c>
      <c r="E201" s="32" t="s">
        <v>1885</v>
      </c>
      <c r="F201" s="11"/>
      <c r="G201" s="11" t="s">
        <v>1582</v>
      </c>
      <c r="H201" s="11" t="s">
        <v>1845</v>
      </c>
      <c r="I201" s="153">
        <v>90.0</v>
      </c>
      <c r="J201" s="138" t="s">
        <v>1589</v>
      </c>
      <c r="K201" s="138"/>
      <c r="L201" s="138"/>
      <c r="M201" s="138"/>
      <c r="N201" s="154"/>
      <c r="O201" s="155"/>
      <c r="P201" s="139">
        <v>2500.0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35"/>
      <c r="C202" s="36" t="s">
        <v>1886</v>
      </c>
      <c r="D202" s="36" t="s">
        <v>1586</v>
      </c>
      <c r="E202" s="158" t="s">
        <v>1887</v>
      </c>
      <c r="F202" s="36"/>
      <c r="G202" s="36" t="s">
        <v>1582</v>
      </c>
      <c r="H202" s="36" t="s">
        <v>1845</v>
      </c>
      <c r="I202" s="159">
        <v>90.0</v>
      </c>
      <c r="J202" s="141" t="s">
        <v>1589</v>
      </c>
      <c r="K202" s="141"/>
      <c r="L202" s="141"/>
      <c r="M202" s="141"/>
      <c r="N202" s="160"/>
      <c r="O202" s="161"/>
      <c r="P202" s="142">
        <v>1000.0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147" t="s">
        <v>125</v>
      </c>
      <c r="C203" s="42" t="s">
        <v>1888</v>
      </c>
      <c r="D203" s="42" t="s">
        <v>1586</v>
      </c>
      <c r="E203" s="43" t="s">
        <v>1889</v>
      </c>
      <c r="F203" s="42"/>
      <c r="G203" s="42" t="s">
        <v>1582</v>
      </c>
      <c r="H203" s="42" t="s">
        <v>1890</v>
      </c>
      <c r="I203" s="148">
        <v>0.0</v>
      </c>
      <c r="J203" s="149" t="s">
        <v>1589</v>
      </c>
      <c r="K203" s="149"/>
      <c r="L203" s="149"/>
      <c r="M203" s="149"/>
      <c r="N203" s="150"/>
      <c r="O203" s="151"/>
      <c r="P203" s="136">
        <v>1.0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18"/>
      <c r="C204" s="11" t="s">
        <v>1891</v>
      </c>
      <c r="D204" s="11" t="s">
        <v>1586</v>
      </c>
      <c r="E204" s="140" t="s">
        <v>1892</v>
      </c>
      <c r="F204" s="11"/>
      <c r="G204" s="11" t="s">
        <v>1582</v>
      </c>
      <c r="H204" s="11" t="s">
        <v>1890</v>
      </c>
      <c r="I204" s="153">
        <v>0.0</v>
      </c>
      <c r="J204" s="138" t="s">
        <v>1589</v>
      </c>
      <c r="K204" s="138"/>
      <c r="L204" s="138"/>
      <c r="M204" s="138"/>
      <c r="N204" s="153">
        <v>30.0</v>
      </c>
      <c r="O204" s="157" t="s">
        <v>1554</v>
      </c>
      <c r="P204" s="139">
        <v>450.0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18"/>
      <c r="C205" s="11" t="s">
        <v>1893</v>
      </c>
      <c r="D205" s="11" t="s">
        <v>1586</v>
      </c>
      <c r="E205" s="140" t="s">
        <v>1894</v>
      </c>
      <c r="F205" s="11"/>
      <c r="G205" s="11" t="s">
        <v>1582</v>
      </c>
      <c r="H205" s="11" t="s">
        <v>1890</v>
      </c>
      <c r="I205" s="153">
        <v>0.0</v>
      </c>
      <c r="J205" s="138" t="s">
        <v>1589</v>
      </c>
      <c r="K205" s="138"/>
      <c r="L205" s="138"/>
      <c r="M205" s="138"/>
      <c r="N205" s="153">
        <v>30.0</v>
      </c>
      <c r="O205" s="157" t="s">
        <v>1554</v>
      </c>
      <c r="P205" s="139">
        <v>450.0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18"/>
      <c r="C206" s="11" t="s">
        <v>1895</v>
      </c>
      <c r="D206" s="11" t="s">
        <v>1586</v>
      </c>
      <c r="E206" s="140" t="s">
        <v>1896</v>
      </c>
      <c r="F206" s="11"/>
      <c r="G206" s="11" t="s">
        <v>1582</v>
      </c>
      <c r="H206" s="11" t="s">
        <v>1890</v>
      </c>
      <c r="I206" s="153">
        <v>0.0</v>
      </c>
      <c r="J206" s="138" t="s">
        <v>1589</v>
      </c>
      <c r="K206" s="138"/>
      <c r="L206" s="138"/>
      <c r="M206" s="138"/>
      <c r="N206" s="154"/>
      <c r="O206" s="155"/>
      <c r="P206" s="139">
        <v>400.0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18"/>
      <c r="C207" s="11" t="s">
        <v>1897</v>
      </c>
      <c r="D207" s="11" t="s">
        <v>1586</v>
      </c>
      <c r="E207" s="140" t="s">
        <v>1898</v>
      </c>
      <c r="F207" s="11"/>
      <c r="G207" s="11" t="s">
        <v>1582</v>
      </c>
      <c r="H207" s="11" t="s">
        <v>1890</v>
      </c>
      <c r="I207" s="153">
        <v>0.0</v>
      </c>
      <c r="J207" s="138" t="s">
        <v>1589</v>
      </c>
      <c r="K207" s="138"/>
      <c r="L207" s="138"/>
      <c r="M207" s="138"/>
      <c r="N207" s="154"/>
      <c r="O207" s="155"/>
      <c r="P207" s="139">
        <v>1200.0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18"/>
      <c r="C208" s="11" t="s">
        <v>1899</v>
      </c>
      <c r="D208" s="11" t="s">
        <v>1586</v>
      </c>
      <c r="E208" s="140" t="s">
        <v>1900</v>
      </c>
      <c r="F208" s="11"/>
      <c r="G208" s="11" t="s">
        <v>1582</v>
      </c>
      <c r="H208" s="11" t="s">
        <v>1890</v>
      </c>
      <c r="I208" s="153">
        <v>180.0</v>
      </c>
      <c r="J208" s="138" t="s">
        <v>1589</v>
      </c>
      <c r="K208" s="138"/>
      <c r="L208" s="138"/>
      <c r="M208" s="138"/>
      <c r="N208" s="154"/>
      <c r="O208" s="155"/>
      <c r="P208" s="139">
        <v>1100.0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18"/>
      <c r="C209" s="11" t="s">
        <v>1901</v>
      </c>
      <c r="D209" s="11" t="s">
        <v>1586</v>
      </c>
      <c r="E209" s="32" t="s">
        <v>1902</v>
      </c>
      <c r="F209" s="11"/>
      <c r="G209" s="11" t="s">
        <v>1582</v>
      </c>
      <c r="H209" s="11" t="s">
        <v>1890</v>
      </c>
      <c r="I209" s="153">
        <v>90.0</v>
      </c>
      <c r="J209" s="138" t="s">
        <v>1589</v>
      </c>
      <c r="K209" s="138"/>
      <c r="L209" s="138"/>
      <c r="M209" s="138"/>
      <c r="N209" s="154"/>
      <c r="O209" s="155"/>
      <c r="P209" s="139">
        <v>1200.0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18"/>
      <c r="C210" s="11" t="s">
        <v>1903</v>
      </c>
      <c r="D210" s="11" t="s">
        <v>1586</v>
      </c>
      <c r="E210" s="32" t="s">
        <v>1904</v>
      </c>
      <c r="F210" s="11"/>
      <c r="G210" s="11" t="s">
        <v>1582</v>
      </c>
      <c r="H210" s="11" t="s">
        <v>1890</v>
      </c>
      <c r="I210" s="153">
        <v>90.0</v>
      </c>
      <c r="J210" s="138" t="s">
        <v>1589</v>
      </c>
      <c r="K210" s="138"/>
      <c r="L210" s="138"/>
      <c r="M210" s="138"/>
      <c r="N210" s="154"/>
      <c r="O210" s="155"/>
      <c r="P210" s="139">
        <v>1500.0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18"/>
      <c r="C211" s="11" t="s">
        <v>1905</v>
      </c>
      <c r="D211" s="11" t="s">
        <v>1586</v>
      </c>
      <c r="E211" s="32" t="s">
        <v>1906</v>
      </c>
      <c r="F211" s="11"/>
      <c r="G211" s="11" t="s">
        <v>1582</v>
      </c>
      <c r="H211" s="11" t="s">
        <v>1890</v>
      </c>
      <c r="I211" s="153">
        <v>90.0</v>
      </c>
      <c r="J211" s="138" t="s">
        <v>1589</v>
      </c>
      <c r="K211" s="138"/>
      <c r="L211" s="138"/>
      <c r="M211" s="138"/>
      <c r="N211" s="153">
        <v>20.0</v>
      </c>
      <c r="O211" s="157" t="s">
        <v>1554</v>
      </c>
      <c r="P211" s="139">
        <v>2500.0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18"/>
      <c r="C212" s="11" t="s">
        <v>1907</v>
      </c>
      <c r="D212" s="11" t="s">
        <v>1586</v>
      </c>
      <c r="E212" s="32" t="s">
        <v>1908</v>
      </c>
      <c r="F212" s="11"/>
      <c r="G212" s="11" t="s">
        <v>1582</v>
      </c>
      <c r="H212" s="11" t="s">
        <v>1890</v>
      </c>
      <c r="I212" s="153">
        <v>90.0</v>
      </c>
      <c r="J212" s="138" t="s">
        <v>1589</v>
      </c>
      <c r="K212" s="138"/>
      <c r="L212" s="138"/>
      <c r="M212" s="138"/>
      <c r="N212" s="154"/>
      <c r="O212" s="155"/>
      <c r="P212" s="139">
        <v>1600.0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18"/>
      <c r="C213" s="11" t="s">
        <v>1909</v>
      </c>
      <c r="D213" s="11" t="s">
        <v>1586</v>
      </c>
      <c r="E213" s="32" t="s">
        <v>1910</v>
      </c>
      <c r="F213" s="11"/>
      <c r="G213" s="11" t="s">
        <v>1582</v>
      </c>
      <c r="H213" s="11" t="s">
        <v>1890</v>
      </c>
      <c r="I213" s="153">
        <v>90.0</v>
      </c>
      <c r="J213" s="138" t="s">
        <v>1589</v>
      </c>
      <c r="K213" s="138"/>
      <c r="L213" s="138"/>
      <c r="M213" s="138"/>
      <c r="N213" s="154"/>
      <c r="O213" s="155"/>
      <c r="P213" s="139">
        <v>1500.0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18"/>
      <c r="C214" s="11" t="s">
        <v>1911</v>
      </c>
      <c r="D214" s="11" t="s">
        <v>1586</v>
      </c>
      <c r="E214" s="32" t="s">
        <v>1912</v>
      </c>
      <c r="F214" s="11"/>
      <c r="G214" s="11" t="s">
        <v>1582</v>
      </c>
      <c r="H214" s="11" t="s">
        <v>1890</v>
      </c>
      <c r="I214" s="153">
        <v>180.0</v>
      </c>
      <c r="J214" s="138" t="s">
        <v>1589</v>
      </c>
      <c r="K214" s="138"/>
      <c r="L214" s="138"/>
      <c r="M214" s="138"/>
      <c r="N214" s="153">
        <v>50.0</v>
      </c>
      <c r="O214" s="157" t="s">
        <v>1554</v>
      </c>
      <c r="P214" s="139">
        <v>1200.0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18"/>
      <c r="C215" s="11" t="s">
        <v>1913</v>
      </c>
      <c r="D215" s="11" t="s">
        <v>1586</v>
      </c>
      <c r="E215" s="32" t="s">
        <v>1914</v>
      </c>
      <c r="F215" s="11"/>
      <c r="G215" s="11" t="s">
        <v>1582</v>
      </c>
      <c r="H215" s="11" t="s">
        <v>1890</v>
      </c>
      <c r="I215" s="153">
        <v>180.0</v>
      </c>
      <c r="J215" s="138" t="s">
        <v>1589</v>
      </c>
      <c r="K215" s="138"/>
      <c r="L215" s="138"/>
      <c r="M215" s="138"/>
      <c r="N215" s="154"/>
      <c r="O215" s="155"/>
      <c r="P215" s="139">
        <v>3600.0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18"/>
      <c r="C216" s="11" t="s">
        <v>1915</v>
      </c>
      <c r="D216" s="11" t="s">
        <v>1586</v>
      </c>
      <c r="E216" s="32" t="s">
        <v>1916</v>
      </c>
      <c r="F216" s="11"/>
      <c r="G216" s="11" t="s">
        <v>1582</v>
      </c>
      <c r="H216" s="11" t="s">
        <v>1890</v>
      </c>
      <c r="I216" s="153">
        <v>180.0</v>
      </c>
      <c r="J216" s="138" t="s">
        <v>1589</v>
      </c>
      <c r="K216" s="138"/>
      <c r="L216" s="138"/>
      <c r="M216" s="138"/>
      <c r="N216" s="154"/>
      <c r="O216" s="155"/>
      <c r="P216" s="139">
        <v>1500.0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18"/>
      <c r="C217" s="11" t="s">
        <v>1917</v>
      </c>
      <c r="D217" s="11" t="s">
        <v>1586</v>
      </c>
      <c r="E217" s="32" t="s">
        <v>1918</v>
      </c>
      <c r="F217" s="11"/>
      <c r="G217" s="11" t="s">
        <v>1582</v>
      </c>
      <c r="H217" s="11" t="s">
        <v>1890</v>
      </c>
      <c r="I217" s="153">
        <v>90.0</v>
      </c>
      <c r="J217" s="138" t="s">
        <v>1589</v>
      </c>
      <c r="K217" s="138"/>
      <c r="L217" s="138"/>
      <c r="M217" s="138"/>
      <c r="N217" s="154"/>
      <c r="O217" s="155"/>
      <c r="P217" s="139">
        <v>2000.0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18"/>
      <c r="C218" s="11" t="s">
        <v>1919</v>
      </c>
      <c r="D218" s="11" t="s">
        <v>1586</v>
      </c>
      <c r="E218" s="32" t="s">
        <v>1920</v>
      </c>
      <c r="F218" s="11"/>
      <c r="G218" s="11" t="s">
        <v>1582</v>
      </c>
      <c r="H218" s="11" t="s">
        <v>1890</v>
      </c>
      <c r="I218" s="153">
        <v>90.0</v>
      </c>
      <c r="J218" s="138" t="s">
        <v>1589</v>
      </c>
      <c r="K218" s="138"/>
      <c r="L218" s="138"/>
      <c r="M218" s="138"/>
      <c r="N218" s="154"/>
      <c r="O218" s="155"/>
      <c r="P218" s="139">
        <v>1200.0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18"/>
      <c r="C219" s="11" t="s">
        <v>1921</v>
      </c>
      <c r="D219" s="11" t="s">
        <v>1586</v>
      </c>
      <c r="E219" s="32" t="s">
        <v>1922</v>
      </c>
      <c r="F219" s="11"/>
      <c r="G219" s="11" t="s">
        <v>1582</v>
      </c>
      <c r="H219" s="11" t="s">
        <v>1890</v>
      </c>
      <c r="I219" s="153">
        <v>90.0</v>
      </c>
      <c r="J219" s="138" t="s">
        <v>1589</v>
      </c>
      <c r="K219" s="138"/>
      <c r="L219" s="138"/>
      <c r="M219" s="138"/>
      <c r="N219" s="154"/>
      <c r="O219" s="155"/>
      <c r="P219" s="139">
        <v>1700.0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18"/>
      <c r="C220" s="11" t="s">
        <v>1923</v>
      </c>
      <c r="D220" s="11" t="s">
        <v>1586</v>
      </c>
      <c r="E220" s="32" t="s">
        <v>1924</v>
      </c>
      <c r="F220" s="11"/>
      <c r="G220" s="11" t="s">
        <v>1582</v>
      </c>
      <c r="H220" s="11" t="s">
        <v>1890</v>
      </c>
      <c r="I220" s="153">
        <v>90.0</v>
      </c>
      <c r="J220" s="138" t="s">
        <v>1589</v>
      </c>
      <c r="K220" s="138"/>
      <c r="L220" s="138"/>
      <c r="M220" s="138"/>
      <c r="N220" s="154"/>
      <c r="O220" s="155"/>
      <c r="P220" s="139">
        <v>1700.0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18"/>
      <c r="C221" s="11" t="s">
        <v>1925</v>
      </c>
      <c r="D221" s="11" t="s">
        <v>1586</v>
      </c>
      <c r="E221" s="32" t="s">
        <v>1926</v>
      </c>
      <c r="F221" s="11"/>
      <c r="G221" s="11" t="s">
        <v>1582</v>
      </c>
      <c r="H221" s="11" t="s">
        <v>1890</v>
      </c>
      <c r="I221" s="153">
        <v>90.0</v>
      </c>
      <c r="J221" s="138" t="s">
        <v>1589</v>
      </c>
      <c r="K221" s="138"/>
      <c r="L221" s="138"/>
      <c r="M221" s="138"/>
      <c r="N221" s="154"/>
      <c r="O221" s="155"/>
      <c r="P221" s="139">
        <v>1900.0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18"/>
      <c r="C222" s="11" t="s">
        <v>1927</v>
      </c>
      <c r="D222" s="11" t="s">
        <v>1586</v>
      </c>
      <c r="E222" s="32" t="s">
        <v>1928</v>
      </c>
      <c r="F222" s="11"/>
      <c r="G222" s="11" t="s">
        <v>1582</v>
      </c>
      <c r="H222" s="11" t="s">
        <v>1890</v>
      </c>
      <c r="I222" s="153">
        <v>90.0</v>
      </c>
      <c r="J222" s="138" t="s">
        <v>1589</v>
      </c>
      <c r="K222" s="138"/>
      <c r="L222" s="138"/>
      <c r="M222" s="138"/>
      <c r="N222" s="154"/>
      <c r="O222" s="155"/>
      <c r="P222" s="139">
        <v>2000.0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18"/>
      <c r="C223" s="11" t="s">
        <v>1929</v>
      </c>
      <c r="D223" s="11" t="s">
        <v>1586</v>
      </c>
      <c r="E223" s="32" t="s">
        <v>1930</v>
      </c>
      <c r="F223" s="11"/>
      <c r="G223" s="11" t="s">
        <v>1582</v>
      </c>
      <c r="H223" s="11" t="s">
        <v>1890</v>
      </c>
      <c r="I223" s="153">
        <v>90.0</v>
      </c>
      <c r="J223" s="138" t="s">
        <v>1589</v>
      </c>
      <c r="K223" s="138"/>
      <c r="L223" s="138"/>
      <c r="M223" s="138"/>
      <c r="N223" s="154"/>
      <c r="O223" s="155"/>
      <c r="P223" s="139">
        <v>2500.0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18"/>
      <c r="C224" s="11" t="s">
        <v>1931</v>
      </c>
      <c r="D224" s="11" t="s">
        <v>1586</v>
      </c>
      <c r="E224" s="32" t="s">
        <v>1932</v>
      </c>
      <c r="F224" s="11"/>
      <c r="G224" s="11" t="s">
        <v>1582</v>
      </c>
      <c r="H224" s="11" t="s">
        <v>1890</v>
      </c>
      <c r="I224" s="153">
        <v>90.0</v>
      </c>
      <c r="J224" s="138" t="s">
        <v>1589</v>
      </c>
      <c r="K224" s="138"/>
      <c r="L224" s="138"/>
      <c r="M224" s="138"/>
      <c r="N224" s="154"/>
      <c r="O224" s="155"/>
      <c r="P224" s="139">
        <v>2500.0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35"/>
      <c r="C225" s="36" t="s">
        <v>1933</v>
      </c>
      <c r="D225" s="36" t="s">
        <v>1586</v>
      </c>
      <c r="E225" s="158" t="s">
        <v>1934</v>
      </c>
      <c r="F225" s="36"/>
      <c r="G225" s="36" t="s">
        <v>1582</v>
      </c>
      <c r="H225" s="36" t="s">
        <v>1890</v>
      </c>
      <c r="I225" s="159">
        <v>90.0</v>
      </c>
      <c r="J225" s="141" t="s">
        <v>1589</v>
      </c>
      <c r="K225" s="141"/>
      <c r="L225" s="141"/>
      <c r="M225" s="141"/>
      <c r="N225" s="160"/>
      <c r="O225" s="161"/>
      <c r="P225" s="142">
        <v>1000.0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147" t="s">
        <v>132</v>
      </c>
      <c r="C226" s="42" t="s">
        <v>1935</v>
      </c>
      <c r="D226" s="42" t="s">
        <v>1586</v>
      </c>
      <c r="E226" s="43" t="s">
        <v>1936</v>
      </c>
      <c r="F226" s="42"/>
      <c r="G226" s="42" t="s">
        <v>1582</v>
      </c>
      <c r="H226" s="42" t="s">
        <v>1937</v>
      </c>
      <c r="I226" s="148">
        <v>0.0</v>
      </c>
      <c r="J226" s="149" t="s">
        <v>1589</v>
      </c>
      <c r="K226" s="149"/>
      <c r="L226" s="149"/>
      <c r="M226" s="149"/>
      <c r="N226" s="150"/>
      <c r="O226" s="151"/>
      <c r="P226" s="136">
        <v>1.0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18"/>
      <c r="C227" s="11" t="s">
        <v>1938</v>
      </c>
      <c r="D227" s="11" t="s">
        <v>1586</v>
      </c>
      <c r="E227" s="140" t="s">
        <v>1939</v>
      </c>
      <c r="F227" s="11"/>
      <c r="G227" s="11" t="s">
        <v>1582</v>
      </c>
      <c r="H227" s="11" t="s">
        <v>1937</v>
      </c>
      <c r="I227" s="153">
        <v>0.0</v>
      </c>
      <c r="J227" s="138" t="s">
        <v>1589</v>
      </c>
      <c r="K227" s="138"/>
      <c r="L227" s="138"/>
      <c r="M227" s="138"/>
      <c r="N227" s="153">
        <v>30.0</v>
      </c>
      <c r="O227" s="157" t="s">
        <v>1554</v>
      </c>
      <c r="P227" s="139">
        <v>450.0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18"/>
      <c r="C228" s="11" t="s">
        <v>1940</v>
      </c>
      <c r="D228" s="11" t="s">
        <v>1586</v>
      </c>
      <c r="E228" s="140" t="s">
        <v>1941</v>
      </c>
      <c r="F228" s="11"/>
      <c r="G228" s="11" t="s">
        <v>1582</v>
      </c>
      <c r="H228" s="11" t="s">
        <v>1937</v>
      </c>
      <c r="I228" s="153">
        <v>0.0</v>
      </c>
      <c r="J228" s="138" t="s">
        <v>1589</v>
      </c>
      <c r="K228" s="138"/>
      <c r="L228" s="138"/>
      <c r="M228" s="138"/>
      <c r="N228" s="153">
        <v>30.0</v>
      </c>
      <c r="O228" s="157" t="s">
        <v>1554</v>
      </c>
      <c r="P228" s="139">
        <v>450.0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18"/>
      <c r="C229" s="11" t="s">
        <v>1942</v>
      </c>
      <c r="D229" s="11" t="s">
        <v>1586</v>
      </c>
      <c r="E229" s="140" t="s">
        <v>1943</v>
      </c>
      <c r="F229" s="11"/>
      <c r="G229" s="11" t="s">
        <v>1582</v>
      </c>
      <c r="H229" s="11" t="s">
        <v>1937</v>
      </c>
      <c r="I229" s="153">
        <v>0.0</v>
      </c>
      <c r="J229" s="138" t="s">
        <v>1589</v>
      </c>
      <c r="K229" s="138"/>
      <c r="L229" s="138"/>
      <c r="M229" s="138"/>
      <c r="N229" s="154"/>
      <c r="O229" s="155"/>
      <c r="P229" s="139">
        <v>400.0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18"/>
      <c r="C230" s="11" t="s">
        <v>1944</v>
      </c>
      <c r="D230" s="11" t="s">
        <v>1586</v>
      </c>
      <c r="E230" s="140" t="s">
        <v>1945</v>
      </c>
      <c r="F230" s="11"/>
      <c r="G230" s="11" t="s">
        <v>1582</v>
      </c>
      <c r="H230" s="11" t="s">
        <v>1937</v>
      </c>
      <c r="I230" s="153">
        <v>0.0</v>
      </c>
      <c r="J230" s="138" t="s">
        <v>1589</v>
      </c>
      <c r="K230" s="138"/>
      <c r="L230" s="138"/>
      <c r="M230" s="138"/>
      <c r="N230" s="154"/>
      <c r="O230" s="155"/>
      <c r="P230" s="139">
        <v>1200.0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18"/>
      <c r="C231" s="11" t="s">
        <v>1946</v>
      </c>
      <c r="D231" s="11" t="s">
        <v>1586</v>
      </c>
      <c r="E231" s="140" t="s">
        <v>1947</v>
      </c>
      <c r="F231" s="11"/>
      <c r="G231" s="11" t="s">
        <v>1582</v>
      </c>
      <c r="H231" s="11" t="s">
        <v>1937</v>
      </c>
      <c r="I231" s="153">
        <v>180.0</v>
      </c>
      <c r="J231" s="138" t="s">
        <v>1589</v>
      </c>
      <c r="K231" s="138"/>
      <c r="L231" s="138"/>
      <c r="M231" s="138"/>
      <c r="N231" s="154"/>
      <c r="O231" s="155"/>
      <c r="P231" s="139">
        <v>1100.0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18"/>
      <c r="C232" s="11" t="s">
        <v>1948</v>
      </c>
      <c r="D232" s="11" t="s">
        <v>1586</v>
      </c>
      <c r="E232" s="32" t="s">
        <v>1949</v>
      </c>
      <c r="F232" s="11"/>
      <c r="G232" s="11" t="s">
        <v>1582</v>
      </c>
      <c r="H232" s="11" t="s">
        <v>1937</v>
      </c>
      <c r="I232" s="153">
        <v>90.0</v>
      </c>
      <c r="J232" s="138" t="s">
        <v>1589</v>
      </c>
      <c r="K232" s="138"/>
      <c r="L232" s="138"/>
      <c r="M232" s="138"/>
      <c r="N232" s="154"/>
      <c r="O232" s="155"/>
      <c r="P232" s="139">
        <v>1200.0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18"/>
      <c r="C233" s="11" t="s">
        <v>1950</v>
      </c>
      <c r="D233" s="11" t="s">
        <v>1586</v>
      </c>
      <c r="E233" s="32" t="s">
        <v>1951</v>
      </c>
      <c r="F233" s="11"/>
      <c r="G233" s="11" t="s">
        <v>1582</v>
      </c>
      <c r="H233" s="11" t="s">
        <v>1937</v>
      </c>
      <c r="I233" s="153">
        <v>90.0</v>
      </c>
      <c r="J233" s="138" t="s">
        <v>1589</v>
      </c>
      <c r="K233" s="138"/>
      <c r="L233" s="138"/>
      <c r="M233" s="138"/>
      <c r="N233" s="154"/>
      <c r="O233" s="155"/>
      <c r="P233" s="139">
        <v>1500.0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18"/>
      <c r="C234" s="11" t="s">
        <v>1952</v>
      </c>
      <c r="D234" s="11" t="s">
        <v>1586</v>
      </c>
      <c r="E234" s="32" t="s">
        <v>1953</v>
      </c>
      <c r="F234" s="11"/>
      <c r="G234" s="11" t="s">
        <v>1582</v>
      </c>
      <c r="H234" s="11" t="s">
        <v>1937</v>
      </c>
      <c r="I234" s="153">
        <v>90.0</v>
      </c>
      <c r="J234" s="138" t="s">
        <v>1589</v>
      </c>
      <c r="K234" s="138"/>
      <c r="L234" s="138"/>
      <c r="M234" s="138"/>
      <c r="N234" s="153">
        <v>20.0</v>
      </c>
      <c r="O234" s="157" t="s">
        <v>1554</v>
      </c>
      <c r="P234" s="139">
        <v>2500.0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18"/>
      <c r="C235" s="11" t="s">
        <v>1954</v>
      </c>
      <c r="D235" s="11" t="s">
        <v>1586</v>
      </c>
      <c r="E235" s="32" t="s">
        <v>1955</v>
      </c>
      <c r="F235" s="11"/>
      <c r="G235" s="11" t="s">
        <v>1582</v>
      </c>
      <c r="H235" s="11" t="s">
        <v>1937</v>
      </c>
      <c r="I235" s="153">
        <v>90.0</v>
      </c>
      <c r="J235" s="138" t="s">
        <v>1589</v>
      </c>
      <c r="K235" s="138"/>
      <c r="L235" s="138"/>
      <c r="M235" s="138"/>
      <c r="N235" s="154"/>
      <c r="O235" s="155"/>
      <c r="P235" s="139">
        <v>1600.0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18"/>
      <c r="C236" s="11" t="s">
        <v>1956</v>
      </c>
      <c r="D236" s="11" t="s">
        <v>1586</v>
      </c>
      <c r="E236" s="32" t="s">
        <v>1957</v>
      </c>
      <c r="F236" s="11"/>
      <c r="G236" s="11" t="s">
        <v>1582</v>
      </c>
      <c r="H236" s="11" t="s">
        <v>1937</v>
      </c>
      <c r="I236" s="153">
        <v>90.0</v>
      </c>
      <c r="J236" s="138" t="s">
        <v>1589</v>
      </c>
      <c r="K236" s="138"/>
      <c r="L236" s="138"/>
      <c r="M236" s="138"/>
      <c r="N236" s="154"/>
      <c r="O236" s="155"/>
      <c r="P236" s="139">
        <v>1500.0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18"/>
      <c r="C237" s="11" t="s">
        <v>1958</v>
      </c>
      <c r="D237" s="11" t="s">
        <v>1586</v>
      </c>
      <c r="E237" s="32" t="s">
        <v>1959</v>
      </c>
      <c r="F237" s="11"/>
      <c r="G237" s="11" t="s">
        <v>1582</v>
      </c>
      <c r="H237" s="11" t="s">
        <v>1937</v>
      </c>
      <c r="I237" s="153">
        <v>180.0</v>
      </c>
      <c r="J237" s="138" t="s">
        <v>1589</v>
      </c>
      <c r="K237" s="138"/>
      <c r="L237" s="138"/>
      <c r="M237" s="138"/>
      <c r="N237" s="153">
        <v>50.0</v>
      </c>
      <c r="O237" s="157" t="s">
        <v>1554</v>
      </c>
      <c r="P237" s="139">
        <v>1200.0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18"/>
      <c r="C238" s="11" t="s">
        <v>1960</v>
      </c>
      <c r="D238" s="11" t="s">
        <v>1586</v>
      </c>
      <c r="E238" s="32" t="s">
        <v>1961</v>
      </c>
      <c r="F238" s="11"/>
      <c r="G238" s="11" t="s">
        <v>1582</v>
      </c>
      <c r="H238" s="11" t="s">
        <v>1937</v>
      </c>
      <c r="I238" s="153">
        <v>180.0</v>
      </c>
      <c r="J238" s="138" t="s">
        <v>1589</v>
      </c>
      <c r="K238" s="138"/>
      <c r="L238" s="138"/>
      <c r="M238" s="138"/>
      <c r="N238" s="154"/>
      <c r="O238" s="155"/>
      <c r="P238" s="139">
        <v>3600.0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18"/>
      <c r="C239" s="11" t="s">
        <v>1962</v>
      </c>
      <c r="D239" s="11" t="s">
        <v>1586</v>
      </c>
      <c r="E239" s="32" t="s">
        <v>1963</v>
      </c>
      <c r="F239" s="11"/>
      <c r="G239" s="11" t="s">
        <v>1582</v>
      </c>
      <c r="H239" s="11" t="s">
        <v>1937</v>
      </c>
      <c r="I239" s="153">
        <v>180.0</v>
      </c>
      <c r="J239" s="138" t="s">
        <v>1589</v>
      </c>
      <c r="K239" s="138"/>
      <c r="L239" s="138"/>
      <c r="M239" s="138"/>
      <c r="N239" s="154"/>
      <c r="O239" s="155"/>
      <c r="P239" s="139">
        <v>1500.0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18"/>
      <c r="C240" s="11" t="s">
        <v>1964</v>
      </c>
      <c r="D240" s="11" t="s">
        <v>1586</v>
      </c>
      <c r="E240" s="32" t="s">
        <v>1965</v>
      </c>
      <c r="F240" s="11"/>
      <c r="G240" s="11" t="s">
        <v>1582</v>
      </c>
      <c r="H240" s="11" t="s">
        <v>1937</v>
      </c>
      <c r="I240" s="153">
        <v>90.0</v>
      </c>
      <c r="J240" s="138" t="s">
        <v>1589</v>
      </c>
      <c r="K240" s="138"/>
      <c r="L240" s="138"/>
      <c r="M240" s="138"/>
      <c r="N240" s="154"/>
      <c r="O240" s="155"/>
      <c r="P240" s="139">
        <v>2000.0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18"/>
      <c r="C241" s="11" t="s">
        <v>1966</v>
      </c>
      <c r="D241" s="11" t="s">
        <v>1586</v>
      </c>
      <c r="E241" s="32" t="s">
        <v>1967</v>
      </c>
      <c r="F241" s="11"/>
      <c r="G241" s="11" t="s">
        <v>1582</v>
      </c>
      <c r="H241" s="11" t="s">
        <v>1937</v>
      </c>
      <c r="I241" s="153">
        <v>90.0</v>
      </c>
      <c r="J241" s="138" t="s">
        <v>1589</v>
      </c>
      <c r="K241" s="138"/>
      <c r="L241" s="138"/>
      <c r="M241" s="138"/>
      <c r="N241" s="154"/>
      <c r="O241" s="155"/>
      <c r="P241" s="139">
        <v>1200.0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18"/>
      <c r="C242" s="11" t="s">
        <v>1968</v>
      </c>
      <c r="D242" s="11" t="s">
        <v>1586</v>
      </c>
      <c r="E242" s="32" t="s">
        <v>1969</v>
      </c>
      <c r="F242" s="11"/>
      <c r="G242" s="11" t="s">
        <v>1582</v>
      </c>
      <c r="H242" s="11" t="s">
        <v>1937</v>
      </c>
      <c r="I242" s="153">
        <v>90.0</v>
      </c>
      <c r="J242" s="138" t="s">
        <v>1589</v>
      </c>
      <c r="K242" s="138"/>
      <c r="L242" s="138"/>
      <c r="M242" s="138"/>
      <c r="N242" s="154"/>
      <c r="O242" s="155"/>
      <c r="P242" s="139">
        <v>1700.0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18"/>
      <c r="C243" s="11" t="s">
        <v>1970</v>
      </c>
      <c r="D243" s="11" t="s">
        <v>1586</v>
      </c>
      <c r="E243" s="32" t="s">
        <v>1971</v>
      </c>
      <c r="F243" s="11"/>
      <c r="G243" s="11" t="s">
        <v>1582</v>
      </c>
      <c r="H243" s="11" t="s">
        <v>1937</v>
      </c>
      <c r="I243" s="153">
        <v>90.0</v>
      </c>
      <c r="J243" s="138" t="s">
        <v>1589</v>
      </c>
      <c r="K243" s="138"/>
      <c r="L243" s="138"/>
      <c r="M243" s="138"/>
      <c r="N243" s="154"/>
      <c r="O243" s="155"/>
      <c r="P243" s="139">
        <v>1700.0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18"/>
      <c r="C244" s="11" t="s">
        <v>1972</v>
      </c>
      <c r="D244" s="11" t="s">
        <v>1586</v>
      </c>
      <c r="E244" s="32" t="s">
        <v>1973</v>
      </c>
      <c r="F244" s="11"/>
      <c r="G244" s="11" t="s">
        <v>1582</v>
      </c>
      <c r="H244" s="11" t="s">
        <v>1937</v>
      </c>
      <c r="I244" s="153">
        <v>90.0</v>
      </c>
      <c r="J244" s="138" t="s">
        <v>1589</v>
      </c>
      <c r="K244" s="138"/>
      <c r="L244" s="138"/>
      <c r="M244" s="138"/>
      <c r="N244" s="154"/>
      <c r="O244" s="155"/>
      <c r="P244" s="139">
        <v>1900.0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18"/>
      <c r="C245" s="11" t="s">
        <v>1974</v>
      </c>
      <c r="D245" s="11" t="s">
        <v>1586</v>
      </c>
      <c r="E245" s="32" t="s">
        <v>1975</v>
      </c>
      <c r="F245" s="11"/>
      <c r="G245" s="11" t="s">
        <v>1582</v>
      </c>
      <c r="H245" s="11" t="s">
        <v>1937</v>
      </c>
      <c r="I245" s="153">
        <v>90.0</v>
      </c>
      <c r="J245" s="138" t="s">
        <v>1589</v>
      </c>
      <c r="K245" s="138"/>
      <c r="L245" s="138"/>
      <c r="M245" s="138"/>
      <c r="N245" s="154"/>
      <c r="O245" s="155"/>
      <c r="P245" s="139">
        <v>2000.0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18"/>
      <c r="C246" s="11" t="s">
        <v>1976</v>
      </c>
      <c r="D246" s="11" t="s">
        <v>1586</v>
      </c>
      <c r="E246" s="32" t="s">
        <v>1977</v>
      </c>
      <c r="F246" s="11"/>
      <c r="G246" s="11" t="s">
        <v>1582</v>
      </c>
      <c r="H246" s="11" t="s">
        <v>1937</v>
      </c>
      <c r="I246" s="153">
        <v>90.0</v>
      </c>
      <c r="J246" s="138" t="s">
        <v>1589</v>
      </c>
      <c r="K246" s="138"/>
      <c r="L246" s="138"/>
      <c r="M246" s="138"/>
      <c r="N246" s="154"/>
      <c r="O246" s="155"/>
      <c r="P246" s="139">
        <v>2500.0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18"/>
      <c r="C247" s="11" t="s">
        <v>1978</v>
      </c>
      <c r="D247" s="11" t="s">
        <v>1586</v>
      </c>
      <c r="E247" s="32" t="s">
        <v>1979</v>
      </c>
      <c r="F247" s="11"/>
      <c r="G247" s="11" t="s">
        <v>1582</v>
      </c>
      <c r="H247" s="11" t="s">
        <v>1937</v>
      </c>
      <c r="I247" s="153">
        <v>90.0</v>
      </c>
      <c r="J247" s="138" t="s">
        <v>1589</v>
      </c>
      <c r="K247" s="138"/>
      <c r="L247" s="138"/>
      <c r="M247" s="138"/>
      <c r="N247" s="154"/>
      <c r="O247" s="155"/>
      <c r="P247" s="139">
        <v>2500.0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35"/>
      <c r="C248" s="36" t="s">
        <v>1980</v>
      </c>
      <c r="D248" s="36" t="s">
        <v>1586</v>
      </c>
      <c r="E248" s="158" t="s">
        <v>1981</v>
      </c>
      <c r="F248" s="36"/>
      <c r="G248" s="36" t="s">
        <v>1582</v>
      </c>
      <c r="H248" s="36" t="s">
        <v>1937</v>
      </c>
      <c r="I248" s="159">
        <v>90.0</v>
      </c>
      <c r="J248" s="141" t="s">
        <v>1589</v>
      </c>
      <c r="K248" s="141"/>
      <c r="L248" s="141"/>
      <c r="M248" s="141"/>
      <c r="N248" s="160"/>
      <c r="O248" s="161"/>
      <c r="P248" s="142">
        <v>1000.0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147" t="s">
        <v>139</v>
      </c>
      <c r="C249" s="42" t="s">
        <v>1982</v>
      </c>
      <c r="D249" s="42" t="s">
        <v>1586</v>
      </c>
      <c r="E249" s="43" t="s">
        <v>1983</v>
      </c>
      <c r="F249" s="42"/>
      <c r="G249" s="42" t="s">
        <v>1582</v>
      </c>
      <c r="H249" s="42" t="s">
        <v>1984</v>
      </c>
      <c r="I249" s="148">
        <v>0.0</v>
      </c>
      <c r="J249" s="149" t="s">
        <v>1589</v>
      </c>
      <c r="K249" s="149"/>
      <c r="L249" s="149"/>
      <c r="M249" s="149"/>
      <c r="N249" s="150"/>
      <c r="O249" s="151"/>
      <c r="P249" s="136">
        <v>1.0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18"/>
      <c r="C250" s="11" t="s">
        <v>1985</v>
      </c>
      <c r="D250" s="11" t="s">
        <v>1586</v>
      </c>
      <c r="E250" s="140" t="s">
        <v>1986</v>
      </c>
      <c r="F250" s="11"/>
      <c r="G250" s="11" t="s">
        <v>1582</v>
      </c>
      <c r="H250" s="11" t="s">
        <v>1984</v>
      </c>
      <c r="I250" s="153">
        <v>0.0</v>
      </c>
      <c r="J250" s="138" t="s">
        <v>1589</v>
      </c>
      <c r="K250" s="138"/>
      <c r="L250" s="138"/>
      <c r="M250" s="138"/>
      <c r="N250" s="153">
        <v>30.0</v>
      </c>
      <c r="O250" s="157" t="s">
        <v>1554</v>
      </c>
      <c r="P250" s="139">
        <v>450.0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18"/>
      <c r="C251" s="11" t="s">
        <v>1987</v>
      </c>
      <c r="D251" s="11" t="s">
        <v>1586</v>
      </c>
      <c r="E251" s="140" t="s">
        <v>1988</v>
      </c>
      <c r="F251" s="11"/>
      <c r="G251" s="11" t="s">
        <v>1582</v>
      </c>
      <c r="H251" s="11" t="s">
        <v>1984</v>
      </c>
      <c r="I251" s="153">
        <v>0.0</v>
      </c>
      <c r="J251" s="138" t="s">
        <v>1589</v>
      </c>
      <c r="K251" s="138"/>
      <c r="L251" s="138"/>
      <c r="M251" s="138"/>
      <c r="N251" s="153">
        <v>30.0</v>
      </c>
      <c r="O251" s="157" t="s">
        <v>1554</v>
      </c>
      <c r="P251" s="139">
        <v>450.0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18"/>
      <c r="C252" s="11" t="s">
        <v>1989</v>
      </c>
      <c r="D252" s="11" t="s">
        <v>1586</v>
      </c>
      <c r="E252" s="140" t="s">
        <v>1990</v>
      </c>
      <c r="F252" s="11"/>
      <c r="G252" s="11" t="s">
        <v>1582</v>
      </c>
      <c r="H252" s="11" t="s">
        <v>1984</v>
      </c>
      <c r="I252" s="153">
        <v>0.0</v>
      </c>
      <c r="J252" s="138" t="s">
        <v>1589</v>
      </c>
      <c r="K252" s="138"/>
      <c r="L252" s="138"/>
      <c r="M252" s="138"/>
      <c r="N252" s="154"/>
      <c r="O252" s="155"/>
      <c r="P252" s="139">
        <v>400.0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18"/>
      <c r="C253" s="11" t="s">
        <v>1991</v>
      </c>
      <c r="D253" s="11" t="s">
        <v>1586</v>
      </c>
      <c r="E253" s="140" t="s">
        <v>1992</v>
      </c>
      <c r="F253" s="11"/>
      <c r="G253" s="11" t="s">
        <v>1582</v>
      </c>
      <c r="H253" s="11" t="s">
        <v>1984</v>
      </c>
      <c r="I253" s="153">
        <v>0.0</v>
      </c>
      <c r="J253" s="138" t="s">
        <v>1589</v>
      </c>
      <c r="K253" s="138"/>
      <c r="L253" s="138"/>
      <c r="M253" s="138"/>
      <c r="N253" s="154"/>
      <c r="O253" s="155"/>
      <c r="P253" s="139">
        <v>1200.0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18"/>
      <c r="C254" s="11" t="s">
        <v>1993</v>
      </c>
      <c r="D254" s="11" t="s">
        <v>1586</v>
      </c>
      <c r="E254" s="140" t="s">
        <v>1994</v>
      </c>
      <c r="F254" s="11"/>
      <c r="G254" s="11" t="s">
        <v>1582</v>
      </c>
      <c r="H254" s="11" t="s">
        <v>1984</v>
      </c>
      <c r="I254" s="153">
        <v>180.0</v>
      </c>
      <c r="J254" s="138" t="s">
        <v>1589</v>
      </c>
      <c r="K254" s="138"/>
      <c r="L254" s="138"/>
      <c r="M254" s="138"/>
      <c r="N254" s="154"/>
      <c r="O254" s="155"/>
      <c r="P254" s="139">
        <v>1100.0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18"/>
      <c r="C255" s="11" t="s">
        <v>1995</v>
      </c>
      <c r="D255" s="11" t="s">
        <v>1586</v>
      </c>
      <c r="E255" s="32" t="s">
        <v>1996</v>
      </c>
      <c r="F255" s="11"/>
      <c r="G255" s="11" t="s">
        <v>1582</v>
      </c>
      <c r="H255" s="11" t="s">
        <v>1984</v>
      </c>
      <c r="I255" s="153">
        <v>180.0</v>
      </c>
      <c r="J255" s="138" t="s">
        <v>1589</v>
      </c>
      <c r="K255" s="138"/>
      <c r="L255" s="138"/>
      <c r="M255" s="138"/>
      <c r="N255" s="154"/>
      <c r="O255" s="155"/>
      <c r="P255" s="139">
        <v>1500.0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18"/>
      <c r="C256" s="11" t="s">
        <v>1997</v>
      </c>
      <c r="D256" s="11" t="s">
        <v>1586</v>
      </c>
      <c r="E256" s="32" t="s">
        <v>1998</v>
      </c>
      <c r="F256" s="11"/>
      <c r="G256" s="11" t="s">
        <v>1582</v>
      </c>
      <c r="H256" s="11" t="s">
        <v>1984</v>
      </c>
      <c r="I256" s="153">
        <v>90.0</v>
      </c>
      <c r="J256" s="138" t="s">
        <v>1589</v>
      </c>
      <c r="K256" s="138"/>
      <c r="L256" s="138"/>
      <c r="M256" s="138"/>
      <c r="N256" s="154"/>
      <c r="O256" s="155"/>
      <c r="P256" s="139">
        <v>1200.0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18"/>
      <c r="C257" s="11" t="s">
        <v>1999</v>
      </c>
      <c r="D257" s="11" t="s">
        <v>1586</v>
      </c>
      <c r="E257" s="32" t="s">
        <v>2000</v>
      </c>
      <c r="F257" s="11"/>
      <c r="G257" s="11" t="s">
        <v>1582</v>
      </c>
      <c r="H257" s="11" t="s">
        <v>1984</v>
      </c>
      <c r="I257" s="153">
        <v>90.0</v>
      </c>
      <c r="J257" s="138" t="s">
        <v>1589</v>
      </c>
      <c r="K257" s="138"/>
      <c r="L257" s="138"/>
      <c r="M257" s="138"/>
      <c r="N257" s="154"/>
      <c r="O257" s="155"/>
      <c r="P257" s="139">
        <v>1500.0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18"/>
      <c r="C258" s="11" t="s">
        <v>2001</v>
      </c>
      <c r="D258" s="11" t="s">
        <v>1586</v>
      </c>
      <c r="E258" s="32" t="s">
        <v>2002</v>
      </c>
      <c r="F258" s="11"/>
      <c r="G258" s="11" t="s">
        <v>1582</v>
      </c>
      <c r="H258" s="11" t="s">
        <v>1984</v>
      </c>
      <c r="I258" s="153">
        <v>90.0</v>
      </c>
      <c r="J258" s="138" t="s">
        <v>1589</v>
      </c>
      <c r="K258" s="138"/>
      <c r="L258" s="138"/>
      <c r="M258" s="138"/>
      <c r="N258" s="153">
        <v>20.0</v>
      </c>
      <c r="O258" s="157" t="s">
        <v>1554</v>
      </c>
      <c r="P258" s="139">
        <v>3500.0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18"/>
      <c r="C259" s="11" t="s">
        <v>2003</v>
      </c>
      <c r="D259" s="11" t="s">
        <v>1586</v>
      </c>
      <c r="E259" s="32" t="s">
        <v>2004</v>
      </c>
      <c r="F259" s="11"/>
      <c r="G259" s="11" t="s">
        <v>1582</v>
      </c>
      <c r="H259" s="11" t="s">
        <v>1984</v>
      </c>
      <c r="I259" s="153">
        <v>90.0</v>
      </c>
      <c r="J259" s="138" t="s">
        <v>1589</v>
      </c>
      <c r="K259" s="138"/>
      <c r="L259" s="138"/>
      <c r="M259" s="138"/>
      <c r="N259" s="154"/>
      <c r="O259" s="155"/>
      <c r="P259" s="139">
        <v>1600.0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18"/>
      <c r="C260" s="11" t="s">
        <v>2005</v>
      </c>
      <c r="D260" s="11" t="s">
        <v>1586</v>
      </c>
      <c r="E260" s="32" t="s">
        <v>2006</v>
      </c>
      <c r="F260" s="11"/>
      <c r="G260" s="11" t="s">
        <v>1582</v>
      </c>
      <c r="H260" s="11" t="s">
        <v>1984</v>
      </c>
      <c r="I260" s="153">
        <v>90.0</v>
      </c>
      <c r="J260" s="138" t="s">
        <v>1589</v>
      </c>
      <c r="K260" s="138"/>
      <c r="L260" s="138"/>
      <c r="M260" s="138"/>
      <c r="N260" s="154"/>
      <c r="O260" s="155"/>
      <c r="P260" s="139">
        <v>1500.0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18"/>
      <c r="C261" s="11" t="s">
        <v>2007</v>
      </c>
      <c r="D261" s="11" t="s">
        <v>1586</v>
      </c>
      <c r="E261" s="32" t="s">
        <v>2008</v>
      </c>
      <c r="F261" s="11"/>
      <c r="G261" s="11" t="s">
        <v>1582</v>
      </c>
      <c r="H261" s="11" t="s">
        <v>1984</v>
      </c>
      <c r="I261" s="153">
        <v>180.0</v>
      </c>
      <c r="J261" s="138" t="s">
        <v>1589</v>
      </c>
      <c r="K261" s="138"/>
      <c r="L261" s="138"/>
      <c r="M261" s="138"/>
      <c r="N261" s="153">
        <v>50.0</v>
      </c>
      <c r="O261" s="157" t="s">
        <v>1554</v>
      </c>
      <c r="P261" s="139">
        <v>1200.0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18"/>
      <c r="C262" s="11" t="s">
        <v>2009</v>
      </c>
      <c r="D262" s="11" t="s">
        <v>1586</v>
      </c>
      <c r="E262" s="32" t="s">
        <v>2010</v>
      </c>
      <c r="F262" s="11"/>
      <c r="G262" s="11" t="s">
        <v>1582</v>
      </c>
      <c r="H262" s="11" t="s">
        <v>1984</v>
      </c>
      <c r="I262" s="153">
        <v>180.0</v>
      </c>
      <c r="J262" s="138" t="s">
        <v>1589</v>
      </c>
      <c r="K262" s="138"/>
      <c r="L262" s="138"/>
      <c r="M262" s="138"/>
      <c r="N262" s="154"/>
      <c r="O262" s="155"/>
      <c r="P262" s="139">
        <v>3600.0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18"/>
      <c r="C263" s="11" t="s">
        <v>2011</v>
      </c>
      <c r="D263" s="11" t="s">
        <v>1586</v>
      </c>
      <c r="E263" s="32" t="s">
        <v>2012</v>
      </c>
      <c r="F263" s="11"/>
      <c r="G263" s="11" t="s">
        <v>1582</v>
      </c>
      <c r="H263" s="11" t="s">
        <v>1984</v>
      </c>
      <c r="I263" s="153">
        <v>180.0</v>
      </c>
      <c r="J263" s="138" t="s">
        <v>1589</v>
      </c>
      <c r="K263" s="138"/>
      <c r="L263" s="138"/>
      <c r="M263" s="138"/>
      <c r="N263" s="154"/>
      <c r="O263" s="155"/>
      <c r="P263" s="139">
        <v>1500.0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18"/>
      <c r="C264" s="11" t="s">
        <v>2013</v>
      </c>
      <c r="D264" s="11" t="s">
        <v>1586</v>
      </c>
      <c r="E264" s="32" t="s">
        <v>2014</v>
      </c>
      <c r="F264" s="11"/>
      <c r="G264" s="11" t="s">
        <v>1582</v>
      </c>
      <c r="H264" s="11" t="s">
        <v>1984</v>
      </c>
      <c r="I264" s="153">
        <v>90.0</v>
      </c>
      <c r="J264" s="138" t="s">
        <v>1589</v>
      </c>
      <c r="K264" s="138"/>
      <c r="L264" s="138"/>
      <c r="M264" s="138"/>
      <c r="N264" s="154"/>
      <c r="O264" s="155"/>
      <c r="P264" s="139">
        <v>2000.0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18"/>
      <c r="C265" s="11" t="s">
        <v>2015</v>
      </c>
      <c r="D265" s="11" t="s">
        <v>1586</v>
      </c>
      <c r="E265" s="32" t="s">
        <v>2016</v>
      </c>
      <c r="F265" s="11"/>
      <c r="G265" s="11" t="s">
        <v>1582</v>
      </c>
      <c r="H265" s="11" t="s">
        <v>1984</v>
      </c>
      <c r="I265" s="153">
        <v>90.0</v>
      </c>
      <c r="J265" s="138" t="s">
        <v>1589</v>
      </c>
      <c r="K265" s="138"/>
      <c r="L265" s="138"/>
      <c r="M265" s="138"/>
      <c r="N265" s="154"/>
      <c r="O265" s="155"/>
      <c r="P265" s="139">
        <v>1200.0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18"/>
      <c r="C266" s="11" t="s">
        <v>2017</v>
      </c>
      <c r="D266" s="11" t="s">
        <v>1586</v>
      </c>
      <c r="E266" s="32" t="s">
        <v>2018</v>
      </c>
      <c r="F266" s="11"/>
      <c r="G266" s="11" t="s">
        <v>1582</v>
      </c>
      <c r="H266" s="11" t="s">
        <v>1984</v>
      </c>
      <c r="I266" s="153">
        <v>90.0</v>
      </c>
      <c r="J266" s="138" t="s">
        <v>1589</v>
      </c>
      <c r="K266" s="138"/>
      <c r="L266" s="138"/>
      <c r="M266" s="138"/>
      <c r="N266" s="154"/>
      <c r="O266" s="155"/>
      <c r="P266" s="139">
        <v>1700.0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18"/>
      <c r="C267" s="11" t="s">
        <v>2019</v>
      </c>
      <c r="D267" s="11" t="s">
        <v>1586</v>
      </c>
      <c r="E267" s="32" t="s">
        <v>2020</v>
      </c>
      <c r="F267" s="11"/>
      <c r="G267" s="11" t="s">
        <v>1582</v>
      </c>
      <c r="H267" s="11" t="s">
        <v>1984</v>
      </c>
      <c r="I267" s="153">
        <v>90.0</v>
      </c>
      <c r="J267" s="138" t="s">
        <v>1589</v>
      </c>
      <c r="K267" s="138"/>
      <c r="L267" s="138"/>
      <c r="M267" s="138"/>
      <c r="N267" s="154"/>
      <c r="O267" s="155"/>
      <c r="P267" s="139">
        <v>1700.0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18"/>
      <c r="C268" s="11" t="s">
        <v>2021</v>
      </c>
      <c r="D268" s="11" t="s">
        <v>1586</v>
      </c>
      <c r="E268" s="32" t="s">
        <v>2022</v>
      </c>
      <c r="F268" s="11"/>
      <c r="G268" s="11" t="s">
        <v>1582</v>
      </c>
      <c r="H268" s="11" t="s">
        <v>1984</v>
      </c>
      <c r="I268" s="153">
        <v>90.0</v>
      </c>
      <c r="J268" s="138" t="s">
        <v>1589</v>
      </c>
      <c r="K268" s="138"/>
      <c r="L268" s="138"/>
      <c r="M268" s="138"/>
      <c r="N268" s="154"/>
      <c r="O268" s="155"/>
      <c r="P268" s="139">
        <v>1900.0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18"/>
      <c r="C269" s="11" t="s">
        <v>2023</v>
      </c>
      <c r="D269" s="11" t="s">
        <v>1586</v>
      </c>
      <c r="E269" s="32" t="s">
        <v>2024</v>
      </c>
      <c r="F269" s="11"/>
      <c r="G269" s="11" t="s">
        <v>1582</v>
      </c>
      <c r="H269" s="11" t="s">
        <v>1984</v>
      </c>
      <c r="I269" s="153">
        <v>90.0</v>
      </c>
      <c r="J269" s="138" t="s">
        <v>1589</v>
      </c>
      <c r="K269" s="138"/>
      <c r="L269" s="138"/>
      <c r="M269" s="138"/>
      <c r="N269" s="154"/>
      <c r="O269" s="155"/>
      <c r="P269" s="139">
        <v>2000.0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18"/>
      <c r="C270" s="11" t="s">
        <v>2025</v>
      </c>
      <c r="D270" s="11" t="s">
        <v>1586</v>
      </c>
      <c r="E270" s="32" t="s">
        <v>2026</v>
      </c>
      <c r="F270" s="11"/>
      <c r="G270" s="11" t="s">
        <v>1582</v>
      </c>
      <c r="H270" s="11" t="s">
        <v>1984</v>
      </c>
      <c r="I270" s="153">
        <v>90.0</v>
      </c>
      <c r="J270" s="138" t="s">
        <v>1589</v>
      </c>
      <c r="K270" s="138"/>
      <c r="L270" s="138"/>
      <c r="M270" s="138"/>
      <c r="N270" s="154"/>
      <c r="O270" s="155"/>
      <c r="P270" s="139">
        <v>2500.0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18"/>
      <c r="C271" s="11" t="s">
        <v>2027</v>
      </c>
      <c r="D271" s="11" t="s">
        <v>1586</v>
      </c>
      <c r="E271" s="32" t="s">
        <v>2028</v>
      </c>
      <c r="F271" s="11"/>
      <c r="G271" s="11" t="s">
        <v>1582</v>
      </c>
      <c r="H271" s="11" t="s">
        <v>1984</v>
      </c>
      <c r="I271" s="153">
        <v>90.0</v>
      </c>
      <c r="J271" s="138" t="s">
        <v>1589</v>
      </c>
      <c r="K271" s="138"/>
      <c r="L271" s="138"/>
      <c r="M271" s="138"/>
      <c r="N271" s="154"/>
      <c r="O271" s="155"/>
      <c r="P271" s="139">
        <v>2500.0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35"/>
      <c r="C272" s="36" t="s">
        <v>2029</v>
      </c>
      <c r="D272" s="36" t="s">
        <v>1586</v>
      </c>
      <c r="E272" s="158" t="s">
        <v>2030</v>
      </c>
      <c r="F272" s="36"/>
      <c r="G272" s="36" t="s">
        <v>1582</v>
      </c>
      <c r="H272" s="36" t="s">
        <v>1984</v>
      </c>
      <c r="I272" s="159">
        <v>90.0</v>
      </c>
      <c r="J272" s="141" t="s">
        <v>1589</v>
      </c>
      <c r="K272" s="141"/>
      <c r="L272" s="141"/>
      <c r="M272" s="141"/>
      <c r="N272" s="160"/>
      <c r="O272" s="161"/>
      <c r="P272" s="142">
        <v>1000.0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147" t="s">
        <v>146</v>
      </c>
      <c r="C273" s="42" t="s">
        <v>2031</v>
      </c>
      <c r="D273" s="42" t="s">
        <v>1586</v>
      </c>
      <c r="E273" s="43" t="s">
        <v>2032</v>
      </c>
      <c r="F273" s="42"/>
      <c r="G273" s="42" t="s">
        <v>1582</v>
      </c>
      <c r="H273" s="42" t="s">
        <v>2033</v>
      </c>
      <c r="I273" s="148">
        <v>0.0</v>
      </c>
      <c r="J273" s="149" t="s">
        <v>1589</v>
      </c>
      <c r="K273" s="149"/>
      <c r="L273" s="149"/>
      <c r="M273" s="149"/>
      <c r="N273" s="150"/>
      <c r="O273" s="151"/>
      <c r="P273" s="136">
        <v>1.0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18"/>
      <c r="C274" s="11" t="s">
        <v>2034</v>
      </c>
      <c r="D274" s="11" t="s">
        <v>1586</v>
      </c>
      <c r="E274" s="140" t="s">
        <v>2035</v>
      </c>
      <c r="F274" s="11"/>
      <c r="G274" s="11" t="s">
        <v>1582</v>
      </c>
      <c r="H274" s="11" t="s">
        <v>2033</v>
      </c>
      <c r="I274" s="153">
        <v>0.0</v>
      </c>
      <c r="J274" s="138" t="s">
        <v>1589</v>
      </c>
      <c r="K274" s="138"/>
      <c r="L274" s="138"/>
      <c r="M274" s="138"/>
      <c r="N274" s="153">
        <v>30.0</v>
      </c>
      <c r="O274" s="157" t="s">
        <v>1554</v>
      </c>
      <c r="P274" s="139">
        <v>450.0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18"/>
      <c r="C275" s="11" t="s">
        <v>2036</v>
      </c>
      <c r="D275" s="11" t="s">
        <v>1586</v>
      </c>
      <c r="E275" s="140" t="s">
        <v>2037</v>
      </c>
      <c r="F275" s="11"/>
      <c r="G275" s="11" t="s">
        <v>1582</v>
      </c>
      <c r="H275" s="11" t="s">
        <v>2033</v>
      </c>
      <c r="I275" s="153">
        <v>0.0</v>
      </c>
      <c r="J275" s="138" t="s">
        <v>1589</v>
      </c>
      <c r="K275" s="138"/>
      <c r="L275" s="138"/>
      <c r="M275" s="138"/>
      <c r="N275" s="153">
        <v>30.0</v>
      </c>
      <c r="O275" s="157" t="s">
        <v>1554</v>
      </c>
      <c r="P275" s="139">
        <v>450.0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18"/>
      <c r="C276" s="11" t="s">
        <v>2038</v>
      </c>
      <c r="D276" s="11" t="s">
        <v>1586</v>
      </c>
      <c r="E276" s="140" t="s">
        <v>2039</v>
      </c>
      <c r="F276" s="11"/>
      <c r="G276" s="11" t="s">
        <v>1582</v>
      </c>
      <c r="H276" s="11" t="s">
        <v>2033</v>
      </c>
      <c r="I276" s="153">
        <v>0.0</v>
      </c>
      <c r="J276" s="138" t="s">
        <v>1589</v>
      </c>
      <c r="K276" s="138"/>
      <c r="L276" s="138"/>
      <c r="M276" s="138"/>
      <c r="N276" s="154"/>
      <c r="O276" s="155"/>
      <c r="P276" s="139">
        <v>400.0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18"/>
      <c r="C277" s="11" t="s">
        <v>2040</v>
      </c>
      <c r="D277" s="11" t="s">
        <v>1586</v>
      </c>
      <c r="E277" s="140" t="s">
        <v>2041</v>
      </c>
      <c r="F277" s="11"/>
      <c r="G277" s="11" t="s">
        <v>1582</v>
      </c>
      <c r="H277" s="11" t="s">
        <v>2033</v>
      </c>
      <c r="I277" s="153">
        <v>0.0</v>
      </c>
      <c r="J277" s="138" t="s">
        <v>1589</v>
      </c>
      <c r="K277" s="138"/>
      <c r="L277" s="138"/>
      <c r="M277" s="138"/>
      <c r="N277" s="154"/>
      <c r="O277" s="155"/>
      <c r="P277" s="139">
        <v>1200.0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18"/>
      <c r="C278" s="11" t="s">
        <v>2042</v>
      </c>
      <c r="D278" s="11" t="s">
        <v>1586</v>
      </c>
      <c r="E278" s="140" t="s">
        <v>2043</v>
      </c>
      <c r="F278" s="11"/>
      <c r="G278" s="11" t="s">
        <v>1582</v>
      </c>
      <c r="H278" s="11" t="s">
        <v>2033</v>
      </c>
      <c r="I278" s="153">
        <v>180.0</v>
      </c>
      <c r="J278" s="138" t="s">
        <v>1589</v>
      </c>
      <c r="K278" s="138"/>
      <c r="L278" s="138"/>
      <c r="M278" s="138"/>
      <c r="N278" s="154"/>
      <c r="O278" s="155"/>
      <c r="P278" s="139">
        <v>1100.0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18"/>
      <c r="C279" s="11" t="s">
        <v>2044</v>
      </c>
      <c r="D279" s="11" t="s">
        <v>1586</v>
      </c>
      <c r="E279" s="32" t="s">
        <v>2045</v>
      </c>
      <c r="F279" s="11"/>
      <c r="G279" s="11" t="s">
        <v>1582</v>
      </c>
      <c r="H279" s="11" t="s">
        <v>2033</v>
      </c>
      <c r="I279" s="153">
        <v>180.0</v>
      </c>
      <c r="J279" s="138" t="s">
        <v>1589</v>
      </c>
      <c r="K279" s="138"/>
      <c r="L279" s="138"/>
      <c r="M279" s="138"/>
      <c r="N279" s="154"/>
      <c r="O279" s="155"/>
      <c r="P279" s="139">
        <v>1500.0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18"/>
      <c r="C280" s="11" t="s">
        <v>2046</v>
      </c>
      <c r="D280" s="11" t="s">
        <v>1586</v>
      </c>
      <c r="E280" s="32" t="s">
        <v>2047</v>
      </c>
      <c r="F280" s="11"/>
      <c r="G280" s="11" t="s">
        <v>1582</v>
      </c>
      <c r="H280" s="11" t="s">
        <v>2033</v>
      </c>
      <c r="I280" s="153">
        <v>90.0</v>
      </c>
      <c r="J280" s="138" t="s">
        <v>1589</v>
      </c>
      <c r="K280" s="138"/>
      <c r="L280" s="138"/>
      <c r="M280" s="138"/>
      <c r="N280" s="154"/>
      <c r="O280" s="155"/>
      <c r="P280" s="139">
        <v>1200.0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18"/>
      <c r="C281" s="11" t="s">
        <v>2048</v>
      </c>
      <c r="D281" s="11" t="s">
        <v>1586</v>
      </c>
      <c r="E281" s="32" t="s">
        <v>2049</v>
      </c>
      <c r="F281" s="11"/>
      <c r="G281" s="11" t="s">
        <v>1582</v>
      </c>
      <c r="H281" s="11" t="s">
        <v>2033</v>
      </c>
      <c r="I281" s="153">
        <v>90.0</v>
      </c>
      <c r="J281" s="138" t="s">
        <v>1589</v>
      </c>
      <c r="K281" s="138"/>
      <c r="L281" s="138"/>
      <c r="M281" s="138"/>
      <c r="N281" s="154"/>
      <c r="O281" s="155"/>
      <c r="P281" s="139">
        <v>1500.0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18"/>
      <c r="C282" s="11" t="s">
        <v>2050</v>
      </c>
      <c r="D282" s="11" t="s">
        <v>1586</v>
      </c>
      <c r="E282" s="32" t="s">
        <v>2051</v>
      </c>
      <c r="F282" s="11"/>
      <c r="G282" s="11" t="s">
        <v>1582</v>
      </c>
      <c r="H282" s="11" t="s">
        <v>2033</v>
      </c>
      <c r="I282" s="153">
        <v>90.0</v>
      </c>
      <c r="J282" s="138" t="s">
        <v>1589</v>
      </c>
      <c r="K282" s="138"/>
      <c r="L282" s="138"/>
      <c r="M282" s="138"/>
      <c r="N282" s="153">
        <v>20.0</v>
      </c>
      <c r="O282" s="157" t="s">
        <v>1554</v>
      </c>
      <c r="P282" s="139">
        <v>3500.0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18"/>
      <c r="C283" s="11" t="s">
        <v>2052</v>
      </c>
      <c r="D283" s="11" t="s">
        <v>1586</v>
      </c>
      <c r="E283" s="32" t="s">
        <v>2053</v>
      </c>
      <c r="F283" s="11"/>
      <c r="G283" s="11" t="s">
        <v>1582</v>
      </c>
      <c r="H283" s="11" t="s">
        <v>2033</v>
      </c>
      <c r="I283" s="153">
        <v>90.0</v>
      </c>
      <c r="J283" s="138" t="s">
        <v>1589</v>
      </c>
      <c r="K283" s="138"/>
      <c r="L283" s="138"/>
      <c r="M283" s="138"/>
      <c r="N283" s="154"/>
      <c r="O283" s="155"/>
      <c r="P283" s="139">
        <v>1600.0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18"/>
      <c r="C284" s="11" t="s">
        <v>2054</v>
      </c>
      <c r="D284" s="11" t="s">
        <v>1586</v>
      </c>
      <c r="E284" s="32" t="s">
        <v>2055</v>
      </c>
      <c r="F284" s="11"/>
      <c r="G284" s="11" t="s">
        <v>1582</v>
      </c>
      <c r="H284" s="11" t="s">
        <v>2033</v>
      </c>
      <c r="I284" s="153">
        <v>90.0</v>
      </c>
      <c r="J284" s="138" t="s">
        <v>1589</v>
      </c>
      <c r="K284" s="138"/>
      <c r="L284" s="138"/>
      <c r="M284" s="138"/>
      <c r="N284" s="154"/>
      <c r="O284" s="155"/>
      <c r="P284" s="139">
        <v>1500.0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18"/>
      <c r="C285" s="11" t="s">
        <v>2056</v>
      </c>
      <c r="D285" s="11" t="s">
        <v>1586</v>
      </c>
      <c r="E285" s="32" t="s">
        <v>2057</v>
      </c>
      <c r="F285" s="11"/>
      <c r="G285" s="11" t="s">
        <v>1582</v>
      </c>
      <c r="H285" s="11" t="s">
        <v>2033</v>
      </c>
      <c r="I285" s="153">
        <v>180.0</v>
      </c>
      <c r="J285" s="138" t="s">
        <v>1589</v>
      </c>
      <c r="K285" s="138"/>
      <c r="L285" s="138"/>
      <c r="M285" s="138"/>
      <c r="N285" s="153">
        <v>50.0</v>
      </c>
      <c r="O285" s="157" t="s">
        <v>1554</v>
      </c>
      <c r="P285" s="139">
        <v>1200.0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18"/>
      <c r="C286" s="11" t="s">
        <v>2058</v>
      </c>
      <c r="D286" s="11" t="s">
        <v>1586</v>
      </c>
      <c r="E286" s="32" t="s">
        <v>2059</v>
      </c>
      <c r="F286" s="11"/>
      <c r="G286" s="11" t="s">
        <v>1582</v>
      </c>
      <c r="H286" s="11" t="s">
        <v>2033</v>
      </c>
      <c r="I286" s="153">
        <v>180.0</v>
      </c>
      <c r="J286" s="138" t="s">
        <v>1589</v>
      </c>
      <c r="K286" s="138"/>
      <c r="L286" s="138"/>
      <c r="M286" s="138"/>
      <c r="N286" s="154"/>
      <c r="O286" s="155"/>
      <c r="P286" s="139">
        <v>3600.0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18"/>
      <c r="C287" s="11" t="s">
        <v>2060</v>
      </c>
      <c r="D287" s="11" t="s">
        <v>1586</v>
      </c>
      <c r="E287" s="32" t="s">
        <v>2061</v>
      </c>
      <c r="F287" s="11"/>
      <c r="G287" s="11" t="s">
        <v>1582</v>
      </c>
      <c r="H287" s="11" t="s">
        <v>2033</v>
      </c>
      <c r="I287" s="153">
        <v>180.0</v>
      </c>
      <c r="J287" s="138" t="s">
        <v>1589</v>
      </c>
      <c r="K287" s="138"/>
      <c r="L287" s="138"/>
      <c r="M287" s="138"/>
      <c r="N287" s="154"/>
      <c r="O287" s="155"/>
      <c r="P287" s="139">
        <v>1500.0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18"/>
      <c r="C288" s="11" t="s">
        <v>2062</v>
      </c>
      <c r="D288" s="11" t="s">
        <v>1586</v>
      </c>
      <c r="E288" s="32" t="s">
        <v>2063</v>
      </c>
      <c r="F288" s="11"/>
      <c r="G288" s="11" t="s">
        <v>1582</v>
      </c>
      <c r="H288" s="11" t="s">
        <v>2033</v>
      </c>
      <c r="I288" s="153">
        <v>90.0</v>
      </c>
      <c r="J288" s="138" t="s">
        <v>1589</v>
      </c>
      <c r="K288" s="138"/>
      <c r="L288" s="138"/>
      <c r="M288" s="138"/>
      <c r="N288" s="154"/>
      <c r="O288" s="155"/>
      <c r="P288" s="139">
        <v>2000.0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18"/>
      <c r="C289" s="11" t="s">
        <v>2064</v>
      </c>
      <c r="D289" s="11" t="s">
        <v>1586</v>
      </c>
      <c r="E289" s="32" t="s">
        <v>2065</v>
      </c>
      <c r="F289" s="11"/>
      <c r="G289" s="11" t="s">
        <v>1582</v>
      </c>
      <c r="H289" s="11" t="s">
        <v>2033</v>
      </c>
      <c r="I289" s="153">
        <v>90.0</v>
      </c>
      <c r="J289" s="138" t="s">
        <v>1589</v>
      </c>
      <c r="K289" s="138"/>
      <c r="L289" s="138"/>
      <c r="M289" s="138"/>
      <c r="N289" s="154"/>
      <c r="O289" s="155"/>
      <c r="P289" s="139">
        <v>1200.0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18"/>
      <c r="C290" s="11" t="s">
        <v>2066</v>
      </c>
      <c r="D290" s="11" t="s">
        <v>1586</v>
      </c>
      <c r="E290" s="32" t="s">
        <v>2067</v>
      </c>
      <c r="F290" s="11"/>
      <c r="G290" s="11" t="s">
        <v>1582</v>
      </c>
      <c r="H290" s="11" t="s">
        <v>2033</v>
      </c>
      <c r="I290" s="153">
        <v>90.0</v>
      </c>
      <c r="J290" s="138" t="s">
        <v>1589</v>
      </c>
      <c r="K290" s="138"/>
      <c r="L290" s="138"/>
      <c r="M290" s="138"/>
      <c r="N290" s="154"/>
      <c r="O290" s="155"/>
      <c r="P290" s="139">
        <v>1700.0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18"/>
      <c r="C291" s="11" t="s">
        <v>2068</v>
      </c>
      <c r="D291" s="11" t="s">
        <v>1586</v>
      </c>
      <c r="E291" s="32" t="s">
        <v>2069</v>
      </c>
      <c r="F291" s="11"/>
      <c r="G291" s="11" t="s">
        <v>1582</v>
      </c>
      <c r="H291" s="11" t="s">
        <v>2033</v>
      </c>
      <c r="I291" s="153">
        <v>90.0</v>
      </c>
      <c r="J291" s="138" t="s">
        <v>1589</v>
      </c>
      <c r="K291" s="138"/>
      <c r="L291" s="138"/>
      <c r="M291" s="138"/>
      <c r="N291" s="154"/>
      <c r="O291" s="155"/>
      <c r="P291" s="139">
        <v>1700.0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18"/>
      <c r="C292" s="11" t="s">
        <v>2070</v>
      </c>
      <c r="D292" s="11" t="s">
        <v>1586</v>
      </c>
      <c r="E292" s="32" t="s">
        <v>2071</v>
      </c>
      <c r="F292" s="11"/>
      <c r="G292" s="11" t="s">
        <v>1582</v>
      </c>
      <c r="H292" s="11" t="s">
        <v>2033</v>
      </c>
      <c r="I292" s="153">
        <v>90.0</v>
      </c>
      <c r="J292" s="138" t="s">
        <v>1589</v>
      </c>
      <c r="K292" s="138"/>
      <c r="L292" s="138"/>
      <c r="M292" s="138"/>
      <c r="N292" s="154"/>
      <c r="O292" s="155"/>
      <c r="P292" s="139">
        <v>1900.0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18"/>
      <c r="C293" s="11" t="s">
        <v>2072</v>
      </c>
      <c r="D293" s="11" t="s">
        <v>1586</v>
      </c>
      <c r="E293" s="32" t="s">
        <v>2073</v>
      </c>
      <c r="F293" s="11"/>
      <c r="G293" s="11" t="s">
        <v>1582</v>
      </c>
      <c r="H293" s="11" t="s">
        <v>2033</v>
      </c>
      <c r="I293" s="153">
        <v>90.0</v>
      </c>
      <c r="J293" s="138" t="s">
        <v>1589</v>
      </c>
      <c r="K293" s="138"/>
      <c r="L293" s="138"/>
      <c r="M293" s="138"/>
      <c r="N293" s="154"/>
      <c r="O293" s="155"/>
      <c r="P293" s="139">
        <v>2000.0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18"/>
      <c r="C294" s="11" t="s">
        <v>2074</v>
      </c>
      <c r="D294" s="11" t="s">
        <v>1586</v>
      </c>
      <c r="E294" s="32" t="s">
        <v>2075</v>
      </c>
      <c r="F294" s="11"/>
      <c r="G294" s="11" t="s">
        <v>1582</v>
      </c>
      <c r="H294" s="11" t="s">
        <v>2033</v>
      </c>
      <c r="I294" s="153">
        <v>90.0</v>
      </c>
      <c r="J294" s="138" t="s">
        <v>1589</v>
      </c>
      <c r="K294" s="138"/>
      <c r="L294" s="138"/>
      <c r="M294" s="138"/>
      <c r="N294" s="154"/>
      <c r="O294" s="155"/>
      <c r="P294" s="139">
        <v>2500.0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18"/>
      <c r="C295" s="11" t="s">
        <v>2076</v>
      </c>
      <c r="D295" s="11" t="s">
        <v>1586</v>
      </c>
      <c r="E295" s="32" t="s">
        <v>2077</v>
      </c>
      <c r="F295" s="11"/>
      <c r="G295" s="11" t="s">
        <v>1582</v>
      </c>
      <c r="H295" s="11" t="s">
        <v>2033</v>
      </c>
      <c r="I295" s="153">
        <v>90.0</v>
      </c>
      <c r="J295" s="138" t="s">
        <v>1589</v>
      </c>
      <c r="K295" s="138"/>
      <c r="L295" s="138"/>
      <c r="M295" s="138"/>
      <c r="N295" s="154"/>
      <c r="O295" s="155"/>
      <c r="P295" s="139">
        <v>2500.0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35"/>
      <c r="C296" s="36" t="s">
        <v>2078</v>
      </c>
      <c r="D296" s="36" t="s">
        <v>1586</v>
      </c>
      <c r="E296" s="158" t="s">
        <v>2079</v>
      </c>
      <c r="F296" s="36"/>
      <c r="G296" s="36" t="s">
        <v>1582</v>
      </c>
      <c r="H296" s="36" t="s">
        <v>2033</v>
      </c>
      <c r="I296" s="159">
        <v>90.0</v>
      </c>
      <c r="J296" s="141" t="s">
        <v>1589</v>
      </c>
      <c r="K296" s="141"/>
      <c r="L296" s="141"/>
      <c r="M296" s="141"/>
      <c r="N296" s="160"/>
      <c r="O296" s="161"/>
      <c r="P296" s="142">
        <v>1000.0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147" t="s">
        <v>159</v>
      </c>
      <c r="C297" s="42" t="s">
        <v>2080</v>
      </c>
      <c r="D297" s="42" t="s">
        <v>1586</v>
      </c>
      <c r="E297" s="43" t="s">
        <v>2081</v>
      </c>
      <c r="F297" s="42"/>
      <c r="G297" s="42" t="s">
        <v>1582</v>
      </c>
      <c r="H297" s="42" t="s">
        <v>2082</v>
      </c>
      <c r="I297" s="148">
        <v>0.0</v>
      </c>
      <c r="J297" s="149" t="s">
        <v>1589</v>
      </c>
      <c r="K297" s="149"/>
      <c r="L297" s="149"/>
      <c r="M297" s="149"/>
      <c r="N297" s="150"/>
      <c r="O297" s="151"/>
      <c r="P297" s="136">
        <v>1.0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18"/>
      <c r="C298" s="11" t="s">
        <v>2083</v>
      </c>
      <c r="D298" s="11" t="s">
        <v>1586</v>
      </c>
      <c r="E298" s="140" t="s">
        <v>2084</v>
      </c>
      <c r="F298" s="11"/>
      <c r="G298" s="11" t="s">
        <v>1582</v>
      </c>
      <c r="H298" s="11" t="s">
        <v>2082</v>
      </c>
      <c r="I298" s="153">
        <v>0.0</v>
      </c>
      <c r="J298" s="138" t="s">
        <v>1589</v>
      </c>
      <c r="K298" s="138"/>
      <c r="L298" s="138"/>
      <c r="M298" s="138"/>
      <c r="N298" s="153">
        <v>30.0</v>
      </c>
      <c r="O298" s="157" t="s">
        <v>1554</v>
      </c>
      <c r="P298" s="139">
        <v>550.0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18"/>
      <c r="C299" s="11" t="s">
        <v>2085</v>
      </c>
      <c r="D299" s="11" t="s">
        <v>1586</v>
      </c>
      <c r="E299" s="140" t="s">
        <v>2086</v>
      </c>
      <c r="F299" s="11"/>
      <c r="G299" s="11" t="s">
        <v>1582</v>
      </c>
      <c r="H299" s="11" t="s">
        <v>2082</v>
      </c>
      <c r="I299" s="153">
        <v>0.0</v>
      </c>
      <c r="J299" s="138" t="s">
        <v>1589</v>
      </c>
      <c r="K299" s="138"/>
      <c r="L299" s="138"/>
      <c r="M299" s="138"/>
      <c r="N299" s="153">
        <v>30.0</v>
      </c>
      <c r="O299" s="157" t="s">
        <v>1554</v>
      </c>
      <c r="P299" s="139">
        <v>550.0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18"/>
      <c r="C300" s="11" t="s">
        <v>2087</v>
      </c>
      <c r="D300" s="11" t="s">
        <v>1586</v>
      </c>
      <c r="E300" s="140" t="s">
        <v>2088</v>
      </c>
      <c r="F300" s="11"/>
      <c r="G300" s="11" t="s">
        <v>1582</v>
      </c>
      <c r="H300" s="11" t="s">
        <v>2082</v>
      </c>
      <c r="I300" s="153">
        <v>0.0</v>
      </c>
      <c r="J300" s="138" t="s">
        <v>1589</v>
      </c>
      <c r="K300" s="138"/>
      <c r="L300" s="138"/>
      <c r="M300" s="138"/>
      <c r="N300" s="154"/>
      <c r="O300" s="155"/>
      <c r="P300" s="139">
        <v>400.0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18"/>
      <c r="C301" s="11" t="s">
        <v>2089</v>
      </c>
      <c r="D301" s="11" t="s">
        <v>1586</v>
      </c>
      <c r="E301" s="140" t="s">
        <v>2090</v>
      </c>
      <c r="F301" s="11"/>
      <c r="G301" s="11" t="s">
        <v>1582</v>
      </c>
      <c r="H301" s="11" t="s">
        <v>2082</v>
      </c>
      <c r="I301" s="153">
        <v>0.0</v>
      </c>
      <c r="J301" s="138" t="s">
        <v>1589</v>
      </c>
      <c r="K301" s="138"/>
      <c r="L301" s="138"/>
      <c r="M301" s="138"/>
      <c r="N301" s="154"/>
      <c r="O301" s="155"/>
      <c r="P301" s="139">
        <v>1700.0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18"/>
      <c r="C302" s="11" t="s">
        <v>2091</v>
      </c>
      <c r="D302" s="11" t="s">
        <v>1586</v>
      </c>
      <c r="E302" s="140" t="s">
        <v>2092</v>
      </c>
      <c r="F302" s="11"/>
      <c r="G302" s="11" t="s">
        <v>1582</v>
      </c>
      <c r="H302" s="11" t="s">
        <v>2082</v>
      </c>
      <c r="I302" s="153">
        <v>180.0</v>
      </c>
      <c r="J302" s="138" t="s">
        <v>1589</v>
      </c>
      <c r="K302" s="138"/>
      <c r="L302" s="138"/>
      <c r="M302" s="138"/>
      <c r="N302" s="154"/>
      <c r="O302" s="155"/>
      <c r="P302" s="139">
        <v>1800.0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18"/>
      <c r="C303" s="11" t="s">
        <v>2093</v>
      </c>
      <c r="D303" s="11" t="s">
        <v>1586</v>
      </c>
      <c r="E303" s="32" t="s">
        <v>2094</v>
      </c>
      <c r="F303" s="11"/>
      <c r="G303" s="11" t="s">
        <v>1582</v>
      </c>
      <c r="H303" s="11" t="s">
        <v>2082</v>
      </c>
      <c r="I303" s="153">
        <v>90.0</v>
      </c>
      <c r="J303" s="138" t="s">
        <v>1589</v>
      </c>
      <c r="K303" s="138"/>
      <c r="L303" s="138"/>
      <c r="M303" s="138"/>
      <c r="N303" s="154"/>
      <c r="O303" s="155"/>
      <c r="P303" s="139">
        <v>2500.0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18"/>
      <c r="C304" s="11" t="s">
        <v>2095</v>
      </c>
      <c r="D304" s="11" t="s">
        <v>1586</v>
      </c>
      <c r="E304" s="32" t="s">
        <v>2096</v>
      </c>
      <c r="F304" s="11"/>
      <c r="G304" s="11" t="s">
        <v>1582</v>
      </c>
      <c r="H304" s="11" t="s">
        <v>2082</v>
      </c>
      <c r="I304" s="153">
        <v>90.0</v>
      </c>
      <c r="J304" s="138" t="s">
        <v>1589</v>
      </c>
      <c r="K304" s="138"/>
      <c r="L304" s="138"/>
      <c r="M304" s="138"/>
      <c r="N304" s="154"/>
      <c r="O304" s="155"/>
      <c r="P304" s="139">
        <v>1800.0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18"/>
      <c r="C305" s="11" t="s">
        <v>2097</v>
      </c>
      <c r="D305" s="11" t="s">
        <v>1586</v>
      </c>
      <c r="E305" s="32" t="s">
        <v>2098</v>
      </c>
      <c r="F305" s="11"/>
      <c r="G305" s="11" t="s">
        <v>1582</v>
      </c>
      <c r="H305" s="11" t="s">
        <v>2082</v>
      </c>
      <c r="I305" s="153">
        <v>90.0</v>
      </c>
      <c r="J305" s="138" t="s">
        <v>1589</v>
      </c>
      <c r="K305" s="138"/>
      <c r="L305" s="138"/>
      <c r="M305" s="138"/>
      <c r="N305" s="153">
        <v>20.0</v>
      </c>
      <c r="O305" s="157" t="s">
        <v>1554</v>
      </c>
      <c r="P305" s="139">
        <v>4500.0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18"/>
      <c r="C306" s="11" t="s">
        <v>2099</v>
      </c>
      <c r="D306" s="11" t="s">
        <v>1586</v>
      </c>
      <c r="E306" s="32" t="s">
        <v>2100</v>
      </c>
      <c r="F306" s="11"/>
      <c r="G306" s="11" t="s">
        <v>1582</v>
      </c>
      <c r="H306" s="11" t="s">
        <v>2082</v>
      </c>
      <c r="I306" s="153">
        <v>90.0</v>
      </c>
      <c r="J306" s="138" t="s">
        <v>1589</v>
      </c>
      <c r="K306" s="138"/>
      <c r="L306" s="138"/>
      <c r="M306" s="138"/>
      <c r="N306" s="153">
        <v>20.0</v>
      </c>
      <c r="O306" s="157" t="s">
        <v>1554</v>
      </c>
      <c r="P306" s="139">
        <v>6000.0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18"/>
      <c r="C307" s="11" t="s">
        <v>2101</v>
      </c>
      <c r="D307" s="11" t="s">
        <v>1586</v>
      </c>
      <c r="E307" s="32" t="s">
        <v>2102</v>
      </c>
      <c r="F307" s="11"/>
      <c r="G307" s="11" t="s">
        <v>1582</v>
      </c>
      <c r="H307" s="11" t="s">
        <v>2082</v>
      </c>
      <c r="I307" s="153">
        <v>90.0</v>
      </c>
      <c r="J307" s="138" t="s">
        <v>1589</v>
      </c>
      <c r="K307" s="138"/>
      <c r="L307" s="138"/>
      <c r="M307" s="138"/>
      <c r="N307" s="154"/>
      <c r="O307" s="155"/>
      <c r="P307" s="139">
        <v>2400.0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18"/>
      <c r="C308" s="11" t="s">
        <v>2103</v>
      </c>
      <c r="D308" s="11" t="s">
        <v>1586</v>
      </c>
      <c r="E308" s="32" t="s">
        <v>2104</v>
      </c>
      <c r="F308" s="11"/>
      <c r="G308" s="11" t="s">
        <v>1582</v>
      </c>
      <c r="H308" s="11" t="s">
        <v>2082</v>
      </c>
      <c r="I308" s="153">
        <v>90.0</v>
      </c>
      <c r="J308" s="138" t="s">
        <v>1589</v>
      </c>
      <c r="K308" s="138"/>
      <c r="L308" s="138"/>
      <c r="M308" s="138"/>
      <c r="N308" s="154"/>
      <c r="O308" s="155"/>
      <c r="P308" s="139">
        <v>3000.0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18"/>
      <c r="C309" s="11" t="s">
        <v>2105</v>
      </c>
      <c r="D309" s="11" t="s">
        <v>1586</v>
      </c>
      <c r="E309" s="32" t="s">
        <v>2106</v>
      </c>
      <c r="F309" s="11"/>
      <c r="G309" s="11" t="s">
        <v>1582</v>
      </c>
      <c r="H309" s="11" t="s">
        <v>2082</v>
      </c>
      <c r="I309" s="153">
        <v>180.0</v>
      </c>
      <c r="J309" s="138" t="s">
        <v>1589</v>
      </c>
      <c r="K309" s="138"/>
      <c r="L309" s="138"/>
      <c r="M309" s="138"/>
      <c r="N309" s="153">
        <v>50.0</v>
      </c>
      <c r="O309" s="157" t="s">
        <v>1554</v>
      </c>
      <c r="P309" s="139">
        <v>1600.0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18"/>
      <c r="C310" s="11" t="s">
        <v>2107</v>
      </c>
      <c r="D310" s="11" t="s">
        <v>1586</v>
      </c>
      <c r="E310" s="32" t="s">
        <v>2108</v>
      </c>
      <c r="F310" s="11"/>
      <c r="G310" s="11" t="s">
        <v>1582</v>
      </c>
      <c r="H310" s="11" t="s">
        <v>2082</v>
      </c>
      <c r="I310" s="153">
        <v>90.0</v>
      </c>
      <c r="J310" s="138" t="s">
        <v>1589</v>
      </c>
      <c r="K310" s="138"/>
      <c r="L310" s="138"/>
      <c r="M310" s="138"/>
      <c r="N310" s="154"/>
      <c r="O310" s="155"/>
      <c r="P310" s="139">
        <v>4200.0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18"/>
      <c r="C311" s="11" t="s">
        <v>2109</v>
      </c>
      <c r="D311" s="11" t="s">
        <v>1586</v>
      </c>
      <c r="E311" s="32" t="s">
        <v>2110</v>
      </c>
      <c r="F311" s="11"/>
      <c r="G311" s="11" t="s">
        <v>1582</v>
      </c>
      <c r="H311" s="11" t="s">
        <v>2082</v>
      </c>
      <c r="I311" s="153">
        <v>180.0</v>
      </c>
      <c r="J311" s="138" t="s">
        <v>1589</v>
      </c>
      <c r="K311" s="138"/>
      <c r="L311" s="138"/>
      <c r="M311" s="138"/>
      <c r="N311" s="154"/>
      <c r="O311" s="155"/>
      <c r="P311" s="139">
        <v>3800.0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18"/>
      <c r="C312" s="11" t="s">
        <v>2111</v>
      </c>
      <c r="D312" s="11" t="s">
        <v>1586</v>
      </c>
      <c r="E312" s="32" t="s">
        <v>2112</v>
      </c>
      <c r="F312" s="11"/>
      <c r="G312" s="11" t="s">
        <v>1582</v>
      </c>
      <c r="H312" s="11" t="s">
        <v>2082</v>
      </c>
      <c r="I312" s="153">
        <v>180.0</v>
      </c>
      <c r="J312" s="138" t="s">
        <v>1589</v>
      </c>
      <c r="K312" s="138"/>
      <c r="L312" s="138"/>
      <c r="M312" s="138"/>
      <c r="N312" s="154"/>
      <c r="O312" s="155"/>
      <c r="P312" s="139">
        <v>2600.0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18"/>
      <c r="C313" s="11" t="s">
        <v>2113</v>
      </c>
      <c r="D313" s="11" t="s">
        <v>1586</v>
      </c>
      <c r="E313" s="32" t="s">
        <v>2114</v>
      </c>
      <c r="F313" s="11"/>
      <c r="G313" s="11" t="s">
        <v>1582</v>
      </c>
      <c r="H313" s="11" t="s">
        <v>2082</v>
      </c>
      <c r="I313" s="153">
        <v>90.0</v>
      </c>
      <c r="J313" s="138" t="s">
        <v>1589</v>
      </c>
      <c r="K313" s="138"/>
      <c r="L313" s="138"/>
      <c r="M313" s="138"/>
      <c r="N313" s="154"/>
      <c r="O313" s="155"/>
      <c r="P313" s="139">
        <v>2000.0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18"/>
      <c r="C314" s="11" t="s">
        <v>2115</v>
      </c>
      <c r="D314" s="11" t="s">
        <v>1586</v>
      </c>
      <c r="E314" s="32" t="s">
        <v>2116</v>
      </c>
      <c r="F314" s="11"/>
      <c r="G314" s="11" t="s">
        <v>1582</v>
      </c>
      <c r="H314" s="11" t="s">
        <v>2082</v>
      </c>
      <c r="I314" s="153">
        <v>90.0</v>
      </c>
      <c r="J314" s="138" t="s">
        <v>1589</v>
      </c>
      <c r="K314" s="138"/>
      <c r="L314" s="138"/>
      <c r="M314" s="138"/>
      <c r="N314" s="154"/>
      <c r="O314" s="155"/>
      <c r="P314" s="139">
        <v>2300.0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18"/>
      <c r="C315" s="11" t="s">
        <v>2117</v>
      </c>
      <c r="D315" s="11" t="s">
        <v>1586</v>
      </c>
      <c r="E315" s="32" t="s">
        <v>2118</v>
      </c>
      <c r="F315" s="11"/>
      <c r="G315" s="11" t="s">
        <v>1582</v>
      </c>
      <c r="H315" s="11" t="s">
        <v>2082</v>
      </c>
      <c r="I315" s="153">
        <v>90.0</v>
      </c>
      <c r="J315" s="138" t="s">
        <v>1589</v>
      </c>
      <c r="K315" s="138"/>
      <c r="L315" s="138"/>
      <c r="M315" s="138"/>
      <c r="N315" s="154"/>
      <c r="O315" s="155"/>
      <c r="P315" s="139">
        <v>2300.0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18"/>
      <c r="C316" s="11" t="s">
        <v>2119</v>
      </c>
      <c r="D316" s="11" t="s">
        <v>1586</v>
      </c>
      <c r="E316" s="32" t="s">
        <v>2120</v>
      </c>
      <c r="F316" s="11"/>
      <c r="G316" s="11" t="s">
        <v>1582</v>
      </c>
      <c r="H316" s="11" t="s">
        <v>2082</v>
      </c>
      <c r="I316" s="153">
        <v>90.0</v>
      </c>
      <c r="J316" s="138" t="s">
        <v>1589</v>
      </c>
      <c r="K316" s="138"/>
      <c r="L316" s="138"/>
      <c r="M316" s="138"/>
      <c r="N316" s="154"/>
      <c r="O316" s="155"/>
      <c r="P316" s="139">
        <v>2900.0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18"/>
      <c r="C317" s="11" t="s">
        <v>2121</v>
      </c>
      <c r="D317" s="11" t="s">
        <v>1586</v>
      </c>
      <c r="E317" s="32" t="s">
        <v>2122</v>
      </c>
      <c r="F317" s="11"/>
      <c r="G317" s="11" t="s">
        <v>1582</v>
      </c>
      <c r="H317" s="11" t="s">
        <v>2082</v>
      </c>
      <c r="I317" s="153">
        <v>90.0</v>
      </c>
      <c r="J317" s="138" t="s">
        <v>1589</v>
      </c>
      <c r="K317" s="138"/>
      <c r="L317" s="138"/>
      <c r="M317" s="138"/>
      <c r="N317" s="154"/>
      <c r="O317" s="155"/>
      <c r="P317" s="139">
        <v>2200.0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18"/>
      <c r="C318" s="11" t="s">
        <v>2123</v>
      </c>
      <c r="D318" s="11" t="s">
        <v>1586</v>
      </c>
      <c r="E318" s="32" t="s">
        <v>2124</v>
      </c>
      <c r="F318" s="11"/>
      <c r="G318" s="11" t="s">
        <v>1582</v>
      </c>
      <c r="H318" s="11" t="s">
        <v>2082</v>
      </c>
      <c r="I318" s="153">
        <v>90.0</v>
      </c>
      <c r="J318" s="138" t="s">
        <v>1589</v>
      </c>
      <c r="K318" s="138"/>
      <c r="L318" s="138"/>
      <c r="M318" s="138"/>
      <c r="N318" s="154"/>
      <c r="O318" s="155"/>
      <c r="P318" s="139">
        <v>5500.0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18"/>
      <c r="C319" s="11" t="s">
        <v>2125</v>
      </c>
      <c r="D319" s="11" t="s">
        <v>1586</v>
      </c>
      <c r="E319" s="32" t="s">
        <v>2126</v>
      </c>
      <c r="F319" s="11"/>
      <c r="G319" s="11" t="s">
        <v>1582</v>
      </c>
      <c r="H319" s="11" t="s">
        <v>2082</v>
      </c>
      <c r="I319" s="153">
        <v>90.0</v>
      </c>
      <c r="J319" s="138" t="s">
        <v>1589</v>
      </c>
      <c r="K319" s="138"/>
      <c r="L319" s="138"/>
      <c r="M319" s="138"/>
      <c r="N319" s="154"/>
      <c r="O319" s="155"/>
      <c r="P319" s="139">
        <v>2500.0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18"/>
      <c r="C320" s="11" t="s">
        <v>2127</v>
      </c>
      <c r="D320" s="11" t="s">
        <v>1586</v>
      </c>
      <c r="E320" s="32" t="s">
        <v>2128</v>
      </c>
      <c r="F320" s="11"/>
      <c r="G320" s="11" t="s">
        <v>1582</v>
      </c>
      <c r="H320" s="11" t="s">
        <v>2082</v>
      </c>
      <c r="I320" s="153">
        <v>90.0</v>
      </c>
      <c r="J320" s="138" t="s">
        <v>1589</v>
      </c>
      <c r="K320" s="138"/>
      <c r="L320" s="138"/>
      <c r="M320" s="138"/>
      <c r="N320" s="154"/>
      <c r="O320" s="155"/>
      <c r="P320" s="139">
        <v>2200.0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35"/>
      <c r="C321" s="36" t="s">
        <v>2129</v>
      </c>
      <c r="D321" s="36" t="s">
        <v>1586</v>
      </c>
      <c r="E321" s="158" t="s">
        <v>2130</v>
      </c>
      <c r="F321" s="36"/>
      <c r="G321" s="36" t="s">
        <v>1582</v>
      </c>
      <c r="H321" s="36" t="s">
        <v>2082</v>
      </c>
      <c r="I321" s="159">
        <v>90.0</v>
      </c>
      <c r="J321" s="141" t="s">
        <v>1589</v>
      </c>
      <c r="K321" s="141"/>
      <c r="L321" s="141"/>
      <c r="M321" s="141"/>
      <c r="N321" s="160"/>
      <c r="O321" s="161"/>
      <c r="P321" s="142">
        <v>2700.0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147" t="s">
        <v>153</v>
      </c>
      <c r="C322" s="42" t="s">
        <v>2131</v>
      </c>
      <c r="D322" s="42" t="s">
        <v>1586</v>
      </c>
      <c r="E322" s="43" t="s">
        <v>2132</v>
      </c>
      <c r="F322" s="42"/>
      <c r="G322" s="42" t="s">
        <v>1582</v>
      </c>
      <c r="H322" s="42" t="s">
        <v>2133</v>
      </c>
      <c r="I322" s="148">
        <v>0.0</v>
      </c>
      <c r="J322" s="149" t="s">
        <v>1589</v>
      </c>
      <c r="K322" s="149"/>
      <c r="L322" s="149"/>
      <c r="M322" s="149"/>
      <c r="N322" s="150"/>
      <c r="O322" s="151"/>
      <c r="P322" s="136">
        <v>1.0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18"/>
      <c r="C323" s="11" t="s">
        <v>2134</v>
      </c>
      <c r="D323" s="11" t="s">
        <v>1586</v>
      </c>
      <c r="E323" s="140" t="s">
        <v>2135</v>
      </c>
      <c r="F323" s="11"/>
      <c r="G323" s="11" t="s">
        <v>1582</v>
      </c>
      <c r="H323" s="11" t="s">
        <v>2133</v>
      </c>
      <c r="I323" s="153">
        <v>0.0</v>
      </c>
      <c r="J323" s="138" t="s">
        <v>1589</v>
      </c>
      <c r="K323" s="138"/>
      <c r="L323" s="138"/>
      <c r="M323" s="138"/>
      <c r="N323" s="153">
        <v>30.0</v>
      </c>
      <c r="O323" s="157" t="s">
        <v>1554</v>
      </c>
      <c r="P323" s="139">
        <v>550.0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18"/>
      <c r="C324" s="11" t="s">
        <v>2136</v>
      </c>
      <c r="D324" s="11" t="s">
        <v>1586</v>
      </c>
      <c r="E324" s="140" t="s">
        <v>2137</v>
      </c>
      <c r="F324" s="11"/>
      <c r="G324" s="11" t="s">
        <v>1582</v>
      </c>
      <c r="H324" s="11" t="s">
        <v>2133</v>
      </c>
      <c r="I324" s="153">
        <v>0.0</v>
      </c>
      <c r="J324" s="138" t="s">
        <v>1589</v>
      </c>
      <c r="K324" s="138"/>
      <c r="L324" s="138"/>
      <c r="M324" s="138"/>
      <c r="N324" s="153">
        <v>30.0</v>
      </c>
      <c r="O324" s="157" t="s">
        <v>1554</v>
      </c>
      <c r="P324" s="139">
        <v>550.0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18"/>
      <c r="C325" s="11" t="s">
        <v>2138</v>
      </c>
      <c r="D325" s="11" t="s">
        <v>1586</v>
      </c>
      <c r="E325" s="140" t="s">
        <v>2139</v>
      </c>
      <c r="F325" s="11"/>
      <c r="G325" s="11" t="s">
        <v>1582</v>
      </c>
      <c r="H325" s="11" t="s">
        <v>2133</v>
      </c>
      <c r="I325" s="153">
        <v>0.0</v>
      </c>
      <c r="J325" s="138" t="s">
        <v>1589</v>
      </c>
      <c r="K325" s="138"/>
      <c r="L325" s="138"/>
      <c r="M325" s="138"/>
      <c r="N325" s="154"/>
      <c r="O325" s="155"/>
      <c r="P325" s="139">
        <v>400.0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18"/>
      <c r="C326" s="11" t="s">
        <v>2140</v>
      </c>
      <c r="D326" s="11" t="s">
        <v>1586</v>
      </c>
      <c r="E326" s="140" t="s">
        <v>2141</v>
      </c>
      <c r="F326" s="11"/>
      <c r="G326" s="11" t="s">
        <v>1582</v>
      </c>
      <c r="H326" s="11" t="s">
        <v>2133</v>
      </c>
      <c r="I326" s="153">
        <v>0.0</v>
      </c>
      <c r="J326" s="138" t="s">
        <v>1589</v>
      </c>
      <c r="K326" s="138"/>
      <c r="L326" s="138"/>
      <c r="M326" s="138"/>
      <c r="N326" s="154"/>
      <c r="O326" s="155"/>
      <c r="P326" s="139">
        <v>1700.0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18"/>
      <c r="C327" s="11" t="s">
        <v>2142</v>
      </c>
      <c r="D327" s="11" t="s">
        <v>1586</v>
      </c>
      <c r="E327" s="140" t="s">
        <v>2143</v>
      </c>
      <c r="F327" s="11"/>
      <c r="G327" s="11" t="s">
        <v>1582</v>
      </c>
      <c r="H327" s="11" t="s">
        <v>2133</v>
      </c>
      <c r="I327" s="153">
        <v>180.0</v>
      </c>
      <c r="J327" s="138" t="s">
        <v>1589</v>
      </c>
      <c r="K327" s="138"/>
      <c r="L327" s="138"/>
      <c r="M327" s="138"/>
      <c r="N327" s="154"/>
      <c r="O327" s="155"/>
      <c r="P327" s="139">
        <v>1800.0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18"/>
      <c r="C328" s="11" t="s">
        <v>2144</v>
      </c>
      <c r="D328" s="11" t="s">
        <v>1586</v>
      </c>
      <c r="E328" s="32" t="s">
        <v>2145</v>
      </c>
      <c r="F328" s="11"/>
      <c r="G328" s="11" t="s">
        <v>1582</v>
      </c>
      <c r="H328" s="11" t="s">
        <v>2133</v>
      </c>
      <c r="I328" s="153">
        <v>180.0</v>
      </c>
      <c r="J328" s="138" t="s">
        <v>1589</v>
      </c>
      <c r="K328" s="138"/>
      <c r="L328" s="138"/>
      <c r="M328" s="138"/>
      <c r="N328" s="154"/>
      <c r="O328" s="155"/>
      <c r="P328" s="139">
        <v>1700.0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18"/>
      <c r="C329" s="11" t="s">
        <v>2146</v>
      </c>
      <c r="D329" s="11" t="s">
        <v>1586</v>
      </c>
      <c r="E329" s="32" t="s">
        <v>2147</v>
      </c>
      <c r="F329" s="11"/>
      <c r="G329" s="11" t="s">
        <v>1582</v>
      </c>
      <c r="H329" s="11" t="s">
        <v>2133</v>
      </c>
      <c r="I329" s="153">
        <v>90.0</v>
      </c>
      <c r="J329" s="138" t="s">
        <v>1589</v>
      </c>
      <c r="K329" s="138"/>
      <c r="L329" s="138"/>
      <c r="M329" s="138"/>
      <c r="N329" s="154"/>
      <c r="O329" s="155"/>
      <c r="P329" s="139">
        <v>2000.0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18"/>
      <c r="C330" s="11" t="s">
        <v>2148</v>
      </c>
      <c r="D330" s="11" t="s">
        <v>1586</v>
      </c>
      <c r="E330" s="32" t="s">
        <v>2149</v>
      </c>
      <c r="F330" s="11"/>
      <c r="G330" s="11" t="s">
        <v>1582</v>
      </c>
      <c r="H330" s="11" t="s">
        <v>2133</v>
      </c>
      <c r="I330" s="153">
        <v>90.0</v>
      </c>
      <c r="J330" s="138" t="s">
        <v>1589</v>
      </c>
      <c r="K330" s="138"/>
      <c r="L330" s="138"/>
      <c r="M330" s="138"/>
      <c r="N330" s="154"/>
      <c r="O330" s="155"/>
      <c r="P330" s="139">
        <v>1800.0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18"/>
      <c r="C331" s="11" t="s">
        <v>2150</v>
      </c>
      <c r="D331" s="11" t="s">
        <v>1586</v>
      </c>
      <c r="E331" s="32" t="s">
        <v>2151</v>
      </c>
      <c r="F331" s="11"/>
      <c r="G331" s="11" t="s">
        <v>1582</v>
      </c>
      <c r="H331" s="11" t="s">
        <v>2133</v>
      </c>
      <c r="I331" s="153">
        <v>90.0</v>
      </c>
      <c r="J331" s="138" t="s">
        <v>1589</v>
      </c>
      <c r="K331" s="138"/>
      <c r="L331" s="138"/>
      <c r="M331" s="138"/>
      <c r="N331" s="154"/>
      <c r="O331" s="155"/>
      <c r="P331" s="139">
        <v>2400.0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18"/>
      <c r="C332" s="11" t="s">
        <v>2152</v>
      </c>
      <c r="D332" s="11" t="s">
        <v>1586</v>
      </c>
      <c r="E332" s="32" t="s">
        <v>2153</v>
      </c>
      <c r="F332" s="11"/>
      <c r="G332" s="11" t="s">
        <v>1582</v>
      </c>
      <c r="H332" s="11" t="s">
        <v>2133</v>
      </c>
      <c r="I332" s="153">
        <v>90.0</v>
      </c>
      <c r="J332" s="138" t="s">
        <v>1589</v>
      </c>
      <c r="K332" s="138"/>
      <c r="L332" s="138"/>
      <c r="M332" s="138"/>
      <c r="N332" s="154"/>
      <c r="O332" s="155"/>
      <c r="P332" s="139">
        <v>3000.0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18"/>
      <c r="C333" s="11" t="s">
        <v>2154</v>
      </c>
      <c r="D333" s="11" t="s">
        <v>1586</v>
      </c>
      <c r="E333" s="32" t="s">
        <v>2155</v>
      </c>
      <c r="F333" s="11"/>
      <c r="G333" s="11" t="s">
        <v>1582</v>
      </c>
      <c r="H333" s="11" t="s">
        <v>2133</v>
      </c>
      <c r="I333" s="153">
        <v>180.0</v>
      </c>
      <c r="J333" s="138" t="s">
        <v>1589</v>
      </c>
      <c r="K333" s="138"/>
      <c r="L333" s="138"/>
      <c r="M333" s="138"/>
      <c r="N333" s="153">
        <v>50.0</v>
      </c>
      <c r="O333" s="157" t="s">
        <v>1554</v>
      </c>
      <c r="P333" s="139">
        <v>1600.0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18"/>
      <c r="C334" s="11" t="s">
        <v>2156</v>
      </c>
      <c r="D334" s="11" t="s">
        <v>1586</v>
      </c>
      <c r="E334" s="32" t="s">
        <v>2157</v>
      </c>
      <c r="F334" s="11"/>
      <c r="G334" s="11" t="s">
        <v>1582</v>
      </c>
      <c r="H334" s="11" t="s">
        <v>2133</v>
      </c>
      <c r="I334" s="153">
        <v>90.0</v>
      </c>
      <c r="J334" s="138" t="s">
        <v>1589</v>
      </c>
      <c r="K334" s="138"/>
      <c r="L334" s="138"/>
      <c r="M334" s="138"/>
      <c r="N334" s="154"/>
      <c r="O334" s="155"/>
      <c r="P334" s="139">
        <v>4200.0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18"/>
      <c r="C335" s="11" t="s">
        <v>2158</v>
      </c>
      <c r="D335" s="11" t="s">
        <v>1586</v>
      </c>
      <c r="E335" s="32" t="s">
        <v>2159</v>
      </c>
      <c r="F335" s="11"/>
      <c r="G335" s="11" t="s">
        <v>1582</v>
      </c>
      <c r="H335" s="11" t="s">
        <v>2133</v>
      </c>
      <c r="I335" s="153">
        <v>180.0</v>
      </c>
      <c r="J335" s="138" t="s">
        <v>1589</v>
      </c>
      <c r="K335" s="138"/>
      <c r="L335" s="138"/>
      <c r="M335" s="138"/>
      <c r="N335" s="154"/>
      <c r="O335" s="155"/>
      <c r="P335" s="139">
        <v>3300.0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18"/>
      <c r="C336" s="11" t="s">
        <v>2160</v>
      </c>
      <c r="D336" s="11" t="s">
        <v>1586</v>
      </c>
      <c r="E336" s="32" t="s">
        <v>2161</v>
      </c>
      <c r="F336" s="11"/>
      <c r="G336" s="11" t="s">
        <v>1582</v>
      </c>
      <c r="H336" s="11" t="s">
        <v>2133</v>
      </c>
      <c r="I336" s="153">
        <v>180.0</v>
      </c>
      <c r="J336" s="138" t="s">
        <v>1589</v>
      </c>
      <c r="K336" s="138"/>
      <c r="L336" s="138"/>
      <c r="M336" s="138"/>
      <c r="N336" s="154"/>
      <c r="O336" s="155"/>
      <c r="P336" s="139">
        <v>2600.0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18"/>
      <c r="C337" s="11" t="s">
        <v>2162</v>
      </c>
      <c r="D337" s="11" t="s">
        <v>1586</v>
      </c>
      <c r="E337" s="32" t="s">
        <v>2163</v>
      </c>
      <c r="F337" s="11"/>
      <c r="G337" s="11" t="s">
        <v>1582</v>
      </c>
      <c r="H337" s="11" t="s">
        <v>2133</v>
      </c>
      <c r="I337" s="153">
        <v>90.0</v>
      </c>
      <c r="J337" s="138" t="s">
        <v>1589</v>
      </c>
      <c r="K337" s="138"/>
      <c r="L337" s="138"/>
      <c r="M337" s="138"/>
      <c r="N337" s="154"/>
      <c r="O337" s="155"/>
      <c r="P337" s="139">
        <v>2000.0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18"/>
      <c r="C338" s="11" t="s">
        <v>2164</v>
      </c>
      <c r="D338" s="11" t="s">
        <v>1586</v>
      </c>
      <c r="E338" s="32" t="s">
        <v>2165</v>
      </c>
      <c r="F338" s="11"/>
      <c r="G338" s="11" t="s">
        <v>1582</v>
      </c>
      <c r="H338" s="11" t="s">
        <v>2133</v>
      </c>
      <c r="I338" s="153">
        <v>90.0</v>
      </c>
      <c r="J338" s="138" t="s">
        <v>1589</v>
      </c>
      <c r="K338" s="138"/>
      <c r="L338" s="138"/>
      <c r="M338" s="138"/>
      <c r="N338" s="154"/>
      <c r="O338" s="155"/>
      <c r="P338" s="139">
        <v>1600.0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18"/>
      <c r="C339" s="11" t="s">
        <v>2166</v>
      </c>
      <c r="D339" s="11" t="s">
        <v>1586</v>
      </c>
      <c r="E339" s="32" t="s">
        <v>2167</v>
      </c>
      <c r="F339" s="11"/>
      <c r="G339" s="11" t="s">
        <v>1582</v>
      </c>
      <c r="H339" s="11" t="s">
        <v>2133</v>
      </c>
      <c r="I339" s="153">
        <v>90.0</v>
      </c>
      <c r="J339" s="138" t="s">
        <v>1589</v>
      </c>
      <c r="K339" s="138"/>
      <c r="L339" s="138"/>
      <c r="M339" s="138"/>
      <c r="N339" s="154"/>
      <c r="O339" s="155"/>
      <c r="P339" s="139">
        <v>1600.0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18"/>
      <c r="C340" s="11" t="s">
        <v>2168</v>
      </c>
      <c r="D340" s="11" t="s">
        <v>1586</v>
      </c>
      <c r="E340" s="32" t="s">
        <v>2169</v>
      </c>
      <c r="F340" s="11"/>
      <c r="G340" s="11" t="s">
        <v>1582</v>
      </c>
      <c r="H340" s="11" t="s">
        <v>2133</v>
      </c>
      <c r="I340" s="153">
        <v>90.0</v>
      </c>
      <c r="J340" s="138" t="s">
        <v>1589</v>
      </c>
      <c r="K340" s="138"/>
      <c r="L340" s="138"/>
      <c r="M340" s="138"/>
      <c r="N340" s="154"/>
      <c r="O340" s="155"/>
      <c r="P340" s="139">
        <v>2200.0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18"/>
      <c r="C341" s="11" t="s">
        <v>2170</v>
      </c>
      <c r="D341" s="11" t="s">
        <v>1586</v>
      </c>
      <c r="E341" s="32" t="s">
        <v>2171</v>
      </c>
      <c r="F341" s="11"/>
      <c r="G341" s="11" t="s">
        <v>1582</v>
      </c>
      <c r="H341" s="11" t="s">
        <v>2133</v>
      </c>
      <c r="I341" s="153">
        <v>90.0</v>
      </c>
      <c r="J341" s="138" t="s">
        <v>1589</v>
      </c>
      <c r="K341" s="138"/>
      <c r="L341" s="138"/>
      <c r="M341" s="138"/>
      <c r="N341" s="154"/>
      <c r="O341" s="155"/>
      <c r="P341" s="139">
        <v>2200.0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18"/>
      <c r="C342" s="11" t="s">
        <v>2172</v>
      </c>
      <c r="D342" s="11" t="s">
        <v>1586</v>
      </c>
      <c r="E342" s="32" t="s">
        <v>2173</v>
      </c>
      <c r="F342" s="11"/>
      <c r="G342" s="11" t="s">
        <v>1582</v>
      </c>
      <c r="H342" s="11" t="s">
        <v>2133</v>
      </c>
      <c r="I342" s="153">
        <v>90.0</v>
      </c>
      <c r="J342" s="138" t="s">
        <v>1589</v>
      </c>
      <c r="K342" s="138"/>
      <c r="L342" s="138"/>
      <c r="M342" s="138"/>
      <c r="N342" s="154"/>
      <c r="O342" s="155"/>
      <c r="P342" s="139">
        <v>2500.0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18"/>
      <c r="C343" s="11" t="s">
        <v>2174</v>
      </c>
      <c r="D343" s="11" t="s">
        <v>1586</v>
      </c>
      <c r="E343" s="32" t="s">
        <v>2175</v>
      </c>
      <c r="F343" s="11"/>
      <c r="G343" s="11" t="s">
        <v>1582</v>
      </c>
      <c r="H343" s="11" t="s">
        <v>2133</v>
      </c>
      <c r="I343" s="153">
        <v>90.0</v>
      </c>
      <c r="J343" s="138" t="s">
        <v>1589</v>
      </c>
      <c r="K343" s="138"/>
      <c r="L343" s="138"/>
      <c r="M343" s="138"/>
      <c r="N343" s="154"/>
      <c r="O343" s="155"/>
      <c r="P343" s="139">
        <v>2200.0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35"/>
      <c r="C344" s="36" t="s">
        <v>2176</v>
      </c>
      <c r="D344" s="36" t="s">
        <v>1586</v>
      </c>
      <c r="E344" s="158" t="s">
        <v>2177</v>
      </c>
      <c r="F344" s="36"/>
      <c r="G344" s="36" t="s">
        <v>1582</v>
      </c>
      <c r="H344" s="36" t="s">
        <v>2133</v>
      </c>
      <c r="I344" s="159">
        <v>90.0</v>
      </c>
      <c r="J344" s="141" t="s">
        <v>1589</v>
      </c>
      <c r="K344" s="141"/>
      <c r="L344" s="141"/>
      <c r="M344" s="141"/>
      <c r="N344" s="160"/>
      <c r="O344" s="161"/>
      <c r="P344" s="142">
        <v>2700.0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147" t="s">
        <v>167</v>
      </c>
      <c r="C345" s="42" t="s">
        <v>2178</v>
      </c>
      <c r="D345" s="42" t="s">
        <v>1586</v>
      </c>
      <c r="E345" s="43" t="s">
        <v>2179</v>
      </c>
      <c r="F345" s="42"/>
      <c r="G345" s="42" t="s">
        <v>1582</v>
      </c>
      <c r="H345" s="42" t="s">
        <v>2180</v>
      </c>
      <c r="I345" s="148">
        <v>0.0</v>
      </c>
      <c r="J345" s="149" t="s">
        <v>1589</v>
      </c>
      <c r="K345" s="149"/>
      <c r="L345" s="149"/>
      <c r="M345" s="149"/>
      <c r="N345" s="150"/>
      <c r="O345" s="151"/>
      <c r="P345" s="136">
        <v>1.0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18"/>
      <c r="C346" s="11" t="s">
        <v>2181</v>
      </c>
      <c r="D346" s="11" t="s">
        <v>1586</v>
      </c>
      <c r="E346" s="140" t="s">
        <v>2182</v>
      </c>
      <c r="F346" s="11"/>
      <c r="G346" s="11" t="s">
        <v>1582</v>
      </c>
      <c r="H346" s="11" t="s">
        <v>2180</v>
      </c>
      <c r="I346" s="153">
        <v>0.0</v>
      </c>
      <c r="J346" s="138" t="s">
        <v>1589</v>
      </c>
      <c r="K346" s="138"/>
      <c r="L346" s="138"/>
      <c r="M346" s="138"/>
      <c r="N346" s="153">
        <v>30.0</v>
      </c>
      <c r="O346" s="157" t="s">
        <v>1554</v>
      </c>
      <c r="P346" s="139">
        <v>550.0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18"/>
      <c r="C347" s="11" t="s">
        <v>2183</v>
      </c>
      <c r="D347" s="11" t="s">
        <v>1586</v>
      </c>
      <c r="E347" s="140" t="s">
        <v>2184</v>
      </c>
      <c r="F347" s="11"/>
      <c r="G347" s="11" t="s">
        <v>1582</v>
      </c>
      <c r="H347" s="11" t="s">
        <v>2180</v>
      </c>
      <c r="I347" s="153">
        <v>0.0</v>
      </c>
      <c r="J347" s="138" t="s">
        <v>1589</v>
      </c>
      <c r="K347" s="138"/>
      <c r="L347" s="138"/>
      <c r="M347" s="138"/>
      <c r="N347" s="153">
        <v>30.0</v>
      </c>
      <c r="O347" s="157" t="s">
        <v>1554</v>
      </c>
      <c r="P347" s="139">
        <v>550.0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18"/>
      <c r="C348" s="11" t="s">
        <v>2185</v>
      </c>
      <c r="D348" s="11" t="s">
        <v>1586</v>
      </c>
      <c r="E348" s="140" t="s">
        <v>2186</v>
      </c>
      <c r="F348" s="11"/>
      <c r="G348" s="11" t="s">
        <v>1582</v>
      </c>
      <c r="H348" s="11" t="s">
        <v>2180</v>
      </c>
      <c r="I348" s="153">
        <v>0.0</v>
      </c>
      <c r="J348" s="138" t="s">
        <v>1589</v>
      </c>
      <c r="K348" s="138"/>
      <c r="L348" s="138"/>
      <c r="M348" s="138"/>
      <c r="N348" s="154"/>
      <c r="O348" s="155"/>
      <c r="P348" s="139">
        <v>400.0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18"/>
      <c r="C349" s="11" t="s">
        <v>2187</v>
      </c>
      <c r="D349" s="11" t="s">
        <v>1586</v>
      </c>
      <c r="E349" s="140" t="s">
        <v>2188</v>
      </c>
      <c r="F349" s="11"/>
      <c r="G349" s="11" t="s">
        <v>1582</v>
      </c>
      <c r="H349" s="11" t="s">
        <v>2180</v>
      </c>
      <c r="I349" s="153">
        <v>0.0</v>
      </c>
      <c r="J349" s="138" t="s">
        <v>1589</v>
      </c>
      <c r="K349" s="138"/>
      <c r="L349" s="138"/>
      <c r="M349" s="138"/>
      <c r="N349" s="154"/>
      <c r="O349" s="155"/>
      <c r="P349" s="139">
        <v>1700.0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18"/>
      <c r="C350" s="11" t="s">
        <v>2189</v>
      </c>
      <c r="D350" s="11" t="s">
        <v>1586</v>
      </c>
      <c r="E350" s="140" t="s">
        <v>2190</v>
      </c>
      <c r="F350" s="11"/>
      <c r="G350" s="11" t="s">
        <v>1582</v>
      </c>
      <c r="H350" s="11" t="s">
        <v>2180</v>
      </c>
      <c r="I350" s="153">
        <v>180.0</v>
      </c>
      <c r="J350" s="138" t="s">
        <v>1589</v>
      </c>
      <c r="K350" s="138"/>
      <c r="L350" s="138"/>
      <c r="M350" s="138"/>
      <c r="N350" s="154"/>
      <c r="O350" s="155"/>
      <c r="P350" s="139">
        <v>1800.0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18"/>
      <c r="C351" s="11" t="s">
        <v>2191</v>
      </c>
      <c r="D351" s="11" t="s">
        <v>1586</v>
      </c>
      <c r="E351" s="32" t="s">
        <v>2192</v>
      </c>
      <c r="F351" s="11"/>
      <c r="G351" s="11" t="s">
        <v>1582</v>
      </c>
      <c r="H351" s="11" t="s">
        <v>2180</v>
      </c>
      <c r="I351" s="153">
        <v>180.0</v>
      </c>
      <c r="J351" s="138" t="s">
        <v>1589</v>
      </c>
      <c r="K351" s="138"/>
      <c r="L351" s="138"/>
      <c r="M351" s="138"/>
      <c r="N351" s="154"/>
      <c r="O351" s="155"/>
      <c r="P351" s="139">
        <v>1700.0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18"/>
      <c r="C352" s="11" t="s">
        <v>2193</v>
      </c>
      <c r="D352" s="11" t="s">
        <v>1586</v>
      </c>
      <c r="E352" s="32" t="s">
        <v>2194</v>
      </c>
      <c r="F352" s="11"/>
      <c r="G352" s="11" t="s">
        <v>1582</v>
      </c>
      <c r="H352" s="11" t="s">
        <v>2180</v>
      </c>
      <c r="I352" s="153">
        <v>90.0</v>
      </c>
      <c r="J352" s="138" t="s">
        <v>1589</v>
      </c>
      <c r="K352" s="138"/>
      <c r="L352" s="138"/>
      <c r="M352" s="138"/>
      <c r="N352" s="154"/>
      <c r="O352" s="155"/>
      <c r="P352" s="139">
        <v>2500.0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18"/>
      <c r="C353" s="11" t="s">
        <v>2195</v>
      </c>
      <c r="D353" s="11" t="s">
        <v>1586</v>
      </c>
      <c r="E353" s="32" t="s">
        <v>2196</v>
      </c>
      <c r="F353" s="11"/>
      <c r="G353" s="11" t="s">
        <v>1582</v>
      </c>
      <c r="H353" s="11" t="s">
        <v>2180</v>
      </c>
      <c r="I353" s="153">
        <v>90.0</v>
      </c>
      <c r="J353" s="138" t="s">
        <v>1589</v>
      </c>
      <c r="K353" s="138"/>
      <c r="L353" s="138"/>
      <c r="M353" s="138"/>
      <c r="N353" s="154"/>
      <c r="O353" s="155"/>
      <c r="P353" s="139">
        <v>1800.0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18"/>
      <c r="C354" s="11" t="s">
        <v>2197</v>
      </c>
      <c r="D354" s="11" t="s">
        <v>1586</v>
      </c>
      <c r="E354" s="32" t="s">
        <v>2198</v>
      </c>
      <c r="F354" s="11"/>
      <c r="G354" s="11" t="s">
        <v>1582</v>
      </c>
      <c r="H354" s="11" t="s">
        <v>2180</v>
      </c>
      <c r="I354" s="153">
        <v>90.0</v>
      </c>
      <c r="J354" s="138" t="s">
        <v>1589</v>
      </c>
      <c r="K354" s="138"/>
      <c r="L354" s="138"/>
      <c r="M354" s="138"/>
      <c r="N354" s="153">
        <v>20.0</v>
      </c>
      <c r="O354" s="157" t="s">
        <v>1554</v>
      </c>
      <c r="P354" s="139">
        <v>4500.0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18"/>
      <c r="C355" s="11" t="s">
        <v>2199</v>
      </c>
      <c r="D355" s="11" t="s">
        <v>1586</v>
      </c>
      <c r="E355" s="32" t="s">
        <v>2200</v>
      </c>
      <c r="F355" s="11"/>
      <c r="G355" s="11" t="s">
        <v>1582</v>
      </c>
      <c r="H355" s="11" t="s">
        <v>2180</v>
      </c>
      <c r="I355" s="153">
        <v>90.0</v>
      </c>
      <c r="J355" s="138" t="s">
        <v>1589</v>
      </c>
      <c r="K355" s="138"/>
      <c r="L355" s="138"/>
      <c r="M355" s="138"/>
      <c r="N355" s="153">
        <v>20.0</v>
      </c>
      <c r="O355" s="157" t="s">
        <v>1554</v>
      </c>
      <c r="P355" s="139">
        <v>6000.0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18"/>
      <c r="C356" s="11" t="s">
        <v>2201</v>
      </c>
      <c r="D356" s="11" t="s">
        <v>1586</v>
      </c>
      <c r="E356" s="32" t="s">
        <v>2202</v>
      </c>
      <c r="F356" s="11"/>
      <c r="G356" s="11" t="s">
        <v>1582</v>
      </c>
      <c r="H356" s="11" t="s">
        <v>2180</v>
      </c>
      <c r="I356" s="153">
        <v>90.0</v>
      </c>
      <c r="J356" s="138" t="s">
        <v>1589</v>
      </c>
      <c r="K356" s="138"/>
      <c r="L356" s="138"/>
      <c r="M356" s="138"/>
      <c r="N356" s="154"/>
      <c r="O356" s="155"/>
      <c r="P356" s="139">
        <v>2400.0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18"/>
      <c r="C357" s="11" t="s">
        <v>2203</v>
      </c>
      <c r="D357" s="11" t="s">
        <v>1586</v>
      </c>
      <c r="E357" s="32" t="s">
        <v>2204</v>
      </c>
      <c r="F357" s="11"/>
      <c r="G357" s="11" t="s">
        <v>1582</v>
      </c>
      <c r="H357" s="11" t="s">
        <v>2180</v>
      </c>
      <c r="I357" s="153">
        <v>90.0</v>
      </c>
      <c r="J357" s="138" t="s">
        <v>1589</v>
      </c>
      <c r="K357" s="138"/>
      <c r="L357" s="138"/>
      <c r="M357" s="138"/>
      <c r="N357" s="154"/>
      <c r="O357" s="155"/>
      <c r="P357" s="139">
        <v>3000.0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18"/>
      <c r="C358" s="11" t="s">
        <v>2205</v>
      </c>
      <c r="D358" s="11" t="s">
        <v>1586</v>
      </c>
      <c r="E358" s="32" t="s">
        <v>2206</v>
      </c>
      <c r="F358" s="11"/>
      <c r="G358" s="11" t="s">
        <v>1582</v>
      </c>
      <c r="H358" s="11" t="s">
        <v>2180</v>
      </c>
      <c r="I358" s="153">
        <v>180.0</v>
      </c>
      <c r="J358" s="138" t="s">
        <v>1589</v>
      </c>
      <c r="K358" s="138"/>
      <c r="L358" s="138"/>
      <c r="M358" s="138"/>
      <c r="N358" s="153">
        <v>50.0</v>
      </c>
      <c r="O358" s="157" t="s">
        <v>1554</v>
      </c>
      <c r="P358" s="139">
        <v>1600.0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18"/>
      <c r="C359" s="11" t="s">
        <v>2207</v>
      </c>
      <c r="D359" s="11" t="s">
        <v>1586</v>
      </c>
      <c r="E359" s="32" t="s">
        <v>2208</v>
      </c>
      <c r="F359" s="11"/>
      <c r="G359" s="11" t="s">
        <v>1582</v>
      </c>
      <c r="H359" s="11" t="s">
        <v>2180</v>
      </c>
      <c r="I359" s="153">
        <v>90.0</v>
      </c>
      <c r="J359" s="138" t="s">
        <v>1589</v>
      </c>
      <c r="K359" s="138"/>
      <c r="L359" s="138"/>
      <c r="M359" s="138"/>
      <c r="N359" s="154"/>
      <c r="O359" s="155"/>
      <c r="P359" s="139">
        <v>4200.0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18"/>
      <c r="C360" s="11" t="s">
        <v>2209</v>
      </c>
      <c r="D360" s="11" t="s">
        <v>1586</v>
      </c>
      <c r="E360" s="32" t="s">
        <v>2210</v>
      </c>
      <c r="F360" s="11"/>
      <c r="G360" s="11" t="s">
        <v>1582</v>
      </c>
      <c r="H360" s="11" t="s">
        <v>2180</v>
      </c>
      <c r="I360" s="153">
        <v>180.0</v>
      </c>
      <c r="J360" s="138" t="s">
        <v>1589</v>
      </c>
      <c r="K360" s="138"/>
      <c r="L360" s="138"/>
      <c r="M360" s="138"/>
      <c r="N360" s="154"/>
      <c r="O360" s="155"/>
      <c r="P360" s="139">
        <v>3800.0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18"/>
      <c r="C361" s="11" t="s">
        <v>2211</v>
      </c>
      <c r="D361" s="11" t="s">
        <v>1586</v>
      </c>
      <c r="E361" s="32" t="s">
        <v>2212</v>
      </c>
      <c r="F361" s="11"/>
      <c r="G361" s="11" t="s">
        <v>1582</v>
      </c>
      <c r="H361" s="11" t="s">
        <v>2180</v>
      </c>
      <c r="I361" s="153">
        <v>180.0</v>
      </c>
      <c r="J361" s="138" t="s">
        <v>1589</v>
      </c>
      <c r="K361" s="138"/>
      <c r="L361" s="138"/>
      <c r="M361" s="138"/>
      <c r="N361" s="154"/>
      <c r="O361" s="155"/>
      <c r="P361" s="139">
        <v>2600.0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18"/>
      <c r="C362" s="11" t="s">
        <v>2213</v>
      </c>
      <c r="D362" s="11" t="s">
        <v>1586</v>
      </c>
      <c r="E362" s="32" t="s">
        <v>2214</v>
      </c>
      <c r="F362" s="11"/>
      <c r="G362" s="11" t="s">
        <v>1582</v>
      </c>
      <c r="H362" s="11" t="s">
        <v>2180</v>
      </c>
      <c r="I362" s="153">
        <v>90.0</v>
      </c>
      <c r="J362" s="138" t="s">
        <v>1589</v>
      </c>
      <c r="K362" s="138"/>
      <c r="L362" s="138"/>
      <c r="M362" s="138"/>
      <c r="N362" s="154"/>
      <c r="O362" s="155"/>
      <c r="P362" s="139">
        <v>2000.0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18"/>
      <c r="C363" s="11" t="s">
        <v>2215</v>
      </c>
      <c r="D363" s="11" t="s">
        <v>1586</v>
      </c>
      <c r="E363" s="32" t="s">
        <v>2216</v>
      </c>
      <c r="F363" s="11"/>
      <c r="G363" s="11" t="s">
        <v>1582</v>
      </c>
      <c r="H363" s="11" t="s">
        <v>2180</v>
      </c>
      <c r="I363" s="153">
        <v>90.0</v>
      </c>
      <c r="J363" s="138" t="s">
        <v>1589</v>
      </c>
      <c r="K363" s="138"/>
      <c r="L363" s="138"/>
      <c r="M363" s="138"/>
      <c r="N363" s="154"/>
      <c r="O363" s="155"/>
      <c r="P363" s="139">
        <v>2300.0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18"/>
      <c r="C364" s="11" t="s">
        <v>2217</v>
      </c>
      <c r="D364" s="11" t="s">
        <v>1586</v>
      </c>
      <c r="E364" s="32" t="s">
        <v>2218</v>
      </c>
      <c r="F364" s="11"/>
      <c r="G364" s="11" t="s">
        <v>1582</v>
      </c>
      <c r="H364" s="11" t="s">
        <v>2180</v>
      </c>
      <c r="I364" s="153">
        <v>90.0</v>
      </c>
      <c r="J364" s="138" t="s">
        <v>1589</v>
      </c>
      <c r="K364" s="138"/>
      <c r="L364" s="138"/>
      <c r="M364" s="138"/>
      <c r="N364" s="154"/>
      <c r="O364" s="155"/>
      <c r="P364" s="139">
        <v>2300.0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18"/>
      <c r="C365" s="11" t="s">
        <v>2219</v>
      </c>
      <c r="D365" s="11" t="s">
        <v>1586</v>
      </c>
      <c r="E365" s="32" t="s">
        <v>2220</v>
      </c>
      <c r="F365" s="11"/>
      <c r="G365" s="11" t="s">
        <v>1582</v>
      </c>
      <c r="H365" s="11" t="s">
        <v>2180</v>
      </c>
      <c r="I365" s="153">
        <v>90.0</v>
      </c>
      <c r="J365" s="138" t="s">
        <v>1589</v>
      </c>
      <c r="K365" s="138"/>
      <c r="L365" s="138"/>
      <c r="M365" s="138"/>
      <c r="N365" s="154"/>
      <c r="O365" s="155"/>
      <c r="P365" s="139">
        <v>2900.0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18"/>
      <c r="C366" s="11" t="s">
        <v>2221</v>
      </c>
      <c r="D366" s="11" t="s">
        <v>1586</v>
      </c>
      <c r="E366" s="32" t="s">
        <v>2222</v>
      </c>
      <c r="F366" s="11"/>
      <c r="G366" s="11" t="s">
        <v>1582</v>
      </c>
      <c r="H366" s="11" t="s">
        <v>2180</v>
      </c>
      <c r="I366" s="153">
        <v>90.0</v>
      </c>
      <c r="J366" s="138" t="s">
        <v>1589</v>
      </c>
      <c r="K366" s="138"/>
      <c r="L366" s="138"/>
      <c r="M366" s="138"/>
      <c r="N366" s="154"/>
      <c r="O366" s="155"/>
      <c r="P366" s="139">
        <v>2200.0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18"/>
      <c r="C367" s="11" t="s">
        <v>2223</v>
      </c>
      <c r="D367" s="11" t="s">
        <v>1586</v>
      </c>
      <c r="E367" s="32" t="s">
        <v>2224</v>
      </c>
      <c r="F367" s="11"/>
      <c r="G367" s="11" t="s">
        <v>1582</v>
      </c>
      <c r="H367" s="11" t="s">
        <v>2180</v>
      </c>
      <c r="I367" s="153">
        <v>90.0</v>
      </c>
      <c r="J367" s="138" t="s">
        <v>1589</v>
      </c>
      <c r="K367" s="138"/>
      <c r="L367" s="138"/>
      <c r="M367" s="138"/>
      <c r="N367" s="154"/>
      <c r="O367" s="155"/>
      <c r="P367" s="139">
        <v>5500.0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18"/>
      <c r="C368" s="11" t="s">
        <v>2225</v>
      </c>
      <c r="D368" s="11" t="s">
        <v>1586</v>
      </c>
      <c r="E368" s="32" t="s">
        <v>2226</v>
      </c>
      <c r="F368" s="11"/>
      <c r="G368" s="11" t="s">
        <v>1582</v>
      </c>
      <c r="H368" s="11" t="s">
        <v>2180</v>
      </c>
      <c r="I368" s="153">
        <v>90.0</v>
      </c>
      <c r="J368" s="138" t="s">
        <v>1589</v>
      </c>
      <c r="K368" s="138"/>
      <c r="L368" s="138"/>
      <c r="M368" s="138"/>
      <c r="N368" s="154"/>
      <c r="O368" s="155"/>
      <c r="P368" s="139">
        <v>2500.0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18"/>
      <c r="C369" s="11" t="s">
        <v>2227</v>
      </c>
      <c r="D369" s="11" t="s">
        <v>1586</v>
      </c>
      <c r="E369" s="32" t="s">
        <v>2228</v>
      </c>
      <c r="F369" s="11"/>
      <c r="G369" s="11" t="s">
        <v>1582</v>
      </c>
      <c r="H369" s="11" t="s">
        <v>2180</v>
      </c>
      <c r="I369" s="153">
        <v>90.0</v>
      </c>
      <c r="J369" s="138" t="s">
        <v>1589</v>
      </c>
      <c r="K369" s="138"/>
      <c r="L369" s="138"/>
      <c r="M369" s="138"/>
      <c r="N369" s="154"/>
      <c r="O369" s="155"/>
      <c r="P369" s="139">
        <v>2200.0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35"/>
      <c r="C370" s="36" t="s">
        <v>2229</v>
      </c>
      <c r="D370" s="36" t="s">
        <v>1586</v>
      </c>
      <c r="E370" s="158" t="s">
        <v>2230</v>
      </c>
      <c r="F370" s="36"/>
      <c r="G370" s="36" t="s">
        <v>1582</v>
      </c>
      <c r="H370" s="36" t="s">
        <v>2180</v>
      </c>
      <c r="I370" s="159">
        <v>90.0</v>
      </c>
      <c r="J370" s="141" t="s">
        <v>1589</v>
      </c>
      <c r="K370" s="141"/>
      <c r="L370" s="141"/>
      <c r="M370" s="141"/>
      <c r="N370" s="160"/>
      <c r="O370" s="161"/>
      <c r="P370" s="142">
        <v>2700.0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147" t="s">
        <v>175</v>
      </c>
      <c r="C371" s="42" t="s">
        <v>2231</v>
      </c>
      <c r="D371" s="42" t="s">
        <v>1586</v>
      </c>
      <c r="E371" s="43" t="s">
        <v>2232</v>
      </c>
      <c r="F371" s="42"/>
      <c r="G371" s="42" t="s">
        <v>1582</v>
      </c>
      <c r="H371" s="42" t="s">
        <v>2233</v>
      </c>
      <c r="I371" s="148">
        <v>0.0</v>
      </c>
      <c r="J371" s="149" t="s">
        <v>1589</v>
      </c>
      <c r="K371" s="149"/>
      <c r="L371" s="149"/>
      <c r="M371" s="149"/>
      <c r="N371" s="150"/>
      <c r="O371" s="151"/>
      <c r="P371" s="136">
        <v>1.0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18"/>
      <c r="C372" s="11" t="s">
        <v>2234</v>
      </c>
      <c r="D372" s="11" t="s">
        <v>1586</v>
      </c>
      <c r="E372" s="140" t="s">
        <v>2235</v>
      </c>
      <c r="F372" s="11"/>
      <c r="G372" s="11" t="s">
        <v>1582</v>
      </c>
      <c r="H372" s="11" t="s">
        <v>2233</v>
      </c>
      <c r="I372" s="153">
        <v>0.0</v>
      </c>
      <c r="J372" s="138" t="s">
        <v>1589</v>
      </c>
      <c r="K372" s="138"/>
      <c r="L372" s="138"/>
      <c r="M372" s="138"/>
      <c r="N372" s="153">
        <v>30.0</v>
      </c>
      <c r="O372" s="157" t="s">
        <v>1554</v>
      </c>
      <c r="P372" s="139">
        <v>550.0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18"/>
      <c r="C373" s="11" t="s">
        <v>2236</v>
      </c>
      <c r="D373" s="11" t="s">
        <v>1586</v>
      </c>
      <c r="E373" s="140" t="s">
        <v>2237</v>
      </c>
      <c r="F373" s="11"/>
      <c r="G373" s="11" t="s">
        <v>1582</v>
      </c>
      <c r="H373" s="11" t="s">
        <v>2233</v>
      </c>
      <c r="I373" s="153">
        <v>0.0</v>
      </c>
      <c r="J373" s="138" t="s">
        <v>1589</v>
      </c>
      <c r="K373" s="138"/>
      <c r="L373" s="138"/>
      <c r="M373" s="138"/>
      <c r="N373" s="153">
        <v>30.0</v>
      </c>
      <c r="O373" s="157" t="s">
        <v>1554</v>
      </c>
      <c r="P373" s="139">
        <v>550.0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18"/>
      <c r="C374" s="11" t="s">
        <v>2238</v>
      </c>
      <c r="D374" s="11" t="s">
        <v>1586</v>
      </c>
      <c r="E374" s="140" t="s">
        <v>2239</v>
      </c>
      <c r="F374" s="11"/>
      <c r="G374" s="11" t="s">
        <v>1582</v>
      </c>
      <c r="H374" s="11" t="s">
        <v>2233</v>
      </c>
      <c r="I374" s="153">
        <v>0.0</v>
      </c>
      <c r="J374" s="138" t="s">
        <v>1589</v>
      </c>
      <c r="K374" s="138"/>
      <c r="L374" s="138"/>
      <c r="M374" s="138"/>
      <c r="N374" s="154"/>
      <c r="O374" s="155"/>
      <c r="P374" s="139">
        <v>400.0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18"/>
      <c r="C375" s="11" t="s">
        <v>2240</v>
      </c>
      <c r="D375" s="11" t="s">
        <v>1586</v>
      </c>
      <c r="E375" s="140" t="s">
        <v>2241</v>
      </c>
      <c r="F375" s="11"/>
      <c r="G375" s="11" t="s">
        <v>1582</v>
      </c>
      <c r="H375" s="11" t="s">
        <v>2233</v>
      </c>
      <c r="I375" s="153">
        <v>0.0</v>
      </c>
      <c r="J375" s="138" t="s">
        <v>1589</v>
      </c>
      <c r="K375" s="138"/>
      <c r="L375" s="138"/>
      <c r="M375" s="138"/>
      <c r="N375" s="154"/>
      <c r="O375" s="155"/>
      <c r="P375" s="139">
        <v>1800.0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18"/>
      <c r="C376" s="11" t="s">
        <v>2242</v>
      </c>
      <c r="D376" s="11" t="s">
        <v>1586</v>
      </c>
      <c r="E376" s="140" t="s">
        <v>2243</v>
      </c>
      <c r="F376" s="11"/>
      <c r="G376" s="11" t="s">
        <v>1582</v>
      </c>
      <c r="H376" s="11" t="s">
        <v>2233</v>
      </c>
      <c r="I376" s="153">
        <v>180.0</v>
      </c>
      <c r="J376" s="138" t="s">
        <v>1589</v>
      </c>
      <c r="K376" s="138"/>
      <c r="L376" s="138"/>
      <c r="M376" s="138"/>
      <c r="N376" s="154"/>
      <c r="O376" s="155"/>
      <c r="P376" s="139">
        <v>1800.0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18"/>
      <c r="C377" s="11" t="s">
        <v>2244</v>
      </c>
      <c r="D377" s="11" t="s">
        <v>1586</v>
      </c>
      <c r="E377" s="32" t="s">
        <v>2245</v>
      </c>
      <c r="F377" s="11"/>
      <c r="G377" s="11" t="s">
        <v>1582</v>
      </c>
      <c r="H377" s="11" t="s">
        <v>2233</v>
      </c>
      <c r="I377" s="153">
        <v>180.0</v>
      </c>
      <c r="J377" s="138" t="s">
        <v>1589</v>
      </c>
      <c r="K377" s="138"/>
      <c r="L377" s="138"/>
      <c r="M377" s="138"/>
      <c r="N377" s="154"/>
      <c r="O377" s="155"/>
      <c r="P377" s="139">
        <v>1700.0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18"/>
      <c r="C378" s="11" t="s">
        <v>2246</v>
      </c>
      <c r="D378" s="11" t="s">
        <v>1586</v>
      </c>
      <c r="E378" s="32" t="s">
        <v>2247</v>
      </c>
      <c r="F378" s="11"/>
      <c r="G378" s="11" t="s">
        <v>1582</v>
      </c>
      <c r="H378" s="11" t="s">
        <v>2233</v>
      </c>
      <c r="I378" s="153">
        <v>90.0</v>
      </c>
      <c r="J378" s="138" t="s">
        <v>1589</v>
      </c>
      <c r="K378" s="138"/>
      <c r="L378" s="138"/>
      <c r="M378" s="138"/>
      <c r="N378" s="154"/>
      <c r="O378" s="155"/>
      <c r="P378" s="139">
        <v>2500.0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18"/>
      <c r="C379" s="11" t="s">
        <v>2248</v>
      </c>
      <c r="D379" s="11" t="s">
        <v>1586</v>
      </c>
      <c r="E379" s="32" t="s">
        <v>2249</v>
      </c>
      <c r="F379" s="11"/>
      <c r="G379" s="11" t="s">
        <v>1582</v>
      </c>
      <c r="H379" s="11" t="s">
        <v>2233</v>
      </c>
      <c r="I379" s="153">
        <v>90.0</v>
      </c>
      <c r="J379" s="138" t="s">
        <v>1589</v>
      </c>
      <c r="K379" s="138"/>
      <c r="L379" s="138"/>
      <c r="M379" s="138"/>
      <c r="N379" s="154"/>
      <c r="O379" s="155"/>
      <c r="P379" s="139">
        <v>1800.0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18"/>
      <c r="C380" s="11" t="s">
        <v>2250</v>
      </c>
      <c r="D380" s="11" t="s">
        <v>1586</v>
      </c>
      <c r="E380" s="32" t="s">
        <v>2251</v>
      </c>
      <c r="F380" s="11"/>
      <c r="G380" s="11" t="s">
        <v>1582</v>
      </c>
      <c r="H380" s="11" t="s">
        <v>2233</v>
      </c>
      <c r="I380" s="153">
        <v>90.0</v>
      </c>
      <c r="J380" s="138" t="s">
        <v>1589</v>
      </c>
      <c r="K380" s="138"/>
      <c r="L380" s="138"/>
      <c r="M380" s="138"/>
      <c r="N380" s="153">
        <v>20.0</v>
      </c>
      <c r="O380" s="157" t="s">
        <v>1554</v>
      </c>
      <c r="P380" s="139">
        <v>6000.0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18"/>
      <c r="C381" s="11" t="s">
        <v>2252</v>
      </c>
      <c r="D381" s="11" t="s">
        <v>1586</v>
      </c>
      <c r="E381" s="32" t="s">
        <v>2253</v>
      </c>
      <c r="F381" s="11"/>
      <c r="G381" s="11" t="s">
        <v>1582</v>
      </c>
      <c r="H381" s="11" t="s">
        <v>2233</v>
      </c>
      <c r="I381" s="153">
        <v>90.0</v>
      </c>
      <c r="J381" s="138" t="s">
        <v>1589</v>
      </c>
      <c r="K381" s="138"/>
      <c r="L381" s="138"/>
      <c r="M381" s="138"/>
      <c r="N381" s="153">
        <v>20.0</v>
      </c>
      <c r="O381" s="157" t="s">
        <v>1554</v>
      </c>
      <c r="P381" s="139">
        <v>7500.0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18"/>
      <c r="C382" s="11" t="s">
        <v>2254</v>
      </c>
      <c r="D382" s="11" t="s">
        <v>1586</v>
      </c>
      <c r="E382" s="32" t="s">
        <v>2255</v>
      </c>
      <c r="F382" s="11"/>
      <c r="G382" s="11" t="s">
        <v>1582</v>
      </c>
      <c r="H382" s="11" t="s">
        <v>2233</v>
      </c>
      <c r="I382" s="153">
        <v>90.0</v>
      </c>
      <c r="J382" s="138" t="s">
        <v>1589</v>
      </c>
      <c r="K382" s="138"/>
      <c r="L382" s="138"/>
      <c r="M382" s="138"/>
      <c r="N382" s="154"/>
      <c r="O382" s="155"/>
      <c r="P382" s="139">
        <v>2400.0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18"/>
      <c r="C383" s="11" t="s">
        <v>2256</v>
      </c>
      <c r="D383" s="11" t="s">
        <v>1586</v>
      </c>
      <c r="E383" s="32" t="s">
        <v>2257</v>
      </c>
      <c r="F383" s="11"/>
      <c r="G383" s="11" t="s">
        <v>1582</v>
      </c>
      <c r="H383" s="11" t="s">
        <v>2233</v>
      </c>
      <c r="I383" s="153">
        <v>90.0</v>
      </c>
      <c r="J383" s="138" t="s">
        <v>1589</v>
      </c>
      <c r="K383" s="138"/>
      <c r="L383" s="138"/>
      <c r="M383" s="138"/>
      <c r="N383" s="154"/>
      <c r="O383" s="155"/>
      <c r="P383" s="139">
        <v>3000.0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18"/>
      <c r="C384" s="11" t="s">
        <v>2258</v>
      </c>
      <c r="D384" s="11" t="s">
        <v>1586</v>
      </c>
      <c r="E384" s="32" t="s">
        <v>2259</v>
      </c>
      <c r="F384" s="11"/>
      <c r="G384" s="11" t="s">
        <v>1582</v>
      </c>
      <c r="H384" s="11" t="s">
        <v>2233</v>
      </c>
      <c r="I384" s="153">
        <v>180.0</v>
      </c>
      <c r="J384" s="138" t="s">
        <v>1589</v>
      </c>
      <c r="K384" s="138"/>
      <c r="L384" s="138"/>
      <c r="M384" s="138"/>
      <c r="N384" s="153">
        <v>50.0</v>
      </c>
      <c r="O384" s="157" t="s">
        <v>1554</v>
      </c>
      <c r="P384" s="139">
        <v>1600.0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18"/>
      <c r="C385" s="11" t="s">
        <v>2260</v>
      </c>
      <c r="D385" s="11" t="s">
        <v>1586</v>
      </c>
      <c r="E385" s="32" t="s">
        <v>2261</v>
      </c>
      <c r="F385" s="11"/>
      <c r="G385" s="11" t="s">
        <v>1582</v>
      </c>
      <c r="H385" s="11" t="s">
        <v>2233</v>
      </c>
      <c r="I385" s="153">
        <v>90.0</v>
      </c>
      <c r="J385" s="138" t="s">
        <v>1589</v>
      </c>
      <c r="K385" s="138"/>
      <c r="L385" s="138"/>
      <c r="M385" s="138"/>
      <c r="N385" s="154"/>
      <c r="O385" s="155"/>
      <c r="P385" s="139">
        <v>4200.0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18"/>
      <c r="C386" s="11" t="s">
        <v>2262</v>
      </c>
      <c r="D386" s="11" t="s">
        <v>1586</v>
      </c>
      <c r="E386" s="32" t="s">
        <v>2263</v>
      </c>
      <c r="F386" s="11"/>
      <c r="G386" s="11" t="s">
        <v>1582</v>
      </c>
      <c r="H386" s="11" t="s">
        <v>2233</v>
      </c>
      <c r="I386" s="153">
        <v>180.0</v>
      </c>
      <c r="J386" s="138" t="s">
        <v>1589</v>
      </c>
      <c r="K386" s="138"/>
      <c r="L386" s="138"/>
      <c r="M386" s="138"/>
      <c r="N386" s="154"/>
      <c r="O386" s="155"/>
      <c r="P386" s="139">
        <v>3800.0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18"/>
      <c r="C387" s="11" t="s">
        <v>2264</v>
      </c>
      <c r="D387" s="11" t="s">
        <v>1586</v>
      </c>
      <c r="E387" s="32" t="s">
        <v>2265</v>
      </c>
      <c r="F387" s="11"/>
      <c r="G387" s="11" t="s">
        <v>1582</v>
      </c>
      <c r="H387" s="11" t="s">
        <v>2233</v>
      </c>
      <c r="I387" s="153">
        <v>180.0</v>
      </c>
      <c r="J387" s="138" t="s">
        <v>1589</v>
      </c>
      <c r="K387" s="138"/>
      <c r="L387" s="138"/>
      <c r="M387" s="138"/>
      <c r="N387" s="154"/>
      <c r="O387" s="155"/>
      <c r="P387" s="139">
        <v>2600.0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18"/>
      <c r="C388" s="11" t="s">
        <v>2266</v>
      </c>
      <c r="D388" s="11" t="s">
        <v>1586</v>
      </c>
      <c r="E388" s="32" t="s">
        <v>2267</v>
      </c>
      <c r="F388" s="11"/>
      <c r="G388" s="11" t="s">
        <v>1582</v>
      </c>
      <c r="H388" s="11" t="s">
        <v>2233</v>
      </c>
      <c r="I388" s="153">
        <v>90.0</v>
      </c>
      <c r="J388" s="138" t="s">
        <v>1589</v>
      </c>
      <c r="K388" s="138"/>
      <c r="L388" s="138"/>
      <c r="M388" s="138"/>
      <c r="N388" s="154"/>
      <c r="O388" s="155"/>
      <c r="P388" s="139">
        <v>2000.0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18"/>
      <c r="C389" s="11" t="s">
        <v>2268</v>
      </c>
      <c r="D389" s="11" t="s">
        <v>1586</v>
      </c>
      <c r="E389" s="32" t="s">
        <v>2269</v>
      </c>
      <c r="F389" s="11"/>
      <c r="G389" s="11" t="s">
        <v>1582</v>
      </c>
      <c r="H389" s="11" t="s">
        <v>2233</v>
      </c>
      <c r="I389" s="153">
        <v>90.0</v>
      </c>
      <c r="J389" s="138" t="s">
        <v>1589</v>
      </c>
      <c r="K389" s="138"/>
      <c r="L389" s="138"/>
      <c r="M389" s="138"/>
      <c r="N389" s="154"/>
      <c r="O389" s="155"/>
      <c r="P389" s="139">
        <v>2300.0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18"/>
      <c r="C390" s="11" t="s">
        <v>2270</v>
      </c>
      <c r="D390" s="11" t="s">
        <v>1586</v>
      </c>
      <c r="E390" s="32" t="s">
        <v>2271</v>
      </c>
      <c r="F390" s="11"/>
      <c r="G390" s="11" t="s">
        <v>1582</v>
      </c>
      <c r="H390" s="11" t="s">
        <v>2233</v>
      </c>
      <c r="I390" s="153">
        <v>90.0</v>
      </c>
      <c r="J390" s="138" t="s">
        <v>1589</v>
      </c>
      <c r="K390" s="138"/>
      <c r="L390" s="138"/>
      <c r="M390" s="138"/>
      <c r="N390" s="154"/>
      <c r="O390" s="155"/>
      <c r="P390" s="139">
        <v>2300.0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18"/>
      <c r="C391" s="11" t="s">
        <v>2272</v>
      </c>
      <c r="D391" s="11" t="s">
        <v>1586</v>
      </c>
      <c r="E391" s="32" t="s">
        <v>2273</v>
      </c>
      <c r="F391" s="11"/>
      <c r="G391" s="11" t="s">
        <v>1582</v>
      </c>
      <c r="H391" s="11" t="s">
        <v>2233</v>
      </c>
      <c r="I391" s="153">
        <v>90.0</v>
      </c>
      <c r="J391" s="138" t="s">
        <v>1589</v>
      </c>
      <c r="K391" s="138"/>
      <c r="L391" s="138"/>
      <c r="M391" s="138"/>
      <c r="N391" s="154"/>
      <c r="O391" s="155"/>
      <c r="P391" s="139">
        <v>2900.0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18"/>
      <c r="C392" s="11" t="s">
        <v>2274</v>
      </c>
      <c r="D392" s="11" t="s">
        <v>1586</v>
      </c>
      <c r="E392" s="32" t="s">
        <v>2275</v>
      </c>
      <c r="F392" s="11"/>
      <c r="G392" s="11" t="s">
        <v>1582</v>
      </c>
      <c r="H392" s="11" t="s">
        <v>2233</v>
      </c>
      <c r="I392" s="153">
        <v>90.0</v>
      </c>
      <c r="J392" s="138" t="s">
        <v>1589</v>
      </c>
      <c r="K392" s="138"/>
      <c r="L392" s="138"/>
      <c r="M392" s="138"/>
      <c r="N392" s="154"/>
      <c r="O392" s="155"/>
      <c r="P392" s="139">
        <v>2200.0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18"/>
      <c r="C393" s="11" t="s">
        <v>2276</v>
      </c>
      <c r="D393" s="11" t="s">
        <v>1586</v>
      </c>
      <c r="E393" s="32" t="s">
        <v>2277</v>
      </c>
      <c r="F393" s="11"/>
      <c r="G393" s="11" t="s">
        <v>1582</v>
      </c>
      <c r="H393" s="11" t="s">
        <v>2233</v>
      </c>
      <c r="I393" s="153">
        <v>90.0</v>
      </c>
      <c r="J393" s="138" t="s">
        <v>1589</v>
      </c>
      <c r="K393" s="138"/>
      <c r="L393" s="138"/>
      <c r="M393" s="138"/>
      <c r="N393" s="154"/>
      <c r="O393" s="155"/>
      <c r="P393" s="139">
        <v>5500.0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18"/>
      <c r="C394" s="11" t="s">
        <v>2278</v>
      </c>
      <c r="D394" s="11" t="s">
        <v>1586</v>
      </c>
      <c r="E394" s="32" t="s">
        <v>2279</v>
      </c>
      <c r="F394" s="11"/>
      <c r="G394" s="11" t="s">
        <v>1582</v>
      </c>
      <c r="H394" s="11" t="s">
        <v>2233</v>
      </c>
      <c r="I394" s="153">
        <v>90.0</v>
      </c>
      <c r="J394" s="138" t="s">
        <v>1589</v>
      </c>
      <c r="K394" s="138"/>
      <c r="L394" s="138"/>
      <c r="M394" s="138"/>
      <c r="N394" s="154"/>
      <c r="O394" s="155"/>
      <c r="P394" s="139">
        <v>2500.0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18"/>
      <c r="C395" s="11" t="s">
        <v>2280</v>
      </c>
      <c r="D395" s="11" t="s">
        <v>1586</v>
      </c>
      <c r="E395" s="32" t="s">
        <v>2281</v>
      </c>
      <c r="F395" s="11"/>
      <c r="G395" s="11" t="s">
        <v>1582</v>
      </c>
      <c r="H395" s="11" t="s">
        <v>2233</v>
      </c>
      <c r="I395" s="153">
        <v>90.0</v>
      </c>
      <c r="J395" s="138" t="s">
        <v>1589</v>
      </c>
      <c r="K395" s="138"/>
      <c r="L395" s="138"/>
      <c r="M395" s="138"/>
      <c r="N395" s="154"/>
      <c r="O395" s="155"/>
      <c r="P395" s="139">
        <v>2200.0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35"/>
      <c r="C396" s="36" t="s">
        <v>2282</v>
      </c>
      <c r="D396" s="36" t="s">
        <v>1586</v>
      </c>
      <c r="E396" s="158" t="s">
        <v>2283</v>
      </c>
      <c r="F396" s="36"/>
      <c r="G396" s="36" t="s">
        <v>1582</v>
      </c>
      <c r="H396" s="36" t="s">
        <v>2233</v>
      </c>
      <c r="I396" s="159">
        <v>90.0</v>
      </c>
      <c r="J396" s="141" t="s">
        <v>1589</v>
      </c>
      <c r="K396" s="141"/>
      <c r="L396" s="141"/>
      <c r="M396" s="141"/>
      <c r="N396" s="160"/>
      <c r="O396" s="161"/>
      <c r="P396" s="142">
        <v>2700.0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147" t="s">
        <v>183</v>
      </c>
      <c r="C397" s="42" t="s">
        <v>2284</v>
      </c>
      <c r="D397" s="42" t="s">
        <v>1586</v>
      </c>
      <c r="E397" s="43" t="s">
        <v>2285</v>
      </c>
      <c r="F397" s="42"/>
      <c r="G397" s="42" t="s">
        <v>1582</v>
      </c>
      <c r="H397" s="42" t="s">
        <v>2286</v>
      </c>
      <c r="I397" s="42">
        <v>0.0</v>
      </c>
      <c r="J397" s="149" t="s">
        <v>1589</v>
      </c>
      <c r="K397" s="149"/>
      <c r="L397" s="149"/>
      <c r="M397" s="149"/>
      <c r="N397" s="42"/>
      <c r="O397" s="162"/>
      <c r="P397" s="136">
        <v>1.0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18"/>
      <c r="C398" s="11" t="s">
        <v>2287</v>
      </c>
      <c r="D398" s="11" t="s">
        <v>1586</v>
      </c>
      <c r="E398" s="140" t="s">
        <v>2288</v>
      </c>
      <c r="F398" s="11"/>
      <c r="G398" s="11" t="s">
        <v>1582</v>
      </c>
      <c r="H398" s="11" t="s">
        <v>2286</v>
      </c>
      <c r="I398" s="11">
        <v>0.0</v>
      </c>
      <c r="J398" s="138" t="s">
        <v>1589</v>
      </c>
      <c r="K398" s="138"/>
      <c r="L398" s="138"/>
      <c r="M398" s="138"/>
      <c r="N398" s="11">
        <v>30.0</v>
      </c>
      <c r="O398" s="163" t="s">
        <v>1554</v>
      </c>
      <c r="P398" s="139">
        <v>550.0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18"/>
      <c r="C399" s="11" t="s">
        <v>2289</v>
      </c>
      <c r="D399" s="11" t="s">
        <v>1586</v>
      </c>
      <c r="E399" s="140" t="s">
        <v>2290</v>
      </c>
      <c r="F399" s="11"/>
      <c r="G399" s="11" t="s">
        <v>1582</v>
      </c>
      <c r="H399" s="11" t="s">
        <v>2286</v>
      </c>
      <c r="I399" s="11">
        <v>0.0</v>
      </c>
      <c r="J399" s="138" t="s">
        <v>1589</v>
      </c>
      <c r="K399" s="138"/>
      <c r="L399" s="138"/>
      <c r="M399" s="138"/>
      <c r="N399" s="11">
        <v>30.0</v>
      </c>
      <c r="O399" s="163" t="s">
        <v>1554</v>
      </c>
      <c r="P399" s="139">
        <v>550.0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18"/>
      <c r="C400" s="11" t="s">
        <v>2291</v>
      </c>
      <c r="D400" s="11" t="s">
        <v>1586</v>
      </c>
      <c r="E400" s="140" t="s">
        <v>2292</v>
      </c>
      <c r="F400" s="11"/>
      <c r="G400" s="11" t="s">
        <v>1582</v>
      </c>
      <c r="H400" s="11" t="s">
        <v>2286</v>
      </c>
      <c r="I400" s="11">
        <v>0.0</v>
      </c>
      <c r="J400" s="138" t="s">
        <v>1589</v>
      </c>
      <c r="K400" s="138"/>
      <c r="L400" s="138"/>
      <c r="M400" s="138"/>
      <c r="N400" s="11"/>
      <c r="O400" s="163"/>
      <c r="P400" s="139">
        <v>400.0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18"/>
      <c r="C401" s="11" t="s">
        <v>2293</v>
      </c>
      <c r="D401" s="11" t="s">
        <v>1586</v>
      </c>
      <c r="E401" s="140" t="s">
        <v>2294</v>
      </c>
      <c r="F401" s="11"/>
      <c r="G401" s="11" t="s">
        <v>1582</v>
      </c>
      <c r="H401" s="11" t="s">
        <v>2286</v>
      </c>
      <c r="I401" s="11">
        <v>0.0</v>
      </c>
      <c r="J401" s="138" t="s">
        <v>1589</v>
      </c>
      <c r="K401" s="138"/>
      <c r="L401" s="138"/>
      <c r="M401" s="138"/>
      <c r="N401" s="11"/>
      <c r="O401" s="163"/>
      <c r="P401" s="139">
        <v>2000.0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18"/>
      <c r="C402" s="11" t="s">
        <v>2295</v>
      </c>
      <c r="D402" s="11" t="s">
        <v>1586</v>
      </c>
      <c r="E402" s="140" t="s">
        <v>2296</v>
      </c>
      <c r="F402" s="11"/>
      <c r="G402" s="11" t="s">
        <v>1582</v>
      </c>
      <c r="H402" s="11" t="s">
        <v>2286</v>
      </c>
      <c r="I402" s="11">
        <v>180.0</v>
      </c>
      <c r="J402" s="138" t="s">
        <v>1589</v>
      </c>
      <c r="K402" s="138"/>
      <c r="L402" s="138"/>
      <c r="M402" s="138"/>
      <c r="N402" s="11"/>
      <c r="O402" s="163"/>
      <c r="P402" s="139">
        <v>2300.0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18"/>
      <c r="C403" s="11" t="s">
        <v>2297</v>
      </c>
      <c r="D403" s="11" t="s">
        <v>1586</v>
      </c>
      <c r="E403" s="32" t="s">
        <v>2298</v>
      </c>
      <c r="F403" s="11"/>
      <c r="G403" s="11" t="s">
        <v>1582</v>
      </c>
      <c r="H403" s="11" t="s">
        <v>2286</v>
      </c>
      <c r="I403" s="11">
        <v>180.0</v>
      </c>
      <c r="J403" s="138" t="s">
        <v>1589</v>
      </c>
      <c r="K403" s="138"/>
      <c r="L403" s="138"/>
      <c r="M403" s="138"/>
      <c r="N403" s="11"/>
      <c r="O403" s="163"/>
      <c r="P403" s="139">
        <v>2200.0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18"/>
      <c r="C404" s="11" t="s">
        <v>2299</v>
      </c>
      <c r="D404" s="11" t="s">
        <v>1586</v>
      </c>
      <c r="E404" s="32" t="s">
        <v>2300</v>
      </c>
      <c r="F404" s="11"/>
      <c r="G404" s="11" t="s">
        <v>1582</v>
      </c>
      <c r="H404" s="11" t="s">
        <v>2286</v>
      </c>
      <c r="I404" s="11">
        <v>90.0</v>
      </c>
      <c r="J404" s="138" t="s">
        <v>1589</v>
      </c>
      <c r="K404" s="138"/>
      <c r="L404" s="138"/>
      <c r="M404" s="138"/>
      <c r="N404" s="11"/>
      <c r="O404" s="163"/>
      <c r="P404" s="139">
        <v>2700.0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18"/>
      <c r="C405" s="11" t="s">
        <v>2301</v>
      </c>
      <c r="D405" s="11" t="s">
        <v>1586</v>
      </c>
      <c r="E405" s="32" t="s">
        <v>2302</v>
      </c>
      <c r="F405" s="11"/>
      <c r="G405" s="11" t="s">
        <v>1582</v>
      </c>
      <c r="H405" s="11" t="s">
        <v>2286</v>
      </c>
      <c r="I405" s="11">
        <v>90.0</v>
      </c>
      <c r="J405" s="138" t="s">
        <v>1589</v>
      </c>
      <c r="K405" s="138"/>
      <c r="L405" s="138"/>
      <c r="M405" s="138"/>
      <c r="N405" s="11"/>
      <c r="O405" s="163"/>
      <c r="P405" s="139">
        <v>2300.0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18"/>
      <c r="C406" s="11" t="s">
        <v>2303</v>
      </c>
      <c r="D406" s="11" t="s">
        <v>1586</v>
      </c>
      <c r="E406" s="32" t="s">
        <v>2304</v>
      </c>
      <c r="F406" s="11"/>
      <c r="G406" s="11" t="s">
        <v>1582</v>
      </c>
      <c r="H406" s="11" t="s">
        <v>2286</v>
      </c>
      <c r="I406" s="11">
        <v>90.0</v>
      </c>
      <c r="J406" s="138" t="s">
        <v>1589</v>
      </c>
      <c r="K406" s="138"/>
      <c r="L406" s="138"/>
      <c r="M406" s="138"/>
      <c r="N406" s="11"/>
      <c r="O406" s="163"/>
      <c r="P406" s="139">
        <v>2000.0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18"/>
      <c r="C407" s="11" t="s">
        <v>2305</v>
      </c>
      <c r="D407" s="11" t="s">
        <v>1586</v>
      </c>
      <c r="E407" s="32" t="s">
        <v>2306</v>
      </c>
      <c r="F407" s="11"/>
      <c r="G407" s="11" t="s">
        <v>1582</v>
      </c>
      <c r="H407" s="11" t="s">
        <v>2286</v>
      </c>
      <c r="I407" s="11">
        <v>90.0</v>
      </c>
      <c r="J407" s="138" t="s">
        <v>1589</v>
      </c>
      <c r="K407" s="138"/>
      <c r="L407" s="138"/>
      <c r="M407" s="138"/>
      <c r="N407" s="11">
        <v>20.0</v>
      </c>
      <c r="O407" s="163" t="s">
        <v>1554</v>
      </c>
      <c r="P407" s="139">
        <v>4000.0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18"/>
      <c r="C408" s="11" t="s">
        <v>2307</v>
      </c>
      <c r="D408" s="11" t="s">
        <v>1586</v>
      </c>
      <c r="E408" s="32" t="s">
        <v>2308</v>
      </c>
      <c r="F408" s="11"/>
      <c r="G408" s="11" t="s">
        <v>1582</v>
      </c>
      <c r="H408" s="11" t="s">
        <v>2286</v>
      </c>
      <c r="I408" s="11">
        <v>90.0</v>
      </c>
      <c r="J408" s="138" t="s">
        <v>1589</v>
      </c>
      <c r="K408" s="138"/>
      <c r="L408" s="138"/>
      <c r="M408" s="138"/>
      <c r="N408" s="11">
        <v>20.0</v>
      </c>
      <c r="O408" s="163" t="s">
        <v>1554</v>
      </c>
      <c r="P408" s="139">
        <v>4500.0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18"/>
      <c r="C409" s="11" t="s">
        <v>2309</v>
      </c>
      <c r="D409" s="11" t="s">
        <v>1586</v>
      </c>
      <c r="E409" s="32" t="s">
        <v>2310</v>
      </c>
      <c r="F409" s="11"/>
      <c r="G409" s="11" t="s">
        <v>1582</v>
      </c>
      <c r="H409" s="11" t="s">
        <v>2286</v>
      </c>
      <c r="I409" s="11">
        <v>90.0</v>
      </c>
      <c r="J409" s="138" t="s">
        <v>1589</v>
      </c>
      <c r="K409" s="138"/>
      <c r="L409" s="138"/>
      <c r="M409" s="138"/>
      <c r="N409" s="11"/>
      <c r="O409" s="163"/>
      <c r="P409" s="139">
        <v>2800.0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18"/>
      <c r="C410" s="11" t="s">
        <v>2311</v>
      </c>
      <c r="D410" s="11" t="s">
        <v>1586</v>
      </c>
      <c r="E410" s="32" t="s">
        <v>2312</v>
      </c>
      <c r="F410" s="11"/>
      <c r="G410" s="11" t="s">
        <v>1582</v>
      </c>
      <c r="H410" s="11" t="s">
        <v>2286</v>
      </c>
      <c r="I410" s="11">
        <v>90.0</v>
      </c>
      <c r="J410" s="138" t="s">
        <v>1589</v>
      </c>
      <c r="K410" s="138"/>
      <c r="L410" s="138"/>
      <c r="M410" s="138"/>
      <c r="N410" s="11"/>
      <c r="O410" s="163"/>
      <c r="P410" s="139">
        <v>3400.0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18"/>
      <c r="C411" s="11" t="s">
        <v>2313</v>
      </c>
      <c r="D411" s="11" t="s">
        <v>1586</v>
      </c>
      <c r="E411" s="32" t="s">
        <v>2314</v>
      </c>
      <c r="F411" s="11"/>
      <c r="G411" s="11" t="s">
        <v>1582</v>
      </c>
      <c r="H411" s="11" t="s">
        <v>2286</v>
      </c>
      <c r="I411" s="11">
        <v>180.0</v>
      </c>
      <c r="J411" s="138" t="s">
        <v>1589</v>
      </c>
      <c r="K411" s="138"/>
      <c r="L411" s="138"/>
      <c r="M411" s="138"/>
      <c r="N411" s="11">
        <v>50.0</v>
      </c>
      <c r="O411" s="163" t="s">
        <v>1554</v>
      </c>
      <c r="P411" s="139">
        <v>1800.0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18"/>
      <c r="C412" s="11" t="s">
        <v>2315</v>
      </c>
      <c r="D412" s="11" t="s">
        <v>1586</v>
      </c>
      <c r="E412" s="32" t="s">
        <v>2316</v>
      </c>
      <c r="F412" s="11"/>
      <c r="G412" s="11" t="s">
        <v>1582</v>
      </c>
      <c r="H412" s="11" t="s">
        <v>2286</v>
      </c>
      <c r="I412" s="11">
        <v>90.0</v>
      </c>
      <c r="J412" s="138" t="s">
        <v>1589</v>
      </c>
      <c r="K412" s="138"/>
      <c r="L412" s="138"/>
      <c r="M412" s="138"/>
      <c r="N412" s="11"/>
      <c r="O412" s="163"/>
      <c r="P412" s="139">
        <v>5000.0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18"/>
      <c r="C413" s="11" t="s">
        <v>2317</v>
      </c>
      <c r="D413" s="11" t="s">
        <v>1586</v>
      </c>
      <c r="E413" s="32" t="s">
        <v>2318</v>
      </c>
      <c r="F413" s="11"/>
      <c r="G413" s="11" t="s">
        <v>1582</v>
      </c>
      <c r="H413" s="11" t="s">
        <v>2286</v>
      </c>
      <c r="I413" s="11">
        <v>180.0</v>
      </c>
      <c r="J413" s="138" t="s">
        <v>1589</v>
      </c>
      <c r="K413" s="138"/>
      <c r="L413" s="138"/>
      <c r="M413" s="138"/>
      <c r="N413" s="11"/>
      <c r="O413" s="163"/>
      <c r="P413" s="139">
        <v>4000.0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18"/>
      <c r="C414" s="11" t="s">
        <v>2319</v>
      </c>
      <c r="D414" s="11" t="s">
        <v>1586</v>
      </c>
      <c r="E414" s="32" t="s">
        <v>2320</v>
      </c>
      <c r="F414" s="11"/>
      <c r="G414" s="11" t="s">
        <v>1582</v>
      </c>
      <c r="H414" s="11" t="s">
        <v>2286</v>
      </c>
      <c r="I414" s="11">
        <v>180.0</v>
      </c>
      <c r="J414" s="138" t="s">
        <v>1589</v>
      </c>
      <c r="K414" s="138"/>
      <c r="L414" s="138"/>
      <c r="M414" s="138"/>
      <c r="N414" s="11"/>
      <c r="O414" s="163"/>
      <c r="P414" s="139">
        <v>3300.0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18"/>
      <c r="C415" s="11" t="s">
        <v>2321</v>
      </c>
      <c r="D415" s="11" t="s">
        <v>1586</v>
      </c>
      <c r="E415" s="32" t="s">
        <v>2322</v>
      </c>
      <c r="F415" s="11"/>
      <c r="G415" s="11" t="s">
        <v>1582</v>
      </c>
      <c r="H415" s="11" t="s">
        <v>2286</v>
      </c>
      <c r="I415" s="11">
        <v>90.0</v>
      </c>
      <c r="J415" s="138" t="s">
        <v>1589</v>
      </c>
      <c r="K415" s="138"/>
      <c r="L415" s="138"/>
      <c r="M415" s="138"/>
      <c r="N415" s="11"/>
      <c r="O415" s="163"/>
      <c r="P415" s="139">
        <v>3000.0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18"/>
      <c r="C416" s="11" t="s">
        <v>2323</v>
      </c>
      <c r="D416" s="11" t="s">
        <v>1586</v>
      </c>
      <c r="E416" s="32" t="s">
        <v>2324</v>
      </c>
      <c r="F416" s="11"/>
      <c r="G416" s="11" t="s">
        <v>1582</v>
      </c>
      <c r="H416" s="11" t="s">
        <v>2286</v>
      </c>
      <c r="I416" s="11">
        <v>90.0</v>
      </c>
      <c r="J416" s="138" t="s">
        <v>1589</v>
      </c>
      <c r="K416" s="138"/>
      <c r="L416" s="138"/>
      <c r="M416" s="138"/>
      <c r="N416" s="11"/>
      <c r="O416" s="163"/>
      <c r="P416" s="139">
        <v>2300.0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18"/>
      <c r="C417" s="11" t="s">
        <v>2325</v>
      </c>
      <c r="D417" s="11" t="s">
        <v>1586</v>
      </c>
      <c r="E417" s="32" t="s">
        <v>2326</v>
      </c>
      <c r="F417" s="11"/>
      <c r="G417" s="11" t="s">
        <v>1582</v>
      </c>
      <c r="H417" s="11" t="s">
        <v>2286</v>
      </c>
      <c r="I417" s="11">
        <v>90.0</v>
      </c>
      <c r="J417" s="138" t="s">
        <v>1589</v>
      </c>
      <c r="K417" s="138"/>
      <c r="L417" s="138"/>
      <c r="M417" s="138"/>
      <c r="N417" s="11"/>
      <c r="O417" s="163"/>
      <c r="P417" s="139">
        <v>2300.0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18"/>
      <c r="C418" s="11" t="s">
        <v>2327</v>
      </c>
      <c r="D418" s="11" t="s">
        <v>1586</v>
      </c>
      <c r="E418" s="32" t="s">
        <v>2328</v>
      </c>
      <c r="F418" s="11"/>
      <c r="G418" s="11" t="s">
        <v>1582</v>
      </c>
      <c r="H418" s="11" t="s">
        <v>2286</v>
      </c>
      <c r="I418" s="11">
        <v>90.0</v>
      </c>
      <c r="J418" s="138" t="s">
        <v>1589</v>
      </c>
      <c r="K418" s="138"/>
      <c r="L418" s="138"/>
      <c r="M418" s="138"/>
      <c r="N418" s="11"/>
      <c r="O418" s="163"/>
      <c r="P418" s="139">
        <v>2900.0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18"/>
      <c r="C419" s="11" t="s">
        <v>2329</v>
      </c>
      <c r="D419" s="11" t="s">
        <v>1586</v>
      </c>
      <c r="E419" s="32" t="s">
        <v>2330</v>
      </c>
      <c r="F419" s="11"/>
      <c r="G419" s="11" t="s">
        <v>1582</v>
      </c>
      <c r="H419" s="11" t="s">
        <v>2286</v>
      </c>
      <c r="I419" s="11">
        <v>90.0</v>
      </c>
      <c r="J419" s="138" t="s">
        <v>1589</v>
      </c>
      <c r="K419" s="138"/>
      <c r="L419" s="138"/>
      <c r="M419" s="138"/>
      <c r="N419" s="11"/>
      <c r="O419" s="163"/>
      <c r="P419" s="139">
        <v>3000.0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18"/>
      <c r="C420" s="11" t="s">
        <v>2331</v>
      </c>
      <c r="D420" s="11" t="s">
        <v>1586</v>
      </c>
      <c r="E420" s="32" t="s">
        <v>2332</v>
      </c>
      <c r="F420" s="11"/>
      <c r="G420" s="11" t="s">
        <v>1582</v>
      </c>
      <c r="H420" s="11" t="s">
        <v>2286</v>
      </c>
      <c r="I420" s="11">
        <v>90.0</v>
      </c>
      <c r="J420" s="138" t="s">
        <v>1589</v>
      </c>
      <c r="K420" s="138"/>
      <c r="L420" s="138"/>
      <c r="M420" s="138"/>
      <c r="N420" s="11"/>
      <c r="O420" s="163"/>
      <c r="P420" s="139">
        <v>6000.0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18"/>
      <c r="C421" s="11" t="s">
        <v>2333</v>
      </c>
      <c r="D421" s="11" t="s">
        <v>1586</v>
      </c>
      <c r="E421" s="32" t="s">
        <v>2334</v>
      </c>
      <c r="F421" s="11"/>
      <c r="G421" s="11" t="s">
        <v>1582</v>
      </c>
      <c r="H421" s="11" t="s">
        <v>2286</v>
      </c>
      <c r="I421" s="11">
        <v>90.0</v>
      </c>
      <c r="J421" s="138" t="s">
        <v>1589</v>
      </c>
      <c r="K421" s="138"/>
      <c r="L421" s="138"/>
      <c r="M421" s="138"/>
      <c r="N421" s="11"/>
      <c r="O421" s="163"/>
      <c r="P421" s="139">
        <v>3500.0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18"/>
      <c r="C422" s="11" t="s">
        <v>2335</v>
      </c>
      <c r="D422" s="11" t="s">
        <v>1586</v>
      </c>
      <c r="E422" s="32" t="s">
        <v>2336</v>
      </c>
      <c r="F422" s="11"/>
      <c r="G422" s="11" t="s">
        <v>1582</v>
      </c>
      <c r="H422" s="11" t="s">
        <v>2286</v>
      </c>
      <c r="I422" s="11">
        <v>90.0</v>
      </c>
      <c r="J422" s="138" t="s">
        <v>1589</v>
      </c>
      <c r="K422" s="138"/>
      <c r="L422" s="138"/>
      <c r="M422" s="138"/>
      <c r="N422" s="11"/>
      <c r="O422" s="163"/>
      <c r="P422" s="139">
        <v>3000.0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35"/>
      <c r="C423" s="36" t="s">
        <v>2337</v>
      </c>
      <c r="D423" s="36" t="s">
        <v>1586</v>
      </c>
      <c r="E423" s="158" t="s">
        <v>2338</v>
      </c>
      <c r="F423" s="36"/>
      <c r="G423" s="36" t="s">
        <v>1582</v>
      </c>
      <c r="H423" s="36" t="s">
        <v>2286</v>
      </c>
      <c r="I423" s="36">
        <v>90.0</v>
      </c>
      <c r="J423" s="141" t="s">
        <v>1589</v>
      </c>
      <c r="K423" s="141"/>
      <c r="L423" s="141"/>
      <c r="M423" s="141"/>
      <c r="N423" s="36"/>
      <c r="O423" s="164"/>
      <c r="P423" s="142">
        <v>3500.0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147" t="s">
        <v>185</v>
      </c>
      <c r="C424" s="42" t="s">
        <v>2339</v>
      </c>
      <c r="D424" s="42" t="s">
        <v>1586</v>
      </c>
      <c r="E424" s="165" t="s">
        <v>2340</v>
      </c>
      <c r="F424" s="42"/>
      <c r="G424" s="42" t="s">
        <v>1582</v>
      </c>
      <c r="H424" s="42" t="s">
        <v>2341</v>
      </c>
      <c r="I424" s="42">
        <v>0.0</v>
      </c>
      <c r="J424" s="149" t="s">
        <v>1589</v>
      </c>
      <c r="K424" s="149"/>
      <c r="L424" s="149"/>
      <c r="M424" s="149"/>
      <c r="N424" s="42"/>
      <c r="O424" s="162"/>
      <c r="P424" s="136">
        <v>1.0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18"/>
      <c r="C425" s="11" t="s">
        <v>2342</v>
      </c>
      <c r="D425" s="11" t="s">
        <v>1586</v>
      </c>
      <c r="E425" s="32" t="s">
        <v>2343</v>
      </c>
      <c r="F425" s="11"/>
      <c r="G425" s="11" t="s">
        <v>1582</v>
      </c>
      <c r="H425" s="11" t="s">
        <v>2341</v>
      </c>
      <c r="I425" s="11">
        <v>0.0</v>
      </c>
      <c r="J425" s="138" t="s">
        <v>1589</v>
      </c>
      <c r="K425" s="138"/>
      <c r="L425" s="138"/>
      <c r="M425" s="138"/>
      <c r="N425" s="11">
        <v>30.0</v>
      </c>
      <c r="O425" s="163" t="s">
        <v>1554</v>
      </c>
      <c r="P425" s="139">
        <v>650.0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18"/>
      <c r="C426" s="11" t="s">
        <v>2344</v>
      </c>
      <c r="D426" s="11" t="s">
        <v>1586</v>
      </c>
      <c r="E426" s="32" t="s">
        <v>2345</v>
      </c>
      <c r="F426" s="11"/>
      <c r="G426" s="11" t="s">
        <v>1582</v>
      </c>
      <c r="H426" s="11" t="s">
        <v>2341</v>
      </c>
      <c r="I426" s="11">
        <v>0.0</v>
      </c>
      <c r="J426" s="138" t="s">
        <v>1589</v>
      </c>
      <c r="K426" s="138"/>
      <c r="L426" s="138"/>
      <c r="M426" s="138"/>
      <c r="N426" s="11">
        <v>30.0</v>
      </c>
      <c r="O426" s="163" t="s">
        <v>1554</v>
      </c>
      <c r="P426" s="139">
        <v>650.0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18"/>
      <c r="C427" s="11" t="s">
        <v>2346</v>
      </c>
      <c r="D427" s="11" t="s">
        <v>1586</v>
      </c>
      <c r="E427" s="32" t="s">
        <v>2347</v>
      </c>
      <c r="F427" s="11"/>
      <c r="G427" s="11" t="s">
        <v>1582</v>
      </c>
      <c r="H427" s="11" t="s">
        <v>2341</v>
      </c>
      <c r="I427" s="11">
        <v>0.0</v>
      </c>
      <c r="J427" s="138" t="s">
        <v>1589</v>
      </c>
      <c r="K427" s="138"/>
      <c r="L427" s="138"/>
      <c r="M427" s="138"/>
      <c r="N427" s="11"/>
      <c r="O427" s="163"/>
      <c r="P427" s="139">
        <v>400.0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18"/>
      <c r="C428" s="11" t="s">
        <v>2348</v>
      </c>
      <c r="D428" s="11" t="s">
        <v>1586</v>
      </c>
      <c r="E428" s="32" t="s">
        <v>2349</v>
      </c>
      <c r="F428" s="11"/>
      <c r="G428" s="11" t="s">
        <v>1582</v>
      </c>
      <c r="H428" s="11" t="s">
        <v>2341</v>
      </c>
      <c r="I428" s="11">
        <v>0.0</v>
      </c>
      <c r="J428" s="138" t="s">
        <v>1589</v>
      </c>
      <c r="K428" s="138"/>
      <c r="L428" s="138"/>
      <c r="M428" s="138"/>
      <c r="N428" s="11"/>
      <c r="O428" s="163"/>
      <c r="P428" s="139">
        <v>2500.0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18"/>
      <c r="C429" s="11" t="s">
        <v>2350</v>
      </c>
      <c r="D429" s="11" t="s">
        <v>1586</v>
      </c>
      <c r="E429" s="32" t="s">
        <v>2351</v>
      </c>
      <c r="F429" s="11"/>
      <c r="G429" s="11" t="s">
        <v>1582</v>
      </c>
      <c r="H429" s="11" t="s">
        <v>2341</v>
      </c>
      <c r="I429" s="11">
        <v>180.0</v>
      </c>
      <c r="J429" s="138" t="s">
        <v>1589</v>
      </c>
      <c r="K429" s="138"/>
      <c r="L429" s="138"/>
      <c r="M429" s="138"/>
      <c r="N429" s="11"/>
      <c r="O429" s="163"/>
      <c r="P429" s="139">
        <v>2600.0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18"/>
      <c r="C430" s="11" t="s">
        <v>2352</v>
      </c>
      <c r="D430" s="11" t="s">
        <v>1586</v>
      </c>
      <c r="E430" s="32" t="s">
        <v>2353</v>
      </c>
      <c r="F430" s="11"/>
      <c r="G430" s="11" t="s">
        <v>1582</v>
      </c>
      <c r="H430" s="11" t="s">
        <v>2341</v>
      </c>
      <c r="I430" s="11">
        <v>180.0</v>
      </c>
      <c r="J430" s="138" t="s">
        <v>1589</v>
      </c>
      <c r="K430" s="138"/>
      <c r="L430" s="138"/>
      <c r="M430" s="138"/>
      <c r="N430" s="11"/>
      <c r="O430" s="163"/>
      <c r="P430" s="139">
        <v>2200.0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18"/>
      <c r="C431" s="11" t="s">
        <v>2354</v>
      </c>
      <c r="D431" s="11" t="s">
        <v>1586</v>
      </c>
      <c r="E431" s="32" t="s">
        <v>2355</v>
      </c>
      <c r="F431" s="11"/>
      <c r="G431" s="11" t="s">
        <v>1582</v>
      </c>
      <c r="H431" s="11" t="s">
        <v>2341</v>
      </c>
      <c r="I431" s="11">
        <v>90.0</v>
      </c>
      <c r="J431" s="138" t="s">
        <v>1589</v>
      </c>
      <c r="K431" s="138"/>
      <c r="L431" s="138"/>
      <c r="M431" s="138"/>
      <c r="N431" s="11"/>
      <c r="O431" s="163"/>
      <c r="P431" s="139">
        <v>3200.0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18"/>
      <c r="C432" s="11" t="s">
        <v>2356</v>
      </c>
      <c r="D432" s="11" t="s">
        <v>1586</v>
      </c>
      <c r="E432" s="32" t="s">
        <v>2357</v>
      </c>
      <c r="F432" s="11"/>
      <c r="G432" s="11" t="s">
        <v>1582</v>
      </c>
      <c r="H432" s="11" t="s">
        <v>2341</v>
      </c>
      <c r="I432" s="11">
        <v>90.0</v>
      </c>
      <c r="J432" s="138" t="s">
        <v>1589</v>
      </c>
      <c r="K432" s="138"/>
      <c r="L432" s="138"/>
      <c r="M432" s="138"/>
      <c r="N432" s="11"/>
      <c r="O432" s="163"/>
      <c r="P432" s="139">
        <v>2600.0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18"/>
      <c r="C433" s="11" t="s">
        <v>2358</v>
      </c>
      <c r="D433" s="11" t="s">
        <v>1586</v>
      </c>
      <c r="E433" s="32" t="s">
        <v>2359</v>
      </c>
      <c r="F433" s="11"/>
      <c r="G433" s="11" t="s">
        <v>1582</v>
      </c>
      <c r="H433" s="11" t="s">
        <v>2341</v>
      </c>
      <c r="I433" s="11">
        <v>90.0</v>
      </c>
      <c r="J433" s="138" t="s">
        <v>1589</v>
      </c>
      <c r="K433" s="138"/>
      <c r="L433" s="138"/>
      <c r="M433" s="138"/>
      <c r="N433" s="11"/>
      <c r="O433" s="163"/>
      <c r="P433" s="139">
        <v>2000.0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18"/>
      <c r="C434" s="11" t="s">
        <v>2360</v>
      </c>
      <c r="D434" s="11" t="s">
        <v>1586</v>
      </c>
      <c r="E434" s="32" t="s">
        <v>2361</v>
      </c>
      <c r="F434" s="11"/>
      <c r="G434" s="11" t="s">
        <v>1582</v>
      </c>
      <c r="H434" s="11" t="s">
        <v>2341</v>
      </c>
      <c r="I434" s="11">
        <v>90.0</v>
      </c>
      <c r="J434" s="138" t="s">
        <v>1589</v>
      </c>
      <c r="K434" s="138"/>
      <c r="L434" s="138"/>
      <c r="M434" s="138"/>
      <c r="N434" s="11">
        <v>20.0</v>
      </c>
      <c r="O434" s="163" t="s">
        <v>1554</v>
      </c>
      <c r="P434" s="139">
        <v>6000.0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18"/>
      <c r="C435" s="11" t="s">
        <v>2362</v>
      </c>
      <c r="D435" s="11" t="s">
        <v>1586</v>
      </c>
      <c r="E435" s="32" t="s">
        <v>2363</v>
      </c>
      <c r="F435" s="11"/>
      <c r="G435" s="11" t="s">
        <v>1582</v>
      </c>
      <c r="H435" s="11" t="s">
        <v>2341</v>
      </c>
      <c r="I435" s="11">
        <v>90.0</v>
      </c>
      <c r="J435" s="138" t="s">
        <v>1589</v>
      </c>
      <c r="K435" s="138"/>
      <c r="L435" s="138"/>
      <c r="M435" s="138"/>
      <c r="N435" s="11">
        <v>20.0</v>
      </c>
      <c r="O435" s="163" t="s">
        <v>1554</v>
      </c>
      <c r="P435" s="139">
        <v>7000.0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18"/>
      <c r="C436" s="11" t="s">
        <v>2364</v>
      </c>
      <c r="D436" s="11" t="s">
        <v>1586</v>
      </c>
      <c r="E436" s="32" t="s">
        <v>2365</v>
      </c>
      <c r="F436" s="11"/>
      <c r="G436" s="11" t="s">
        <v>1582</v>
      </c>
      <c r="H436" s="11" t="s">
        <v>2341</v>
      </c>
      <c r="I436" s="11">
        <v>90.0</v>
      </c>
      <c r="J436" s="138" t="s">
        <v>1589</v>
      </c>
      <c r="K436" s="138"/>
      <c r="L436" s="138"/>
      <c r="M436" s="138"/>
      <c r="N436" s="11"/>
      <c r="O436" s="163"/>
      <c r="P436" s="139">
        <v>3100.0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18"/>
      <c r="C437" s="11" t="s">
        <v>2366</v>
      </c>
      <c r="D437" s="11" t="s">
        <v>1586</v>
      </c>
      <c r="E437" s="32" t="s">
        <v>2367</v>
      </c>
      <c r="F437" s="11"/>
      <c r="G437" s="11" t="s">
        <v>1582</v>
      </c>
      <c r="H437" s="11" t="s">
        <v>2341</v>
      </c>
      <c r="I437" s="11">
        <v>90.0</v>
      </c>
      <c r="J437" s="138" t="s">
        <v>1589</v>
      </c>
      <c r="K437" s="138"/>
      <c r="L437" s="138"/>
      <c r="M437" s="138"/>
      <c r="N437" s="11"/>
      <c r="O437" s="163"/>
      <c r="P437" s="139">
        <v>3700.0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18"/>
      <c r="C438" s="11" t="s">
        <v>2368</v>
      </c>
      <c r="D438" s="11" t="s">
        <v>1586</v>
      </c>
      <c r="E438" s="32" t="s">
        <v>2369</v>
      </c>
      <c r="F438" s="11"/>
      <c r="G438" s="11" t="s">
        <v>1582</v>
      </c>
      <c r="H438" s="11" t="s">
        <v>2341</v>
      </c>
      <c r="I438" s="11">
        <v>180.0</v>
      </c>
      <c r="J438" s="138" t="s">
        <v>1589</v>
      </c>
      <c r="K438" s="138"/>
      <c r="L438" s="138"/>
      <c r="M438" s="138"/>
      <c r="N438" s="11">
        <v>50.0</v>
      </c>
      <c r="O438" s="163" t="s">
        <v>1554</v>
      </c>
      <c r="P438" s="139">
        <v>2200.0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18"/>
      <c r="C439" s="11" t="s">
        <v>2370</v>
      </c>
      <c r="D439" s="11" t="s">
        <v>1586</v>
      </c>
      <c r="E439" s="32" t="s">
        <v>2371</v>
      </c>
      <c r="F439" s="11"/>
      <c r="G439" s="11" t="s">
        <v>1582</v>
      </c>
      <c r="H439" s="11" t="s">
        <v>2341</v>
      </c>
      <c r="I439" s="11">
        <v>90.0</v>
      </c>
      <c r="J439" s="138" t="s">
        <v>1589</v>
      </c>
      <c r="K439" s="138"/>
      <c r="L439" s="138"/>
      <c r="M439" s="138"/>
      <c r="N439" s="11"/>
      <c r="O439" s="163"/>
      <c r="P439" s="139">
        <v>5000.0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18"/>
      <c r="C440" s="11" t="s">
        <v>2372</v>
      </c>
      <c r="D440" s="11" t="s">
        <v>1586</v>
      </c>
      <c r="E440" s="32" t="s">
        <v>2373</v>
      </c>
      <c r="F440" s="11"/>
      <c r="G440" s="11" t="s">
        <v>1582</v>
      </c>
      <c r="H440" s="11" t="s">
        <v>2341</v>
      </c>
      <c r="I440" s="11">
        <v>180.0</v>
      </c>
      <c r="J440" s="138" t="s">
        <v>1589</v>
      </c>
      <c r="K440" s="138"/>
      <c r="L440" s="138"/>
      <c r="M440" s="138"/>
      <c r="N440" s="11"/>
      <c r="O440" s="163"/>
      <c r="P440" s="139">
        <v>4000.0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18"/>
      <c r="C441" s="11" t="s">
        <v>2374</v>
      </c>
      <c r="D441" s="11" t="s">
        <v>1586</v>
      </c>
      <c r="E441" s="32" t="s">
        <v>2375</v>
      </c>
      <c r="F441" s="11"/>
      <c r="G441" s="11" t="s">
        <v>1582</v>
      </c>
      <c r="H441" s="11" t="s">
        <v>2341</v>
      </c>
      <c r="I441" s="11">
        <v>180.0</v>
      </c>
      <c r="J441" s="138" t="s">
        <v>1589</v>
      </c>
      <c r="K441" s="138"/>
      <c r="L441" s="138"/>
      <c r="M441" s="138"/>
      <c r="N441" s="11"/>
      <c r="O441" s="163"/>
      <c r="P441" s="139">
        <v>3300.0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18"/>
      <c r="C442" s="11" t="s">
        <v>2376</v>
      </c>
      <c r="D442" s="11" t="s">
        <v>1586</v>
      </c>
      <c r="E442" s="32" t="s">
        <v>2377</v>
      </c>
      <c r="F442" s="11"/>
      <c r="G442" s="11" t="s">
        <v>1582</v>
      </c>
      <c r="H442" s="11" t="s">
        <v>2341</v>
      </c>
      <c r="I442" s="11">
        <v>90.0</v>
      </c>
      <c r="J442" s="138" t="s">
        <v>1589</v>
      </c>
      <c r="K442" s="138"/>
      <c r="L442" s="138"/>
      <c r="M442" s="138"/>
      <c r="N442" s="11"/>
      <c r="O442" s="163"/>
      <c r="P442" s="139">
        <v>3000.0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18"/>
      <c r="C443" s="11" t="s">
        <v>2378</v>
      </c>
      <c r="D443" s="11" t="s">
        <v>1586</v>
      </c>
      <c r="E443" s="32" t="s">
        <v>2379</v>
      </c>
      <c r="F443" s="11"/>
      <c r="G443" s="11" t="s">
        <v>1582</v>
      </c>
      <c r="H443" s="11" t="s">
        <v>2341</v>
      </c>
      <c r="I443" s="11">
        <v>90.0</v>
      </c>
      <c r="J443" s="138" t="s">
        <v>1589</v>
      </c>
      <c r="K443" s="138"/>
      <c r="L443" s="138"/>
      <c r="M443" s="138"/>
      <c r="N443" s="11"/>
      <c r="O443" s="163"/>
      <c r="P443" s="139">
        <v>3000.0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18"/>
      <c r="C444" s="11" t="s">
        <v>2380</v>
      </c>
      <c r="D444" s="11" t="s">
        <v>1586</v>
      </c>
      <c r="E444" s="32" t="s">
        <v>2381</v>
      </c>
      <c r="F444" s="11"/>
      <c r="G444" s="11" t="s">
        <v>1582</v>
      </c>
      <c r="H444" s="11" t="s">
        <v>2341</v>
      </c>
      <c r="I444" s="11">
        <v>90.0</v>
      </c>
      <c r="J444" s="138" t="s">
        <v>1589</v>
      </c>
      <c r="K444" s="138"/>
      <c r="L444" s="138"/>
      <c r="M444" s="138"/>
      <c r="N444" s="11"/>
      <c r="O444" s="163"/>
      <c r="P444" s="139">
        <v>3000.0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18"/>
      <c r="C445" s="11" t="s">
        <v>2382</v>
      </c>
      <c r="D445" s="11" t="s">
        <v>1586</v>
      </c>
      <c r="E445" s="32" t="s">
        <v>2383</v>
      </c>
      <c r="F445" s="11"/>
      <c r="G445" s="11" t="s">
        <v>1582</v>
      </c>
      <c r="H445" s="11" t="s">
        <v>2341</v>
      </c>
      <c r="I445" s="11">
        <v>90.0</v>
      </c>
      <c r="J445" s="138" t="s">
        <v>1589</v>
      </c>
      <c r="K445" s="138"/>
      <c r="L445" s="138"/>
      <c r="M445" s="138"/>
      <c r="N445" s="11"/>
      <c r="O445" s="163"/>
      <c r="P445" s="139">
        <v>3600.0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18"/>
      <c r="C446" s="11" t="s">
        <v>2384</v>
      </c>
      <c r="D446" s="11" t="s">
        <v>1586</v>
      </c>
      <c r="E446" s="32" t="s">
        <v>2385</v>
      </c>
      <c r="F446" s="11"/>
      <c r="G446" s="11" t="s">
        <v>1582</v>
      </c>
      <c r="H446" s="11" t="s">
        <v>2341</v>
      </c>
      <c r="I446" s="11">
        <v>90.0</v>
      </c>
      <c r="J446" s="138" t="s">
        <v>1589</v>
      </c>
      <c r="K446" s="138"/>
      <c r="L446" s="138"/>
      <c r="M446" s="138"/>
      <c r="N446" s="11"/>
      <c r="O446" s="163"/>
      <c r="P446" s="139">
        <v>3000.0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18"/>
      <c r="C447" s="11" t="s">
        <v>2386</v>
      </c>
      <c r="D447" s="11" t="s">
        <v>1586</v>
      </c>
      <c r="E447" s="32" t="s">
        <v>2387</v>
      </c>
      <c r="F447" s="11"/>
      <c r="G447" s="11" t="s">
        <v>1582</v>
      </c>
      <c r="H447" s="11" t="s">
        <v>2341</v>
      </c>
      <c r="I447" s="11">
        <v>90.0</v>
      </c>
      <c r="J447" s="138" t="s">
        <v>1589</v>
      </c>
      <c r="K447" s="138"/>
      <c r="L447" s="138"/>
      <c r="M447" s="138"/>
      <c r="N447" s="11"/>
      <c r="O447" s="163"/>
      <c r="P447" s="139">
        <v>6500.0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18"/>
      <c r="C448" s="11" t="s">
        <v>2388</v>
      </c>
      <c r="D448" s="11" t="s">
        <v>1586</v>
      </c>
      <c r="E448" s="32" t="s">
        <v>2389</v>
      </c>
      <c r="F448" s="11"/>
      <c r="G448" s="11" t="s">
        <v>1582</v>
      </c>
      <c r="H448" s="11" t="s">
        <v>2341</v>
      </c>
      <c r="I448" s="11">
        <v>90.0</v>
      </c>
      <c r="J448" s="138" t="s">
        <v>1589</v>
      </c>
      <c r="K448" s="138"/>
      <c r="L448" s="138"/>
      <c r="M448" s="138"/>
      <c r="N448" s="11"/>
      <c r="O448" s="163"/>
      <c r="P448" s="139">
        <v>3500.0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18"/>
      <c r="C449" s="11" t="s">
        <v>2390</v>
      </c>
      <c r="D449" s="11" t="s">
        <v>1586</v>
      </c>
      <c r="E449" s="32" t="s">
        <v>2391</v>
      </c>
      <c r="F449" s="11"/>
      <c r="G449" s="11" t="s">
        <v>1582</v>
      </c>
      <c r="H449" s="11" t="s">
        <v>2341</v>
      </c>
      <c r="I449" s="11">
        <v>90.0</v>
      </c>
      <c r="J449" s="138" t="s">
        <v>1589</v>
      </c>
      <c r="K449" s="138"/>
      <c r="L449" s="138"/>
      <c r="M449" s="138"/>
      <c r="N449" s="11"/>
      <c r="O449" s="163"/>
      <c r="P449" s="139">
        <v>3000.0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35"/>
      <c r="C450" s="36" t="s">
        <v>2392</v>
      </c>
      <c r="D450" s="36" t="s">
        <v>1586</v>
      </c>
      <c r="E450" s="158" t="s">
        <v>2393</v>
      </c>
      <c r="F450" s="36"/>
      <c r="G450" s="36" t="s">
        <v>1582</v>
      </c>
      <c r="H450" s="36" t="s">
        <v>2341</v>
      </c>
      <c r="I450" s="36">
        <v>90.0</v>
      </c>
      <c r="J450" s="141" t="s">
        <v>1589</v>
      </c>
      <c r="K450" s="141"/>
      <c r="L450" s="141"/>
      <c r="M450" s="141"/>
      <c r="N450" s="36"/>
      <c r="O450" s="164"/>
      <c r="P450" s="142">
        <v>3500.0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147" t="s">
        <v>193</v>
      </c>
      <c r="C451" s="42" t="s">
        <v>2394</v>
      </c>
      <c r="D451" s="42" t="s">
        <v>1586</v>
      </c>
      <c r="E451" s="165" t="s">
        <v>2395</v>
      </c>
      <c r="F451" s="42"/>
      <c r="G451" s="42" t="s">
        <v>1582</v>
      </c>
      <c r="H451" s="42" t="s">
        <v>2396</v>
      </c>
      <c r="I451" s="42">
        <v>0.0</v>
      </c>
      <c r="J451" s="149" t="s">
        <v>1589</v>
      </c>
      <c r="K451" s="149"/>
      <c r="L451" s="149"/>
      <c r="M451" s="149"/>
      <c r="N451" s="42"/>
      <c r="O451" s="162"/>
      <c r="P451" s="136">
        <v>1.0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18"/>
      <c r="C452" s="11" t="s">
        <v>2397</v>
      </c>
      <c r="D452" s="11" t="s">
        <v>1586</v>
      </c>
      <c r="E452" s="32" t="s">
        <v>2398</v>
      </c>
      <c r="F452" s="11"/>
      <c r="G452" s="11" t="s">
        <v>1582</v>
      </c>
      <c r="H452" s="11" t="s">
        <v>2396</v>
      </c>
      <c r="I452" s="11">
        <v>0.0</v>
      </c>
      <c r="J452" s="138" t="s">
        <v>1589</v>
      </c>
      <c r="K452" s="138"/>
      <c r="L452" s="138"/>
      <c r="M452" s="138"/>
      <c r="N452" s="11">
        <v>30.0</v>
      </c>
      <c r="O452" s="163" t="s">
        <v>1554</v>
      </c>
      <c r="P452" s="139">
        <v>650.0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18"/>
      <c r="C453" s="11" t="s">
        <v>2399</v>
      </c>
      <c r="D453" s="11" t="s">
        <v>1586</v>
      </c>
      <c r="E453" s="32" t="s">
        <v>2400</v>
      </c>
      <c r="F453" s="11"/>
      <c r="G453" s="11" t="s">
        <v>1582</v>
      </c>
      <c r="H453" s="11" t="s">
        <v>2396</v>
      </c>
      <c r="I453" s="11">
        <v>0.0</v>
      </c>
      <c r="J453" s="138" t="s">
        <v>1589</v>
      </c>
      <c r="K453" s="138"/>
      <c r="L453" s="138"/>
      <c r="M453" s="138"/>
      <c r="N453" s="11">
        <v>30.0</v>
      </c>
      <c r="O453" s="163" t="s">
        <v>1554</v>
      </c>
      <c r="P453" s="139">
        <v>650.0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18"/>
      <c r="C454" s="11" t="s">
        <v>2401</v>
      </c>
      <c r="D454" s="11" t="s">
        <v>1586</v>
      </c>
      <c r="E454" s="32" t="s">
        <v>2402</v>
      </c>
      <c r="F454" s="11"/>
      <c r="G454" s="11" t="s">
        <v>1582</v>
      </c>
      <c r="H454" s="11" t="s">
        <v>2396</v>
      </c>
      <c r="I454" s="11">
        <v>0.0</v>
      </c>
      <c r="J454" s="138" t="s">
        <v>1589</v>
      </c>
      <c r="K454" s="138"/>
      <c r="L454" s="138"/>
      <c r="M454" s="138"/>
      <c r="N454" s="11"/>
      <c r="O454" s="163"/>
      <c r="P454" s="139">
        <v>400.0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18"/>
      <c r="C455" s="11" t="s">
        <v>2403</v>
      </c>
      <c r="D455" s="11" t="s">
        <v>1586</v>
      </c>
      <c r="E455" s="32" t="s">
        <v>2404</v>
      </c>
      <c r="F455" s="11"/>
      <c r="G455" s="11" t="s">
        <v>1582</v>
      </c>
      <c r="H455" s="11" t="s">
        <v>2396</v>
      </c>
      <c r="I455" s="11">
        <v>0.0</v>
      </c>
      <c r="J455" s="138" t="s">
        <v>1589</v>
      </c>
      <c r="K455" s="138"/>
      <c r="L455" s="138"/>
      <c r="M455" s="138"/>
      <c r="N455" s="11"/>
      <c r="O455" s="163"/>
      <c r="P455" s="139">
        <v>2500.0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18"/>
      <c r="C456" s="11" t="s">
        <v>2405</v>
      </c>
      <c r="D456" s="11" t="s">
        <v>1586</v>
      </c>
      <c r="E456" s="32" t="s">
        <v>2406</v>
      </c>
      <c r="F456" s="11"/>
      <c r="G456" s="11" t="s">
        <v>1582</v>
      </c>
      <c r="H456" s="11" t="s">
        <v>2396</v>
      </c>
      <c r="I456" s="11">
        <v>180.0</v>
      </c>
      <c r="J456" s="138" t="s">
        <v>1589</v>
      </c>
      <c r="K456" s="138"/>
      <c r="L456" s="138"/>
      <c r="M456" s="138"/>
      <c r="N456" s="11"/>
      <c r="O456" s="163"/>
      <c r="P456" s="139">
        <v>2600.0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18"/>
      <c r="C457" s="11" t="s">
        <v>2407</v>
      </c>
      <c r="D457" s="11" t="s">
        <v>1586</v>
      </c>
      <c r="E457" s="32" t="s">
        <v>2408</v>
      </c>
      <c r="F457" s="11"/>
      <c r="G457" s="11" t="s">
        <v>1582</v>
      </c>
      <c r="H457" s="11" t="s">
        <v>2396</v>
      </c>
      <c r="I457" s="11">
        <v>180.0</v>
      </c>
      <c r="J457" s="138" t="s">
        <v>1589</v>
      </c>
      <c r="K457" s="138"/>
      <c r="L457" s="138"/>
      <c r="M457" s="138"/>
      <c r="N457" s="11"/>
      <c r="O457" s="163"/>
      <c r="P457" s="139">
        <v>2200.0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18"/>
      <c r="C458" s="11" t="s">
        <v>2409</v>
      </c>
      <c r="D458" s="11" t="s">
        <v>1586</v>
      </c>
      <c r="E458" s="32" t="s">
        <v>2410</v>
      </c>
      <c r="F458" s="11"/>
      <c r="G458" s="11" t="s">
        <v>1582</v>
      </c>
      <c r="H458" s="11" t="s">
        <v>2396</v>
      </c>
      <c r="I458" s="11">
        <v>90.0</v>
      </c>
      <c r="J458" s="138" t="s">
        <v>1589</v>
      </c>
      <c r="K458" s="138"/>
      <c r="L458" s="138"/>
      <c r="M458" s="138"/>
      <c r="N458" s="11"/>
      <c r="O458" s="163"/>
      <c r="P458" s="139">
        <v>3200.0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18"/>
      <c r="C459" s="11" t="s">
        <v>2411</v>
      </c>
      <c r="D459" s="11" t="s">
        <v>1586</v>
      </c>
      <c r="E459" s="32" t="s">
        <v>2412</v>
      </c>
      <c r="F459" s="11"/>
      <c r="G459" s="11" t="s">
        <v>1582</v>
      </c>
      <c r="H459" s="11" t="s">
        <v>2396</v>
      </c>
      <c r="I459" s="11">
        <v>90.0</v>
      </c>
      <c r="J459" s="138" t="s">
        <v>1589</v>
      </c>
      <c r="K459" s="138"/>
      <c r="L459" s="138"/>
      <c r="M459" s="138"/>
      <c r="N459" s="11"/>
      <c r="O459" s="163"/>
      <c r="P459" s="139">
        <v>2600.0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18"/>
      <c r="C460" s="11" t="s">
        <v>2413</v>
      </c>
      <c r="D460" s="11" t="s">
        <v>1586</v>
      </c>
      <c r="E460" s="32" t="s">
        <v>2414</v>
      </c>
      <c r="F460" s="11"/>
      <c r="G460" s="11" t="s">
        <v>1582</v>
      </c>
      <c r="H460" s="11" t="s">
        <v>2396</v>
      </c>
      <c r="I460" s="11">
        <v>90.0</v>
      </c>
      <c r="J460" s="138" t="s">
        <v>1589</v>
      </c>
      <c r="K460" s="138"/>
      <c r="L460" s="138"/>
      <c r="M460" s="138"/>
      <c r="N460" s="11"/>
      <c r="O460" s="163"/>
      <c r="P460" s="139">
        <v>2000.0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18"/>
      <c r="C461" s="11" t="s">
        <v>2415</v>
      </c>
      <c r="D461" s="11" t="s">
        <v>1586</v>
      </c>
      <c r="E461" s="32" t="s">
        <v>2416</v>
      </c>
      <c r="F461" s="11"/>
      <c r="G461" s="11" t="s">
        <v>1582</v>
      </c>
      <c r="H461" s="11" t="s">
        <v>2396</v>
      </c>
      <c r="I461" s="11">
        <v>90.0</v>
      </c>
      <c r="J461" s="138" t="s">
        <v>1589</v>
      </c>
      <c r="K461" s="138"/>
      <c r="L461" s="138"/>
      <c r="M461" s="138"/>
      <c r="N461" s="11">
        <v>20.0</v>
      </c>
      <c r="O461" s="163" t="s">
        <v>1554</v>
      </c>
      <c r="P461" s="139">
        <v>6500.0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18"/>
      <c r="C462" s="11" t="s">
        <v>2417</v>
      </c>
      <c r="D462" s="11" t="s">
        <v>1586</v>
      </c>
      <c r="E462" s="32" t="s">
        <v>2418</v>
      </c>
      <c r="F462" s="11"/>
      <c r="G462" s="11" t="s">
        <v>1582</v>
      </c>
      <c r="H462" s="11" t="s">
        <v>2396</v>
      </c>
      <c r="I462" s="11">
        <v>90.0</v>
      </c>
      <c r="J462" s="138" t="s">
        <v>1589</v>
      </c>
      <c r="K462" s="138"/>
      <c r="L462" s="138"/>
      <c r="M462" s="138"/>
      <c r="N462" s="11">
        <v>20.0</v>
      </c>
      <c r="O462" s="163" t="s">
        <v>1554</v>
      </c>
      <c r="P462" s="139">
        <v>7500.0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18"/>
      <c r="C463" s="11" t="s">
        <v>2419</v>
      </c>
      <c r="D463" s="11" t="s">
        <v>1586</v>
      </c>
      <c r="E463" s="32" t="s">
        <v>2420</v>
      </c>
      <c r="F463" s="11"/>
      <c r="G463" s="11" t="s">
        <v>1582</v>
      </c>
      <c r="H463" s="11" t="s">
        <v>2396</v>
      </c>
      <c r="I463" s="11">
        <v>90.0</v>
      </c>
      <c r="J463" s="138" t="s">
        <v>1589</v>
      </c>
      <c r="K463" s="138"/>
      <c r="L463" s="138"/>
      <c r="M463" s="138"/>
      <c r="N463" s="11"/>
      <c r="O463" s="163"/>
      <c r="P463" s="139">
        <v>3100.0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18"/>
      <c r="C464" s="11" t="s">
        <v>2421</v>
      </c>
      <c r="D464" s="11" t="s">
        <v>1586</v>
      </c>
      <c r="E464" s="32" t="s">
        <v>2422</v>
      </c>
      <c r="F464" s="11"/>
      <c r="G464" s="11" t="s">
        <v>1582</v>
      </c>
      <c r="H464" s="11" t="s">
        <v>2396</v>
      </c>
      <c r="I464" s="11">
        <v>90.0</v>
      </c>
      <c r="J464" s="138" t="s">
        <v>1589</v>
      </c>
      <c r="K464" s="138"/>
      <c r="L464" s="138"/>
      <c r="M464" s="138"/>
      <c r="N464" s="11"/>
      <c r="O464" s="163"/>
      <c r="P464" s="139">
        <v>3700.0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18"/>
      <c r="C465" s="11" t="s">
        <v>2423</v>
      </c>
      <c r="D465" s="11" t="s">
        <v>1586</v>
      </c>
      <c r="E465" s="32" t="s">
        <v>2424</v>
      </c>
      <c r="F465" s="11"/>
      <c r="G465" s="11" t="s">
        <v>1582</v>
      </c>
      <c r="H465" s="11" t="s">
        <v>2396</v>
      </c>
      <c r="I465" s="11">
        <v>180.0</v>
      </c>
      <c r="J465" s="138" t="s">
        <v>1589</v>
      </c>
      <c r="K465" s="138"/>
      <c r="L465" s="138"/>
      <c r="M465" s="138"/>
      <c r="N465" s="11">
        <v>50.0</v>
      </c>
      <c r="O465" s="163" t="s">
        <v>1554</v>
      </c>
      <c r="P465" s="139">
        <v>2200.0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18"/>
      <c r="C466" s="11" t="s">
        <v>2425</v>
      </c>
      <c r="D466" s="11" t="s">
        <v>1586</v>
      </c>
      <c r="E466" s="32" t="s">
        <v>2426</v>
      </c>
      <c r="F466" s="11"/>
      <c r="G466" s="11" t="s">
        <v>1582</v>
      </c>
      <c r="H466" s="11" t="s">
        <v>2396</v>
      </c>
      <c r="I466" s="11">
        <v>90.0</v>
      </c>
      <c r="J466" s="138" t="s">
        <v>1589</v>
      </c>
      <c r="K466" s="138"/>
      <c r="L466" s="138"/>
      <c r="M466" s="138"/>
      <c r="N466" s="11"/>
      <c r="O466" s="163"/>
      <c r="P466" s="139">
        <v>5000.0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18"/>
      <c r="C467" s="11" t="s">
        <v>2427</v>
      </c>
      <c r="D467" s="11" t="s">
        <v>1586</v>
      </c>
      <c r="E467" s="32" t="s">
        <v>2428</v>
      </c>
      <c r="F467" s="11"/>
      <c r="G467" s="11" t="s">
        <v>1582</v>
      </c>
      <c r="H467" s="11" t="s">
        <v>2396</v>
      </c>
      <c r="I467" s="11">
        <v>180.0</v>
      </c>
      <c r="J467" s="138" t="s">
        <v>1589</v>
      </c>
      <c r="K467" s="138"/>
      <c r="L467" s="138"/>
      <c r="M467" s="138"/>
      <c r="N467" s="11"/>
      <c r="O467" s="163"/>
      <c r="P467" s="139">
        <v>4000.0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18"/>
      <c r="C468" s="11" t="s">
        <v>2429</v>
      </c>
      <c r="D468" s="11" t="s">
        <v>1586</v>
      </c>
      <c r="E468" s="32" t="s">
        <v>2430</v>
      </c>
      <c r="F468" s="11"/>
      <c r="G468" s="11" t="s">
        <v>1582</v>
      </c>
      <c r="H468" s="11" t="s">
        <v>2396</v>
      </c>
      <c r="I468" s="11">
        <v>180.0</v>
      </c>
      <c r="J468" s="138" t="s">
        <v>1589</v>
      </c>
      <c r="K468" s="138"/>
      <c r="L468" s="138"/>
      <c r="M468" s="138"/>
      <c r="N468" s="11"/>
      <c r="O468" s="163"/>
      <c r="P468" s="139">
        <v>3300.0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18"/>
      <c r="C469" s="11" t="s">
        <v>2431</v>
      </c>
      <c r="D469" s="11" t="s">
        <v>1586</v>
      </c>
      <c r="E469" s="32" t="s">
        <v>2432</v>
      </c>
      <c r="F469" s="11"/>
      <c r="G469" s="11" t="s">
        <v>1582</v>
      </c>
      <c r="H469" s="11" t="s">
        <v>2396</v>
      </c>
      <c r="I469" s="11">
        <v>90.0</v>
      </c>
      <c r="J469" s="138" t="s">
        <v>1589</v>
      </c>
      <c r="K469" s="138"/>
      <c r="L469" s="138"/>
      <c r="M469" s="138"/>
      <c r="N469" s="11"/>
      <c r="O469" s="163"/>
      <c r="P469" s="139">
        <v>3000.0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18"/>
      <c r="C470" s="11" t="s">
        <v>2433</v>
      </c>
      <c r="D470" s="11" t="s">
        <v>1586</v>
      </c>
      <c r="E470" s="32" t="s">
        <v>2434</v>
      </c>
      <c r="F470" s="11"/>
      <c r="G470" s="11" t="s">
        <v>1582</v>
      </c>
      <c r="H470" s="11" t="s">
        <v>2396</v>
      </c>
      <c r="I470" s="11">
        <v>90.0</v>
      </c>
      <c r="J470" s="138" t="s">
        <v>1589</v>
      </c>
      <c r="K470" s="138"/>
      <c r="L470" s="138"/>
      <c r="M470" s="138"/>
      <c r="N470" s="11"/>
      <c r="O470" s="163"/>
      <c r="P470" s="139">
        <v>3000.0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18"/>
      <c r="C471" s="11" t="s">
        <v>2435</v>
      </c>
      <c r="D471" s="11" t="s">
        <v>1586</v>
      </c>
      <c r="E471" s="32" t="s">
        <v>2436</v>
      </c>
      <c r="F471" s="11"/>
      <c r="G471" s="11" t="s">
        <v>1582</v>
      </c>
      <c r="H471" s="11" t="s">
        <v>2396</v>
      </c>
      <c r="I471" s="11">
        <v>90.0</v>
      </c>
      <c r="J471" s="138" t="s">
        <v>1589</v>
      </c>
      <c r="K471" s="138"/>
      <c r="L471" s="138"/>
      <c r="M471" s="138"/>
      <c r="N471" s="11"/>
      <c r="O471" s="163"/>
      <c r="P471" s="139">
        <v>3000.0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18"/>
      <c r="C472" s="11" t="s">
        <v>2437</v>
      </c>
      <c r="D472" s="11" t="s">
        <v>1586</v>
      </c>
      <c r="E472" s="32" t="s">
        <v>2438</v>
      </c>
      <c r="F472" s="11"/>
      <c r="G472" s="11" t="s">
        <v>1582</v>
      </c>
      <c r="H472" s="11" t="s">
        <v>2396</v>
      </c>
      <c r="I472" s="11">
        <v>90.0</v>
      </c>
      <c r="J472" s="138" t="s">
        <v>1589</v>
      </c>
      <c r="K472" s="138"/>
      <c r="L472" s="138"/>
      <c r="M472" s="138"/>
      <c r="N472" s="11"/>
      <c r="O472" s="163"/>
      <c r="P472" s="139">
        <v>3600.0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18"/>
      <c r="C473" s="11" t="s">
        <v>2439</v>
      </c>
      <c r="D473" s="11" t="s">
        <v>1586</v>
      </c>
      <c r="E473" s="32" t="s">
        <v>2440</v>
      </c>
      <c r="F473" s="11"/>
      <c r="G473" s="11" t="s">
        <v>1582</v>
      </c>
      <c r="H473" s="11" t="s">
        <v>2396</v>
      </c>
      <c r="I473" s="11">
        <v>90.0</v>
      </c>
      <c r="J473" s="138" t="s">
        <v>1589</v>
      </c>
      <c r="K473" s="138"/>
      <c r="L473" s="138"/>
      <c r="M473" s="138"/>
      <c r="N473" s="11"/>
      <c r="O473" s="163"/>
      <c r="P473" s="139">
        <v>3000.0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18"/>
      <c r="C474" s="11" t="s">
        <v>2441</v>
      </c>
      <c r="D474" s="11" t="s">
        <v>1586</v>
      </c>
      <c r="E474" s="32" t="s">
        <v>2442</v>
      </c>
      <c r="F474" s="11"/>
      <c r="G474" s="11" t="s">
        <v>1582</v>
      </c>
      <c r="H474" s="11" t="s">
        <v>2396</v>
      </c>
      <c r="I474" s="11">
        <v>90.0</v>
      </c>
      <c r="J474" s="138" t="s">
        <v>1589</v>
      </c>
      <c r="K474" s="138"/>
      <c r="L474" s="138"/>
      <c r="M474" s="138"/>
      <c r="N474" s="11"/>
      <c r="O474" s="163"/>
      <c r="P474" s="139">
        <v>6500.0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18"/>
      <c r="C475" s="11" t="s">
        <v>2443</v>
      </c>
      <c r="D475" s="11" t="s">
        <v>1586</v>
      </c>
      <c r="E475" s="32" t="s">
        <v>2444</v>
      </c>
      <c r="F475" s="11"/>
      <c r="G475" s="11" t="s">
        <v>1582</v>
      </c>
      <c r="H475" s="11" t="s">
        <v>2396</v>
      </c>
      <c r="I475" s="11">
        <v>90.0</v>
      </c>
      <c r="J475" s="138" t="s">
        <v>1589</v>
      </c>
      <c r="K475" s="138"/>
      <c r="L475" s="138"/>
      <c r="M475" s="138"/>
      <c r="N475" s="11"/>
      <c r="O475" s="163"/>
      <c r="P475" s="139">
        <v>3500.0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18"/>
      <c r="C476" s="11" t="s">
        <v>2445</v>
      </c>
      <c r="D476" s="11" t="s">
        <v>1586</v>
      </c>
      <c r="E476" s="32" t="s">
        <v>2446</v>
      </c>
      <c r="F476" s="11"/>
      <c r="G476" s="11" t="s">
        <v>1582</v>
      </c>
      <c r="H476" s="11" t="s">
        <v>2396</v>
      </c>
      <c r="I476" s="11">
        <v>90.0</v>
      </c>
      <c r="J476" s="138" t="s">
        <v>1589</v>
      </c>
      <c r="K476" s="138"/>
      <c r="L476" s="138"/>
      <c r="M476" s="138"/>
      <c r="N476" s="11"/>
      <c r="O476" s="163"/>
      <c r="P476" s="139">
        <v>3000.0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35"/>
      <c r="C477" s="36" t="s">
        <v>2447</v>
      </c>
      <c r="D477" s="36" t="s">
        <v>1586</v>
      </c>
      <c r="E477" s="158" t="s">
        <v>2448</v>
      </c>
      <c r="F477" s="36"/>
      <c r="G477" s="36" t="s">
        <v>1582</v>
      </c>
      <c r="H477" s="36" t="s">
        <v>2396</v>
      </c>
      <c r="I477" s="36">
        <v>90.0</v>
      </c>
      <c r="J477" s="141" t="s">
        <v>1589</v>
      </c>
      <c r="K477" s="141"/>
      <c r="L477" s="141"/>
      <c r="M477" s="141"/>
      <c r="N477" s="36"/>
      <c r="O477" s="164"/>
      <c r="P477" s="142">
        <v>3500.0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147" t="s">
        <v>201</v>
      </c>
      <c r="C478" s="42" t="s">
        <v>2449</v>
      </c>
      <c r="D478" s="42" t="s">
        <v>1586</v>
      </c>
      <c r="E478" s="165" t="s">
        <v>2450</v>
      </c>
      <c r="F478" s="42"/>
      <c r="G478" s="42" t="s">
        <v>1582</v>
      </c>
      <c r="H478" s="42" t="s">
        <v>2451</v>
      </c>
      <c r="I478" s="42">
        <v>0.0</v>
      </c>
      <c r="J478" s="149" t="s">
        <v>1589</v>
      </c>
      <c r="K478" s="149"/>
      <c r="L478" s="149"/>
      <c r="M478" s="149"/>
      <c r="N478" s="42"/>
      <c r="O478" s="162"/>
      <c r="P478" s="136">
        <v>1.0</v>
      </c>
      <c r="Q478" s="2"/>
      <c r="R478" s="75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18"/>
      <c r="C479" s="11" t="s">
        <v>2452</v>
      </c>
      <c r="D479" s="11" t="s">
        <v>1586</v>
      </c>
      <c r="E479" s="32" t="s">
        <v>2453</v>
      </c>
      <c r="F479" s="11"/>
      <c r="G479" s="11" t="s">
        <v>1582</v>
      </c>
      <c r="H479" s="11" t="s">
        <v>2451</v>
      </c>
      <c r="I479" s="11">
        <v>0.0</v>
      </c>
      <c r="J479" s="138" t="s">
        <v>1589</v>
      </c>
      <c r="K479" s="138"/>
      <c r="L479" s="138"/>
      <c r="M479" s="138"/>
      <c r="N479" s="11">
        <v>30.0</v>
      </c>
      <c r="O479" s="163" t="s">
        <v>1554</v>
      </c>
      <c r="P479" s="139">
        <v>650.0</v>
      </c>
      <c r="Q479" s="2"/>
      <c r="R479" s="75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18"/>
      <c r="C480" s="11" t="s">
        <v>2454</v>
      </c>
      <c r="D480" s="11" t="s">
        <v>1586</v>
      </c>
      <c r="E480" s="32" t="s">
        <v>2455</v>
      </c>
      <c r="F480" s="11"/>
      <c r="G480" s="11" t="s">
        <v>1582</v>
      </c>
      <c r="H480" s="11" t="s">
        <v>2451</v>
      </c>
      <c r="I480" s="11">
        <v>0.0</v>
      </c>
      <c r="J480" s="138" t="s">
        <v>1589</v>
      </c>
      <c r="K480" s="138"/>
      <c r="L480" s="138"/>
      <c r="M480" s="138"/>
      <c r="N480" s="11">
        <v>30.0</v>
      </c>
      <c r="O480" s="163" t="s">
        <v>1554</v>
      </c>
      <c r="P480" s="139">
        <v>650.0</v>
      </c>
      <c r="Q480" s="2"/>
      <c r="R480" s="75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18"/>
      <c r="C481" s="11" t="s">
        <v>2456</v>
      </c>
      <c r="D481" s="11" t="s">
        <v>1586</v>
      </c>
      <c r="E481" s="32" t="s">
        <v>2457</v>
      </c>
      <c r="F481" s="11"/>
      <c r="G481" s="11" t="s">
        <v>1582</v>
      </c>
      <c r="H481" s="11" t="s">
        <v>2451</v>
      </c>
      <c r="I481" s="11">
        <v>0.0</v>
      </c>
      <c r="J481" s="138" t="s">
        <v>1589</v>
      </c>
      <c r="K481" s="138"/>
      <c r="L481" s="138"/>
      <c r="M481" s="138"/>
      <c r="N481" s="11"/>
      <c r="O481" s="163"/>
      <c r="P481" s="139">
        <v>700.0</v>
      </c>
      <c r="Q481" s="2"/>
      <c r="R481" s="75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18"/>
      <c r="C482" s="11" t="s">
        <v>2458</v>
      </c>
      <c r="D482" s="11" t="s">
        <v>1586</v>
      </c>
      <c r="E482" s="32" t="s">
        <v>2459</v>
      </c>
      <c r="F482" s="11"/>
      <c r="G482" s="11" t="s">
        <v>1582</v>
      </c>
      <c r="H482" s="11" t="s">
        <v>2451</v>
      </c>
      <c r="I482" s="11">
        <v>0.0</v>
      </c>
      <c r="J482" s="138" t="s">
        <v>1589</v>
      </c>
      <c r="K482" s="138"/>
      <c r="L482" s="138"/>
      <c r="M482" s="138"/>
      <c r="N482" s="11"/>
      <c r="O482" s="163"/>
      <c r="P482" s="156">
        <v>2800.0</v>
      </c>
      <c r="Q482" s="2"/>
      <c r="R482" s="75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18"/>
      <c r="C483" s="11" t="s">
        <v>2460</v>
      </c>
      <c r="D483" s="11" t="s">
        <v>1586</v>
      </c>
      <c r="E483" s="32" t="s">
        <v>2461</v>
      </c>
      <c r="F483" s="11"/>
      <c r="G483" s="11" t="s">
        <v>1582</v>
      </c>
      <c r="H483" s="11" t="s">
        <v>2451</v>
      </c>
      <c r="I483" s="11">
        <v>180.0</v>
      </c>
      <c r="J483" s="138" t="s">
        <v>1589</v>
      </c>
      <c r="K483" s="138"/>
      <c r="L483" s="138"/>
      <c r="M483" s="138"/>
      <c r="N483" s="11"/>
      <c r="O483" s="163"/>
      <c r="P483" s="139">
        <v>3100.0</v>
      </c>
      <c r="Q483" s="2"/>
      <c r="R483" s="75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18"/>
      <c r="C484" s="11" t="s">
        <v>2462</v>
      </c>
      <c r="D484" s="11" t="s">
        <v>1586</v>
      </c>
      <c r="E484" s="32" t="s">
        <v>2463</v>
      </c>
      <c r="F484" s="11"/>
      <c r="G484" s="11" t="s">
        <v>1582</v>
      </c>
      <c r="H484" s="11" t="s">
        <v>2451</v>
      </c>
      <c r="I484" s="11">
        <v>180.0</v>
      </c>
      <c r="J484" s="138" t="s">
        <v>1589</v>
      </c>
      <c r="K484" s="138"/>
      <c r="L484" s="138"/>
      <c r="M484" s="138"/>
      <c r="N484" s="11"/>
      <c r="O484" s="163"/>
      <c r="P484" s="156">
        <v>2700.0</v>
      </c>
      <c r="Q484" s="2"/>
      <c r="R484" s="75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18"/>
      <c r="C485" s="11" t="s">
        <v>2464</v>
      </c>
      <c r="D485" s="11" t="s">
        <v>1586</v>
      </c>
      <c r="E485" s="32" t="s">
        <v>2465</v>
      </c>
      <c r="F485" s="11"/>
      <c r="G485" s="11" t="s">
        <v>1582</v>
      </c>
      <c r="H485" s="11" t="s">
        <v>2451</v>
      </c>
      <c r="I485" s="11">
        <v>90.0</v>
      </c>
      <c r="J485" s="138" t="s">
        <v>1589</v>
      </c>
      <c r="K485" s="138"/>
      <c r="L485" s="138"/>
      <c r="M485" s="138"/>
      <c r="N485" s="11"/>
      <c r="O485" s="163"/>
      <c r="P485" s="156">
        <v>3400.0</v>
      </c>
      <c r="Q485" s="2"/>
      <c r="R485" s="75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18"/>
      <c r="C486" s="11" t="s">
        <v>2466</v>
      </c>
      <c r="D486" s="11" t="s">
        <v>1586</v>
      </c>
      <c r="E486" s="32" t="s">
        <v>2467</v>
      </c>
      <c r="F486" s="11"/>
      <c r="G486" s="11" t="s">
        <v>1582</v>
      </c>
      <c r="H486" s="11" t="s">
        <v>2451</v>
      </c>
      <c r="I486" s="11">
        <v>90.0</v>
      </c>
      <c r="J486" s="138" t="s">
        <v>1589</v>
      </c>
      <c r="K486" s="138"/>
      <c r="L486" s="138"/>
      <c r="M486" s="138"/>
      <c r="N486" s="11"/>
      <c r="O486" s="163"/>
      <c r="P486" s="156">
        <v>3100.0</v>
      </c>
      <c r="Q486" s="2"/>
      <c r="R486" s="75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18"/>
      <c r="C487" s="11" t="s">
        <v>2468</v>
      </c>
      <c r="D487" s="11" t="s">
        <v>1586</v>
      </c>
      <c r="E487" s="32" t="s">
        <v>2469</v>
      </c>
      <c r="F487" s="11"/>
      <c r="G487" s="11" t="s">
        <v>1582</v>
      </c>
      <c r="H487" s="11" t="s">
        <v>2451</v>
      </c>
      <c r="I487" s="11">
        <v>90.0</v>
      </c>
      <c r="J487" s="138" t="s">
        <v>1589</v>
      </c>
      <c r="K487" s="138"/>
      <c r="L487" s="138"/>
      <c r="M487" s="138"/>
      <c r="N487" s="11"/>
      <c r="O487" s="163"/>
      <c r="P487" s="156">
        <v>2700.0</v>
      </c>
      <c r="Q487" s="2"/>
      <c r="R487" s="75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18"/>
      <c r="C488" s="11" t="s">
        <v>2470</v>
      </c>
      <c r="D488" s="11" t="s">
        <v>1586</v>
      </c>
      <c r="E488" s="32" t="s">
        <v>2471</v>
      </c>
      <c r="F488" s="11"/>
      <c r="G488" s="11" t="s">
        <v>1582</v>
      </c>
      <c r="H488" s="11" t="s">
        <v>2451</v>
      </c>
      <c r="I488" s="11">
        <v>90.0</v>
      </c>
      <c r="J488" s="138" t="s">
        <v>1589</v>
      </c>
      <c r="K488" s="138"/>
      <c r="L488" s="138"/>
      <c r="M488" s="138"/>
      <c r="N488" s="11">
        <v>20.0</v>
      </c>
      <c r="O488" s="163" t="s">
        <v>1554</v>
      </c>
      <c r="P488" s="139">
        <v>6500.0</v>
      </c>
      <c r="Q488" s="2"/>
      <c r="R488" s="75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18"/>
      <c r="C489" s="11" t="s">
        <v>2472</v>
      </c>
      <c r="D489" s="11" t="s">
        <v>1586</v>
      </c>
      <c r="E489" s="32" t="s">
        <v>2473</v>
      </c>
      <c r="F489" s="11"/>
      <c r="G489" s="11" t="s">
        <v>1582</v>
      </c>
      <c r="H489" s="11" t="s">
        <v>2451</v>
      </c>
      <c r="I489" s="11">
        <v>90.0</v>
      </c>
      <c r="J489" s="138" t="s">
        <v>1589</v>
      </c>
      <c r="K489" s="138"/>
      <c r="L489" s="138"/>
      <c r="M489" s="138"/>
      <c r="N489" s="11">
        <v>20.0</v>
      </c>
      <c r="O489" s="163" t="s">
        <v>1554</v>
      </c>
      <c r="P489" s="139">
        <v>7200.0</v>
      </c>
      <c r="Q489" s="2"/>
      <c r="R489" s="75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18"/>
      <c r="C490" s="11" t="s">
        <v>2474</v>
      </c>
      <c r="D490" s="11" t="s">
        <v>1586</v>
      </c>
      <c r="E490" s="32" t="s">
        <v>2475</v>
      </c>
      <c r="F490" s="11"/>
      <c r="G490" s="11" t="s">
        <v>1582</v>
      </c>
      <c r="H490" s="11" t="s">
        <v>2451</v>
      </c>
      <c r="I490" s="11">
        <v>90.0</v>
      </c>
      <c r="J490" s="138" t="s">
        <v>1589</v>
      </c>
      <c r="K490" s="138"/>
      <c r="L490" s="138"/>
      <c r="M490" s="138"/>
      <c r="N490" s="11"/>
      <c r="O490" s="163"/>
      <c r="P490" s="156">
        <v>3500.0</v>
      </c>
      <c r="Q490" s="2"/>
      <c r="R490" s="75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18"/>
      <c r="C491" s="11" t="s">
        <v>2476</v>
      </c>
      <c r="D491" s="11" t="s">
        <v>1586</v>
      </c>
      <c r="E491" s="32" t="s">
        <v>2477</v>
      </c>
      <c r="F491" s="11"/>
      <c r="G491" s="11" t="s">
        <v>1582</v>
      </c>
      <c r="H491" s="11" t="s">
        <v>2451</v>
      </c>
      <c r="I491" s="11">
        <v>90.0</v>
      </c>
      <c r="J491" s="138" t="s">
        <v>1589</v>
      </c>
      <c r="K491" s="138"/>
      <c r="L491" s="138"/>
      <c r="M491" s="138"/>
      <c r="N491" s="11"/>
      <c r="O491" s="163"/>
      <c r="P491" s="156">
        <v>4100.0</v>
      </c>
      <c r="Q491" s="2"/>
      <c r="R491" s="75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18"/>
      <c r="C492" s="11" t="s">
        <v>2478</v>
      </c>
      <c r="D492" s="11" t="s">
        <v>1586</v>
      </c>
      <c r="E492" s="32" t="s">
        <v>2479</v>
      </c>
      <c r="F492" s="11"/>
      <c r="G492" s="11" t="s">
        <v>1582</v>
      </c>
      <c r="H492" s="11" t="s">
        <v>2451</v>
      </c>
      <c r="I492" s="11">
        <v>180.0</v>
      </c>
      <c r="J492" s="138" t="s">
        <v>1589</v>
      </c>
      <c r="K492" s="138"/>
      <c r="L492" s="138"/>
      <c r="M492" s="138"/>
      <c r="N492" s="11">
        <v>50.0</v>
      </c>
      <c r="O492" s="163" t="s">
        <v>1554</v>
      </c>
      <c r="P492" s="156">
        <v>2400.0</v>
      </c>
      <c r="Q492" s="2"/>
      <c r="R492" s="75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18"/>
      <c r="C493" s="11" t="s">
        <v>2480</v>
      </c>
      <c r="D493" s="11" t="s">
        <v>1586</v>
      </c>
      <c r="E493" s="32" t="s">
        <v>2481</v>
      </c>
      <c r="F493" s="11"/>
      <c r="G493" s="11" t="s">
        <v>1582</v>
      </c>
      <c r="H493" s="11" t="s">
        <v>2451</v>
      </c>
      <c r="I493" s="11">
        <v>90.0</v>
      </c>
      <c r="J493" s="138" t="s">
        <v>1589</v>
      </c>
      <c r="K493" s="138"/>
      <c r="L493" s="138"/>
      <c r="M493" s="138"/>
      <c r="N493" s="11"/>
      <c r="O493" s="163"/>
      <c r="P493" s="156">
        <v>5800.0</v>
      </c>
      <c r="Q493" s="2"/>
      <c r="R493" s="75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18"/>
      <c r="C494" s="11" t="s">
        <v>2482</v>
      </c>
      <c r="D494" s="11" t="s">
        <v>1586</v>
      </c>
      <c r="E494" s="32" t="s">
        <v>2483</v>
      </c>
      <c r="F494" s="11"/>
      <c r="G494" s="11" t="s">
        <v>1582</v>
      </c>
      <c r="H494" s="11" t="s">
        <v>2451</v>
      </c>
      <c r="I494" s="11">
        <v>180.0</v>
      </c>
      <c r="J494" s="138" t="s">
        <v>1589</v>
      </c>
      <c r="K494" s="138"/>
      <c r="L494" s="138"/>
      <c r="M494" s="138"/>
      <c r="N494" s="11"/>
      <c r="O494" s="163"/>
      <c r="P494" s="156">
        <v>5000.0</v>
      </c>
      <c r="Q494" s="2"/>
      <c r="R494" s="75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18"/>
      <c r="C495" s="11" t="s">
        <v>2484</v>
      </c>
      <c r="D495" s="11" t="s">
        <v>1586</v>
      </c>
      <c r="E495" s="32" t="s">
        <v>2485</v>
      </c>
      <c r="F495" s="11"/>
      <c r="G495" s="11" t="s">
        <v>1582</v>
      </c>
      <c r="H495" s="11" t="s">
        <v>2451</v>
      </c>
      <c r="I495" s="11">
        <v>180.0</v>
      </c>
      <c r="J495" s="138" t="s">
        <v>1589</v>
      </c>
      <c r="K495" s="138"/>
      <c r="L495" s="138"/>
      <c r="M495" s="138"/>
      <c r="N495" s="11"/>
      <c r="O495" s="163"/>
      <c r="P495" s="156">
        <v>4000.0</v>
      </c>
      <c r="Q495" s="2"/>
      <c r="R495" s="75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18"/>
      <c r="C496" s="11" t="s">
        <v>2486</v>
      </c>
      <c r="D496" s="11" t="s">
        <v>1586</v>
      </c>
      <c r="E496" s="32" t="s">
        <v>2487</v>
      </c>
      <c r="F496" s="11"/>
      <c r="G496" s="11" t="s">
        <v>1582</v>
      </c>
      <c r="H496" s="11" t="s">
        <v>2451</v>
      </c>
      <c r="I496" s="11">
        <v>90.0</v>
      </c>
      <c r="J496" s="138" t="s">
        <v>1589</v>
      </c>
      <c r="K496" s="138"/>
      <c r="L496" s="138"/>
      <c r="M496" s="138"/>
      <c r="N496" s="11"/>
      <c r="O496" s="163"/>
      <c r="P496" s="156">
        <v>4000.0</v>
      </c>
      <c r="Q496" s="2"/>
      <c r="R496" s="75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18"/>
      <c r="C497" s="11" t="s">
        <v>2488</v>
      </c>
      <c r="D497" s="11" t="s">
        <v>1586</v>
      </c>
      <c r="E497" s="32" t="s">
        <v>2489</v>
      </c>
      <c r="F497" s="11"/>
      <c r="G497" s="11" t="s">
        <v>1582</v>
      </c>
      <c r="H497" s="11" t="s">
        <v>2451</v>
      </c>
      <c r="I497" s="11">
        <v>90.0</v>
      </c>
      <c r="J497" s="138" t="s">
        <v>1589</v>
      </c>
      <c r="K497" s="138"/>
      <c r="L497" s="138"/>
      <c r="M497" s="138"/>
      <c r="N497" s="11"/>
      <c r="O497" s="163"/>
      <c r="P497" s="156">
        <v>3000.0</v>
      </c>
      <c r="Q497" s="2"/>
      <c r="R497" s="75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18"/>
      <c r="C498" s="11" t="s">
        <v>2490</v>
      </c>
      <c r="D498" s="11" t="s">
        <v>1586</v>
      </c>
      <c r="E498" s="32" t="s">
        <v>2491</v>
      </c>
      <c r="F498" s="11"/>
      <c r="G498" s="11" t="s">
        <v>1582</v>
      </c>
      <c r="H498" s="11" t="s">
        <v>2451</v>
      </c>
      <c r="I498" s="11">
        <v>90.0</v>
      </c>
      <c r="J498" s="138" t="s">
        <v>1589</v>
      </c>
      <c r="K498" s="138"/>
      <c r="L498" s="138"/>
      <c r="M498" s="138"/>
      <c r="N498" s="11"/>
      <c r="O498" s="163"/>
      <c r="P498" s="156">
        <v>3700.0</v>
      </c>
      <c r="Q498" s="2"/>
      <c r="R498" s="75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18"/>
      <c r="C499" s="11" t="s">
        <v>2492</v>
      </c>
      <c r="D499" s="11" t="s">
        <v>1586</v>
      </c>
      <c r="E499" s="32" t="s">
        <v>2493</v>
      </c>
      <c r="F499" s="11"/>
      <c r="G499" s="11" t="s">
        <v>1582</v>
      </c>
      <c r="H499" s="11" t="s">
        <v>2451</v>
      </c>
      <c r="I499" s="11">
        <v>90.0</v>
      </c>
      <c r="J499" s="138" t="s">
        <v>1589</v>
      </c>
      <c r="K499" s="138"/>
      <c r="L499" s="138"/>
      <c r="M499" s="138"/>
      <c r="N499" s="11"/>
      <c r="O499" s="163"/>
      <c r="P499" s="156">
        <v>3600.0</v>
      </c>
      <c r="Q499" s="2"/>
      <c r="R499" s="75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18"/>
      <c r="C500" s="11" t="s">
        <v>2494</v>
      </c>
      <c r="D500" s="11" t="s">
        <v>1586</v>
      </c>
      <c r="E500" s="32" t="s">
        <v>2495</v>
      </c>
      <c r="F500" s="11"/>
      <c r="G500" s="11" t="s">
        <v>1582</v>
      </c>
      <c r="H500" s="11" t="s">
        <v>2451</v>
      </c>
      <c r="I500" s="11">
        <v>90.0</v>
      </c>
      <c r="J500" s="138" t="s">
        <v>1589</v>
      </c>
      <c r="K500" s="138"/>
      <c r="L500" s="138"/>
      <c r="M500" s="138"/>
      <c r="N500" s="11"/>
      <c r="O500" s="163"/>
      <c r="P500" s="156">
        <v>3800.0</v>
      </c>
      <c r="Q500" s="2"/>
      <c r="R500" s="75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18"/>
      <c r="C501" s="11" t="s">
        <v>2496</v>
      </c>
      <c r="D501" s="11" t="s">
        <v>1586</v>
      </c>
      <c r="E501" s="32" t="s">
        <v>2497</v>
      </c>
      <c r="F501" s="11"/>
      <c r="G501" s="11" t="s">
        <v>1582</v>
      </c>
      <c r="H501" s="11" t="s">
        <v>2451</v>
      </c>
      <c r="I501" s="11">
        <v>90.0</v>
      </c>
      <c r="J501" s="138" t="s">
        <v>1589</v>
      </c>
      <c r="K501" s="138"/>
      <c r="L501" s="138"/>
      <c r="M501" s="138"/>
      <c r="N501" s="11"/>
      <c r="O501" s="163"/>
      <c r="P501" s="156">
        <v>7000.0</v>
      </c>
      <c r="Q501" s="2"/>
      <c r="R501" s="75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18"/>
      <c r="C502" s="11" t="s">
        <v>2498</v>
      </c>
      <c r="D502" s="11" t="s">
        <v>1586</v>
      </c>
      <c r="E502" s="32" t="s">
        <v>2499</v>
      </c>
      <c r="F502" s="11"/>
      <c r="G502" s="11" t="s">
        <v>1582</v>
      </c>
      <c r="H502" s="11" t="s">
        <v>2451</v>
      </c>
      <c r="I502" s="11">
        <v>90.0</v>
      </c>
      <c r="J502" s="138" t="s">
        <v>1589</v>
      </c>
      <c r="K502" s="138"/>
      <c r="L502" s="138"/>
      <c r="M502" s="138"/>
      <c r="N502" s="11"/>
      <c r="O502" s="163"/>
      <c r="P502" s="156">
        <v>4500.0</v>
      </c>
      <c r="Q502" s="2"/>
      <c r="R502" s="75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18"/>
      <c r="C503" s="11" t="s">
        <v>2500</v>
      </c>
      <c r="D503" s="11" t="s">
        <v>1586</v>
      </c>
      <c r="E503" s="32" t="s">
        <v>2501</v>
      </c>
      <c r="F503" s="11"/>
      <c r="G503" s="11" t="s">
        <v>1582</v>
      </c>
      <c r="H503" s="11" t="s">
        <v>2451</v>
      </c>
      <c r="I503" s="11">
        <v>90.0</v>
      </c>
      <c r="J503" s="138" t="s">
        <v>1589</v>
      </c>
      <c r="K503" s="138"/>
      <c r="L503" s="138"/>
      <c r="M503" s="138"/>
      <c r="N503" s="11"/>
      <c r="O503" s="163"/>
      <c r="P503" s="156">
        <v>3800.0</v>
      </c>
      <c r="Q503" s="2"/>
      <c r="R503" s="75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35"/>
      <c r="C504" s="36" t="s">
        <v>2502</v>
      </c>
      <c r="D504" s="36" t="s">
        <v>1586</v>
      </c>
      <c r="E504" s="158" t="s">
        <v>2503</v>
      </c>
      <c r="F504" s="36"/>
      <c r="G504" s="36" t="s">
        <v>1582</v>
      </c>
      <c r="H504" s="36" t="s">
        <v>2451</v>
      </c>
      <c r="I504" s="36">
        <v>90.0</v>
      </c>
      <c r="J504" s="141" t="s">
        <v>1589</v>
      </c>
      <c r="K504" s="141"/>
      <c r="L504" s="141"/>
      <c r="M504" s="141"/>
      <c r="N504" s="36"/>
      <c r="O504" s="164"/>
      <c r="P504" s="166">
        <v>4300.0</v>
      </c>
      <c r="Q504" s="2"/>
      <c r="R504" s="75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147" t="s">
        <v>212</v>
      </c>
      <c r="C505" s="42" t="s">
        <v>2504</v>
      </c>
      <c r="D505" s="42" t="s">
        <v>1586</v>
      </c>
      <c r="E505" s="165" t="s">
        <v>2505</v>
      </c>
      <c r="F505" s="42"/>
      <c r="G505" s="42" t="s">
        <v>1582</v>
      </c>
      <c r="H505" s="42" t="s">
        <v>2506</v>
      </c>
      <c r="I505" s="42">
        <v>0.0</v>
      </c>
      <c r="J505" s="149" t="s">
        <v>1589</v>
      </c>
      <c r="K505" s="149"/>
      <c r="L505" s="149"/>
      <c r="M505" s="149"/>
      <c r="N505" s="42"/>
      <c r="O505" s="162"/>
      <c r="P505" s="136">
        <v>1.0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18"/>
      <c r="C506" s="11" t="s">
        <v>2507</v>
      </c>
      <c r="D506" s="11" t="s">
        <v>1586</v>
      </c>
      <c r="E506" s="32" t="s">
        <v>2508</v>
      </c>
      <c r="F506" s="11"/>
      <c r="G506" s="11" t="s">
        <v>1582</v>
      </c>
      <c r="H506" s="11" t="s">
        <v>2506</v>
      </c>
      <c r="I506" s="11">
        <v>0.0</v>
      </c>
      <c r="J506" s="138" t="s">
        <v>1589</v>
      </c>
      <c r="K506" s="138"/>
      <c r="L506" s="138"/>
      <c r="M506" s="138"/>
      <c r="N506" s="11">
        <v>30.0</v>
      </c>
      <c r="O506" s="163" t="s">
        <v>1554</v>
      </c>
      <c r="P506" s="139">
        <v>650.0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18"/>
      <c r="C507" s="11" t="s">
        <v>2509</v>
      </c>
      <c r="D507" s="11" t="s">
        <v>1586</v>
      </c>
      <c r="E507" s="32" t="s">
        <v>2510</v>
      </c>
      <c r="F507" s="11"/>
      <c r="G507" s="11" t="s">
        <v>1582</v>
      </c>
      <c r="H507" s="11" t="s">
        <v>2506</v>
      </c>
      <c r="I507" s="11">
        <v>0.0</v>
      </c>
      <c r="J507" s="138" t="s">
        <v>1589</v>
      </c>
      <c r="K507" s="138"/>
      <c r="L507" s="138"/>
      <c r="M507" s="138"/>
      <c r="N507" s="11">
        <v>30.0</v>
      </c>
      <c r="O507" s="163" t="s">
        <v>1554</v>
      </c>
      <c r="P507" s="139">
        <v>650.0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18"/>
      <c r="C508" s="11" t="s">
        <v>2511</v>
      </c>
      <c r="D508" s="11" t="s">
        <v>1586</v>
      </c>
      <c r="E508" s="32" t="s">
        <v>2512</v>
      </c>
      <c r="F508" s="11"/>
      <c r="G508" s="11" t="s">
        <v>1582</v>
      </c>
      <c r="H508" s="11" t="s">
        <v>2506</v>
      </c>
      <c r="I508" s="11">
        <v>0.0</v>
      </c>
      <c r="J508" s="138" t="s">
        <v>1589</v>
      </c>
      <c r="K508" s="138"/>
      <c r="L508" s="138"/>
      <c r="M508" s="138"/>
      <c r="N508" s="11"/>
      <c r="O508" s="163"/>
      <c r="P508" s="139">
        <v>700.0</v>
      </c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18"/>
      <c r="C509" s="11" t="s">
        <v>2513</v>
      </c>
      <c r="D509" s="11" t="s">
        <v>1586</v>
      </c>
      <c r="E509" s="32" t="s">
        <v>2514</v>
      </c>
      <c r="F509" s="11"/>
      <c r="G509" s="11" t="s">
        <v>1582</v>
      </c>
      <c r="H509" s="11" t="s">
        <v>2506</v>
      </c>
      <c r="I509" s="11">
        <v>0.0</v>
      </c>
      <c r="J509" s="138" t="s">
        <v>1589</v>
      </c>
      <c r="K509" s="138"/>
      <c r="L509" s="138"/>
      <c r="M509" s="138"/>
      <c r="N509" s="11"/>
      <c r="O509" s="163"/>
      <c r="P509" s="156">
        <v>2800.0</v>
      </c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18"/>
      <c r="C510" s="11" t="s">
        <v>2515</v>
      </c>
      <c r="D510" s="11" t="s">
        <v>1586</v>
      </c>
      <c r="E510" s="32" t="s">
        <v>2516</v>
      </c>
      <c r="F510" s="11"/>
      <c r="G510" s="11" t="s">
        <v>1582</v>
      </c>
      <c r="H510" s="11" t="s">
        <v>2506</v>
      </c>
      <c r="I510" s="11">
        <v>180.0</v>
      </c>
      <c r="J510" s="138" t="s">
        <v>1589</v>
      </c>
      <c r="K510" s="138"/>
      <c r="L510" s="138"/>
      <c r="M510" s="138"/>
      <c r="N510" s="11"/>
      <c r="O510" s="163"/>
      <c r="P510" s="156">
        <v>3100.0</v>
      </c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18"/>
      <c r="C511" s="11" t="s">
        <v>2517</v>
      </c>
      <c r="D511" s="11" t="s">
        <v>1586</v>
      </c>
      <c r="E511" s="32" t="s">
        <v>2518</v>
      </c>
      <c r="F511" s="11"/>
      <c r="G511" s="11" t="s">
        <v>1582</v>
      </c>
      <c r="H511" s="11" t="s">
        <v>2506</v>
      </c>
      <c r="I511" s="11">
        <v>180.0</v>
      </c>
      <c r="J511" s="138" t="s">
        <v>1589</v>
      </c>
      <c r="K511" s="138"/>
      <c r="L511" s="138"/>
      <c r="M511" s="138"/>
      <c r="N511" s="11"/>
      <c r="O511" s="163"/>
      <c r="P511" s="156">
        <v>2700.0</v>
      </c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18"/>
      <c r="C512" s="11" t="s">
        <v>2519</v>
      </c>
      <c r="D512" s="11" t="s">
        <v>1586</v>
      </c>
      <c r="E512" s="32" t="s">
        <v>2520</v>
      </c>
      <c r="F512" s="11"/>
      <c r="G512" s="11" t="s">
        <v>1582</v>
      </c>
      <c r="H512" s="11" t="s">
        <v>2506</v>
      </c>
      <c r="I512" s="11">
        <v>90.0</v>
      </c>
      <c r="J512" s="138" t="s">
        <v>1589</v>
      </c>
      <c r="K512" s="138"/>
      <c r="L512" s="138"/>
      <c r="M512" s="138"/>
      <c r="N512" s="11"/>
      <c r="O512" s="163"/>
      <c r="P512" s="156">
        <v>3400.0</v>
      </c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18"/>
      <c r="C513" s="11" t="s">
        <v>2521</v>
      </c>
      <c r="D513" s="11" t="s">
        <v>1586</v>
      </c>
      <c r="E513" s="32" t="s">
        <v>2522</v>
      </c>
      <c r="F513" s="11"/>
      <c r="G513" s="11" t="s">
        <v>1582</v>
      </c>
      <c r="H513" s="11" t="s">
        <v>2506</v>
      </c>
      <c r="I513" s="11">
        <v>90.0</v>
      </c>
      <c r="J513" s="138" t="s">
        <v>1589</v>
      </c>
      <c r="K513" s="138"/>
      <c r="L513" s="138"/>
      <c r="M513" s="138"/>
      <c r="N513" s="11"/>
      <c r="O513" s="163"/>
      <c r="P513" s="156">
        <v>3100.0</v>
      </c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18"/>
      <c r="C514" s="11" t="s">
        <v>2523</v>
      </c>
      <c r="D514" s="11" t="s">
        <v>1586</v>
      </c>
      <c r="E514" s="32" t="s">
        <v>2524</v>
      </c>
      <c r="F514" s="11"/>
      <c r="G514" s="11" t="s">
        <v>1582</v>
      </c>
      <c r="H514" s="11" t="s">
        <v>2506</v>
      </c>
      <c r="I514" s="11">
        <v>90.0</v>
      </c>
      <c r="J514" s="138" t="s">
        <v>1589</v>
      </c>
      <c r="K514" s="138"/>
      <c r="L514" s="138"/>
      <c r="M514" s="138"/>
      <c r="N514" s="11"/>
      <c r="O514" s="163"/>
      <c r="P514" s="156">
        <v>2700.0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18"/>
      <c r="C515" s="11" t="s">
        <v>2525</v>
      </c>
      <c r="D515" s="11" t="s">
        <v>1586</v>
      </c>
      <c r="E515" s="32" t="s">
        <v>2526</v>
      </c>
      <c r="F515" s="11"/>
      <c r="G515" s="11" t="s">
        <v>1582</v>
      </c>
      <c r="H515" s="11" t="s">
        <v>2506</v>
      </c>
      <c r="I515" s="11">
        <v>90.0</v>
      </c>
      <c r="J515" s="138" t="s">
        <v>1589</v>
      </c>
      <c r="K515" s="138"/>
      <c r="L515" s="138"/>
      <c r="M515" s="138"/>
      <c r="N515" s="11">
        <v>20.0</v>
      </c>
      <c r="O515" s="163" t="s">
        <v>1554</v>
      </c>
      <c r="P515" s="139">
        <v>6500.0</v>
      </c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18"/>
      <c r="C516" s="11" t="s">
        <v>2527</v>
      </c>
      <c r="D516" s="11" t="s">
        <v>1586</v>
      </c>
      <c r="E516" s="32" t="s">
        <v>2528</v>
      </c>
      <c r="F516" s="11"/>
      <c r="G516" s="11" t="s">
        <v>1582</v>
      </c>
      <c r="H516" s="11" t="s">
        <v>2506</v>
      </c>
      <c r="I516" s="11">
        <v>90.0</v>
      </c>
      <c r="J516" s="138" t="s">
        <v>1589</v>
      </c>
      <c r="K516" s="138"/>
      <c r="L516" s="138"/>
      <c r="M516" s="138"/>
      <c r="N516" s="11">
        <v>20.0</v>
      </c>
      <c r="O516" s="163" t="s">
        <v>1554</v>
      </c>
      <c r="P516" s="139">
        <v>9000.0</v>
      </c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18"/>
      <c r="C517" s="11" t="s">
        <v>2529</v>
      </c>
      <c r="D517" s="11" t="s">
        <v>1586</v>
      </c>
      <c r="E517" s="32" t="s">
        <v>2530</v>
      </c>
      <c r="F517" s="11"/>
      <c r="G517" s="11" t="s">
        <v>1582</v>
      </c>
      <c r="H517" s="11" t="s">
        <v>2506</v>
      </c>
      <c r="I517" s="11">
        <v>90.0</v>
      </c>
      <c r="J517" s="138" t="s">
        <v>1589</v>
      </c>
      <c r="K517" s="138"/>
      <c r="L517" s="138"/>
      <c r="M517" s="138"/>
      <c r="N517" s="11"/>
      <c r="O517" s="163"/>
      <c r="P517" s="156">
        <v>3500.0</v>
      </c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18"/>
      <c r="C518" s="11" t="s">
        <v>2531</v>
      </c>
      <c r="D518" s="11" t="s">
        <v>1586</v>
      </c>
      <c r="E518" s="32" t="s">
        <v>2532</v>
      </c>
      <c r="F518" s="11"/>
      <c r="G518" s="11" t="s">
        <v>1582</v>
      </c>
      <c r="H518" s="11" t="s">
        <v>2506</v>
      </c>
      <c r="I518" s="11">
        <v>90.0</v>
      </c>
      <c r="J518" s="138" t="s">
        <v>1589</v>
      </c>
      <c r="K518" s="138"/>
      <c r="L518" s="138"/>
      <c r="M518" s="138"/>
      <c r="N518" s="11"/>
      <c r="O518" s="163"/>
      <c r="P518" s="156">
        <v>4100.0</v>
      </c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18"/>
      <c r="C519" s="11" t="s">
        <v>2533</v>
      </c>
      <c r="D519" s="11" t="s">
        <v>1586</v>
      </c>
      <c r="E519" s="32" t="s">
        <v>2534</v>
      </c>
      <c r="F519" s="11"/>
      <c r="G519" s="11" t="s">
        <v>1582</v>
      </c>
      <c r="H519" s="11" t="s">
        <v>2506</v>
      </c>
      <c r="I519" s="11">
        <v>180.0</v>
      </c>
      <c r="J519" s="138" t="s">
        <v>1589</v>
      </c>
      <c r="K519" s="138"/>
      <c r="L519" s="138"/>
      <c r="M519" s="138"/>
      <c r="N519" s="11">
        <v>50.0</v>
      </c>
      <c r="O519" s="163" t="s">
        <v>1554</v>
      </c>
      <c r="P519" s="156">
        <v>2400.0</v>
      </c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18"/>
      <c r="C520" s="11" t="s">
        <v>2535</v>
      </c>
      <c r="D520" s="11" t="s">
        <v>1586</v>
      </c>
      <c r="E520" s="32" t="s">
        <v>2536</v>
      </c>
      <c r="F520" s="11"/>
      <c r="G520" s="11" t="s">
        <v>1582</v>
      </c>
      <c r="H520" s="11" t="s">
        <v>2506</v>
      </c>
      <c r="I520" s="11">
        <v>90.0</v>
      </c>
      <c r="J520" s="138" t="s">
        <v>1589</v>
      </c>
      <c r="K520" s="138"/>
      <c r="L520" s="138"/>
      <c r="M520" s="138"/>
      <c r="N520" s="11"/>
      <c r="O520" s="163"/>
      <c r="P520" s="156">
        <v>5800.0</v>
      </c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18"/>
      <c r="C521" s="11" t="s">
        <v>2537</v>
      </c>
      <c r="D521" s="11" t="s">
        <v>1586</v>
      </c>
      <c r="E521" s="32" t="s">
        <v>2538</v>
      </c>
      <c r="F521" s="11"/>
      <c r="G521" s="11" t="s">
        <v>1582</v>
      </c>
      <c r="H521" s="11" t="s">
        <v>2506</v>
      </c>
      <c r="I521" s="11">
        <v>180.0</v>
      </c>
      <c r="J521" s="138" t="s">
        <v>1589</v>
      </c>
      <c r="K521" s="138"/>
      <c r="L521" s="138"/>
      <c r="M521" s="138"/>
      <c r="N521" s="11"/>
      <c r="O521" s="163"/>
      <c r="P521" s="156">
        <v>5000.0</v>
      </c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18"/>
      <c r="C522" s="11" t="s">
        <v>2539</v>
      </c>
      <c r="D522" s="11" t="s">
        <v>1586</v>
      </c>
      <c r="E522" s="32" t="s">
        <v>2540</v>
      </c>
      <c r="F522" s="11"/>
      <c r="G522" s="11" t="s">
        <v>1582</v>
      </c>
      <c r="H522" s="11" t="s">
        <v>2506</v>
      </c>
      <c r="I522" s="11">
        <v>180.0</v>
      </c>
      <c r="J522" s="138" t="s">
        <v>1589</v>
      </c>
      <c r="K522" s="138"/>
      <c r="L522" s="138"/>
      <c r="M522" s="138"/>
      <c r="N522" s="11"/>
      <c r="O522" s="163"/>
      <c r="P522" s="156">
        <v>4000.0</v>
      </c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18"/>
      <c r="C523" s="11" t="s">
        <v>2541</v>
      </c>
      <c r="D523" s="11" t="s">
        <v>1586</v>
      </c>
      <c r="E523" s="32" t="s">
        <v>2542</v>
      </c>
      <c r="F523" s="11"/>
      <c r="G523" s="11" t="s">
        <v>1582</v>
      </c>
      <c r="H523" s="11" t="s">
        <v>2506</v>
      </c>
      <c r="I523" s="11">
        <v>90.0</v>
      </c>
      <c r="J523" s="138" t="s">
        <v>1589</v>
      </c>
      <c r="K523" s="138"/>
      <c r="L523" s="138"/>
      <c r="M523" s="138"/>
      <c r="N523" s="11"/>
      <c r="O523" s="163"/>
      <c r="P523" s="156">
        <v>3000.0</v>
      </c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18"/>
      <c r="C524" s="11" t="s">
        <v>2543</v>
      </c>
      <c r="D524" s="11" t="s">
        <v>1586</v>
      </c>
      <c r="E524" s="32" t="s">
        <v>2544</v>
      </c>
      <c r="F524" s="11"/>
      <c r="G524" s="11" t="s">
        <v>1582</v>
      </c>
      <c r="H524" s="11" t="s">
        <v>2506</v>
      </c>
      <c r="I524" s="11">
        <v>90.0</v>
      </c>
      <c r="J524" s="138" t="s">
        <v>1589</v>
      </c>
      <c r="K524" s="138"/>
      <c r="L524" s="138"/>
      <c r="M524" s="138"/>
      <c r="N524" s="11"/>
      <c r="O524" s="163"/>
      <c r="P524" s="156">
        <v>3000.0</v>
      </c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18"/>
      <c r="C525" s="11" t="s">
        <v>2545</v>
      </c>
      <c r="D525" s="11" t="s">
        <v>1586</v>
      </c>
      <c r="E525" s="32" t="s">
        <v>2546</v>
      </c>
      <c r="F525" s="11"/>
      <c r="G525" s="11" t="s">
        <v>1582</v>
      </c>
      <c r="H525" s="11" t="s">
        <v>2506</v>
      </c>
      <c r="I525" s="11">
        <v>90.0</v>
      </c>
      <c r="J525" s="138" t="s">
        <v>1589</v>
      </c>
      <c r="K525" s="138"/>
      <c r="L525" s="138"/>
      <c r="M525" s="138"/>
      <c r="N525" s="11"/>
      <c r="O525" s="163"/>
      <c r="P525" s="156">
        <v>3000.0</v>
      </c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18"/>
      <c r="C526" s="11" t="s">
        <v>2547</v>
      </c>
      <c r="D526" s="11" t="s">
        <v>1586</v>
      </c>
      <c r="E526" s="32" t="s">
        <v>2548</v>
      </c>
      <c r="F526" s="11"/>
      <c r="G526" s="11" t="s">
        <v>1582</v>
      </c>
      <c r="H526" s="11" t="s">
        <v>2506</v>
      </c>
      <c r="I526" s="11">
        <v>90.0</v>
      </c>
      <c r="J526" s="138" t="s">
        <v>1589</v>
      </c>
      <c r="K526" s="138"/>
      <c r="L526" s="138"/>
      <c r="M526" s="138"/>
      <c r="N526" s="11"/>
      <c r="O526" s="163"/>
      <c r="P526" s="156">
        <v>3600.0</v>
      </c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18"/>
      <c r="C527" s="11" t="s">
        <v>2549</v>
      </c>
      <c r="D527" s="11" t="s">
        <v>1586</v>
      </c>
      <c r="E527" s="32" t="s">
        <v>2550</v>
      </c>
      <c r="F527" s="11"/>
      <c r="G527" s="11" t="s">
        <v>1582</v>
      </c>
      <c r="H527" s="11" t="s">
        <v>2506</v>
      </c>
      <c r="I527" s="11">
        <v>90.0</v>
      </c>
      <c r="J527" s="138" t="s">
        <v>1589</v>
      </c>
      <c r="K527" s="138"/>
      <c r="L527" s="138"/>
      <c r="M527" s="138"/>
      <c r="N527" s="11"/>
      <c r="O527" s="163"/>
      <c r="P527" s="156">
        <v>3800.0</v>
      </c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18"/>
      <c r="C528" s="11" t="s">
        <v>2551</v>
      </c>
      <c r="D528" s="11" t="s">
        <v>1586</v>
      </c>
      <c r="E528" s="32" t="s">
        <v>2552</v>
      </c>
      <c r="F528" s="11"/>
      <c r="G528" s="11" t="s">
        <v>1582</v>
      </c>
      <c r="H528" s="11" t="s">
        <v>2506</v>
      </c>
      <c r="I528" s="11">
        <v>90.0</v>
      </c>
      <c r="J528" s="138" t="s">
        <v>1589</v>
      </c>
      <c r="K528" s="138"/>
      <c r="L528" s="138"/>
      <c r="M528" s="138"/>
      <c r="N528" s="11"/>
      <c r="O528" s="163"/>
      <c r="P528" s="156">
        <v>7000.0</v>
      </c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18"/>
      <c r="C529" s="11" t="s">
        <v>2553</v>
      </c>
      <c r="D529" s="11" t="s">
        <v>1586</v>
      </c>
      <c r="E529" s="32" t="s">
        <v>2554</v>
      </c>
      <c r="F529" s="11"/>
      <c r="G529" s="11" t="s">
        <v>1582</v>
      </c>
      <c r="H529" s="11" t="s">
        <v>2506</v>
      </c>
      <c r="I529" s="11">
        <v>90.0</v>
      </c>
      <c r="J529" s="138" t="s">
        <v>1589</v>
      </c>
      <c r="K529" s="138"/>
      <c r="L529" s="138"/>
      <c r="M529" s="138"/>
      <c r="N529" s="11"/>
      <c r="O529" s="163"/>
      <c r="P529" s="156">
        <v>4500.0</v>
      </c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18"/>
      <c r="C530" s="11" t="s">
        <v>2555</v>
      </c>
      <c r="D530" s="11" t="s">
        <v>1586</v>
      </c>
      <c r="E530" s="32" t="s">
        <v>2556</v>
      </c>
      <c r="F530" s="11"/>
      <c r="G530" s="11" t="s">
        <v>1582</v>
      </c>
      <c r="H530" s="11" t="s">
        <v>2506</v>
      </c>
      <c r="I530" s="11">
        <v>90.0</v>
      </c>
      <c r="J530" s="138" t="s">
        <v>1589</v>
      </c>
      <c r="K530" s="138"/>
      <c r="L530" s="138"/>
      <c r="M530" s="138"/>
      <c r="N530" s="11"/>
      <c r="O530" s="163"/>
      <c r="P530" s="156">
        <v>4800.0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35"/>
      <c r="C531" s="36" t="s">
        <v>2557</v>
      </c>
      <c r="D531" s="36" t="s">
        <v>1586</v>
      </c>
      <c r="E531" s="158" t="s">
        <v>2558</v>
      </c>
      <c r="F531" s="36"/>
      <c r="G531" s="36" t="s">
        <v>1582</v>
      </c>
      <c r="H531" s="36" t="s">
        <v>2506</v>
      </c>
      <c r="I531" s="36">
        <v>90.0</v>
      </c>
      <c r="J531" s="141" t="s">
        <v>1589</v>
      </c>
      <c r="K531" s="141"/>
      <c r="L531" s="141"/>
      <c r="M531" s="141"/>
      <c r="N531" s="36"/>
      <c r="O531" s="164"/>
      <c r="P531" s="166">
        <v>4300.0</v>
      </c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147" t="s">
        <v>220</v>
      </c>
      <c r="C532" s="42" t="s">
        <v>2559</v>
      </c>
      <c r="D532" s="42" t="s">
        <v>1586</v>
      </c>
      <c r="E532" s="165" t="s">
        <v>2560</v>
      </c>
      <c r="F532" s="42"/>
      <c r="G532" s="42" t="s">
        <v>1582</v>
      </c>
      <c r="H532" s="42" t="s">
        <v>2561</v>
      </c>
      <c r="I532" s="42">
        <v>0.0</v>
      </c>
      <c r="J532" s="149" t="s">
        <v>1589</v>
      </c>
      <c r="K532" s="149"/>
      <c r="L532" s="149"/>
      <c r="M532" s="149"/>
      <c r="N532" s="42"/>
      <c r="O532" s="162"/>
      <c r="P532" s="136">
        <v>1.0</v>
      </c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18"/>
      <c r="C533" s="11" t="s">
        <v>2562</v>
      </c>
      <c r="D533" s="11" t="s">
        <v>1586</v>
      </c>
      <c r="E533" s="32" t="s">
        <v>2563</v>
      </c>
      <c r="F533" s="11"/>
      <c r="G533" s="11" t="s">
        <v>1582</v>
      </c>
      <c r="H533" s="11" t="s">
        <v>2561</v>
      </c>
      <c r="I533" s="11">
        <v>0.0</v>
      </c>
      <c r="J533" s="138" t="s">
        <v>1589</v>
      </c>
      <c r="K533" s="138"/>
      <c r="L533" s="138"/>
      <c r="M533" s="138"/>
      <c r="N533" s="11">
        <v>30.0</v>
      </c>
      <c r="O533" s="163" t="s">
        <v>1554</v>
      </c>
      <c r="P533" s="139">
        <v>750.0</v>
      </c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18"/>
      <c r="C534" s="11" t="s">
        <v>2564</v>
      </c>
      <c r="D534" s="11" t="s">
        <v>1586</v>
      </c>
      <c r="E534" s="32" t="s">
        <v>2565</v>
      </c>
      <c r="F534" s="11"/>
      <c r="G534" s="11" t="s">
        <v>1582</v>
      </c>
      <c r="H534" s="11" t="s">
        <v>2561</v>
      </c>
      <c r="I534" s="11">
        <v>0.0</v>
      </c>
      <c r="J534" s="138" t="s">
        <v>1589</v>
      </c>
      <c r="K534" s="138"/>
      <c r="L534" s="138"/>
      <c r="M534" s="138"/>
      <c r="N534" s="11">
        <v>30.0</v>
      </c>
      <c r="O534" s="163" t="s">
        <v>1554</v>
      </c>
      <c r="P534" s="139">
        <v>750.0</v>
      </c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18"/>
      <c r="C535" s="11" t="s">
        <v>2566</v>
      </c>
      <c r="D535" s="11" t="s">
        <v>1586</v>
      </c>
      <c r="E535" s="32" t="s">
        <v>2567</v>
      </c>
      <c r="F535" s="11"/>
      <c r="G535" s="11" t="s">
        <v>1582</v>
      </c>
      <c r="H535" s="11" t="s">
        <v>2561</v>
      </c>
      <c r="I535" s="11">
        <v>0.0</v>
      </c>
      <c r="J535" s="138" t="s">
        <v>1589</v>
      </c>
      <c r="K535" s="138"/>
      <c r="L535" s="138"/>
      <c r="M535" s="138"/>
      <c r="N535" s="11"/>
      <c r="O535" s="163"/>
      <c r="P535" s="139">
        <v>700.0</v>
      </c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18"/>
      <c r="C536" s="11" t="s">
        <v>2568</v>
      </c>
      <c r="D536" s="11" t="s">
        <v>1586</v>
      </c>
      <c r="E536" s="32" t="s">
        <v>2569</v>
      </c>
      <c r="F536" s="11"/>
      <c r="G536" s="11" t="s">
        <v>1582</v>
      </c>
      <c r="H536" s="11" t="s">
        <v>2561</v>
      </c>
      <c r="I536" s="11">
        <v>0.0</v>
      </c>
      <c r="J536" s="138" t="s">
        <v>1589</v>
      </c>
      <c r="K536" s="138"/>
      <c r="L536" s="138"/>
      <c r="M536" s="138"/>
      <c r="N536" s="11"/>
      <c r="O536" s="163"/>
      <c r="P536" s="156">
        <v>3300.0</v>
      </c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18"/>
      <c r="C537" s="11" t="s">
        <v>2570</v>
      </c>
      <c r="D537" s="11" t="s">
        <v>1586</v>
      </c>
      <c r="E537" s="32" t="s">
        <v>2571</v>
      </c>
      <c r="F537" s="11"/>
      <c r="G537" s="11" t="s">
        <v>1582</v>
      </c>
      <c r="H537" s="11" t="s">
        <v>2561</v>
      </c>
      <c r="I537" s="11">
        <v>180.0</v>
      </c>
      <c r="J537" s="138" t="s">
        <v>1589</v>
      </c>
      <c r="K537" s="138"/>
      <c r="L537" s="138"/>
      <c r="M537" s="138"/>
      <c r="N537" s="11"/>
      <c r="O537" s="163"/>
      <c r="P537" s="156">
        <v>3400.0</v>
      </c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18"/>
      <c r="C538" s="11" t="s">
        <v>2572</v>
      </c>
      <c r="D538" s="11" t="s">
        <v>1586</v>
      </c>
      <c r="E538" s="32" t="s">
        <v>2573</v>
      </c>
      <c r="F538" s="11"/>
      <c r="G538" s="11" t="s">
        <v>1582</v>
      </c>
      <c r="H538" s="11" t="s">
        <v>2561</v>
      </c>
      <c r="I538" s="11">
        <v>180.0</v>
      </c>
      <c r="J538" s="138" t="s">
        <v>1589</v>
      </c>
      <c r="K538" s="138"/>
      <c r="L538" s="138"/>
      <c r="M538" s="138"/>
      <c r="N538" s="11"/>
      <c r="O538" s="163"/>
      <c r="P538" s="156">
        <v>2700.0</v>
      </c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18"/>
      <c r="C539" s="11" t="s">
        <v>2574</v>
      </c>
      <c r="D539" s="11" t="s">
        <v>1586</v>
      </c>
      <c r="E539" s="32" t="s">
        <v>2575</v>
      </c>
      <c r="F539" s="11"/>
      <c r="G539" s="11" t="s">
        <v>1582</v>
      </c>
      <c r="H539" s="11" t="s">
        <v>2561</v>
      </c>
      <c r="I539" s="11">
        <v>90.0</v>
      </c>
      <c r="J539" s="138" t="s">
        <v>1589</v>
      </c>
      <c r="K539" s="138"/>
      <c r="L539" s="138"/>
      <c r="M539" s="138"/>
      <c r="N539" s="11"/>
      <c r="O539" s="163"/>
      <c r="P539" s="156">
        <v>3900.0</v>
      </c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18"/>
      <c r="C540" s="11" t="s">
        <v>2576</v>
      </c>
      <c r="D540" s="11" t="s">
        <v>1586</v>
      </c>
      <c r="E540" s="32" t="s">
        <v>2577</v>
      </c>
      <c r="F540" s="11"/>
      <c r="G540" s="11" t="s">
        <v>1582</v>
      </c>
      <c r="H540" s="11" t="s">
        <v>2561</v>
      </c>
      <c r="I540" s="11">
        <v>90.0</v>
      </c>
      <c r="J540" s="138" t="s">
        <v>1589</v>
      </c>
      <c r="K540" s="138"/>
      <c r="L540" s="138"/>
      <c r="M540" s="138"/>
      <c r="N540" s="11"/>
      <c r="O540" s="163"/>
      <c r="P540" s="156">
        <v>3400.0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18"/>
      <c r="C541" s="11" t="s">
        <v>2578</v>
      </c>
      <c r="D541" s="11" t="s">
        <v>1586</v>
      </c>
      <c r="E541" s="32" t="s">
        <v>2579</v>
      </c>
      <c r="F541" s="11"/>
      <c r="G541" s="11" t="s">
        <v>1582</v>
      </c>
      <c r="H541" s="11" t="s">
        <v>2561</v>
      </c>
      <c r="I541" s="11">
        <v>0.0</v>
      </c>
      <c r="J541" s="138" t="s">
        <v>1589</v>
      </c>
      <c r="K541" s="138"/>
      <c r="L541" s="138"/>
      <c r="M541" s="138"/>
      <c r="N541" s="11"/>
      <c r="O541" s="163"/>
      <c r="P541" s="156">
        <v>2700.0</v>
      </c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18"/>
      <c r="C542" s="11" t="s">
        <v>2580</v>
      </c>
      <c r="D542" s="11" t="s">
        <v>1586</v>
      </c>
      <c r="E542" s="32" t="s">
        <v>2581</v>
      </c>
      <c r="F542" s="11"/>
      <c r="G542" s="11" t="s">
        <v>1582</v>
      </c>
      <c r="H542" s="11" t="s">
        <v>2561</v>
      </c>
      <c r="I542" s="11">
        <v>30.0</v>
      </c>
      <c r="J542" s="138" t="s">
        <v>1589</v>
      </c>
      <c r="K542" s="138"/>
      <c r="L542" s="138"/>
      <c r="M542" s="138"/>
      <c r="N542" s="11">
        <v>20.0</v>
      </c>
      <c r="O542" s="163" t="s">
        <v>1554</v>
      </c>
      <c r="P542" s="139">
        <v>6500.0</v>
      </c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18"/>
      <c r="C543" s="11" t="s">
        <v>2582</v>
      </c>
      <c r="D543" s="11" t="s">
        <v>1586</v>
      </c>
      <c r="E543" s="32" t="s">
        <v>2583</v>
      </c>
      <c r="F543" s="11"/>
      <c r="G543" s="11" t="s">
        <v>1582</v>
      </c>
      <c r="H543" s="11" t="s">
        <v>2561</v>
      </c>
      <c r="I543" s="11">
        <v>90.0</v>
      </c>
      <c r="J543" s="138" t="s">
        <v>1589</v>
      </c>
      <c r="K543" s="138"/>
      <c r="L543" s="138"/>
      <c r="M543" s="138"/>
      <c r="N543" s="11">
        <v>20.0</v>
      </c>
      <c r="O543" s="163" t="s">
        <v>1554</v>
      </c>
      <c r="P543" s="139">
        <v>7200.0</v>
      </c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18"/>
      <c r="C544" s="11" t="s">
        <v>2584</v>
      </c>
      <c r="D544" s="11" t="s">
        <v>1586</v>
      </c>
      <c r="E544" s="32" t="s">
        <v>2585</v>
      </c>
      <c r="F544" s="11"/>
      <c r="G544" s="11" t="s">
        <v>1582</v>
      </c>
      <c r="H544" s="11" t="s">
        <v>2561</v>
      </c>
      <c r="I544" s="11">
        <v>90.0</v>
      </c>
      <c r="J544" s="138" t="s">
        <v>1589</v>
      </c>
      <c r="K544" s="138"/>
      <c r="L544" s="138"/>
      <c r="M544" s="138"/>
      <c r="N544" s="11"/>
      <c r="O544" s="163"/>
      <c r="P544" s="156">
        <v>3800.0</v>
      </c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18"/>
      <c r="C545" s="11" t="s">
        <v>2586</v>
      </c>
      <c r="D545" s="11" t="s">
        <v>1586</v>
      </c>
      <c r="E545" s="32" t="s">
        <v>2587</v>
      </c>
      <c r="F545" s="11"/>
      <c r="G545" s="11" t="s">
        <v>1582</v>
      </c>
      <c r="H545" s="11" t="s">
        <v>2561</v>
      </c>
      <c r="I545" s="11">
        <v>90.0</v>
      </c>
      <c r="J545" s="138" t="s">
        <v>1589</v>
      </c>
      <c r="K545" s="138"/>
      <c r="L545" s="138"/>
      <c r="M545" s="138"/>
      <c r="N545" s="11"/>
      <c r="O545" s="163"/>
      <c r="P545" s="156">
        <v>3800.0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18"/>
      <c r="C546" s="11" t="s">
        <v>2588</v>
      </c>
      <c r="D546" s="11" t="s">
        <v>1586</v>
      </c>
      <c r="E546" s="32" t="s">
        <v>2589</v>
      </c>
      <c r="F546" s="11"/>
      <c r="G546" s="11" t="s">
        <v>1582</v>
      </c>
      <c r="H546" s="11" t="s">
        <v>2561</v>
      </c>
      <c r="I546" s="11">
        <v>180.0</v>
      </c>
      <c r="J546" s="138" t="s">
        <v>1589</v>
      </c>
      <c r="K546" s="138"/>
      <c r="L546" s="138"/>
      <c r="M546" s="138"/>
      <c r="N546" s="11">
        <v>50.0</v>
      </c>
      <c r="O546" s="163" t="s">
        <v>1554</v>
      </c>
      <c r="P546" s="156">
        <v>2800.0</v>
      </c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18"/>
      <c r="C547" s="11" t="s">
        <v>2590</v>
      </c>
      <c r="D547" s="11" t="s">
        <v>1586</v>
      </c>
      <c r="E547" s="32" t="s">
        <v>2591</v>
      </c>
      <c r="F547" s="11"/>
      <c r="G547" s="11" t="s">
        <v>1582</v>
      </c>
      <c r="H547" s="11" t="s">
        <v>2561</v>
      </c>
      <c r="I547" s="11">
        <v>30.0</v>
      </c>
      <c r="J547" s="138" t="s">
        <v>1589</v>
      </c>
      <c r="K547" s="138"/>
      <c r="L547" s="138"/>
      <c r="M547" s="138"/>
      <c r="N547" s="11"/>
      <c r="O547" s="163"/>
      <c r="P547" s="156">
        <v>5800.0</v>
      </c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18"/>
      <c r="C548" s="11" t="s">
        <v>2592</v>
      </c>
      <c r="D548" s="11" t="s">
        <v>1586</v>
      </c>
      <c r="E548" s="32" t="s">
        <v>2593</v>
      </c>
      <c r="F548" s="11"/>
      <c r="G548" s="11" t="s">
        <v>1582</v>
      </c>
      <c r="H548" s="11" t="s">
        <v>2561</v>
      </c>
      <c r="I548" s="11">
        <v>180.0</v>
      </c>
      <c r="J548" s="138" t="s">
        <v>1589</v>
      </c>
      <c r="K548" s="138"/>
      <c r="L548" s="138"/>
      <c r="M548" s="138"/>
      <c r="N548" s="11"/>
      <c r="O548" s="163"/>
      <c r="P548" s="156">
        <v>5300.0</v>
      </c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18"/>
      <c r="C549" s="11" t="s">
        <v>2594</v>
      </c>
      <c r="D549" s="11" t="s">
        <v>1586</v>
      </c>
      <c r="E549" s="32" t="s">
        <v>2595</v>
      </c>
      <c r="F549" s="11"/>
      <c r="G549" s="11" t="s">
        <v>1582</v>
      </c>
      <c r="H549" s="11" t="s">
        <v>2561</v>
      </c>
      <c r="I549" s="11">
        <v>180.0</v>
      </c>
      <c r="J549" s="138" t="s">
        <v>1589</v>
      </c>
      <c r="K549" s="138"/>
      <c r="L549" s="138"/>
      <c r="M549" s="138"/>
      <c r="N549" s="11"/>
      <c r="O549" s="163"/>
      <c r="P549" s="156">
        <v>4000.0</v>
      </c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18"/>
      <c r="C550" s="11" t="s">
        <v>2596</v>
      </c>
      <c r="D550" s="11" t="s">
        <v>1586</v>
      </c>
      <c r="E550" s="32" t="s">
        <v>2597</v>
      </c>
      <c r="F550" s="11"/>
      <c r="G550" s="11" t="s">
        <v>1582</v>
      </c>
      <c r="H550" s="11" t="s">
        <v>2561</v>
      </c>
      <c r="I550" s="11">
        <v>180.0</v>
      </c>
      <c r="J550" s="138" t="s">
        <v>1589</v>
      </c>
      <c r="K550" s="138"/>
      <c r="L550" s="138"/>
      <c r="M550" s="138"/>
      <c r="N550" s="11"/>
      <c r="O550" s="163"/>
      <c r="P550" s="156">
        <v>4000.0</v>
      </c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18"/>
      <c r="C551" s="11" t="s">
        <v>2598</v>
      </c>
      <c r="D551" s="11" t="s">
        <v>1586</v>
      </c>
      <c r="E551" s="32" t="s">
        <v>2599</v>
      </c>
      <c r="F551" s="11"/>
      <c r="G551" s="11" t="s">
        <v>1582</v>
      </c>
      <c r="H551" s="11" t="s">
        <v>2561</v>
      </c>
      <c r="I551" s="11">
        <v>90.0</v>
      </c>
      <c r="J551" s="138" t="s">
        <v>1589</v>
      </c>
      <c r="K551" s="138"/>
      <c r="L551" s="138"/>
      <c r="M551" s="138"/>
      <c r="N551" s="11"/>
      <c r="O551" s="163"/>
      <c r="P551" s="156">
        <v>3700.0</v>
      </c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18"/>
      <c r="C552" s="11" t="s">
        <v>2600</v>
      </c>
      <c r="D552" s="11" t="s">
        <v>1586</v>
      </c>
      <c r="E552" s="32" t="s">
        <v>2601</v>
      </c>
      <c r="F552" s="11"/>
      <c r="G552" s="11" t="s">
        <v>1582</v>
      </c>
      <c r="H552" s="11" t="s">
        <v>2561</v>
      </c>
      <c r="I552" s="11">
        <v>90.0</v>
      </c>
      <c r="J552" s="138" t="s">
        <v>1589</v>
      </c>
      <c r="K552" s="138"/>
      <c r="L552" s="138"/>
      <c r="M552" s="138"/>
      <c r="N552" s="11"/>
      <c r="O552" s="163"/>
      <c r="P552" s="156">
        <v>3700.0</v>
      </c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18"/>
      <c r="C553" s="11" t="s">
        <v>2602</v>
      </c>
      <c r="D553" s="11" t="s">
        <v>1586</v>
      </c>
      <c r="E553" s="32" t="s">
        <v>2603</v>
      </c>
      <c r="F553" s="11"/>
      <c r="G553" s="11" t="s">
        <v>1582</v>
      </c>
      <c r="H553" s="11" t="s">
        <v>2561</v>
      </c>
      <c r="I553" s="11">
        <v>90.0</v>
      </c>
      <c r="J553" s="138" t="s">
        <v>1589</v>
      </c>
      <c r="K553" s="138"/>
      <c r="L553" s="138"/>
      <c r="M553" s="138"/>
      <c r="N553" s="11"/>
      <c r="O553" s="163"/>
      <c r="P553" s="156">
        <v>4300.0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18"/>
      <c r="C554" s="11" t="s">
        <v>2604</v>
      </c>
      <c r="D554" s="11" t="s">
        <v>1586</v>
      </c>
      <c r="E554" s="32" t="s">
        <v>2605</v>
      </c>
      <c r="F554" s="11"/>
      <c r="G554" s="11" t="s">
        <v>1582</v>
      </c>
      <c r="H554" s="11" t="s">
        <v>2561</v>
      </c>
      <c r="I554" s="11">
        <v>180.0</v>
      </c>
      <c r="J554" s="138" t="s">
        <v>1589</v>
      </c>
      <c r="K554" s="138"/>
      <c r="L554" s="138"/>
      <c r="M554" s="138"/>
      <c r="N554" s="11"/>
      <c r="O554" s="163"/>
      <c r="P554" s="156">
        <v>3800.0</v>
      </c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18"/>
      <c r="C555" s="11" t="s">
        <v>2606</v>
      </c>
      <c r="D555" s="11" t="s">
        <v>1586</v>
      </c>
      <c r="E555" s="32" t="s">
        <v>2607</v>
      </c>
      <c r="F555" s="11"/>
      <c r="G555" s="11" t="s">
        <v>1582</v>
      </c>
      <c r="H555" s="11" t="s">
        <v>2561</v>
      </c>
      <c r="I555" s="11">
        <v>30.0</v>
      </c>
      <c r="J555" s="138" t="s">
        <v>1589</v>
      </c>
      <c r="K555" s="138"/>
      <c r="L555" s="138"/>
      <c r="M555" s="138"/>
      <c r="N555" s="11"/>
      <c r="O555" s="163"/>
      <c r="P555" s="156">
        <v>7500.0</v>
      </c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18"/>
      <c r="C556" s="11" t="s">
        <v>2608</v>
      </c>
      <c r="D556" s="11" t="s">
        <v>1586</v>
      </c>
      <c r="E556" s="32" t="s">
        <v>2609</v>
      </c>
      <c r="F556" s="11"/>
      <c r="G556" s="11" t="s">
        <v>1582</v>
      </c>
      <c r="H556" s="11" t="s">
        <v>2561</v>
      </c>
      <c r="I556" s="11">
        <v>0.0</v>
      </c>
      <c r="J556" s="138" t="s">
        <v>1589</v>
      </c>
      <c r="K556" s="138"/>
      <c r="L556" s="138"/>
      <c r="M556" s="138"/>
      <c r="N556" s="11"/>
      <c r="O556" s="163"/>
      <c r="P556" s="156">
        <v>4500.0</v>
      </c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18"/>
      <c r="C557" s="11" t="s">
        <v>2610</v>
      </c>
      <c r="D557" s="11" t="s">
        <v>1586</v>
      </c>
      <c r="E557" s="32" t="s">
        <v>2611</v>
      </c>
      <c r="F557" s="11"/>
      <c r="G557" s="11" t="s">
        <v>1582</v>
      </c>
      <c r="H557" s="11" t="s">
        <v>2561</v>
      </c>
      <c r="I557" s="11">
        <v>90.0</v>
      </c>
      <c r="J557" s="138" t="s">
        <v>1589</v>
      </c>
      <c r="K557" s="138"/>
      <c r="L557" s="138"/>
      <c r="M557" s="138"/>
      <c r="N557" s="11"/>
      <c r="O557" s="163"/>
      <c r="P557" s="156">
        <v>3800.0</v>
      </c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35"/>
      <c r="C558" s="36" t="s">
        <v>2612</v>
      </c>
      <c r="D558" s="36" t="s">
        <v>1586</v>
      </c>
      <c r="E558" s="158" t="s">
        <v>2613</v>
      </c>
      <c r="F558" s="36"/>
      <c r="G558" s="36" t="s">
        <v>1582</v>
      </c>
      <c r="H558" s="36" t="s">
        <v>2561</v>
      </c>
      <c r="I558" s="36">
        <v>90.0</v>
      </c>
      <c r="J558" s="141" t="s">
        <v>1589</v>
      </c>
      <c r="K558" s="141"/>
      <c r="L558" s="141"/>
      <c r="M558" s="141"/>
      <c r="N558" s="36"/>
      <c r="O558" s="164"/>
      <c r="P558" s="166">
        <v>4300.0</v>
      </c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147" t="s">
        <v>228</v>
      </c>
      <c r="C559" s="42" t="s">
        <v>2614</v>
      </c>
      <c r="D559" s="42" t="s">
        <v>1586</v>
      </c>
      <c r="E559" s="165" t="s">
        <v>2615</v>
      </c>
      <c r="F559" s="42"/>
      <c r="G559" s="42" t="s">
        <v>1582</v>
      </c>
      <c r="H559" s="42" t="s">
        <v>2616</v>
      </c>
      <c r="I559" s="42">
        <v>0.0</v>
      </c>
      <c r="J559" s="149" t="s">
        <v>1589</v>
      </c>
      <c r="K559" s="149"/>
      <c r="L559" s="149"/>
      <c r="M559" s="149"/>
      <c r="N559" s="42"/>
      <c r="O559" s="162"/>
      <c r="P559" s="136">
        <v>1.0</v>
      </c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18"/>
      <c r="C560" s="11" t="s">
        <v>2617</v>
      </c>
      <c r="D560" s="11" t="s">
        <v>1586</v>
      </c>
      <c r="E560" s="32" t="s">
        <v>2618</v>
      </c>
      <c r="F560" s="11"/>
      <c r="G560" s="11" t="s">
        <v>1582</v>
      </c>
      <c r="H560" s="11" t="s">
        <v>2616</v>
      </c>
      <c r="I560" s="11">
        <v>0.0</v>
      </c>
      <c r="J560" s="138" t="s">
        <v>1589</v>
      </c>
      <c r="K560" s="138"/>
      <c r="L560" s="138"/>
      <c r="M560" s="138"/>
      <c r="N560" s="11">
        <v>30.0</v>
      </c>
      <c r="O560" s="163" t="s">
        <v>1554</v>
      </c>
      <c r="P560" s="139">
        <v>750.0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18"/>
      <c r="C561" s="11" t="s">
        <v>2619</v>
      </c>
      <c r="D561" s="11" t="s">
        <v>1586</v>
      </c>
      <c r="E561" s="32" t="s">
        <v>2620</v>
      </c>
      <c r="F561" s="11"/>
      <c r="G561" s="11" t="s">
        <v>1582</v>
      </c>
      <c r="H561" s="11" t="s">
        <v>2616</v>
      </c>
      <c r="I561" s="11">
        <v>0.0</v>
      </c>
      <c r="J561" s="138" t="s">
        <v>1589</v>
      </c>
      <c r="K561" s="138"/>
      <c r="L561" s="138"/>
      <c r="M561" s="138"/>
      <c r="N561" s="11">
        <v>30.0</v>
      </c>
      <c r="O561" s="163" t="s">
        <v>1554</v>
      </c>
      <c r="P561" s="139">
        <v>750.0</v>
      </c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18"/>
      <c r="C562" s="11" t="s">
        <v>2621</v>
      </c>
      <c r="D562" s="11" t="s">
        <v>1586</v>
      </c>
      <c r="E562" s="32" t="s">
        <v>2622</v>
      </c>
      <c r="F562" s="11"/>
      <c r="G562" s="11" t="s">
        <v>1582</v>
      </c>
      <c r="H562" s="11" t="s">
        <v>2616</v>
      </c>
      <c r="I562" s="11">
        <v>0.0</v>
      </c>
      <c r="J562" s="138" t="s">
        <v>1589</v>
      </c>
      <c r="K562" s="138"/>
      <c r="L562" s="138"/>
      <c r="M562" s="138"/>
      <c r="N562" s="11"/>
      <c r="O562" s="163"/>
      <c r="P562" s="139">
        <v>700.0</v>
      </c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18"/>
      <c r="C563" s="11" t="s">
        <v>2623</v>
      </c>
      <c r="D563" s="11" t="s">
        <v>1586</v>
      </c>
      <c r="E563" s="32" t="s">
        <v>2624</v>
      </c>
      <c r="F563" s="11"/>
      <c r="G563" s="11" t="s">
        <v>1582</v>
      </c>
      <c r="H563" s="11" t="s">
        <v>2616</v>
      </c>
      <c r="I563" s="11">
        <v>0.0</v>
      </c>
      <c r="J563" s="138" t="s">
        <v>1589</v>
      </c>
      <c r="K563" s="138"/>
      <c r="L563" s="138"/>
      <c r="M563" s="138"/>
      <c r="N563" s="11"/>
      <c r="O563" s="163"/>
      <c r="P563" s="156">
        <v>3300.0</v>
      </c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18"/>
      <c r="C564" s="11" t="s">
        <v>2625</v>
      </c>
      <c r="D564" s="11" t="s">
        <v>1586</v>
      </c>
      <c r="E564" s="32" t="s">
        <v>2626</v>
      </c>
      <c r="F564" s="11"/>
      <c r="G564" s="11" t="s">
        <v>1582</v>
      </c>
      <c r="H564" s="11" t="s">
        <v>2616</v>
      </c>
      <c r="I564" s="11">
        <v>180.0</v>
      </c>
      <c r="J564" s="138" t="s">
        <v>1589</v>
      </c>
      <c r="K564" s="138"/>
      <c r="L564" s="138"/>
      <c r="M564" s="138"/>
      <c r="N564" s="11"/>
      <c r="O564" s="163"/>
      <c r="P564" s="156">
        <v>3400.0</v>
      </c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18"/>
      <c r="C565" s="11" t="s">
        <v>2627</v>
      </c>
      <c r="D565" s="11" t="s">
        <v>1586</v>
      </c>
      <c r="E565" s="32" t="s">
        <v>2628</v>
      </c>
      <c r="F565" s="11"/>
      <c r="G565" s="11" t="s">
        <v>1582</v>
      </c>
      <c r="H565" s="11" t="s">
        <v>2616</v>
      </c>
      <c r="I565" s="11">
        <v>180.0</v>
      </c>
      <c r="J565" s="138" t="s">
        <v>1589</v>
      </c>
      <c r="K565" s="138"/>
      <c r="L565" s="138"/>
      <c r="M565" s="138"/>
      <c r="N565" s="11"/>
      <c r="O565" s="163"/>
      <c r="P565" s="156">
        <v>2700.0</v>
      </c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18"/>
      <c r="C566" s="11" t="s">
        <v>2629</v>
      </c>
      <c r="D566" s="11" t="s">
        <v>1586</v>
      </c>
      <c r="E566" s="32" t="s">
        <v>2630</v>
      </c>
      <c r="F566" s="11"/>
      <c r="G566" s="11" t="s">
        <v>1582</v>
      </c>
      <c r="H566" s="11" t="s">
        <v>2616</v>
      </c>
      <c r="I566" s="11">
        <v>90.0</v>
      </c>
      <c r="J566" s="138" t="s">
        <v>1589</v>
      </c>
      <c r="K566" s="138"/>
      <c r="L566" s="138"/>
      <c r="M566" s="138"/>
      <c r="N566" s="11"/>
      <c r="O566" s="163"/>
      <c r="P566" s="156">
        <v>3900.0</v>
      </c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18"/>
      <c r="C567" s="11" t="s">
        <v>2631</v>
      </c>
      <c r="D567" s="11" t="s">
        <v>1586</v>
      </c>
      <c r="E567" s="32" t="s">
        <v>2632</v>
      </c>
      <c r="F567" s="11"/>
      <c r="G567" s="11" t="s">
        <v>1582</v>
      </c>
      <c r="H567" s="11" t="s">
        <v>2616</v>
      </c>
      <c r="I567" s="11">
        <v>90.0</v>
      </c>
      <c r="J567" s="138" t="s">
        <v>1589</v>
      </c>
      <c r="K567" s="138"/>
      <c r="L567" s="138"/>
      <c r="M567" s="138"/>
      <c r="N567" s="11"/>
      <c r="O567" s="163"/>
      <c r="P567" s="156">
        <v>3400.0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18"/>
      <c r="C568" s="11" t="s">
        <v>2633</v>
      </c>
      <c r="D568" s="11" t="s">
        <v>1586</v>
      </c>
      <c r="E568" s="32" t="s">
        <v>2634</v>
      </c>
      <c r="F568" s="11"/>
      <c r="G568" s="11" t="s">
        <v>1582</v>
      </c>
      <c r="H568" s="11" t="s">
        <v>2616</v>
      </c>
      <c r="I568" s="11">
        <v>0.0</v>
      </c>
      <c r="J568" s="138" t="s">
        <v>1589</v>
      </c>
      <c r="K568" s="138"/>
      <c r="L568" s="138"/>
      <c r="M568" s="138"/>
      <c r="N568" s="11"/>
      <c r="O568" s="163"/>
      <c r="P568" s="156">
        <v>2700.0</v>
      </c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18"/>
      <c r="C569" s="11" t="s">
        <v>2635</v>
      </c>
      <c r="D569" s="11" t="s">
        <v>1586</v>
      </c>
      <c r="E569" s="32" t="s">
        <v>2636</v>
      </c>
      <c r="F569" s="11"/>
      <c r="G569" s="11" t="s">
        <v>1582</v>
      </c>
      <c r="H569" s="11" t="s">
        <v>2616</v>
      </c>
      <c r="I569" s="11">
        <v>30.0</v>
      </c>
      <c r="J569" s="138" t="s">
        <v>1589</v>
      </c>
      <c r="K569" s="138"/>
      <c r="L569" s="138"/>
      <c r="M569" s="138"/>
      <c r="N569" s="11">
        <v>20.0</v>
      </c>
      <c r="O569" s="163" t="s">
        <v>1554</v>
      </c>
      <c r="P569" s="139">
        <v>8500.0</v>
      </c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18"/>
      <c r="C570" s="11" t="s">
        <v>2637</v>
      </c>
      <c r="D570" s="11" t="s">
        <v>1586</v>
      </c>
      <c r="E570" s="32" t="s">
        <v>2638</v>
      </c>
      <c r="F570" s="11"/>
      <c r="G570" s="11" t="s">
        <v>1582</v>
      </c>
      <c r="H570" s="11" t="s">
        <v>2616</v>
      </c>
      <c r="I570" s="11">
        <v>90.0</v>
      </c>
      <c r="J570" s="138" t="s">
        <v>1589</v>
      </c>
      <c r="K570" s="138"/>
      <c r="L570" s="138"/>
      <c r="M570" s="138"/>
      <c r="N570" s="11">
        <v>20.0</v>
      </c>
      <c r="O570" s="163" t="s">
        <v>1554</v>
      </c>
      <c r="P570" s="139">
        <v>10000.0</v>
      </c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18"/>
      <c r="C571" s="11" t="s">
        <v>2639</v>
      </c>
      <c r="D571" s="11" t="s">
        <v>1586</v>
      </c>
      <c r="E571" s="32" t="s">
        <v>2640</v>
      </c>
      <c r="F571" s="11"/>
      <c r="G571" s="11" t="s">
        <v>1582</v>
      </c>
      <c r="H571" s="11" t="s">
        <v>2616</v>
      </c>
      <c r="I571" s="11">
        <v>90.0</v>
      </c>
      <c r="J571" s="138" t="s">
        <v>1589</v>
      </c>
      <c r="K571" s="138"/>
      <c r="L571" s="138"/>
      <c r="M571" s="138"/>
      <c r="N571" s="11"/>
      <c r="O571" s="163"/>
      <c r="P571" s="156">
        <v>3800.0</v>
      </c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18"/>
      <c r="C572" s="11" t="s">
        <v>2641</v>
      </c>
      <c r="D572" s="11" t="s">
        <v>1586</v>
      </c>
      <c r="E572" s="32" t="s">
        <v>2642</v>
      </c>
      <c r="F572" s="11"/>
      <c r="G572" s="11" t="s">
        <v>1582</v>
      </c>
      <c r="H572" s="11" t="s">
        <v>2616</v>
      </c>
      <c r="I572" s="11">
        <v>90.0</v>
      </c>
      <c r="J572" s="138" t="s">
        <v>1589</v>
      </c>
      <c r="K572" s="138"/>
      <c r="L572" s="138"/>
      <c r="M572" s="138"/>
      <c r="N572" s="11"/>
      <c r="O572" s="163"/>
      <c r="P572" s="156">
        <v>3800.0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18"/>
      <c r="C573" s="11" t="s">
        <v>2643</v>
      </c>
      <c r="D573" s="11" t="s">
        <v>1586</v>
      </c>
      <c r="E573" s="32" t="s">
        <v>2644</v>
      </c>
      <c r="F573" s="11"/>
      <c r="G573" s="11" t="s">
        <v>1582</v>
      </c>
      <c r="H573" s="11" t="s">
        <v>2616</v>
      </c>
      <c r="I573" s="11">
        <v>180.0</v>
      </c>
      <c r="J573" s="138" t="s">
        <v>1589</v>
      </c>
      <c r="K573" s="138"/>
      <c r="L573" s="138"/>
      <c r="M573" s="138"/>
      <c r="N573" s="11">
        <v>50.0</v>
      </c>
      <c r="O573" s="163" t="s">
        <v>1554</v>
      </c>
      <c r="P573" s="156">
        <v>2800.0</v>
      </c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18"/>
      <c r="C574" s="11" t="s">
        <v>2645</v>
      </c>
      <c r="D574" s="11" t="s">
        <v>1586</v>
      </c>
      <c r="E574" s="32" t="s">
        <v>2646</v>
      </c>
      <c r="F574" s="11"/>
      <c r="G574" s="11" t="s">
        <v>1582</v>
      </c>
      <c r="H574" s="11" t="s">
        <v>2616</v>
      </c>
      <c r="I574" s="11">
        <v>30.0</v>
      </c>
      <c r="J574" s="138" t="s">
        <v>1589</v>
      </c>
      <c r="K574" s="138"/>
      <c r="L574" s="138"/>
      <c r="M574" s="138"/>
      <c r="N574" s="11"/>
      <c r="O574" s="163"/>
      <c r="P574" s="156">
        <v>5800.0</v>
      </c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18"/>
      <c r="C575" s="11" t="s">
        <v>2647</v>
      </c>
      <c r="D575" s="11" t="s">
        <v>1586</v>
      </c>
      <c r="E575" s="32" t="s">
        <v>2648</v>
      </c>
      <c r="F575" s="11"/>
      <c r="G575" s="11" t="s">
        <v>1582</v>
      </c>
      <c r="H575" s="11" t="s">
        <v>2616</v>
      </c>
      <c r="I575" s="11">
        <v>180.0</v>
      </c>
      <c r="J575" s="138" t="s">
        <v>1589</v>
      </c>
      <c r="K575" s="138"/>
      <c r="L575" s="138"/>
      <c r="M575" s="138"/>
      <c r="N575" s="11"/>
      <c r="O575" s="163"/>
      <c r="P575" s="156">
        <v>5300.0</v>
      </c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18"/>
      <c r="C576" s="11" t="s">
        <v>2649</v>
      </c>
      <c r="D576" s="11" t="s">
        <v>1586</v>
      </c>
      <c r="E576" s="32" t="s">
        <v>2650</v>
      </c>
      <c r="F576" s="11"/>
      <c r="G576" s="11" t="s">
        <v>1582</v>
      </c>
      <c r="H576" s="11" t="s">
        <v>2616</v>
      </c>
      <c r="I576" s="11">
        <v>180.0</v>
      </c>
      <c r="J576" s="138" t="s">
        <v>1589</v>
      </c>
      <c r="K576" s="138"/>
      <c r="L576" s="138"/>
      <c r="M576" s="138"/>
      <c r="N576" s="11"/>
      <c r="O576" s="163"/>
      <c r="P576" s="156">
        <v>4000.0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18"/>
      <c r="C577" s="11" t="s">
        <v>2651</v>
      </c>
      <c r="D577" s="11" t="s">
        <v>1586</v>
      </c>
      <c r="E577" s="32" t="s">
        <v>2652</v>
      </c>
      <c r="F577" s="11"/>
      <c r="G577" s="11" t="s">
        <v>1582</v>
      </c>
      <c r="H577" s="11" t="s">
        <v>2616</v>
      </c>
      <c r="I577" s="11">
        <v>180.0</v>
      </c>
      <c r="J577" s="138" t="s">
        <v>1589</v>
      </c>
      <c r="K577" s="138"/>
      <c r="L577" s="138"/>
      <c r="M577" s="138"/>
      <c r="N577" s="11"/>
      <c r="O577" s="163"/>
      <c r="P577" s="156">
        <v>4000.0</v>
      </c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18"/>
      <c r="C578" s="11" t="s">
        <v>2653</v>
      </c>
      <c r="D578" s="11" t="s">
        <v>1586</v>
      </c>
      <c r="E578" s="32" t="s">
        <v>2654</v>
      </c>
      <c r="F578" s="11"/>
      <c r="G578" s="11" t="s">
        <v>1582</v>
      </c>
      <c r="H578" s="11" t="s">
        <v>2616</v>
      </c>
      <c r="I578" s="11">
        <v>90.0</v>
      </c>
      <c r="J578" s="138" t="s">
        <v>1589</v>
      </c>
      <c r="K578" s="138"/>
      <c r="L578" s="138"/>
      <c r="M578" s="138"/>
      <c r="N578" s="11"/>
      <c r="O578" s="163"/>
      <c r="P578" s="156">
        <v>3700.0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18"/>
      <c r="C579" s="11" t="s">
        <v>2655</v>
      </c>
      <c r="D579" s="11" t="s">
        <v>1586</v>
      </c>
      <c r="E579" s="32" t="s">
        <v>2656</v>
      </c>
      <c r="F579" s="11"/>
      <c r="G579" s="11" t="s">
        <v>1582</v>
      </c>
      <c r="H579" s="11" t="s">
        <v>2616</v>
      </c>
      <c r="I579" s="11">
        <v>90.0</v>
      </c>
      <c r="J579" s="138" t="s">
        <v>1589</v>
      </c>
      <c r="K579" s="138"/>
      <c r="L579" s="138"/>
      <c r="M579" s="138"/>
      <c r="N579" s="11"/>
      <c r="O579" s="163"/>
      <c r="P579" s="156">
        <v>3700.0</v>
      </c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18"/>
      <c r="C580" s="11" t="s">
        <v>2657</v>
      </c>
      <c r="D580" s="11" t="s">
        <v>1586</v>
      </c>
      <c r="E580" s="32" t="s">
        <v>2658</v>
      </c>
      <c r="F580" s="11"/>
      <c r="G580" s="11" t="s">
        <v>1582</v>
      </c>
      <c r="H580" s="11" t="s">
        <v>2616</v>
      </c>
      <c r="I580" s="11">
        <v>90.0</v>
      </c>
      <c r="J580" s="138" t="s">
        <v>1589</v>
      </c>
      <c r="K580" s="138"/>
      <c r="L580" s="138"/>
      <c r="M580" s="138"/>
      <c r="N580" s="11"/>
      <c r="O580" s="163"/>
      <c r="P580" s="156">
        <v>4300.0</v>
      </c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18"/>
      <c r="C581" s="11" t="s">
        <v>2659</v>
      </c>
      <c r="D581" s="11" t="s">
        <v>1586</v>
      </c>
      <c r="E581" s="32" t="s">
        <v>2660</v>
      </c>
      <c r="F581" s="11"/>
      <c r="G581" s="11" t="s">
        <v>1582</v>
      </c>
      <c r="H581" s="11" t="s">
        <v>2616</v>
      </c>
      <c r="I581" s="11">
        <v>180.0</v>
      </c>
      <c r="J581" s="138" t="s">
        <v>1589</v>
      </c>
      <c r="K581" s="138"/>
      <c r="L581" s="138"/>
      <c r="M581" s="138"/>
      <c r="N581" s="11"/>
      <c r="O581" s="163"/>
      <c r="P581" s="156">
        <v>3800.0</v>
      </c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18"/>
      <c r="C582" s="11" t="s">
        <v>2661</v>
      </c>
      <c r="D582" s="11" t="s">
        <v>1586</v>
      </c>
      <c r="E582" s="32" t="s">
        <v>2662</v>
      </c>
      <c r="F582" s="11"/>
      <c r="G582" s="11" t="s">
        <v>1582</v>
      </c>
      <c r="H582" s="11" t="s">
        <v>2616</v>
      </c>
      <c r="I582" s="11">
        <v>30.0</v>
      </c>
      <c r="J582" s="138" t="s">
        <v>1589</v>
      </c>
      <c r="K582" s="138"/>
      <c r="L582" s="138"/>
      <c r="M582" s="138"/>
      <c r="N582" s="11"/>
      <c r="O582" s="163"/>
      <c r="P582" s="156">
        <v>7500.0</v>
      </c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18"/>
      <c r="C583" s="11" t="s">
        <v>2663</v>
      </c>
      <c r="D583" s="11" t="s">
        <v>1586</v>
      </c>
      <c r="E583" s="32" t="s">
        <v>2664</v>
      </c>
      <c r="F583" s="11"/>
      <c r="G583" s="11" t="s">
        <v>1582</v>
      </c>
      <c r="H583" s="11" t="s">
        <v>2616</v>
      </c>
      <c r="I583" s="11">
        <v>0.0</v>
      </c>
      <c r="J583" s="138" t="s">
        <v>1589</v>
      </c>
      <c r="K583" s="138"/>
      <c r="L583" s="138"/>
      <c r="M583" s="138"/>
      <c r="N583" s="11"/>
      <c r="O583" s="163"/>
      <c r="P583" s="156">
        <v>4500.0</v>
      </c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18"/>
      <c r="C584" s="11" t="s">
        <v>2665</v>
      </c>
      <c r="D584" s="11" t="s">
        <v>1586</v>
      </c>
      <c r="E584" s="32" t="s">
        <v>2666</v>
      </c>
      <c r="F584" s="11"/>
      <c r="G584" s="11" t="s">
        <v>1582</v>
      </c>
      <c r="H584" s="11" t="s">
        <v>2616</v>
      </c>
      <c r="I584" s="11">
        <v>90.0</v>
      </c>
      <c r="J584" s="138" t="s">
        <v>1589</v>
      </c>
      <c r="K584" s="138"/>
      <c r="L584" s="138"/>
      <c r="M584" s="138"/>
      <c r="N584" s="11"/>
      <c r="O584" s="163"/>
      <c r="P584" s="156">
        <v>3800.0</v>
      </c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35"/>
      <c r="C585" s="36" t="s">
        <v>2667</v>
      </c>
      <c r="D585" s="36" t="s">
        <v>1586</v>
      </c>
      <c r="E585" s="158" t="s">
        <v>2668</v>
      </c>
      <c r="F585" s="36"/>
      <c r="G585" s="36" t="s">
        <v>1582</v>
      </c>
      <c r="H585" s="36" t="s">
        <v>2616</v>
      </c>
      <c r="I585" s="36">
        <v>90.0</v>
      </c>
      <c r="J585" s="141" t="s">
        <v>1589</v>
      </c>
      <c r="K585" s="141"/>
      <c r="L585" s="141"/>
      <c r="M585" s="141"/>
      <c r="N585" s="36"/>
      <c r="O585" s="164"/>
      <c r="P585" s="166">
        <v>4300.0</v>
      </c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147" t="s">
        <v>236</v>
      </c>
      <c r="C586" s="42" t="s">
        <v>2669</v>
      </c>
      <c r="D586" s="42" t="s">
        <v>1586</v>
      </c>
      <c r="E586" s="165" t="s">
        <v>2670</v>
      </c>
      <c r="F586" s="42"/>
      <c r="G586" s="42" t="s">
        <v>1582</v>
      </c>
      <c r="H586" s="42" t="s">
        <v>2671</v>
      </c>
      <c r="I586" s="42">
        <v>0.0</v>
      </c>
      <c r="J586" s="149" t="s">
        <v>1589</v>
      </c>
      <c r="K586" s="149"/>
      <c r="L586" s="149"/>
      <c r="M586" s="149"/>
      <c r="N586" s="42"/>
      <c r="O586" s="162"/>
      <c r="P586" s="136">
        <v>1.0</v>
      </c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18"/>
      <c r="C587" s="11" t="s">
        <v>2672</v>
      </c>
      <c r="D587" s="11" t="s">
        <v>1586</v>
      </c>
      <c r="E587" s="32" t="s">
        <v>2673</v>
      </c>
      <c r="F587" s="11"/>
      <c r="G587" s="11" t="s">
        <v>1582</v>
      </c>
      <c r="H587" s="11" t="s">
        <v>2671</v>
      </c>
      <c r="I587" s="11">
        <v>0.0</v>
      </c>
      <c r="J587" s="138" t="s">
        <v>1589</v>
      </c>
      <c r="K587" s="138"/>
      <c r="L587" s="138"/>
      <c r="M587" s="138"/>
      <c r="N587" s="11">
        <v>30.0</v>
      </c>
      <c r="O587" s="163" t="s">
        <v>1554</v>
      </c>
      <c r="P587" s="139">
        <v>700.0</v>
      </c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18"/>
      <c r="C588" s="11" t="s">
        <v>2674</v>
      </c>
      <c r="D588" s="11" t="s">
        <v>1586</v>
      </c>
      <c r="E588" s="32" t="s">
        <v>2675</v>
      </c>
      <c r="F588" s="11"/>
      <c r="G588" s="11" t="s">
        <v>1582</v>
      </c>
      <c r="H588" s="11" t="s">
        <v>2671</v>
      </c>
      <c r="I588" s="11">
        <v>0.0</v>
      </c>
      <c r="J588" s="138" t="s">
        <v>1589</v>
      </c>
      <c r="K588" s="138"/>
      <c r="L588" s="138"/>
      <c r="M588" s="138"/>
      <c r="N588" s="11">
        <v>30.0</v>
      </c>
      <c r="O588" s="163" t="s">
        <v>1554</v>
      </c>
      <c r="P588" s="139">
        <v>700.0</v>
      </c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18"/>
      <c r="C589" s="11" t="s">
        <v>2676</v>
      </c>
      <c r="D589" s="11" t="s">
        <v>1586</v>
      </c>
      <c r="E589" s="32" t="s">
        <v>2677</v>
      </c>
      <c r="F589" s="11"/>
      <c r="G589" s="11" t="s">
        <v>1582</v>
      </c>
      <c r="H589" s="11" t="s">
        <v>2671</v>
      </c>
      <c r="I589" s="11">
        <v>0.0</v>
      </c>
      <c r="J589" s="138" t="s">
        <v>1589</v>
      </c>
      <c r="K589" s="138"/>
      <c r="L589" s="138"/>
      <c r="M589" s="138"/>
      <c r="N589" s="11"/>
      <c r="O589" s="163"/>
      <c r="P589" s="139">
        <v>700.0</v>
      </c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18"/>
      <c r="C590" s="11" t="s">
        <v>2678</v>
      </c>
      <c r="D590" s="11" t="s">
        <v>1586</v>
      </c>
      <c r="E590" s="32" t="s">
        <v>2679</v>
      </c>
      <c r="F590" s="11"/>
      <c r="G590" s="11" t="s">
        <v>1582</v>
      </c>
      <c r="H590" s="11" t="s">
        <v>2671</v>
      </c>
      <c r="I590" s="11">
        <v>0.0</v>
      </c>
      <c r="J590" s="138" t="s">
        <v>1589</v>
      </c>
      <c r="K590" s="138"/>
      <c r="L590" s="138"/>
      <c r="M590" s="138"/>
      <c r="N590" s="11"/>
      <c r="O590" s="163"/>
      <c r="P590" s="139">
        <v>3700.0</v>
      </c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18"/>
      <c r="C591" s="11" t="s">
        <v>2680</v>
      </c>
      <c r="D591" s="11" t="s">
        <v>1586</v>
      </c>
      <c r="E591" s="32" t="s">
        <v>2681</v>
      </c>
      <c r="F591" s="11"/>
      <c r="G591" s="11" t="s">
        <v>1582</v>
      </c>
      <c r="H591" s="11" t="s">
        <v>2671</v>
      </c>
      <c r="I591" s="11">
        <v>180.0</v>
      </c>
      <c r="J591" s="138" t="s">
        <v>1589</v>
      </c>
      <c r="K591" s="138"/>
      <c r="L591" s="138"/>
      <c r="M591" s="138"/>
      <c r="N591" s="11"/>
      <c r="O591" s="163"/>
      <c r="P591" s="139">
        <v>4000.0</v>
      </c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18"/>
      <c r="C592" s="11" t="s">
        <v>2682</v>
      </c>
      <c r="D592" s="11" t="s">
        <v>1586</v>
      </c>
      <c r="E592" s="32" t="s">
        <v>2683</v>
      </c>
      <c r="F592" s="11"/>
      <c r="G592" s="11" t="s">
        <v>1582</v>
      </c>
      <c r="H592" s="11" t="s">
        <v>2671</v>
      </c>
      <c r="I592" s="11">
        <v>180.0</v>
      </c>
      <c r="J592" s="138" t="s">
        <v>1589</v>
      </c>
      <c r="K592" s="138"/>
      <c r="L592" s="138"/>
      <c r="M592" s="138"/>
      <c r="N592" s="11"/>
      <c r="O592" s="163"/>
      <c r="P592" s="139">
        <v>3200.0</v>
      </c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18"/>
      <c r="C593" s="11" t="s">
        <v>2684</v>
      </c>
      <c r="D593" s="11" t="s">
        <v>1586</v>
      </c>
      <c r="E593" s="32" t="s">
        <v>2685</v>
      </c>
      <c r="F593" s="11"/>
      <c r="G593" s="11" t="s">
        <v>1582</v>
      </c>
      <c r="H593" s="11" t="s">
        <v>2671</v>
      </c>
      <c r="I593" s="11">
        <v>90.0</v>
      </c>
      <c r="J593" s="138" t="s">
        <v>1589</v>
      </c>
      <c r="K593" s="138"/>
      <c r="L593" s="138"/>
      <c r="M593" s="138"/>
      <c r="N593" s="11"/>
      <c r="O593" s="163"/>
      <c r="P593" s="139">
        <v>4000.0</v>
      </c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18"/>
      <c r="C594" s="11" t="s">
        <v>2686</v>
      </c>
      <c r="D594" s="11" t="s">
        <v>1586</v>
      </c>
      <c r="E594" s="32" t="s">
        <v>2687</v>
      </c>
      <c r="F594" s="11"/>
      <c r="G594" s="11" t="s">
        <v>1582</v>
      </c>
      <c r="H594" s="11" t="s">
        <v>2671</v>
      </c>
      <c r="I594" s="11">
        <v>90.0</v>
      </c>
      <c r="J594" s="138" t="s">
        <v>1589</v>
      </c>
      <c r="K594" s="138"/>
      <c r="L594" s="138"/>
      <c r="M594" s="138"/>
      <c r="N594" s="11"/>
      <c r="O594" s="163"/>
      <c r="P594" s="139">
        <v>4000.0</v>
      </c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18"/>
      <c r="C595" s="11" t="s">
        <v>2688</v>
      </c>
      <c r="D595" s="11" t="s">
        <v>1586</v>
      </c>
      <c r="E595" s="32" t="s">
        <v>2689</v>
      </c>
      <c r="F595" s="11"/>
      <c r="G595" s="11" t="s">
        <v>1582</v>
      </c>
      <c r="H595" s="11" t="s">
        <v>2671</v>
      </c>
      <c r="I595" s="11">
        <v>90.0</v>
      </c>
      <c r="J595" s="138" t="s">
        <v>1589</v>
      </c>
      <c r="K595" s="138"/>
      <c r="L595" s="138"/>
      <c r="M595" s="138"/>
      <c r="N595" s="11"/>
      <c r="O595" s="163"/>
      <c r="P595" s="139">
        <v>3300.0</v>
      </c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18"/>
      <c r="C596" s="11" t="s">
        <v>2690</v>
      </c>
      <c r="D596" s="11" t="s">
        <v>1586</v>
      </c>
      <c r="E596" s="32" t="s">
        <v>2691</v>
      </c>
      <c r="F596" s="11"/>
      <c r="G596" s="11" t="s">
        <v>1582</v>
      </c>
      <c r="H596" s="11" t="s">
        <v>2671</v>
      </c>
      <c r="I596" s="11">
        <v>90.0</v>
      </c>
      <c r="J596" s="138" t="s">
        <v>1589</v>
      </c>
      <c r="K596" s="138"/>
      <c r="L596" s="138"/>
      <c r="M596" s="138"/>
      <c r="N596" s="11">
        <v>20.0</v>
      </c>
      <c r="O596" s="163" t="s">
        <v>1554</v>
      </c>
      <c r="P596" s="139">
        <v>8000.0</v>
      </c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18"/>
      <c r="C597" s="11" t="s">
        <v>2692</v>
      </c>
      <c r="D597" s="11" t="s">
        <v>1586</v>
      </c>
      <c r="E597" s="32" t="s">
        <v>2693</v>
      </c>
      <c r="F597" s="11"/>
      <c r="G597" s="11" t="s">
        <v>1582</v>
      </c>
      <c r="H597" s="11" t="s">
        <v>2671</v>
      </c>
      <c r="I597" s="11">
        <v>90.0</v>
      </c>
      <c r="J597" s="138" t="s">
        <v>1589</v>
      </c>
      <c r="K597" s="138"/>
      <c r="L597" s="138"/>
      <c r="M597" s="138"/>
      <c r="N597" s="11">
        <v>20.0</v>
      </c>
      <c r="O597" s="163" t="s">
        <v>1554</v>
      </c>
      <c r="P597" s="139">
        <v>1.0</v>
      </c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18"/>
      <c r="C598" s="11" t="s">
        <v>2694</v>
      </c>
      <c r="D598" s="11" t="s">
        <v>1586</v>
      </c>
      <c r="E598" s="32" t="s">
        <v>2695</v>
      </c>
      <c r="F598" s="11"/>
      <c r="G598" s="11" t="s">
        <v>1582</v>
      </c>
      <c r="H598" s="11" t="s">
        <v>2671</v>
      </c>
      <c r="I598" s="11">
        <v>90.0</v>
      </c>
      <c r="J598" s="138" t="s">
        <v>1589</v>
      </c>
      <c r="K598" s="138"/>
      <c r="L598" s="138"/>
      <c r="M598" s="138"/>
      <c r="N598" s="11"/>
      <c r="O598" s="163"/>
      <c r="P598" s="139">
        <v>4100.0</v>
      </c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18"/>
      <c r="C599" s="11" t="s">
        <v>2696</v>
      </c>
      <c r="D599" s="11" t="s">
        <v>1586</v>
      </c>
      <c r="E599" s="32" t="s">
        <v>2697</v>
      </c>
      <c r="F599" s="11"/>
      <c r="G599" s="11" t="s">
        <v>1582</v>
      </c>
      <c r="H599" s="11" t="s">
        <v>2671</v>
      </c>
      <c r="I599" s="11">
        <v>90.0</v>
      </c>
      <c r="J599" s="138" t="s">
        <v>1589</v>
      </c>
      <c r="K599" s="138"/>
      <c r="L599" s="138"/>
      <c r="M599" s="138"/>
      <c r="N599" s="11"/>
      <c r="O599" s="163"/>
      <c r="P599" s="139">
        <v>4700.0</v>
      </c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18"/>
      <c r="C600" s="11" t="s">
        <v>2698</v>
      </c>
      <c r="D600" s="11" t="s">
        <v>1586</v>
      </c>
      <c r="E600" s="32" t="s">
        <v>2699</v>
      </c>
      <c r="F600" s="11"/>
      <c r="G600" s="11" t="s">
        <v>1582</v>
      </c>
      <c r="H600" s="11" t="s">
        <v>2671</v>
      </c>
      <c r="I600" s="11">
        <v>180.0</v>
      </c>
      <c r="J600" s="138" t="s">
        <v>1589</v>
      </c>
      <c r="K600" s="138"/>
      <c r="L600" s="138"/>
      <c r="M600" s="138"/>
      <c r="N600" s="11">
        <v>50.0</v>
      </c>
      <c r="O600" s="163" t="s">
        <v>1554</v>
      </c>
      <c r="P600" s="139">
        <v>3000.0</v>
      </c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18"/>
      <c r="C601" s="11" t="s">
        <v>2700</v>
      </c>
      <c r="D601" s="11" t="s">
        <v>1586</v>
      </c>
      <c r="E601" s="32" t="s">
        <v>2701</v>
      </c>
      <c r="F601" s="11"/>
      <c r="G601" s="11" t="s">
        <v>1582</v>
      </c>
      <c r="H601" s="11" t="s">
        <v>2671</v>
      </c>
      <c r="I601" s="11">
        <v>90.0</v>
      </c>
      <c r="J601" s="138" t="s">
        <v>1589</v>
      </c>
      <c r="K601" s="138"/>
      <c r="L601" s="138"/>
      <c r="M601" s="138"/>
      <c r="N601" s="11"/>
      <c r="O601" s="163"/>
      <c r="P601" s="139">
        <v>6700.0</v>
      </c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18"/>
      <c r="C602" s="11" t="s">
        <v>2702</v>
      </c>
      <c r="D602" s="11" t="s">
        <v>1586</v>
      </c>
      <c r="E602" s="32" t="s">
        <v>2703</v>
      </c>
      <c r="F602" s="11"/>
      <c r="G602" s="11" t="s">
        <v>1582</v>
      </c>
      <c r="H602" s="11" t="s">
        <v>2671</v>
      </c>
      <c r="I602" s="11">
        <v>180.0</v>
      </c>
      <c r="J602" s="138" t="s">
        <v>1589</v>
      </c>
      <c r="K602" s="138"/>
      <c r="L602" s="138"/>
      <c r="M602" s="138"/>
      <c r="N602" s="11"/>
      <c r="O602" s="163"/>
      <c r="P602" s="139">
        <v>6000.0</v>
      </c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18"/>
      <c r="C603" s="11" t="s">
        <v>2704</v>
      </c>
      <c r="D603" s="11" t="s">
        <v>1586</v>
      </c>
      <c r="E603" s="32" t="s">
        <v>2705</v>
      </c>
      <c r="F603" s="11"/>
      <c r="G603" s="11" t="s">
        <v>1582</v>
      </c>
      <c r="H603" s="11" t="s">
        <v>2671</v>
      </c>
      <c r="I603" s="11">
        <v>180.0</v>
      </c>
      <c r="J603" s="138" t="s">
        <v>1589</v>
      </c>
      <c r="K603" s="138"/>
      <c r="L603" s="138"/>
      <c r="M603" s="138"/>
      <c r="N603" s="11"/>
      <c r="O603" s="163"/>
      <c r="P603" s="139">
        <v>4600.0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18"/>
      <c r="C604" s="11" t="s">
        <v>2706</v>
      </c>
      <c r="D604" s="11" t="s">
        <v>1586</v>
      </c>
      <c r="E604" s="32" t="s">
        <v>2707</v>
      </c>
      <c r="F604" s="11"/>
      <c r="G604" s="11" t="s">
        <v>1582</v>
      </c>
      <c r="H604" s="11" t="s">
        <v>2671</v>
      </c>
      <c r="I604" s="11">
        <v>90.0</v>
      </c>
      <c r="J604" s="138" t="s">
        <v>1589</v>
      </c>
      <c r="K604" s="138"/>
      <c r="L604" s="138"/>
      <c r="M604" s="138"/>
      <c r="N604" s="11"/>
      <c r="O604" s="163"/>
      <c r="P604" s="139">
        <v>5000.0</v>
      </c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18"/>
      <c r="C605" s="11" t="s">
        <v>2708</v>
      </c>
      <c r="D605" s="11" t="s">
        <v>1586</v>
      </c>
      <c r="E605" s="32" t="s">
        <v>2709</v>
      </c>
      <c r="F605" s="11"/>
      <c r="G605" s="11" t="s">
        <v>1582</v>
      </c>
      <c r="H605" s="11" t="s">
        <v>2671</v>
      </c>
      <c r="I605" s="11">
        <v>90.0</v>
      </c>
      <c r="J605" s="138" t="s">
        <v>1589</v>
      </c>
      <c r="K605" s="138"/>
      <c r="L605" s="138"/>
      <c r="M605" s="138"/>
      <c r="N605" s="11"/>
      <c r="O605" s="163"/>
      <c r="P605" s="139">
        <v>3600.0</v>
      </c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18"/>
      <c r="C606" s="11" t="s">
        <v>2710</v>
      </c>
      <c r="D606" s="11" t="s">
        <v>1586</v>
      </c>
      <c r="E606" s="32" t="s">
        <v>2711</v>
      </c>
      <c r="F606" s="11"/>
      <c r="G606" s="11" t="s">
        <v>1582</v>
      </c>
      <c r="H606" s="11" t="s">
        <v>2671</v>
      </c>
      <c r="I606" s="11">
        <v>90.0</v>
      </c>
      <c r="J606" s="138" t="s">
        <v>1589</v>
      </c>
      <c r="K606" s="138"/>
      <c r="L606" s="138"/>
      <c r="M606" s="138"/>
      <c r="N606" s="11"/>
      <c r="O606" s="163"/>
      <c r="P606" s="139">
        <v>3600.0</v>
      </c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18"/>
      <c r="C607" s="11" t="s">
        <v>2712</v>
      </c>
      <c r="D607" s="11" t="s">
        <v>1586</v>
      </c>
      <c r="E607" s="32" t="s">
        <v>2713</v>
      </c>
      <c r="F607" s="11"/>
      <c r="G607" s="11" t="s">
        <v>1582</v>
      </c>
      <c r="H607" s="11" t="s">
        <v>2671</v>
      </c>
      <c r="I607" s="11">
        <v>90.0</v>
      </c>
      <c r="J607" s="138" t="s">
        <v>1589</v>
      </c>
      <c r="K607" s="138"/>
      <c r="L607" s="138"/>
      <c r="M607" s="138"/>
      <c r="N607" s="11"/>
      <c r="O607" s="163"/>
      <c r="P607" s="139">
        <v>4200.0</v>
      </c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18"/>
      <c r="C608" s="11" t="s">
        <v>2714</v>
      </c>
      <c r="D608" s="11" t="s">
        <v>1586</v>
      </c>
      <c r="E608" s="32" t="s">
        <v>2715</v>
      </c>
      <c r="F608" s="11"/>
      <c r="G608" s="11" t="s">
        <v>1582</v>
      </c>
      <c r="H608" s="11" t="s">
        <v>2671</v>
      </c>
      <c r="I608" s="11">
        <v>90.0</v>
      </c>
      <c r="J608" s="138" t="s">
        <v>1589</v>
      </c>
      <c r="K608" s="138"/>
      <c r="L608" s="138"/>
      <c r="M608" s="138"/>
      <c r="N608" s="11"/>
      <c r="O608" s="163"/>
      <c r="P608" s="139">
        <v>4700.0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18"/>
      <c r="C609" s="11" t="s">
        <v>2716</v>
      </c>
      <c r="D609" s="11" t="s">
        <v>1586</v>
      </c>
      <c r="E609" s="32" t="s">
        <v>2717</v>
      </c>
      <c r="F609" s="11"/>
      <c r="G609" s="11" t="s">
        <v>1582</v>
      </c>
      <c r="H609" s="11" t="s">
        <v>2671</v>
      </c>
      <c r="I609" s="11">
        <v>90.0</v>
      </c>
      <c r="J609" s="138" t="s">
        <v>1589</v>
      </c>
      <c r="K609" s="138"/>
      <c r="L609" s="138"/>
      <c r="M609" s="138"/>
      <c r="N609" s="11"/>
      <c r="O609" s="163"/>
      <c r="P609" s="139">
        <v>8000.0</v>
      </c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18"/>
      <c r="C610" s="11" t="s">
        <v>2718</v>
      </c>
      <c r="D610" s="11" t="s">
        <v>1586</v>
      </c>
      <c r="E610" s="32" t="s">
        <v>2719</v>
      </c>
      <c r="F610" s="11"/>
      <c r="G610" s="11" t="s">
        <v>1582</v>
      </c>
      <c r="H610" s="11" t="s">
        <v>2671</v>
      </c>
      <c r="I610" s="11">
        <v>90.0</v>
      </c>
      <c r="J610" s="138" t="s">
        <v>1589</v>
      </c>
      <c r="K610" s="138"/>
      <c r="L610" s="138"/>
      <c r="M610" s="138"/>
      <c r="N610" s="11"/>
      <c r="O610" s="163"/>
      <c r="P610" s="139">
        <v>5500.0</v>
      </c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18"/>
      <c r="C611" s="11" t="s">
        <v>2720</v>
      </c>
      <c r="D611" s="11" t="s">
        <v>1586</v>
      </c>
      <c r="E611" s="32" t="s">
        <v>2721</v>
      </c>
      <c r="F611" s="11"/>
      <c r="G611" s="11" t="s">
        <v>1582</v>
      </c>
      <c r="H611" s="11" t="s">
        <v>2671</v>
      </c>
      <c r="I611" s="11">
        <v>90.0</v>
      </c>
      <c r="J611" s="138" t="s">
        <v>1589</v>
      </c>
      <c r="K611" s="138"/>
      <c r="L611" s="138"/>
      <c r="M611" s="138"/>
      <c r="N611" s="11"/>
      <c r="O611" s="163"/>
      <c r="P611" s="139">
        <v>4700.0</v>
      </c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35"/>
      <c r="C612" s="36" t="s">
        <v>2722</v>
      </c>
      <c r="D612" s="36" t="s">
        <v>1586</v>
      </c>
      <c r="E612" s="158" t="s">
        <v>2723</v>
      </c>
      <c r="F612" s="36"/>
      <c r="G612" s="36" t="s">
        <v>1582</v>
      </c>
      <c r="H612" s="36" t="s">
        <v>2671</v>
      </c>
      <c r="I612" s="36">
        <v>90.0</v>
      </c>
      <c r="J612" s="141" t="s">
        <v>1589</v>
      </c>
      <c r="K612" s="141"/>
      <c r="L612" s="141"/>
      <c r="M612" s="141"/>
      <c r="N612" s="36"/>
      <c r="O612" s="164"/>
      <c r="P612" s="142">
        <v>5200.0</v>
      </c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147" t="s">
        <v>238</v>
      </c>
      <c r="C613" s="42" t="s">
        <v>2724</v>
      </c>
      <c r="D613" s="42" t="s">
        <v>1586</v>
      </c>
      <c r="E613" s="165" t="s">
        <v>2725</v>
      </c>
      <c r="F613" s="42"/>
      <c r="G613" s="42" t="s">
        <v>1582</v>
      </c>
      <c r="H613" s="42" t="s">
        <v>2726</v>
      </c>
      <c r="I613" s="42">
        <v>0.0</v>
      </c>
      <c r="J613" s="149" t="s">
        <v>1589</v>
      </c>
      <c r="K613" s="149"/>
      <c r="L613" s="149"/>
      <c r="M613" s="149"/>
      <c r="N613" s="42"/>
      <c r="O613" s="162"/>
      <c r="P613" s="136">
        <v>1.0</v>
      </c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18"/>
      <c r="C614" s="11" t="s">
        <v>2727</v>
      </c>
      <c r="D614" s="11" t="s">
        <v>1586</v>
      </c>
      <c r="E614" s="32" t="s">
        <v>2728</v>
      </c>
      <c r="F614" s="11"/>
      <c r="G614" s="11" t="s">
        <v>1582</v>
      </c>
      <c r="H614" s="11" t="s">
        <v>2726</v>
      </c>
      <c r="I614" s="11">
        <v>0.0</v>
      </c>
      <c r="J614" s="138" t="s">
        <v>1589</v>
      </c>
      <c r="K614" s="138"/>
      <c r="L614" s="138"/>
      <c r="M614" s="138"/>
      <c r="N614" s="11">
        <v>30.0</v>
      </c>
      <c r="O614" s="163" t="s">
        <v>1554</v>
      </c>
      <c r="P614" s="139">
        <v>700.0</v>
      </c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18"/>
      <c r="C615" s="11" t="s">
        <v>2729</v>
      </c>
      <c r="D615" s="11" t="s">
        <v>1586</v>
      </c>
      <c r="E615" s="32" t="s">
        <v>2730</v>
      </c>
      <c r="F615" s="11"/>
      <c r="G615" s="11" t="s">
        <v>1582</v>
      </c>
      <c r="H615" s="11" t="s">
        <v>2726</v>
      </c>
      <c r="I615" s="11">
        <v>0.0</v>
      </c>
      <c r="J615" s="138" t="s">
        <v>1589</v>
      </c>
      <c r="K615" s="138"/>
      <c r="L615" s="138"/>
      <c r="M615" s="138"/>
      <c r="N615" s="11">
        <v>30.0</v>
      </c>
      <c r="O615" s="163" t="s">
        <v>1554</v>
      </c>
      <c r="P615" s="139">
        <v>700.0</v>
      </c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18"/>
      <c r="C616" s="11" t="s">
        <v>2731</v>
      </c>
      <c r="D616" s="11" t="s">
        <v>1586</v>
      </c>
      <c r="E616" s="32" t="s">
        <v>2732</v>
      </c>
      <c r="F616" s="11"/>
      <c r="G616" s="11" t="s">
        <v>1582</v>
      </c>
      <c r="H616" s="11" t="s">
        <v>2726</v>
      </c>
      <c r="I616" s="11">
        <v>0.0</v>
      </c>
      <c r="J616" s="138" t="s">
        <v>1589</v>
      </c>
      <c r="K616" s="138"/>
      <c r="L616" s="138"/>
      <c r="M616" s="138"/>
      <c r="N616" s="11"/>
      <c r="O616" s="163"/>
      <c r="P616" s="139">
        <v>700.0</v>
      </c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18"/>
      <c r="C617" s="11" t="s">
        <v>2733</v>
      </c>
      <c r="D617" s="11" t="s">
        <v>1586</v>
      </c>
      <c r="E617" s="32" t="s">
        <v>2734</v>
      </c>
      <c r="F617" s="11"/>
      <c r="G617" s="11" t="s">
        <v>1582</v>
      </c>
      <c r="H617" s="11" t="s">
        <v>2726</v>
      </c>
      <c r="I617" s="11">
        <v>0.0</v>
      </c>
      <c r="J617" s="138" t="s">
        <v>1589</v>
      </c>
      <c r="K617" s="138"/>
      <c r="L617" s="138"/>
      <c r="M617" s="138"/>
      <c r="N617" s="11"/>
      <c r="O617" s="163"/>
      <c r="P617" s="139">
        <v>3700.0</v>
      </c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18"/>
      <c r="C618" s="11" t="s">
        <v>2735</v>
      </c>
      <c r="D618" s="11" t="s">
        <v>1586</v>
      </c>
      <c r="E618" s="32" t="s">
        <v>2736</v>
      </c>
      <c r="F618" s="11"/>
      <c r="G618" s="11" t="s">
        <v>1582</v>
      </c>
      <c r="H618" s="11" t="s">
        <v>2726</v>
      </c>
      <c r="I618" s="11">
        <v>180.0</v>
      </c>
      <c r="J618" s="138" t="s">
        <v>1589</v>
      </c>
      <c r="K618" s="138"/>
      <c r="L618" s="138"/>
      <c r="M618" s="138"/>
      <c r="N618" s="11"/>
      <c r="O618" s="163"/>
      <c r="P618" s="139">
        <v>4000.0</v>
      </c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18"/>
      <c r="C619" s="11" t="s">
        <v>2737</v>
      </c>
      <c r="D619" s="11" t="s">
        <v>1586</v>
      </c>
      <c r="E619" s="32" t="s">
        <v>2738</v>
      </c>
      <c r="F619" s="11"/>
      <c r="G619" s="11" t="s">
        <v>1582</v>
      </c>
      <c r="H619" s="11" t="s">
        <v>2726</v>
      </c>
      <c r="I619" s="11">
        <v>180.0</v>
      </c>
      <c r="J619" s="138" t="s">
        <v>1589</v>
      </c>
      <c r="K619" s="138"/>
      <c r="L619" s="138"/>
      <c r="M619" s="138"/>
      <c r="N619" s="11"/>
      <c r="O619" s="163"/>
      <c r="P619" s="139">
        <v>3200.0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18"/>
      <c r="C620" s="11" t="s">
        <v>2739</v>
      </c>
      <c r="D620" s="11" t="s">
        <v>1586</v>
      </c>
      <c r="E620" s="32" t="s">
        <v>2740</v>
      </c>
      <c r="F620" s="11"/>
      <c r="G620" s="11" t="s">
        <v>1582</v>
      </c>
      <c r="H620" s="11" t="s">
        <v>2726</v>
      </c>
      <c r="I620" s="11">
        <v>90.0</v>
      </c>
      <c r="J620" s="138" t="s">
        <v>1589</v>
      </c>
      <c r="K620" s="138"/>
      <c r="L620" s="138"/>
      <c r="M620" s="138"/>
      <c r="N620" s="11"/>
      <c r="O620" s="163"/>
      <c r="P620" s="139">
        <v>4000.0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18"/>
      <c r="C621" s="11" t="s">
        <v>2741</v>
      </c>
      <c r="D621" s="11" t="s">
        <v>1586</v>
      </c>
      <c r="E621" s="32" t="s">
        <v>2742</v>
      </c>
      <c r="F621" s="11"/>
      <c r="G621" s="11" t="s">
        <v>1582</v>
      </c>
      <c r="H621" s="11" t="s">
        <v>2726</v>
      </c>
      <c r="I621" s="11">
        <v>90.0</v>
      </c>
      <c r="J621" s="138" t="s">
        <v>1589</v>
      </c>
      <c r="K621" s="138"/>
      <c r="L621" s="138"/>
      <c r="M621" s="138"/>
      <c r="N621" s="11"/>
      <c r="O621" s="163"/>
      <c r="P621" s="139">
        <v>4000.0</v>
      </c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18"/>
      <c r="C622" s="11" t="s">
        <v>2743</v>
      </c>
      <c r="D622" s="11" t="s">
        <v>1586</v>
      </c>
      <c r="E622" s="32" t="s">
        <v>2744</v>
      </c>
      <c r="F622" s="11"/>
      <c r="G622" s="11" t="s">
        <v>1582</v>
      </c>
      <c r="H622" s="11" t="s">
        <v>2726</v>
      </c>
      <c r="I622" s="11">
        <v>90.0</v>
      </c>
      <c r="J622" s="138" t="s">
        <v>1589</v>
      </c>
      <c r="K622" s="138"/>
      <c r="L622" s="138"/>
      <c r="M622" s="138"/>
      <c r="N622" s="11"/>
      <c r="O622" s="163"/>
      <c r="P622" s="139">
        <v>3300.0</v>
      </c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18"/>
      <c r="C623" s="11" t="s">
        <v>2745</v>
      </c>
      <c r="D623" s="11" t="s">
        <v>1586</v>
      </c>
      <c r="E623" s="32" t="s">
        <v>2746</v>
      </c>
      <c r="F623" s="11"/>
      <c r="G623" s="11" t="s">
        <v>1582</v>
      </c>
      <c r="H623" s="11" t="s">
        <v>2726</v>
      </c>
      <c r="I623" s="11">
        <v>90.0</v>
      </c>
      <c r="J623" s="138" t="s">
        <v>1589</v>
      </c>
      <c r="K623" s="138"/>
      <c r="L623" s="138"/>
      <c r="M623" s="138"/>
      <c r="N623" s="11">
        <v>20.0</v>
      </c>
      <c r="O623" s="163" t="s">
        <v>1554</v>
      </c>
      <c r="P623" s="139">
        <v>8500.0</v>
      </c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18"/>
      <c r="C624" s="11" t="s">
        <v>2747</v>
      </c>
      <c r="D624" s="11" t="s">
        <v>1586</v>
      </c>
      <c r="E624" s="32" t="s">
        <v>2748</v>
      </c>
      <c r="F624" s="11"/>
      <c r="G624" s="11" t="s">
        <v>1582</v>
      </c>
      <c r="H624" s="11" t="s">
        <v>2726</v>
      </c>
      <c r="I624" s="11">
        <v>90.0</v>
      </c>
      <c r="J624" s="138" t="s">
        <v>1589</v>
      </c>
      <c r="K624" s="138"/>
      <c r="L624" s="138"/>
      <c r="M624" s="138"/>
      <c r="N624" s="11">
        <v>20.0</v>
      </c>
      <c r="O624" s="163" t="s">
        <v>1554</v>
      </c>
      <c r="P624" s="139">
        <v>1.0</v>
      </c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18"/>
      <c r="C625" s="11" t="s">
        <v>2749</v>
      </c>
      <c r="D625" s="11" t="s">
        <v>1586</v>
      </c>
      <c r="E625" s="32" t="s">
        <v>2750</v>
      </c>
      <c r="F625" s="11"/>
      <c r="G625" s="11" t="s">
        <v>1582</v>
      </c>
      <c r="H625" s="11" t="s">
        <v>2726</v>
      </c>
      <c r="I625" s="11">
        <v>90.0</v>
      </c>
      <c r="J625" s="138" t="s">
        <v>1589</v>
      </c>
      <c r="K625" s="138"/>
      <c r="L625" s="138"/>
      <c r="M625" s="138"/>
      <c r="N625" s="11"/>
      <c r="O625" s="163"/>
      <c r="P625" s="139">
        <v>4100.0</v>
      </c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18"/>
      <c r="C626" s="11" t="s">
        <v>2751</v>
      </c>
      <c r="D626" s="11" t="s">
        <v>1586</v>
      </c>
      <c r="E626" s="32" t="s">
        <v>2752</v>
      </c>
      <c r="F626" s="11"/>
      <c r="G626" s="11" t="s">
        <v>1582</v>
      </c>
      <c r="H626" s="11" t="s">
        <v>2726</v>
      </c>
      <c r="I626" s="11">
        <v>90.0</v>
      </c>
      <c r="J626" s="138" t="s">
        <v>1589</v>
      </c>
      <c r="K626" s="138"/>
      <c r="L626" s="138"/>
      <c r="M626" s="138"/>
      <c r="N626" s="11"/>
      <c r="O626" s="163"/>
      <c r="P626" s="139">
        <v>4700.0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18"/>
      <c r="C627" s="11" t="s">
        <v>2753</v>
      </c>
      <c r="D627" s="11" t="s">
        <v>1586</v>
      </c>
      <c r="E627" s="32" t="s">
        <v>2754</v>
      </c>
      <c r="F627" s="11"/>
      <c r="G627" s="11" t="s">
        <v>1582</v>
      </c>
      <c r="H627" s="11" t="s">
        <v>2726</v>
      </c>
      <c r="I627" s="11">
        <v>180.0</v>
      </c>
      <c r="J627" s="138" t="s">
        <v>1589</v>
      </c>
      <c r="K627" s="138"/>
      <c r="L627" s="138"/>
      <c r="M627" s="138"/>
      <c r="N627" s="11">
        <v>50.0</v>
      </c>
      <c r="O627" s="163" t="s">
        <v>1554</v>
      </c>
      <c r="P627" s="139">
        <v>3000.0</v>
      </c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18"/>
      <c r="C628" s="11" t="s">
        <v>2755</v>
      </c>
      <c r="D628" s="11" t="s">
        <v>1586</v>
      </c>
      <c r="E628" s="32" t="s">
        <v>2756</v>
      </c>
      <c r="F628" s="11"/>
      <c r="G628" s="11" t="s">
        <v>1582</v>
      </c>
      <c r="H628" s="11" t="s">
        <v>2726</v>
      </c>
      <c r="I628" s="11">
        <v>90.0</v>
      </c>
      <c r="J628" s="138" t="s">
        <v>1589</v>
      </c>
      <c r="K628" s="138"/>
      <c r="L628" s="138"/>
      <c r="M628" s="138"/>
      <c r="N628" s="11"/>
      <c r="O628" s="163"/>
      <c r="P628" s="139">
        <v>6700.0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18"/>
      <c r="C629" s="11" t="s">
        <v>2757</v>
      </c>
      <c r="D629" s="11" t="s">
        <v>1586</v>
      </c>
      <c r="E629" s="32" t="s">
        <v>2758</v>
      </c>
      <c r="F629" s="11"/>
      <c r="G629" s="11" t="s">
        <v>1582</v>
      </c>
      <c r="H629" s="11" t="s">
        <v>2726</v>
      </c>
      <c r="I629" s="11">
        <v>180.0</v>
      </c>
      <c r="J629" s="138" t="s">
        <v>1589</v>
      </c>
      <c r="K629" s="138"/>
      <c r="L629" s="138"/>
      <c r="M629" s="138"/>
      <c r="N629" s="11"/>
      <c r="O629" s="163"/>
      <c r="P629" s="139">
        <v>6000.0</v>
      </c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18"/>
      <c r="C630" s="11" t="s">
        <v>2759</v>
      </c>
      <c r="D630" s="11" t="s">
        <v>1586</v>
      </c>
      <c r="E630" s="32" t="s">
        <v>2760</v>
      </c>
      <c r="F630" s="11"/>
      <c r="G630" s="11" t="s">
        <v>1582</v>
      </c>
      <c r="H630" s="11" t="s">
        <v>2726</v>
      </c>
      <c r="I630" s="11">
        <v>180.0</v>
      </c>
      <c r="J630" s="138" t="s">
        <v>1589</v>
      </c>
      <c r="K630" s="138"/>
      <c r="L630" s="138"/>
      <c r="M630" s="138"/>
      <c r="N630" s="11"/>
      <c r="O630" s="163"/>
      <c r="P630" s="139">
        <v>4600.0</v>
      </c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18"/>
      <c r="C631" s="11" t="s">
        <v>2761</v>
      </c>
      <c r="D631" s="11" t="s">
        <v>1586</v>
      </c>
      <c r="E631" s="32" t="s">
        <v>2762</v>
      </c>
      <c r="F631" s="11"/>
      <c r="G631" s="11" t="s">
        <v>1582</v>
      </c>
      <c r="H631" s="11" t="s">
        <v>2726</v>
      </c>
      <c r="I631" s="11">
        <v>90.0</v>
      </c>
      <c r="J631" s="138" t="s">
        <v>1589</v>
      </c>
      <c r="K631" s="138"/>
      <c r="L631" s="138"/>
      <c r="M631" s="138"/>
      <c r="N631" s="11"/>
      <c r="O631" s="163"/>
      <c r="P631" s="139">
        <v>5000.0</v>
      </c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18"/>
      <c r="C632" s="11" t="s">
        <v>2763</v>
      </c>
      <c r="D632" s="11" t="s">
        <v>1586</v>
      </c>
      <c r="E632" s="32" t="s">
        <v>2764</v>
      </c>
      <c r="F632" s="11"/>
      <c r="G632" s="11" t="s">
        <v>1582</v>
      </c>
      <c r="H632" s="11" t="s">
        <v>2726</v>
      </c>
      <c r="I632" s="11">
        <v>90.0</v>
      </c>
      <c r="J632" s="138" t="s">
        <v>1589</v>
      </c>
      <c r="K632" s="138"/>
      <c r="L632" s="138"/>
      <c r="M632" s="138"/>
      <c r="N632" s="11"/>
      <c r="O632" s="163"/>
      <c r="P632" s="139">
        <v>3600.0</v>
      </c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18"/>
      <c r="C633" s="11" t="s">
        <v>2765</v>
      </c>
      <c r="D633" s="11" t="s">
        <v>1586</v>
      </c>
      <c r="E633" s="32" t="s">
        <v>2766</v>
      </c>
      <c r="F633" s="11"/>
      <c r="G633" s="11" t="s">
        <v>1582</v>
      </c>
      <c r="H633" s="11" t="s">
        <v>2726</v>
      </c>
      <c r="I633" s="11">
        <v>90.0</v>
      </c>
      <c r="J633" s="138" t="s">
        <v>1589</v>
      </c>
      <c r="K633" s="138"/>
      <c r="L633" s="138"/>
      <c r="M633" s="138"/>
      <c r="N633" s="11"/>
      <c r="O633" s="163"/>
      <c r="P633" s="139">
        <v>3600.0</v>
      </c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18"/>
      <c r="C634" s="11" t="s">
        <v>2767</v>
      </c>
      <c r="D634" s="11" t="s">
        <v>1586</v>
      </c>
      <c r="E634" s="32" t="s">
        <v>2768</v>
      </c>
      <c r="F634" s="11"/>
      <c r="G634" s="11" t="s">
        <v>1582</v>
      </c>
      <c r="H634" s="11" t="s">
        <v>2726</v>
      </c>
      <c r="I634" s="11">
        <v>90.0</v>
      </c>
      <c r="J634" s="138" t="s">
        <v>1589</v>
      </c>
      <c r="K634" s="138"/>
      <c r="L634" s="138"/>
      <c r="M634" s="138"/>
      <c r="N634" s="11"/>
      <c r="O634" s="163"/>
      <c r="P634" s="139">
        <v>4200.0</v>
      </c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18"/>
      <c r="C635" s="11" t="s">
        <v>2769</v>
      </c>
      <c r="D635" s="11" t="s">
        <v>1586</v>
      </c>
      <c r="E635" s="32" t="s">
        <v>2770</v>
      </c>
      <c r="F635" s="11"/>
      <c r="G635" s="11" t="s">
        <v>1582</v>
      </c>
      <c r="H635" s="11" t="s">
        <v>2726</v>
      </c>
      <c r="I635" s="11">
        <v>90.0</v>
      </c>
      <c r="J635" s="138" t="s">
        <v>1589</v>
      </c>
      <c r="K635" s="138"/>
      <c r="L635" s="138"/>
      <c r="M635" s="138"/>
      <c r="N635" s="11"/>
      <c r="O635" s="163"/>
      <c r="P635" s="139">
        <v>4700.0</v>
      </c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18"/>
      <c r="C636" s="11" t="s">
        <v>2771</v>
      </c>
      <c r="D636" s="11" t="s">
        <v>1586</v>
      </c>
      <c r="E636" s="32" t="s">
        <v>2772</v>
      </c>
      <c r="F636" s="11"/>
      <c r="G636" s="11" t="s">
        <v>1582</v>
      </c>
      <c r="H636" s="11" t="s">
        <v>2726</v>
      </c>
      <c r="I636" s="11">
        <v>90.0</v>
      </c>
      <c r="J636" s="138" t="s">
        <v>1589</v>
      </c>
      <c r="K636" s="138"/>
      <c r="L636" s="138"/>
      <c r="M636" s="138"/>
      <c r="N636" s="11"/>
      <c r="O636" s="163"/>
      <c r="P636" s="139">
        <v>8000.0</v>
      </c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18"/>
      <c r="C637" s="11" t="s">
        <v>2773</v>
      </c>
      <c r="D637" s="11" t="s">
        <v>1586</v>
      </c>
      <c r="E637" s="32" t="s">
        <v>2774</v>
      </c>
      <c r="F637" s="11"/>
      <c r="G637" s="11" t="s">
        <v>1582</v>
      </c>
      <c r="H637" s="11" t="s">
        <v>2726</v>
      </c>
      <c r="I637" s="11">
        <v>90.0</v>
      </c>
      <c r="J637" s="138" t="s">
        <v>1589</v>
      </c>
      <c r="K637" s="138"/>
      <c r="L637" s="138"/>
      <c r="M637" s="138"/>
      <c r="N637" s="11"/>
      <c r="O637" s="163"/>
      <c r="P637" s="139">
        <v>5500.0</v>
      </c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18"/>
      <c r="C638" s="11" t="s">
        <v>2775</v>
      </c>
      <c r="D638" s="11" t="s">
        <v>1586</v>
      </c>
      <c r="E638" s="32" t="s">
        <v>2776</v>
      </c>
      <c r="F638" s="11"/>
      <c r="G638" s="11" t="s">
        <v>1582</v>
      </c>
      <c r="H638" s="11" t="s">
        <v>2726</v>
      </c>
      <c r="I638" s="11">
        <v>90.0</v>
      </c>
      <c r="J638" s="138" t="s">
        <v>1589</v>
      </c>
      <c r="K638" s="138"/>
      <c r="L638" s="138"/>
      <c r="M638" s="138"/>
      <c r="N638" s="11"/>
      <c r="O638" s="163"/>
      <c r="P638" s="139">
        <v>4700.0</v>
      </c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35"/>
      <c r="C639" s="36" t="s">
        <v>2777</v>
      </c>
      <c r="D639" s="36" t="s">
        <v>1586</v>
      </c>
      <c r="E639" s="158" t="s">
        <v>2778</v>
      </c>
      <c r="F639" s="36"/>
      <c r="G639" s="36" t="s">
        <v>1582</v>
      </c>
      <c r="H639" s="36" t="s">
        <v>2726</v>
      </c>
      <c r="I639" s="36">
        <v>90.0</v>
      </c>
      <c r="J639" s="141" t="s">
        <v>1589</v>
      </c>
      <c r="K639" s="141"/>
      <c r="L639" s="141"/>
      <c r="M639" s="141"/>
      <c r="N639" s="36"/>
      <c r="O639" s="164"/>
      <c r="P639" s="142">
        <v>5200.0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147" t="s">
        <v>246</v>
      </c>
      <c r="C640" s="42" t="s">
        <v>2779</v>
      </c>
      <c r="D640" s="42" t="s">
        <v>1586</v>
      </c>
      <c r="E640" s="165" t="s">
        <v>2780</v>
      </c>
      <c r="F640" s="42"/>
      <c r="G640" s="42" t="s">
        <v>1582</v>
      </c>
      <c r="H640" s="42" t="s">
        <v>2781</v>
      </c>
      <c r="I640" s="42">
        <v>0.0</v>
      </c>
      <c r="J640" s="149" t="s">
        <v>1589</v>
      </c>
      <c r="K640" s="149"/>
      <c r="L640" s="149"/>
      <c r="M640" s="149"/>
      <c r="N640" s="42"/>
      <c r="O640" s="162"/>
      <c r="P640" s="136">
        <v>1.0</v>
      </c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18"/>
      <c r="C641" s="11" t="s">
        <v>2782</v>
      </c>
      <c r="D641" s="11" t="s">
        <v>1586</v>
      </c>
      <c r="E641" s="32" t="s">
        <v>2783</v>
      </c>
      <c r="F641" s="11"/>
      <c r="G641" s="11" t="s">
        <v>1582</v>
      </c>
      <c r="H641" s="11" t="s">
        <v>2781</v>
      </c>
      <c r="I641" s="11">
        <v>0.0</v>
      </c>
      <c r="J641" s="138" t="s">
        <v>1589</v>
      </c>
      <c r="K641" s="138"/>
      <c r="L641" s="138"/>
      <c r="M641" s="138"/>
      <c r="N641" s="11">
        <v>30.0</v>
      </c>
      <c r="O641" s="163" t="s">
        <v>1554</v>
      </c>
      <c r="P641" s="139">
        <v>800.0</v>
      </c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18"/>
      <c r="C642" s="11" t="s">
        <v>2784</v>
      </c>
      <c r="D642" s="11" t="s">
        <v>1586</v>
      </c>
      <c r="E642" s="32" t="s">
        <v>2785</v>
      </c>
      <c r="F642" s="11"/>
      <c r="G642" s="11" t="s">
        <v>1582</v>
      </c>
      <c r="H642" s="11" t="s">
        <v>2781</v>
      </c>
      <c r="I642" s="11">
        <v>0.0</v>
      </c>
      <c r="J642" s="138" t="s">
        <v>1589</v>
      </c>
      <c r="K642" s="138"/>
      <c r="L642" s="138"/>
      <c r="M642" s="138"/>
      <c r="N642" s="11">
        <v>30.0</v>
      </c>
      <c r="O642" s="163" t="s">
        <v>1554</v>
      </c>
      <c r="P642" s="139">
        <v>800.0</v>
      </c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18"/>
      <c r="C643" s="11" t="s">
        <v>2786</v>
      </c>
      <c r="D643" s="11" t="s">
        <v>1586</v>
      </c>
      <c r="E643" s="32" t="s">
        <v>2787</v>
      </c>
      <c r="F643" s="11"/>
      <c r="G643" s="11" t="s">
        <v>1582</v>
      </c>
      <c r="H643" s="11" t="s">
        <v>2781</v>
      </c>
      <c r="I643" s="11">
        <v>0.0</v>
      </c>
      <c r="J643" s="138" t="s">
        <v>1589</v>
      </c>
      <c r="K643" s="138"/>
      <c r="L643" s="138"/>
      <c r="M643" s="138"/>
      <c r="N643" s="11"/>
      <c r="O643" s="163"/>
      <c r="P643" s="139">
        <v>700.0</v>
      </c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18"/>
      <c r="C644" s="11" t="s">
        <v>2788</v>
      </c>
      <c r="D644" s="11" t="s">
        <v>1586</v>
      </c>
      <c r="E644" s="32" t="s">
        <v>2789</v>
      </c>
      <c r="F644" s="11"/>
      <c r="G644" s="11" t="s">
        <v>1582</v>
      </c>
      <c r="H644" s="11" t="s">
        <v>2781</v>
      </c>
      <c r="I644" s="11">
        <v>0.0</v>
      </c>
      <c r="J644" s="138" t="s">
        <v>1589</v>
      </c>
      <c r="K644" s="138"/>
      <c r="L644" s="138"/>
      <c r="M644" s="138"/>
      <c r="N644" s="11"/>
      <c r="O644" s="163"/>
      <c r="P644" s="139">
        <v>4200.0</v>
      </c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18"/>
      <c r="C645" s="11" t="s">
        <v>2790</v>
      </c>
      <c r="D645" s="11" t="s">
        <v>1586</v>
      </c>
      <c r="E645" s="32" t="s">
        <v>2791</v>
      </c>
      <c r="F645" s="11"/>
      <c r="G645" s="11" t="s">
        <v>1582</v>
      </c>
      <c r="H645" s="11" t="s">
        <v>2781</v>
      </c>
      <c r="I645" s="11">
        <v>180.0</v>
      </c>
      <c r="J645" s="138" t="s">
        <v>1589</v>
      </c>
      <c r="K645" s="138"/>
      <c r="L645" s="138"/>
      <c r="M645" s="138"/>
      <c r="N645" s="11"/>
      <c r="O645" s="163"/>
      <c r="P645" s="139">
        <v>4300.0</v>
      </c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18"/>
      <c r="C646" s="11" t="s">
        <v>2792</v>
      </c>
      <c r="D646" s="11" t="s">
        <v>1586</v>
      </c>
      <c r="E646" s="32" t="s">
        <v>2793</v>
      </c>
      <c r="F646" s="11"/>
      <c r="G646" s="11" t="s">
        <v>1582</v>
      </c>
      <c r="H646" s="11" t="s">
        <v>2781</v>
      </c>
      <c r="I646" s="11">
        <v>180.0</v>
      </c>
      <c r="J646" s="138" t="s">
        <v>1589</v>
      </c>
      <c r="K646" s="138"/>
      <c r="L646" s="138"/>
      <c r="M646" s="138"/>
      <c r="N646" s="11"/>
      <c r="O646" s="163"/>
      <c r="P646" s="139">
        <v>3200.0</v>
      </c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18"/>
      <c r="C647" s="11" t="s">
        <v>2794</v>
      </c>
      <c r="D647" s="11" t="s">
        <v>1586</v>
      </c>
      <c r="E647" s="32" t="s">
        <v>2795</v>
      </c>
      <c r="F647" s="11"/>
      <c r="G647" s="11" t="s">
        <v>1582</v>
      </c>
      <c r="H647" s="11" t="s">
        <v>2781</v>
      </c>
      <c r="I647" s="11">
        <v>90.0</v>
      </c>
      <c r="J647" s="138" t="s">
        <v>1589</v>
      </c>
      <c r="K647" s="138"/>
      <c r="L647" s="138"/>
      <c r="M647" s="138"/>
      <c r="N647" s="11"/>
      <c r="O647" s="163"/>
      <c r="P647" s="139">
        <v>4500.0</v>
      </c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18"/>
      <c r="C648" s="11" t="s">
        <v>2796</v>
      </c>
      <c r="D648" s="11" t="s">
        <v>1586</v>
      </c>
      <c r="E648" s="32" t="s">
        <v>2797</v>
      </c>
      <c r="F648" s="11"/>
      <c r="G648" s="11" t="s">
        <v>1582</v>
      </c>
      <c r="H648" s="11" t="s">
        <v>2781</v>
      </c>
      <c r="I648" s="11">
        <v>90.0</v>
      </c>
      <c r="J648" s="138" t="s">
        <v>1589</v>
      </c>
      <c r="K648" s="138"/>
      <c r="L648" s="138"/>
      <c r="M648" s="138"/>
      <c r="N648" s="11"/>
      <c r="O648" s="163"/>
      <c r="P648" s="139">
        <v>4300.0</v>
      </c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18"/>
      <c r="C649" s="11" t="s">
        <v>2798</v>
      </c>
      <c r="D649" s="11" t="s">
        <v>1586</v>
      </c>
      <c r="E649" s="32" t="s">
        <v>2799</v>
      </c>
      <c r="F649" s="11"/>
      <c r="G649" s="11" t="s">
        <v>1582</v>
      </c>
      <c r="H649" s="11" t="s">
        <v>2781</v>
      </c>
      <c r="I649" s="11">
        <v>90.0</v>
      </c>
      <c r="J649" s="138" t="s">
        <v>1589</v>
      </c>
      <c r="K649" s="138"/>
      <c r="L649" s="138"/>
      <c r="M649" s="138"/>
      <c r="N649" s="11"/>
      <c r="O649" s="163"/>
      <c r="P649" s="139">
        <v>3300.0</v>
      </c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18"/>
      <c r="C650" s="11" t="s">
        <v>2800</v>
      </c>
      <c r="D650" s="11" t="s">
        <v>1586</v>
      </c>
      <c r="E650" s="32" t="s">
        <v>2801</v>
      </c>
      <c r="F650" s="11"/>
      <c r="G650" s="11" t="s">
        <v>1582</v>
      </c>
      <c r="H650" s="11" t="s">
        <v>2781</v>
      </c>
      <c r="I650" s="11">
        <v>90.0</v>
      </c>
      <c r="J650" s="138" t="s">
        <v>1589</v>
      </c>
      <c r="K650" s="138"/>
      <c r="L650" s="138"/>
      <c r="M650" s="138"/>
      <c r="N650" s="11">
        <v>20.0</v>
      </c>
      <c r="O650" s="163" t="s">
        <v>1554</v>
      </c>
      <c r="P650" s="139">
        <v>10000.0</v>
      </c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18"/>
      <c r="C651" s="11" t="s">
        <v>2802</v>
      </c>
      <c r="D651" s="11" t="s">
        <v>1586</v>
      </c>
      <c r="E651" s="32" t="s">
        <v>2803</v>
      </c>
      <c r="F651" s="11"/>
      <c r="G651" s="11" t="s">
        <v>1582</v>
      </c>
      <c r="H651" s="11" t="s">
        <v>2781</v>
      </c>
      <c r="I651" s="11">
        <v>90.0</v>
      </c>
      <c r="J651" s="138" t="s">
        <v>1589</v>
      </c>
      <c r="K651" s="138"/>
      <c r="L651" s="138"/>
      <c r="M651" s="138"/>
      <c r="N651" s="11">
        <v>20.0</v>
      </c>
      <c r="O651" s="163" t="s">
        <v>1554</v>
      </c>
      <c r="P651" s="139">
        <v>1.0</v>
      </c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18"/>
      <c r="C652" s="11" t="s">
        <v>2804</v>
      </c>
      <c r="D652" s="11" t="s">
        <v>1586</v>
      </c>
      <c r="E652" s="32" t="s">
        <v>2805</v>
      </c>
      <c r="F652" s="11"/>
      <c r="G652" s="11" t="s">
        <v>1582</v>
      </c>
      <c r="H652" s="11" t="s">
        <v>2781</v>
      </c>
      <c r="I652" s="11">
        <v>90.0</v>
      </c>
      <c r="J652" s="138" t="s">
        <v>1589</v>
      </c>
      <c r="K652" s="138"/>
      <c r="L652" s="138"/>
      <c r="M652" s="138"/>
      <c r="N652" s="11"/>
      <c r="O652" s="163"/>
      <c r="P652" s="139">
        <v>4400.0</v>
      </c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18"/>
      <c r="C653" s="11" t="s">
        <v>2806</v>
      </c>
      <c r="D653" s="11" t="s">
        <v>1586</v>
      </c>
      <c r="E653" s="32" t="s">
        <v>2807</v>
      </c>
      <c r="F653" s="11"/>
      <c r="G653" s="11" t="s">
        <v>1582</v>
      </c>
      <c r="H653" s="11" t="s">
        <v>2781</v>
      </c>
      <c r="I653" s="11">
        <v>90.0</v>
      </c>
      <c r="J653" s="138" t="s">
        <v>1589</v>
      </c>
      <c r="K653" s="138"/>
      <c r="L653" s="138"/>
      <c r="M653" s="138"/>
      <c r="N653" s="11"/>
      <c r="O653" s="163"/>
      <c r="P653" s="139">
        <v>5000.0</v>
      </c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18"/>
      <c r="C654" s="11" t="s">
        <v>2808</v>
      </c>
      <c r="D654" s="11" t="s">
        <v>1586</v>
      </c>
      <c r="E654" s="32" t="s">
        <v>2809</v>
      </c>
      <c r="F654" s="11"/>
      <c r="G654" s="11" t="s">
        <v>1582</v>
      </c>
      <c r="H654" s="11" t="s">
        <v>2781</v>
      </c>
      <c r="I654" s="11">
        <v>180.0</v>
      </c>
      <c r="J654" s="138" t="s">
        <v>1589</v>
      </c>
      <c r="K654" s="138"/>
      <c r="L654" s="138"/>
      <c r="M654" s="138"/>
      <c r="N654" s="11">
        <v>50.0</v>
      </c>
      <c r="O654" s="163" t="s">
        <v>1554</v>
      </c>
      <c r="P654" s="139">
        <v>3400.0</v>
      </c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18"/>
      <c r="C655" s="11" t="s">
        <v>2810</v>
      </c>
      <c r="D655" s="11" t="s">
        <v>1586</v>
      </c>
      <c r="E655" s="32" t="s">
        <v>2811</v>
      </c>
      <c r="F655" s="11"/>
      <c r="G655" s="11" t="s">
        <v>1582</v>
      </c>
      <c r="H655" s="11" t="s">
        <v>2781</v>
      </c>
      <c r="I655" s="11">
        <v>90.0</v>
      </c>
      <c r="J655" s="138" t="s">
        <v>1589</v>
      </c>
      <c r="K655" s="138"/>
      <c r="L655" s="138"/>
      <c r="M655" s="138"/>
      <c r="N655" s="11"/>
      <c r="O655" s="163"/>
      <c r="P655" s="139">
        <v>6700.0</v>
      </c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18"/>
      <c r="C656" s="11" t="s">
        <v>2812</v>
      </c>
      <c r="D656" s="11" t="s">
        <v>1586</v>
      </c>
      <c r="E656" s="32" t="s">
        <v>2813</v>
      </c>
      <c r="F656" s="11"/>
      <c r="G656" s="11" t="s">
        <v>1582</v>
      </c>
      <c r="H656" s="11" t="s">
        <v>2781</v>
      </c>
      <c r="I656" s="11">
        <v>180.0</v>
      </c>
      <c r="J656" s="138" t="s">
        <v>1589</v>
      </c>
      <c r="K656" s="138"/>
      <c r="L656" s="138"/>
      <c r="M656" s="138"/>
      <c r="N656" s="11"/>
      <c r="O656" s="163"/>
      <c r="P656" s="139">
        <v>6300.0</v>
      </c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18"/>
      <c r="C657" s="11" t="s">
        <v>2814</v>
      </c>
      <c r="D657" s="11" t="s">
        <v>1586</v>
      </c>
      <c r="E657" s="32" t="s">
        <v>2815</v>
      </c>
      <c r="F657" s="11"/>
      <c r="G657" s="11" t="s">
        <v>1582</v>
      </c>
      <c r="H657" s="11" t="s">
        <v>2781</v>
      </c>
      <c r="I657" s="11">
        <v>180.0</v>
      </c>
      <c r="J657" s="138" t="s">
        <v>1589</v>
      </c>
      <c r="K657" s="138"/>
      <c r="L657" s="138"/>
      <c r="M657" s="138"/>
      <c r="N657" s="11"/>
      <c r="O657" s="163"/>
      <c r="P657" s="139">
        <v>4600.0</v>
      </c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18"/>
      <c r="C658" s="11" t="s">
        <v>2816</v>
      </c>
      <c r="D658" s="11" t="s">
        <v>1586</v>
      </c>
      <c r="E658" s="32" t="s">
        <v>2817</v>
      </c>
      <c r="F658" s="11"/>
      <c r="G658" s="11" t="s">
        <v>1582</v>
      </c>
      <c r="H658" s="11" t="s">
        <v>2781</v>
      </c>
      <c r="I658" s="11">
        <v>90.0</v>
      </c>
      <c r="J658" s="138" t="s">
        <v>1589</v>
      </c>
      <c r="K658" s="138"/>
      <c r="L658" s="138"/>
      <c r="M658" s="138"/>
      <c r="N658" s="11"/>
      <c r="O658" s="163"/>
      <c r="P658" s="139">
        <v>5000.0</v>
      </c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18"/>
      <c r="C659" s="11" t="s">
        <v>2818</v>
      </c>
      <c r="D659" s="11" t="s">
        <v>1586</v>
      </c>
      <c r="E659" s="32" t="s">
        <v>2819</v>
      </c>
      <c r="F659" s="11"/>
      <c r="G659" s="11" t="s">
        <v>1582</v>
      </c>
      <c r="H659" s="11" t="s">
        <v>2781</v>
      </c>
      <c r="I659" s="11">
        <v>90.0</v>
      </c>
      <c r="J659" s="138" t="s">
        <v>1589</v>
      </c>
      <c r="K659" s="138"/>
      <c r="L659" s="138"/>
      <c r="M659" s="138"/>
      <c r="N659" s="11"/>
      <c r="O659" s="163"/>
      <c r="P659" s="139">
        <v>4300.0</v>
      </c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18"/>
      <c r="C660" s="11" t="s">
        <v>2820</v>
      </c>
      <c r="D660" s="11" t="s">
        <v>1586</v>
      </c>
      <c r="E660" s="32" t="s">
        <v>2821</v>
      </c>
      <c r="F660" s="11"/>
      <c r="G660" s="11" t="s">
        <v>1582</v>
      </c>
      <c r="H660" s="11" t="s">
        <v>2781</v>
      </c>
      <c r="I660" s="11">
        <v>90.0</v>
      </c>
      <c r="J660" s="138" t="s">
        <v>1589</v>
      </c>
      <c r="K660" s="138"/>
      <c r="L660" s="138"/>
      <c r="M660" s="138"/>
      <c r="N660" s="11"/>
      <c r="O660" s="163"/>
      <c r="P660" s="139">
        <v>4300.0</v>
      </c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18"/>
      <c r="C661" s="11" t="s">
        <v>2822</v>
      </c>
      <c r="D661" s="11" t="s">
        <v>1586</v>
      </c>
      <c r="E661" s="32" t="s">
        <v>2823</v>
      </c>
      <c r="F661" s="11"/>
      <c r="G661" s="11" t="s">
        <v>1582</v>
      </c>
      <c r="H661" s="11" t="s">
        <v>2781</v>
      </c>
      <c r="I661" s="11">
        <v>90.0</v>
      </c>
      <c r="J661" s="138" t="s">
        <v>1589</v>
      </c>
      <c r="K661" s="138"/>
      <c r="L661" s="138"/>
      <c r="M661" s="138"/>
      <c r="N661" s="11"/>
      <c r="O661" s="163"/>
      <c r="P661" s="139">
        <v>4900.0</v>
      </c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18"/>
      <c r="C662" s="11" t="s">
        <v>2824</v>
      </c>
      <c r="D662" s="11" t="s">
        <v>1586</v>
      </c>
      <c r="E662" s="32" t="s">
        <v>2825</v>
      </c>
      <c r="F662" s="11"/>
      <c r="G662" s="11" t="s">
        <v>1582</v>
      </c>
      <c r="H662" s="11" t="s">
        <v>2781</v>
      </c>
      <c r="I662" s="11">
        <v>90.0</v>
      </c>
      <c r="J662" s="138" t="s">
        <v>1589</v>
      </c>
      <c r="K662" s="138"/>
      <c r="L662" s="138"/>
      <c r="M662" s="138"/>
      <c r="N662" s="11"/>
      <c r="O662" s="163"/>
      <c r="P662" s="139">
        <v>4700.0</v>
      </c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18"/>
      <c r="C663" s="11" t="s">
        <v>2826</v>
      </c>
      <c r="D663" s="11" t="s">
        <v>1586</v>
      </c>
      <c r="E663" s="32" t="s">
        <v>2827</v>
      </c>
      <c r="F663" s="11"/>
      <c r="G663" s="11" t="s">
        <v>1582</v>
      </c>
      <c r="H663" s="11" t="s">
        <v>2781</v>
      </c>
      <c r="I663" s="11">
        <v>90.0</v>
      </c>
      <c r="J663" s="138" t="s">
        <v>1589</v>
      </c>
      <c r="K663" s="138"/>
      <c r="L663" s="138"/>
      <c r="M663" s="138"/>
      <c r="N663" s="11"/>
      <c r="O663" s="163"/>
      <c r="P663" s="139">
        <v>8500.0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18"/>
      <c r="C664" s="11" t="s">
        <v>2828</v>
      </c>
      <c r="D664" s="11" t="s">
        <v>1586</v>
      </c>
      <c r="E664" s="32" t="s">
        <v>2829</v>
      </c>
      <c r="F664" s="11"/>
      <c r="G664" s="11" t="s">
        <v>1582</v>
      </c>
      <c r="H664" s="11" t="s">
        <v>2781</v>
      </c>
      <c r="I664" s="11">
        <v>90.0</v>
      </c>
      <c r="J664" s="138" t="s">
        <v>1589</v>
      </c>
      <c r="K664" s="138"/>
      <c r="L664" s="138"/>
      <c r="M664" s="138"/>
      <c r="N664" s="11"/>
      <c r="O664" s="163"/>
      <c r="P664" s="139">
        <v>5500.0</v>
      </c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18"/>
      <c r="C665" s="11" t="s">
        <v>2830</v>
      </c>
      <c r="D665" s="11" t="s">
        <v>1586</v>
      </c>
      <c r="E665" s="32" t="s">
        <v>2831</v>
      </c>
      <c r="F665" s="11"/>
      <c r="G665" s="11" t="s">
        <v>1582</v>
      </c>
      <c r="H665" s="11" t="s">
        <v>2781</v>
      </c>
      <c r="I665" s="11">
        <v>90.0</v>
      </c>
      <c r="J665" s="138" t="s">
        <v>1589</v>
      </c>
      <c r="K665" s="138"/>
      <c r="L665" s="138"/>
      <c r="M665" s="138"/>
      <c r="N665" s="11"/>
      <c r="O665" s="163"/>
      <c r="P665" s="139">
        <v>4700.0</v>
      </c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35"/>
      <c r="C666" s="36" t="s">
        <v>2832</v>
      </c>
      <c r="D666" s="36" t="s">
        <v>1586</v>
      </c>
      <c r="E666" s="158" t="s">
        <v>2833</v>
      </c>
      <c r="F666" s="36"/>
      <c r="G666" s="36" t="s">
        <v>1582</v>
      </c>
      <c r="H666" s="36" t="s">
        <v>2781</v>
      </c>
      <c r="I666" s="36">
        <v>90.0</v>
      </c>
      <c r="J666" s="141" t="s">
        <v>1589</v>
      </c>
      <c r="K666" s="141"/>
      <c r="L666" s="141"/>
      <c r="M666" s="141"/>
      <c r="N666" s="36"/>
      <c r="O666" s="164"/>
      <c r="P666" s="142">
        <v>5200.0</v>
      </c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147" t="s">
        <v>254</v>
      </c>
      <c r="C667" s="42" t="s">
        <v>2834</v>
      </c>
      <c r="D667" s="42" t="s">
        <v>1586</v>
      </c>
      <c r="E667" s="165" t="s">
        <v>2835</v>
      </c>
      <c r="F667" s="42"/>
      <c r="G667" s="42" t="s">
        <v>1582</v>
      </c>
      <c r="H667" s="42" t="s">
        <v>2836</v>
      </c>
      <c r="I667" s="42">
        <v>0.0</v>
      </c>
      <c r="J667" s="149" t="s">
        <v>1589</v>
      </c>
      <c r="K667" s="149"/>
      <c r="L667" s="149"/>
      <c r="M667" s="149"/>
      <c r="N667" s="42"/>
      <c r="O667" s="162"/>
      <c r="P667" s="136">
        <v>1.0</v>
      </c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18"/>
      <c r="C668" s="11" t="s">
        <v>2837</v>
      </c>
      <c r="D668" s="11" t="s">
        <v>1586</v>
      </c>
      <c r="E668" s="32" t="s">
        <v>2838</v>
      </c>
      <c r="F668" s="11"/>
      <c r="G668" s="11" t="s">
        <v>1582</v>
      </c>
      <c r="H668" s="11" t="s">
        <v>2836</v>
      </c>
      <c r="I668" s="11">
        <v>0.0</v>
      </c>
      <c r="J668" s="138" t="s">
        <v>1589</v>
      </c>
      <c r="K668" s="138"/>
      <c r="L668" s="138"/>
      <c r="M668" s="138"/>
      <c r="N668" s="11">
        <v>30.0</v>
      </c>
      <c r="O668" s="163" t="s">
        <v>1554</v>
      </c>
      <c r="P668" s="139">
        <v>800.0</v>
      </c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18"/>
      <c r="C669" s="11" t="s">
        <v>2839</v>
      </c>
      <c r="D669" s="11" t="s">
        <v>1586</v>
      </c>
      <c r="E669" s="32" t="s">
        <v>2840</v>
      </c>
      <c r="F669" s="11"/>
      <c r="G669" s="11" t="s">
        <v>1582</v>
      </c>
      <c r="H669" s="11" t="s">
        <v>2836</v>
      </c>
      <c r="I669" s="11">
        <v>0.0</v>
      </c>
      <c r="J669" s="138" t="s">
        <v>1589</v>
      </c>
      <c r="K669" s="138"/>
      <c r="L669" s="138"/>
      <c r="M669" s="138"/>
      <c r="N669" s="11">
        <v>30.0</v>
      </c>
      <c r="O669" s="163" t="s">
        <v>1554</v>
      </c>
      <c r="P669" s="139">
        <v>800.0</v>
      </c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18"/>
      <c r="C670" s="11" t="s">
        <v>2841</v>
      </c>
      <c r="D670" s="11" t="s">
        <v>1586</v>
      </c>
      <c r="E670" s="32" t="s">
        <v>2842</v>
      </c>
      <c r="F670" s="11"/>
      <c r="G670" s="11" t="s">
        <v>1582</v>
      </c>
      <c r="H670" s="11" t="s">
        <v>2836</v>
      </c>
      <c r="I670" s="11">
        <v>0.0</v>
      </c>
      <c r="J670" s="138" t="s">
        <v>1589</v>
      </c>
      <c r="K670" s="138"/>
      <c r="L670" s="138"/>
      <c r="M670" s="138"/>
      <c r="N670" s="11"/>
      <c r="O670" s="163"/>
      <c r="P670" s="139">
        <v>700.0</v>
      </c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18"/>
      <c r="C671" s="11" t="s">
        <v>2843</v>
      </c>
      <c r="D671" s="11" t="s">
        <v>1586</v>
      </c>
      <c r="E671" s="32" t="s">
        <v>2844</v>
      </c>
      <c r="F671" s="11"/>
      <c r="G671" s="11" t="s">
        <v>1582</v>
      </c>
      <c r="H671" s="11" t="s">
        <v>2836</v>
      </c>
      <c r="I671" s="11">
        <v>0.0</v>
      </c>
      <c r="J671" s="138" t="s">
        <v>1589</v>
      </c>
      <c r="K671" s="138"/>
      <c r="L671" s="138"/>
      <c r="M671" s="138"/>
      <c r="N671" s="11"/>
      <c r="O671" s="163"/>
      <c r="P671" s="139">
        <v>4200.0</v>
      </c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18"/>
      <c r="C672" s="11" t="s">
        <v>2845</v>
      </c>
      <c r="D672" s="11" t="s">
        <v>1586</v>
      </c>
      <c r="E672" s="32" t="s">
        <v>2846</v>
      </c>
      <c r="F672" s="11"/>
      <c r="G672" s="11" t="s">
        <v>1582</v>
      </c>
      <c r="H672" s="11" t="s">
        <v>2836</v>
      </c>
      <c r="I672" s="11">
        <v>180.0</v>
      </c>
      <c r="J672" s="138" t="s">
        <v>1589</v>
      </c>
      <c r="K672" s="138"/>
      <c r="L672" s="138"/>
      <c r="M672" s="138"/>
      <c r="N672" s="11"/>
      <c r="O672" s="163"/>
      <c r="P672" s="139">
        <v>4300.0</v>
      </c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18"/>
      <c r="C673" s="11" t="s">
        <v>2847</v>
      </c>
      <c r="D673" s="11" t="s">
        <v>1586</v>
      </c>
      <c r="E673" s="32" t="s">
        <v>2848</v>
      </c>
      <c r="F673" s="11"/>
      <c r="G673" s="11" t="s">
        <v>1582</v>
      </c>
      <c r="H673" s="11" t="s">
        <v>2836</v>
      </c>
      <c r="I673" s="11">
        <v>180.0</v>
      </c>
      <c r="J673" s="138" t="s">
        <v>1589</v>
      </c>
      <c r="K673" s="138"/>
      <c r="L673" s="138"/>
      <c r="M673" s="138"/>
      <c r="N673" s="11"/>
      <c r="O673" s="163"/>
      <c r="P673" s="139">
        <v>3200.0</v>
      </c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18"/>
      <c r="C674" s="11" t="s">
        <v>2849</v>
      </c>
      <c r="D674" s="11" t="s">
        <v>1586</v>
      </c>
      <c r="E674" s="32" t="s">
        <v>2850</v>
      </c>
      <c r="F674" s="11"/>
      <c r="G674" s="11" t="s">
        <v>1582</v>
      </c>
      <c r="H674" s="11" t="s">
        <v>2836</v>
      </c>
      <c r="I674" s="11">
        <v>90.0</v>
      </c>
      <c r="J674" s="138" t="s">
        <v>1589</v>
      </c>
      <c r="K674" s="138"/>
      <c r="L674" s="138"/>
      <c r="M674" s="138"/>
      <c r="N674" s="11"/>
      <c r="O674" s="163"/>
      <c r="P674" s="139">
        <v>4500.0</v>
      </c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18"/>
      <c r="C675" s="11" t="s">
        <v>2851</v>
      </c>
      <c r="D675" s="11" t="s">
        <v>1586</v>
      </c>
      <c r="E675" s="32" t="s">
        <v>2852</v>
      </c>
      <c r="F675" s="11"/>
      <c r="G675" s="11" t="s">
        <v>1582</v>
      </c>
      <c r="H675" s="11" t="s">
        <v>2836</v>
      </c>
      <c r="I675" s="11">
        <v>90.0</v>
      </c>
      <c r="J675" s="138" t="s">
        <v>1589</v>
      </c>
      <c r="K675" s="138"/>
      <c r="L675" s="138"/>
      <c r="M675" s="138"/>
      <c r="N675" s="11"/>
      <c r="O675" s="163"/>
      <c r="P675" s="139">
        <v>4300.0</v>
      </c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18"/>
      <c r="C676" s="11" t="s">
        <v>2853</v>
      </c>
      <c r="D676" s="11" t="s">
        <v>1586</v>
      </c>
      <c r="E676" s="32" t="s">
        <v>2854</v>
      </c>
      <c r="F676" s="11"/>
      <c r="G676" s="11" t="s">
        <v>1582</v>
      </c>
      <c r="H676" s="11" t="s">
        <v>2836</v>
      </c>
      <c r="I676" s="11">
        <v>90.0</v>
      </c>
      <c r="J676" s="138" t="s">
        <v>1589</v>
      </c>
      <c r="K676" s="138"/>
      <c r="L676" s="138"/>
      <c r="M676" s="138"/>
      <c r="N676" s="11"/>
      <c r="O676" s="163"/>
      <c r="P676" s="139">
        <v>3300.0</v>
      </c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18"/>
      <c r="C677" s="11" t="s">
        <v>2855</v>
      </c>
      <c r="D677" s="11" t="s">
        <v>1586</v>
      </c>
      <c r="E677" s="32" t="s">
        <v>2856</v>
      </c>
      <c r="F677" s="11"/>
      <c r="G677" s="11" t="s">
        <v>1582</v>
      </c>
      <c r="H677" s="11" t="s">
        <v>2836</v>
      </c>
      <c r="I677" s="11">
        <v>90.0</v>
      </c>
      <c r="J677" s="138" t="s">
        <v>1589</v>
      </c>
      <c r="K677" s="138"/>
      <c r="L677" s="138"/>
      <c r="M677" s="138"/>
      <c r="N677" s="11">
        <v>20.0</v>
      </c>
      <c r="O677" s="163" t="s">
        <v>1554</v>
      </c>
      <c r="P677" s="139">
        <v>12000.0</v>
      </c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18"/>
      <c r="C678" s="11" t="s">
        <v>2857</v>
      </c>
      <c r="D678" s="11" t="s">
        <v>1586</v>
      </c>
      <c r="E678" s="32" t="s">
        <v>2858</v>
      </c>
      <c r="F678" s="11"/>
      <c r="G678" s="11" t="s">
        <v>1582</v>
      </c>
      <c r="H678" s="11" t="s">
        <v>2836</v>
      </c>
      <c r="I678" s="11">
        <v>90.0</v>
      </c>
      <c r="J678" s="138" t="s">
        <v>1589</v>
      </c>
      <c r="K678" s="138"/>
      <c r="L678" s="138"/>
      <c r="M678" s="138"/>
      <c r="N678" s="11">
        <v>20.0</v>
      </c>
      <c r="O678" s="163" t="s">
        <v>1554</v>
      </c>
      <c r="P678" s="139">
        <v>1.0</v>
      </c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18"/>
      <c r="C679" s="11" t="s">
        <v>2859</v>
      </c>
      <c r="D679" s="11" t="s">
        <v>1586</v>
      </c>
      <c r="E679" s="32" t="s">
        <v>2860</v>
      </c>
      <c r="F679" s="11"/>
      <c r="G679" s="11" t="s">
        <v>1582</v>
      </c>
      <c r="H679" s="11" t="s">
        <v>2836</v>
      </c>
      <c r="I679" s="11">
        <v>90.0</v>
      </c>
      <c r="J679" s="138" t="s">
        <v>1589</v>
      </c>
      <c r="K679" s="138"/>
      <c r="L679" s="138"/>
      <c r="M679" s="138"/>
      <c r="N679" s="11"/>
      <c r="O679" s="163"/>
      <c r="P679" s="139">
        <v>4400.0</v>
      </c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18"/>
      <c r="C680" s="11" t="s">
        <v>2861</v>
      </c>
      <c r="D680" s="11" t="s">
        <v>1586</v>
      </c>
      <c r="E680" s="32" t="s">
        <v>2862</v>
      </c>
      <c r="F680" s="11"/>
      <c r="G680" s="11" t="s">
        <v>1582</v>
      </c>
      <c r="H680" s="11" t="s">
        <v>2836</v>
      </c>
      <c r="I680" s="11">
        <v>90.0</v>
      </c>
      <c r="J680" s="138" t="s">
        <v>1589</v>
      </c>
      <c r="K680" s="138"/>
      <c r="L680" s="138"/>
      <c r="M680" s="138"/>
      <c r="N680" s="11"/>
      <c r="O680" s="163"/>
      <c r="P680" s="139">
        <v>5000.0</v>
      </c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18"/>
      <c r="C681" s="11" t="s">
        <v>2863</v>
      </c>
      <c r="D681" s="11" t="s">
        <v>1586</v>
      </c>
      <c r="E681" s="32" t="s">
        <v>2864</v>
      </c>
      <c r="F681" s="11"/>
      <c r="G681" s="11" t="s">
        <v>1582</v>
      </c>
      <c r="H681" s="11" t="s">
        <v>2836</v>
      </c>
      <c r="I681" s="11">
        <v>180.0</v>
      </c>
      <c r="J681" s="138" t="s">
        <v>1589</v>
      </c>
      <c r="K681" s="138"/>
      <c r="L681" s="138"/>
      <c r="M681" s="138"/>
      <c r="N681" s="11">
        <v>50.0</v>
      </c>
      <c r="O681" s="163" t="s">
        <v>1554</v>
      </c>
      <c r="P681" s="139">
        <v>3400.0</v>
      </c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18"/>
      <c r="C682" s="11" t="s">
        <v>2865</v>
      </c>
      <c r="D682" s="11" t="s">
        <v>1586</v>
      </c>
      <c r="E682" s="32" t="s">
        <v>2866</v>
      </c>
      <c r="F682" s="11"/>
      <c r="G682" s="11" t="s">
        <v>1582</v>
      </c>
      <c r="H682" s="11" t="s">
        <v>2836</v>
      </c>
      <c r="I682" s="11">
        <v>90.0</v>
      </c>
      <c r="J682" s="138" t="s">
        <v>1589</v>
      </c>
      <c r="K682" s="138"/>
      <c r="L682" s="138"/>
      <c r="M682" s="138"/>
      <c r="N682" s="11"/>
      <c r="O682" s="163"/>
      <c r="P682" s="139">
        <v>6700.0</v>
      </c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18"/>
      <c r="C683" s="11" t="s">
        <v>2867</v>
      </c>
      <c r="D683" s="11" t="s">
        <v>1586</v>
      </c>
      <c r="E683" s="32" t="s">
        <v>2868</v>
      </c>
      <c r="F683" s="11"/>
      <c r="G683" s="11" t="s">
        <v>1582</v>
      </c>
      <c r="H683" s="11" t="s">
        <v>2836</v>
      </c>
      <c r="I683" s="11">
        <v>180.0</v>
      </c>
      <c r="J683" s="138" t="s">
        <v>1589</v>
      </c>
      <c r="K683" s="138"/>
      <c r="L683" s="138"/>
      <c r="M683" s="138"/>
      <c r="N683" s="11"/>
      <c r="O683" s="163"/>
      <c r="P683" s="139">
        <v>6300.0</v>
      </c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18"/>
      <c r="C684" s="11" t="s">
        <v>2869</v>
      </c>
      <c r="D684" s="11" t="s">
        <v>1586</v>
      </c>
      <c r="E684" s="32" t="s">
        <v>2870</v>
      </c>
      <c r="F684" s="11"/>
      <c r="G684" s="11" t="s">
        <v>1582</v>
      </c>
      <c r="H684" s="11" t="s">
        <v>2836</v>
      </c>
      <c r="I684" s="11">
        <v>180.0</v>
      </c>
      <c r="J684" s="138" t="s">
        <v>1589</v>
      </c>
      <c r="K684" s="138"/>
      <c r="L684" s="138"/>
      <c r="M684" s="138"/>
      <c r="N684" s="11"/>
      <c r="O684" s="163"/>
      <c r="P684" s="139">
        <v>4600.0</v>
      </c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18"/>
      <c r="C685" s="11" t="s">
        <v>2871</v>
      </c>
      <c r="D685" s="11" t="s">
        <v>1586</v>
      </c>
      <c r="E685" s="32" t="s">
        <v>2872</v>
      </c>
      <c r="F685" s="11"/>
      <c r="G685" s="11" t="s">
        <v>1582</v>
      </c>
      <c r="H685" s="11" t="s">
        <v>2836</v>
      </c>
      <c r="I685" s="11">
        <v>90.0</v>
      </c>
      <c r="J685" s="138" t="s">
        <v>1589</v>
      </c>
      <c r="K685" s="138"/>
      <c r="L685" s="138"/>
      <c r="M685" s="138"/>
      <c r="N685" s="11"/>
      <c r="O685" s="163"/>
      <c r="P685" s="139">
        <v>5000.0</v>
      </c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18"/>
      <c r="C686" s="11" t="s">
        <v>2873</v>
      </c>
      <c r="D686" s="11" t="s">
        <v>1586</v>
      </c>
      <c r="E686" s="32" t="s">
        <v>2874</v>
      </c>
      <c r="F686" s="11"/>
      <c r="G686" s="11" t="s">
        <v>1582</v>
      </c>
      <c r="H686" s="11" t="s">
        <v>2836</v>
      </c>
      <c r="I686" s="11">
        <v>90.0</v>
      </c>
      <c r="J686" s="138" t="s">
        <v>1589</v>
      </c>
      <c r="K686" s="138"/>
      <c r="L686" s="138"/>
      <c r="M686" s="138"/>
      <c r="N686" s="11"/>
      <c r="O686" s="163"/>
      <c r="P686" s="139">
        <v>4300.0</v>
      </c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18"/>
      <c r="C687" s="11" t="s">
        <v>2875</v>
      </c>
      <c r="D687" s="11" t="s">
        <v>1586</v>
      </c>
      <c r="E687" s="32" t="s">
        <v>2876</v>
      </c>
      <c r="F687" s="11"/>
      <c r="G687" s="11" t="s">
        <v>1582</v>
      </c>
      <c r="H687" s="11" t="s">
        <v>2836</v>
      </c>
      <c r="I687" s="11">
        <v>90.0</v>
      </c>
      <c r="J687" s="138" t="s">
        <v>1589</v>
      </c>
      <c r="K687" s="138"/>
      <c r="L687" s="138"/>
      <c r="M687" s="138"/>
      <c r="N687" s="11"/>
      <c r="O687" s="163"/>
      <c r="P687" s="139">
        <v>4300.0</v>
      </c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18"/>
      <c r="C688" s="11" t="s">
        <v>2877</v>
      </c>
      <c r="D688" s="11" t="s">
        <v>1586</v>
      </c>
      <c r="E688" s="32" t="s">
        <v>2878</v>
      </c>
      <c r="F688" s="11"/>
      <c r="G688" s="11" t="s">
        <v>1582</v>
      </c>
      <c r="H688" s="11" t="s">
        <v>2836</v>
      </c>
      <c r="I688" s="11">
        <v>90.0</v>
      </c>
      <c r="J688" s="138" t="s">
        <v>1589</v>
      </c>
      <c r="K688" s="138"/>
      <c r="L688" s="138"/>
      <c r="M688" s="138"/>
      <c r="N688" s="11"/>
      <c r="O688" s="163"/>
      <c r="P688" s="139">
        <v>4900.0</v>
      </c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18"/>
      <c r="C689" s="11" t="s">
        <v>2879</v>
      </c>
      <c r="D689" s="11" t="s">
        <v>1586</v>
      </c>
      <c r="E689" s="32" t="s">
        <v>2880</v>
      </c>
      <c r="F689" s="11"/>
      <c r="G689" s="11" t="s">
        <v>1582</v>
      </c>
      <c r="H689" s="11" t="s">
        <v>2836</v>
      </c>
      <c r="I689" s="11">
        <v>90.0</v>
      </c>
      <c r="J689" s="138" t="s">
        <v>1589</v>
      </c>
      <c r="K689" s="138"/>
      <c r="L689" s="138"/>
      <c r="M689" s="138"/>
      <c r="N689" s="11"/>
      <c r="O689" s="163"/>
      <c r="P689" s="139">
        <v>4700.0</v>
      </c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18"/>
      <c r="C690" s="11" t="s">
        <v>2881</v>
      </c>
      <c r="D690" s="11" t="s">
        <v>1586</v>
      </c>
      <c r="E690" s="32" t="s">
        <v>2882</v>
      </c>
      <c r="F690" s="11"/>
      <c r="G690" s="11" t="s">
        <v>1582</v>
      </c>
      <c r="H690" s="11" t="s">
        <v>2836</v>
      </c>
      <c r="I690" s="11">
        <v>90.0</v>
      </c>
      <c r="J690" s="138" t="s">
        <v>1589</v>
      </c>
      <c r="K690" s="138"/>
      <c r="L690" s="138"/>
      <c r="M690" s="138"/>
      <c r="N690" s="11"/>
      <c r="O690" s="163"/>
      <c r="P690" s="139">
        <v>8500.0</v>
      </c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18"/>
      <c r="C691" s="11" t="s">
        <v>2883</v>
      </c>
      <c r="D691" s="11" t="s">
        <v>1586</v>
      </c>
      <c r="E691" s="32" t="s">
        <v>2884</v>
      </c>
      <c r="F691" s="11"/>
      <c r="G691" s="11" t="s">
        <v>1582</v>
      </c>
      <c r="H691" s="11" t="s">
        <v>2836</v>
      </c>
      <c r="I691" s="11">
        <v>90.0</v>
      </c>
      <c r="J691" s="138" t="s">
        <v>1589</v>
      </c>
      <c r="K691" s="138"/>
      <c r="L691" s="138"/>
      <c r="M691" s="138"/>
      <c r="N691" s="11"/>
      <c r="O691" s="163"/>
      <c r="P691" s="139">
        <v>5500.0</v>
      </c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18"/>
      <c r="C692" s="11" t="s">
        <v>2885</v>
      </c>
      <c r="D692" s="11" t="s">
        <v>1586</v>
      </c>
      <c r="E692" s="32" t="s">
        <v>2886</v>
      </c>
      <c r="F692" s="11"/>
      <c r="G692" s="11" t="s">
        <v>1582</v>
      </c>
      <c r="H692" s="11" t="s">
        <v>2836</v>
      </c>
      <c r="I692" s="11">
        <v>90.0</v>
      </c>
      <c r="J692" s="138" t="s">
        <v>1589</v>
      </c>
      <c r="K692" s="138"/>
      <c r="L692" s="138"/>
      <c r="M692" s="138"/>
      <c r="N692" s="11"/>
      <c r="O692" s="163"/>
      <c r="P692" s="139">
        <v>4700.0</v>
      </c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35"/>
      <c r="C693" s="36" t="s">
        <v>2887</v>
      </c>
      <c r="D693" s="36" t="s">
        <v>1586</v>
      </c>
      <c r="E693" s="158" t="s">
        <v>2888</v>
      </c>
      <c r="F693" s="36"/>
      <c r="G693" s="36" t="s">
        <v>1582</v>
      </c>
      <c r="H693" s="36" t="s">
        <v>2836</v>
      </c>
      <c r="I693" s="36">
        <v>90.0</v>
      </c>
      <c r="J693" s="141" t="s">
        <v>1589</v>
      </c>
      <c r="K693" s="141"/>
      <c r="L693" s="141"/>
      <c r="M693" s="141"/>
      <c r="N693" s="36"/>
      <c r="O693" s="164"/>
      <c r="P693" s="142">
        <v>5200.0</v>
      </c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147" t="s">
        <v>262</v>
      </c>
      <c r="C694" s="42" t="s">
        <v>2889</v>
      </c>
      <c r="D694" s="42" t="s">
        <v>1586</v>
      </c>
      <c r="E694" s="165" t="s">
        <v>2890</v>
      </c>
      <c r="F694" s="42"/>
      <c r="G694" s="42" t="s">
        <v>1582</v>
      </c>
      <c r="H694" s="42" t="s">
        <v>2891</v>
      </c>
      <c r="I694" s="42">
        <v>0.0</v>
      </c>
      <c r="J694" s="149" t="s">
        <v>1589</v>
      </c>
      <c r="K694" s="149"/>
      <c r="L694" s="149"/>
      <c r="M694" s="149"/>
      <c r="N694" s="42"/>
      <c r="O694" s="162"/>
      <c r="P694" s="136">
        <v>1.0</v>
      </c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18"/>
      <c r="C695" s="11" t="s">
        <v>2892</v>
      </c>
      <c r="D695" s="11" t="s">
        <v>1586</v>
      </c>
      <c r="E695" s="32" t="s">
        <v>2893</v>
      </c>
      <c r="F695" s="11"/>
      <c r="G695" s="11" t="s">
        <v>1582</v>
      </c>
      <c r="H695" s="11" t="s">
        <v>2891</v>
      </c>
      <c r="I695" s="11">
        <v>0.0</v>
      </c>
      <c r="J695" s="138" t="s">
        <v>1589</v>
      </c>
      <c r="K695" s="138"/>
      <c r="L695" s="138"/>
      <c r="M695" s="138"/>
      <c r="N695" s="11">
        <v>30.0</v>
      </c>
      <c r="O695" s="163" t="s">
        <v>1554</v>
      </c>
      <c r="P695" s="139">
        <v>800.0</v>
      </c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18"/>
      <c r="C696" s="11" t="s">
        <v>2894</v>
      </c>
      <c r="D696" s="11" t="s">
        <v>1586</v>
      </c>
      <c r="E696" s="32" t="s">
        <v>2895</v>
      </c>
      <c r="F696" s="11"/>
      <c r="G696" s="11" t="s">
        <v>1582</v>
      </c>
      <c r="H696" s="11" t="s">
        <v>2891</v>
      </c>
      <c r="I696" s="11">
        <v>0.0</v>
      </c>
      <c r="J696" s="138" t="s">
        <v>1589</v>
      </c>
      <c r="K696" s="138"/>
      <c r="L696" s="138"/>
      <c r="M696" s="138"/>
      <c r="N696" s="11">
        <v>30.0</v>
      </c>
      <c r="O696" s="163" t="s">
        <v>1554</v>
      </c>
      <c r="P696" s="139">
        <v>800.0</v>
      </c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18"/>
      <c r="C697" s="11" t="s">
        <v>2896</v>
      </c>
      <c r="D697" s="11" t="s">
        <v>1586</v>
      </c>
      <c r="E697" s="32" t="s">
        <v>2897</v>
      </c>
      <c r="F697" s="11"/>
      <c r="G697" s="11" t="s">
        <v>1582</v>
      </c>
      <c r="H697" s="11" t="s">
        <v>2891</v>
      </c>
      <c r="I697" s="11">
        <v>0.0</v>
      </c>
      <c r="J697" s="138" t="s">
        <v>1589</v>
      </c>
      <c r="K697" s="138"/>
      <c r="L697" s="138"/>
      <c r="M697" s="138"/>
      <c r="N697" s="11"/>
      <c r="O697" s="163"/>
      <c r="P697" s="139">
        <v>700.0</v>
      </c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18"/>
      <c r="C698" s="11" t="s">
        <v>2898</v>
      </c>
      <c r="D698" s="11" t="s">
        <v>1586</v>
      </c>
      <c r="E698" s="32" t="s">
        <v>2899</v>
      </c>
      <c r="F698" s="11"/>
      <c r="G698" s="11" t="s">
        <v>1582</v>
      </c>
      <c r="H698" s="11" t="s">
        <v>2891</v>
      </c>
      <c r="I698" s="11">
        <v>0.0</v>
      </c>
      <c r="J698" s="138" t="s">
        <v>1589</v>
      </c>
      <c r="K698" s="138"/>
      <c r="L698" s="138"/>
      <c r="M698" s="138"/>
      <c r="N698" s="11"/>
      <c r="O698" s="163"/>
      <c r="P698" s="139">
        <v>4500.0</v>
      </c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18"/>
      <c r="C699" s="11" t="s">
        <v>2900</v>
      </c>
      <c r="D699" s="11" t="s">
        <v>1586</v>
      </c>
      <c r="E699" s="32" t="s">
        <v>2901</v>
      </c>
      <c r="F699" s="11"/>
      <c r="G699" s="11" t="s">
        <v>1582</v>
      </c>
      <c r="H699" s="11" t="s">
        <v>2891</v>
      </c>
      <c r="I699" s="11">
        <v>180.0</v>
      </c>
      <c r="J699" s="138" t="s">
        <v>1589</v>
      </c>
      <c r="K699" s="138"/>
      <c r="L699" s="138"/>
      <c r="M699" s="138"/>
      <c r="N699" s="11"/>
      <c r="O699" s="163"/>
      <c r="P699" s="139">
        <v>4800.0</v>
      </c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18"/>
      <c r="C700" s="11" t="s">
        <v>2902</v>
      </c>
      <c r="D700" s="11" t="s">
        <v>1586</v>
      </c>
      <c r="E700" s="32" t="s">
        <v>2903</v>
      </c>
      <c r="F700" s="11"/>
      <c r="G700" s="11" t="s">
        <v>1582</v>
      </c>
      <c r="H700" s="11" t="s">
        <v>2891</v>
      </c>
      <c r="I700" s="11">
        <v>180.0</v>
      </c>
      <c r="J700" s="138" t="s">
        <v>1589</v>
      </c>
      <c r="K700" s="138"/>
      <c r="L700" s="138"/>
      <c r="M700" s="138"/>
      <c r="N700" s="11"/>
      <c r="O700" s="163"/>
      <c r="P700" s="139">
        <v>3700.0</v>
      </c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18"/>
      <c r="C701" s="11" t="s">
        <v>2904</v>
      </c>
      <c r="D701" s="11" t="s">
        <v>1586</v>
      </c>
      <c r="E701" s="32" t="s">
        <v>2905</v>
      </c>
      <c r="F701" s="11"/>
      <c r="G701" s="11" t="s">
        <v>1582</v>
      </c>
      <c r="H701" s="11" t="s">
        <v>2891</v>
      </c>
      <c r="I701" s="11">
        <v>90.0</v>
      </c>
      <c r="J701" s="138" t="s">
        <v>1589</v>
      </c>
      <c r="K701" s="138"/>
      <c r="L701" s="138"/>
      <c r="M701" s="138"/>
      <c r="N701" s="11"/>
      <c r="O701" s="163"/>
      <c r="P701" s="139">
        <v>4700.0</v>
      </c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18"/>
      <c r="C702" s="11" t="s">
        <v>2906</v>
      </c>
      <c r="D702" s="11" t="s">
        <v>1586</v>
      </c>
      <c r="E702" s="32" t="s">
        <v>2907</v>
      </c>
      <c r="F702" s="11"/>
      <c r="G702" s="11" t="s">
        <v>1582</v>
      </c>
      <c r="H702" s="11" t="s">
        <v>2891</v>
      </c>
      <c r="I702" s="11">
        <v>90.0</v>
      </c>
      <c r="J702" s="138" t="s">
        <v>1589</v>
      </c>
      <c r="K702" s="138"/>
      <c r="L702" s="138"/>
      <c r="M702" s="138"/>
      <c r="N702" s="11"/>
      <c r="O702" s="163"/>
      <c r="P702" s="139">
        <v>4800.0</v>
      </c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18"/>
      <c r="C703" s="11" t="s">
        <v>2908</v>
      </c>
      <c r="D703" s="11" t="s">
        <v>1586</v>
      </c>
      <c r="E703" s="32" t="s">
        <v>2909</v>
      </c>
      <c r="F703" s="11"/>
      <c r="G703" s="11" t="s">
        <v>1582</v>
      </c>
      <c r="H703" s="11" t="s">
        <v>2891</v>
      </c>
      <c r="I703" s="11">
        <v>90.0</v>
      </c>
      <c r="J703" s="138" t="s">
        <v>1589</v>
      </c>
      <c r="K703" s="138"/>
      <c r="L703" s="138"/>
      <c r="M703" s="138"/>
      <c r="N703" s="11"/>
      <c r="O703" s="163"/>
      <c r="P703" s="139">
        <v>4000.0</v>
      </c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18"/>
      <c r="C704" s="11" t="s">
        <v>2910</v>
      </c>
      <c r="D704" s="11" t="s">
        <v>1586</v>
      </c>
      <c r="E704" s="32" t="s">
        <v>2911</v>
      </c>
      <c r="F704" s="11"/>
      <c r="G704" s="11" t="s">
        <v>1582</v>
      </c>
      <c r="H704" s="11" t="s">
        <v>2891</v>
      </c>
      <c r="I704" s="11">
        <v>90.0</v>
      </c>
      <c r="J704" s="138" t="s">
        <v>1589</v>
      </c>
      <c r="K704" s="138"/>
      <c r="L704" s="138"/>
      <c r="M704" s="138"/>
      <c r="N704" s="11">
        <v>20.0</v>
      </c>
      <c r="O704" s="163" t="s">
        <v>1554</v>
      </c>
      <c r="P704" s="139">
        <v>9000.0</v>
      </c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18"/>
      <c r="C705" s="11" t="s">
        <v>2912</v>
      </c>
      <c r="D705" s="11" t="s">
        <v>1586</v>
      </c>
      <c r="E705" s="32" t="s">
        <v>2913</v>
      </c>
      <c r="F705" s="11"/>
      <c r="G705" s="11" t="s">
        <v>1582</v>
      </c>
      <c r="H705" s="11" t="s">
        <v>2891</v>
      </c>
      <c r="I705" s="11">
        <v>90.0</v>
      </c>
      <c r="J705" s="138" t="s">
        <v>1589</v>
      </c>
      <c r="K705" s="138"/>
      <c r="L705" s="138"/>
      <c r="M705" s="138"/>
      <c r="N705" s="11"/>
      <c r="O705" s="163"/>
      <c r="P705" s="139">
        <v>4800.0</v>
      </c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18"/>
      <c r="C706" s="11" t="s">
        <v>2914</v>
      </c>
      <c r="D706" s="11" t="s">
        <v>1586</v>
      </c>
      <c r="E706" s="32" t="s">
        <v>2915</v>
      </c>
      <c r="F706" s="11"/>
      <c r="G706" s="11" t="s">
        <v>1582</v>
      </c>
      <c r="H706" s="11" t="s">
        <v>2891</v>
      </c>
      <c r="I706" s="11">
        <v>90.0</v>
      </c>
      <c r="J706" s="138" t="s">
        <v>1589</v>
      </c>
      <c r="K706" s="138"/>
      <c r="L706" s="138"/>
      <c r="M706" s="138"/>
      <c r="N706" s="11"/>
      <c r="O706" s="163"/>
      <c r="P706" s="139">
        <v>5400.0</v>
      </c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18"/>
      <c r="C707" s="11" t="s">
        <v>2916</v>
      </c>
      <c r="D707" s="11" t="s">
        <v>1586</v>
      </c>
      <c r="E707" s="32" t="s">
        <v>2917</v>
      </c>
      <c r="F707" s="11"/>
      <c r="G707" s="11" t="s">
        <v>1582</v>
      </c>
      <c r="H707" s="11" t="s">
        <v>2891</v>
      </c>
      <c r="I707" s="11">
        <v>180.0</v>
      </c>
      <c r="J707" s="138" t="s">
        <v>1589</v>
      </c>
      <c r="K707" s="138"/>
      <c r="L707" s="138"/>
      <c r="M707" s="138"/>
      <c r="N707" s="11">
        <v>50.0</v>
      </c>
      <c r="O707" s="163" t="s">
        <v>1554</v>
      </c>
      <c r="P707" s="139">
        <v>3600.0</v>
      </c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18"/>
      <c r="C708" s="11" t="s">
        <v>2918</v>
      </c>
      <c r="D708" s="11" t="s">
        <v>1586</v>
      </c>
      <c r="E708" s="32" t="s">
        <v>2919</v>
      </c>
      <c r="F708" s="11"/>
      <c r="G708" s="11" t="s">
        <v>1582</v>
      </c>
      <c r="H708" s="11" t="s">
        <v>2891</v>
      </c>
      <c r="I708" s="11">
        <v>90.0</v>
      </c>
      <c r="J708" s="138" t="s">
        <v>1589</v>
      </c>
      <c r="K708" s="138"/>
      <c r="L708" s="138"/>
      <c r="M708" s="138"/>
      <c r="N708" s="11"/>
      <c r="O708" s="163"/>
      <c r="P708" s="139">
        <v>7500.0</v>
      </c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18"/>
      <c r="C709" s="11" t="s">
        <v>2920</v>
      </c>
      <c r="D709" s="11" t="s">
        <v>1586</v>
      </c>
      <c r="E709" s="32" t="s">
        <v>2921</v>
      </c>
      <c r="F709" s="11"/>
      <c r="G709" s="11" t="s">
        <v>1582</v>
      </c>
      <c r="H709" s="11" t="s">
        <v>2891</v>
      </c>
      <c r="I709" s="11">
        <v>180.0</v>
      </c>
      <c r="J709" s="138" t="s">
        <v>1589</v>
      </c>
      <c r="K709" s="138"/>
      <c r="L709" s="138"/>
      <c r="M709" s="138"/>
      <c r="N709" s="11"/>
      <c r="O709" s="163"/>
      <c r="P709" s="139">
        <v>4400.0</v>
      </c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18"/>
      <c r="C710" s="11" t="s">
        <v>2922</v>
      </c>
      <c r="D710" s="11" t="s">
        <v>1586</v>
      </c>
      <c r="E710" s="32" t="s">
        <v>2923</v>
      </c>
      <c r="F710" s="11"/>
      <c r="G710" s="11" t="s">
        <v>1582</v>
      </c>
      <c r="H710" s="11" t="s">
        <v>2891</v>
      </c>
      <c r="I710" s="11">
        <v>180.0</v>
      </c>
      <c r="J710" s="138" t="s">
        <v>1589</v>
      </c>
      <c r="K710" s="138"/>
      <c r="L710" s="138"/>
      <c r="M710" s="138"/>
      <c r="N710" s="11"/>
      <c r="O710" s="163"/>
      <c r="P710" s="139">
        <f>(MIN(P709, P711) / 2) + MAX(P709, P711)</f>
        <v>7500</v>
      </c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18"/>
      <c r="C711" s="11" t="s">
        <v>2924</v>
      </c>
      <c r="D711" s="11" t="s">
        <v>1586</v>
      </c>
      <c r="E711" s="32" t="s">
        <v>2925</v>
      </c>
      <c r="F711" s="11"/>
      <c r="G711" s="11" t="s">
        <v>1582</v>
      </c>
      <c r="H711" s="11" t="s">
        <v>2891</v>
      </c>
      <c r="I711" s="11">
        <v>180.0</v>
      </c>
      <c r="J711" s="138" t="s">
        <v>1589</v>
      </c>
      <c r="K711" s="138"/>
      <c r="L711" s="138"/>
      <c r="M711" s="138"/>
      <c r="N711" s="11"/>
      <c r="O711" s="163"/>
      <c r="P711" s="139">
        <v>5300.0</v>
      </c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18"/>
      <c r="C712" s="11" t="s">
        <v>2926</v>
      </c>
      <c r="D712" s="11" t="s">
        <v>1586</v>
      </c>
      <c r="E712" s="32" t="s">
        <v>2927</v>
      </c>
      <c r="F712" s="11"/>
      <c r="G712" s="11" t="s">
        <v>1582</v>
      </c>
      <c r="H712" s="11" t="s">
        <v>2891</v>
      </c>
      <c r="I712" s="11">
        <v>90.0</v>
      </c>
      <c r="J712" s="138" t="s">
        <v>1589</v>
      </c>
      <c r="K712" s="138"/>
      <c r="L712" s="138"/>
      <c r="M712" s="138"/>
      <c r="N712" s="11"/>
      <c r="O712" s="163"/>
      <c r="P712" s="139">
        <v>5000.0</v>
      </c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18"/>
      <c r="C713" s="11" t="s">
        <v>2928</v>
      </c>
      <c r="D713" s="11" t="s">
        <v>1586</v>
      </c>
      <c r="E713" s="32" t="s">
        <v>2929</v>
      </c>
      <c r="F713" s="11"/>
      <c r="G713" s="11" t="s">
        <v>1582</v>
      </c>
      <c r="H713" s="11" t="s">
        <v>2891</v>
      </c>
      <c r="I713" s="11">
        <v>90.0</v>
      </c>
      <c r="J713" s="138" t="s">
        <v>1589</v>
      </c>
      <c r="K713" s="138"/>
      <c r="L713" s="138"/>
      <c r="M713" s="138"/>
      <c r="N713" s="11"/>
      <c r="O713" s="163"/>
      <c r="P713" s="139">
        <v>4300.0</v>
      </c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18"/>
      <c r="C714" s="11" t="s">
        <v>2930</v>
      </c>
      <c r="D714" s="11" t="s">
        <v>1586</v>
      </c>
      <c r="E714" s="32" t="s">
        <v>2931</v>
      </c>
      <c r="F714" s="11"/>
      <c r="G714" s="11" t="s">
        <v>1582</v>
      </c>
      <c r="H714" s="11" t="s">
        <v>2891</v>
      </c>
      <c r="I714" s="11">
        <v>90.0</v>
      </c>
      <c r="J714" s="138" t="s">
        <v>1589</v>
      </c>
      <c r="K714" s="138"/>
      <c r="L714" s="138"/>
      <c r="M714" s="138"/>
      <c r="N714" s="11"/>
      <c r="O714" s="163"/>
      <c r="P714" s="139">
        <v>4300.0</v>
      </c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18"/>
      <c r="C715" s="11" t="s">
        <v>2932</v>
      </c>
      <c r="D715" s="11" t="s">
        <v>1586</v>
      </c>
      <c r="E715" s="32" t="s">
        <v>2933</v>
      </c>
      <c r="F715" s="11"/>
      <c r="G715" s="11" t="s">
        <v>1582</v>
      </c>
      <c r="H715" s="11" t="s">
        <v>2891</v>
      </c>
      <c r="I715" s="11">
        <v>90.0</v>
      </c>
      <c r="J715" s="138" t="s">
        <v>1589</v>
      </c>
      <c r="K715" s="138"/>
      <c r="L715" s="138"/>
      <c r="M715" s="138"/>
      <c r="N715" s="11"/>
      <c r="O715" s="163"/>
      <c r="P715" s="139">
        <v>4900.0</v>
      </c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18"/>
      <c r="C716" s="11" t="s">
        <v>2934</v>
      </c>
      <c r="D716" s="11" t="s">
        <v>1586</v>
      </c>
      <c r="E716" s="32" t="s">
        <v>2935</v>
      </c>
      <c r="F716" s="11"/>
      <c r="G716" s="11" t="s">
        <v>1582</v>
      </c>
      <c r="H716" s="11" t="s">
        <v>2891</v>
      </c>
      <c r="I716" s="11">
        <v>90.0</v>
      </c>
      <c r="J716" s="138" t="s">
        <v>1589</v>
      </c>
      <c r="K716" s="138"/>
      <c r="L716" s="138"/>
      <c r="M716" s="138"/>
      <c r="N716" s="11"/>
      <c r="O716" s="163"/>
      <c r="P716" s="139">
        <v>5500.0</v>
      </c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18"/>
      <c r="C717" s="11" t="s">
        <v>2936</v>
      </c>
      <c r="D717" s="11" t="s">
        <v>1586</v>
      </c>
      <c r="E717" s="32" t="s">
        <v>2937</v>
      </c>
      <c r="F717" s="11"/>
      <c r="G717" s="11" t="s">
        <v>1582</v>
      </c>
      <c r="H717" s="11" t="s">
        <v>2891</v>
      </c>
      <c r="I717" s="11">
        <v>90.0</v>
      </c>
      <c r="J717" s="138" t="s">
        <v>1589</v>
      </c>
      <c r="K717" s="138"/>
      <c r="L717" s="138"/>
      <c r="M717" s="138"/>
      <c r="N717" s="11"/>
      <c r="O717" s="163"/>
      <c r="P717" s="139">
        <v>9000.0</v>
      </c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18"/>
      <c r="C718" s="11" t="s">
        <v>2938</v>
      </c>
      <c r="D718" s="11" t="s">
        <v>1586</v>
      </c>
      <c r="E718" s="32" t="s">
        <v>2939</v>
      </c>
      <c r="F718" s="11"/>
      <c r="G718" s="11" t="s">
        <v>1582</v>
      </c>
      <c r="H718" s="11" t="s">
        <v>2891</v>
      </c>
      <c r="I718" s="11">
        <v>90.0</v>
      </c>
      <c r="J718" s="138" t="s">
        <v>1589</v>
      </c>
      <c r="K718" s="138"/>
      <c r="L718" s="138"/>
      <c r="M718" s="138"/>
      <c r="N718" s="11"/>
      <c r="O718" s="163"/>
      <c r="P718" s="139">
        <v>6500.0</v>
      </c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18"/>
      <c r="C719" s="11" t="s">
        <v>2940</v>
      </c>
      <c r="D719" s="11" t="s">
        <v>1586</v>
      </c>
      <c r="E719" s="32" t="s">
        <v>2941</v>
      </c>
      <c r="F719" s="11"/>
      <c r="G719" s="11" t="s">
        <v>1582</v>
      </c>
      <c r="H719" s="11" t="s">
        <v>2891</v>
      </c>
      <c r="I719" s="11">
        <v>90.0</v>
      </c>
      <c r="J719" s="138" t="s">
        <v>1589</v>
      </c>
      <c r="K719" s="138"/>
      <c r="L719" s="138"/>
      <c r="M719" s="138"/>
      <c r="N719" s="11"/>
      <c r="O719" s="163"/>
      <c r="P719" s="139">
        <v>5500.0</v>
      </c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35"/>
      <c r="C720" s="36" t="s">
        <v>2942</v>
      </c>
      <c r="D720" s="36" t="s">
        <v>1586</v>
      </c>
      <c r="E720" s="158" t="s">
        <v>2943</v>
      </c>
      <c r="F720" s="36"/>
      <c r="G720" s="36" t="s">
        <v>1582</v>
      </c>
      <c r="H720" s="36" t="s">
        <v>2891</v>
      </c>
      <c r="I720" s="36">
        <v>90.0</v>
      </c>
      <c r="J720" s="141" t="s">
        <v>1589</v>
      </c>
      <c r="K720" s="141"/>
      <c r="L720" s="141"/>
      <c r="M720" s="141"/>
      <c r="N720" s="36"/>
      <c r="O720" s="164"/>
      <c r="P720" s="142">
        <v>6000.0</v>
      </c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147" t="s">
        <v>269</v>
      </c>
      <c r="C721" s="42" t="s">
        <v>2944</v>
      </c>
      <c r="D721" s="42" t="s">
        <v>1586</v>
      </c>
      <c r="E721" s="165" t="s">
        <v>2945</v>
      </c>
      <c r="F721" s="42"/>
      <c r="G721" s="42" t="s">
        <v>1582</v>
      </c>
      <c r="H721" s="42" t="s">
        <v>2946</v>
      </c>
      <c r="I721" s="42">
        <v>0.0</v>
      </c>
      <c r="J721" s="149" t="s">
        <v>1589</v>
      </c>
      <c r="K721" s="149"/>
      <c r="L721" s="149"/>
      <c r="M721" s="149"/>
      <c r="N721" s="42"/>
      <c r="O721" s="162"/>
      <c r="P721" s="136">
        <v>1.0</v>
      </c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18"/>
      <c r="C722" s="11" t="s">
        <v>2947</v>
      </c>
      <c r="D722" s="11" t="s">
        <v>1586</v>
      </c>
      <c r="E722" s="32" t="s">
        <v>2948</v>
      </c>
      <c r="F722" s="11"/>
      <c r="G722" s="11" t="s">
        <v>1582</v>
      </c>
      <c r="H722" s="11" t="s">
        <v>2946</v>
      </c>
      <c r="I722" s="11">
        <v>0.0</v>
      </c>
      <c r="J722" s="138" t="s">
        <v>1589</v>
      </c>
      <c r="K722" s="138"/>
      <c r="L722" s="138"/>
      <c r="M722" s="138"/>
      <c r="N722" s="11">
        <v>30.0</v>
      </c>
      <c r="O722" s="163" t="s">
        <v>1554</v>
      </c>
      <c r="P722" s="139">
        <v>800.0</v>
      </c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18"/>
      <c r="C723" s="11" t="s">
        <v>2949</v>
      </c>
      <c r="D723" s="11" t="s">
        <v>1586</v>
      </c>
      <c r="E723" s="32" t="s">
        <v>2950</v>
      </c>
      <c r="F723" s="11"/>
      <c r="G723" s="11" t="s">
        <v>1582</v>
      </c>
      <c r="H723" s="11" t="s">
        <v>2946</v>
      </c>
      <c r="I723" s="11">
        <v>0.0</v>
      </c>
      <c r="J723" s="138" t="s">
        <v>1589</v>
      </c>
      <c r="K723" s="138"/>
      <c r="L723" s="138"/>
      <c r="M723" s="138"/>
      <c r="N723" s="11">
        <v>30.0</v>
      </c>
      <c r="O723" s="163" t="s">
        <v>1554</v>
      </c>
      <c r="P723" s="139">
        <v>800.0</v>
      </c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18"/>
      <c r="C724" s="11" t="s">
        <v>2951</v>
      </c>
      <c r="D724" s="11" t="s">
        <v>1586</v>
      </c>
      <c r="E724" s="32" t="s">
        <v>2952</v>
      </c>
      <c r="F724" s="11"/>
      <c r="G724" s="11" t="s">
        <v>1582</v>
      </c>
      <c r="H724" s="11" t="s">
        <v>2946</v>
      </c>
      <c r="I724" s="11">
        <v>0.0</v>
      </c>
      <c r="J724" s="138" t="s">
        <v>1589</v>
      </c>
      <c r="K724" s="138"/>
      <c r="L724" s="138"/>
      <c r="M724" s="138"/>
      <c r="N724" s="11"/>
      <c r="O724" s="163"/>
      <c r="P724" s="139">
        <v>700.0</v>
      </c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18"/>
      <c r="C725" s="11" t="s">
        <v>2953</v>
      </c>
      <c r="D725" s="11" t="s">
        <v>1586</v>
      </c>
      <c r="E725" s="32" t="s">
        <v>2954</v>
      </c>
      <c r="F725" s="11"/>
      <c r="G725" s="11" t="s">
        <v>1582</v>
      </c>
      <c r="H725" s="11" t="s">
        <v>2946</v>
      </c>
      <c r="I725" s="11">
        <v>0.0</v>
      </c>
      <c r="J725" s="138" t="s">
        <v>1589</v>
      </c>
      <c r="K725" s="138"/>
      <c r="L725" s="138"/>
      <c r="M725" s="138"/>
      <c r="N725" s="11"/>
      <c r="O725" s="163"/>
      <c r="P725" s="139">
        <v>4500.0</v>
      </c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18"/>
      <c r="C726" s="11" t="s">
        <v>2955</v>
      </c>
      <c r="D726" s="11" t="s">
        <v>1586</v>
      </c>
      <c r="E726" s="32" t="s">
        <v>2956</v>
      </c>
      <c r="F726" s="11"/>
      <c r="G726" s="11" t="s">
        <v>1582</v>
      </c>
      <c r="H726" s="11" t="s">
        <v>2946</v>
      </c>
      <c r="I726" s="11">
        <v>180.0</v>
      </c>
      <c r="J726" s="138" t="s">
        <v>1589</v>
      </c>
      <c r="K726" s="138"/>
      <c r="L726" s="138"/>
      <c r="M726" s="138"/>
      <c r="N726" s="11"/>
      <c r="O726" s="163"/>
      <c r="P726" s="139">
        <v>4800.0</v>
      </c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18"/>
      <c r="C727" s="11" t="s">
        <v>2957</v>
      </c>
      <c r="D727" s="11" t="s">
        <v>1586</v>
      </c>
      <c r="E727" s="32" t="s">
        <v>2958</v>
      </c>
      <c r="F727" s="11"/>
      <c r="G727" s="11" t="s">
        <v>1582</v>
      </c>
      <c r="H727" s="11" t="s">
        <v>2946</v>
      </c>
      <c r="I727" s="11">
        <v>180.0</v>
      </c>
      <c r="J727" s="138" t="s">
        <v>1589</v>
      </c>
      <c r="K727" s="138"/>
      <c r="L727" s="138"/>
      <c r="M727" s="138"/>
      <c r="N727" s="11"/>
      <c r="O727" s="163"/>
      <c r="P727" s="139">
        <v>3700.0</v>
      </c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18"/>
      <c r="C728" s="11" t="s">
        <v>2959</v>
      </c>
      <c r="D728" s="11" t="s">
        <v>1586</v>
      </c>
      <c r="E728" s="32" t="s">
        <v>2960</v>
      </c>
      <c r="F728" s="11"/>
      <c r="G728" s="11" t="s">
        <v>1582</v>
      </c>
      <c r="H728" s="11" t="s">
        <v>2946</v>
      </c>
      <c r="I728" s="11">
        <v>90.0</v>
      </c>
      <c r="J728" s="138" t="s">
        <v>1589</v>
      </c>
      <c r="K728" s="138"/>
      <c r="L728" s="138"/>
      <c r="M728" s="138"/>
      <c r="N728" s="11"/>
      <c r="O728" s="163"/>
      <c r="P728" s="139">
        <v>4700.0</v>
      </c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18"/>
      <c r="C729" s="11" t="s">
        <v>2961</v>
      </c>
      <c r="D729" s="11" t="s">
        <v>1586</v>
      </c>
      <c r="E729" s="32" t="s">
        <v>2962</v>
      </c>
      <c r="F729" s="11"/>
      <c r="G729" s="11" t="s">
        <v>1582</v>
      </c>
      <c r="H729" s="11" t="s">
        <v>2946</v>
      </c>
      <c r="I729" s="11">
        <v>90.0</v>
      </c>
      <c r="J729" s="138" t="s">
        <v>1589</v>
      </c>
      <c r="K729" s="138"/>
      <c r="L729" s="138"/>
      <c r="M729" s="138"/>
      <c r="N729" s="11"/>
      <c r="O729" s="163"/>
      <c r="P729" s="139">
        <v>4800.0</v>
      </c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18"/>
      <c r="C730" s="11" t="s">
        <v>2963</v>
      </c>
      <c r="D730" s="11" t="s">
        <v>1586</v>
      </c>
      <c r="E730" s="32" t="s">
        <v>2964</v>
      </c>
      <c r="F730" s="11"/>
      <c r="G730" s="11" t="s">
        <v>1582</v>
      </c>
      <c r="H730" s="11" t="s">
        <v>2946</v>
      </c>
      <c r="I730" s="11">
        <v>90.0</v>
      </c>
      <c r="J730" s="138" t="s">
        <v>1589</v>
      </c>
      <c r="K730" s="138"/>
      <c r="L730" s="138"/>
      <c r="M730" s="138"/>
      <c r="N730" s="11"/>
      <c r="O730" s="163"/>
      <c r="P730" s="139">
        <v>4000.0</v>
      </c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18"/>
      <c r="C731" s="11" t="s">
        <v>2965</v>
      </c>
      <c r="D731" s="11" t="s">
        <v>1586</v>
      </c>
      <c r="E731" s="32" t="s">
        <v>2966</v>
      </c>
      <c r="F731" s="11"/>
      <c r="G731" s="11" t="s">
        <v>1582</v>
      </c>
      <c r="H731" s="11" t="s">
        <v>2946</v>
      </c>
      <c r="I731" s="11">
        <v>90.0</v>
      </c>
      <c r="J731" s="138" t="s">
        <v>1589</v>
      </c>
      <c r="K731" s="138"/>
      <c r="L731" s="138"/>
      <c r="M731" s="138"/>
      <c r="N731" s="11">
        <v>20.0</v>
      </c>
      <c r="O731" s="163" t="s">
        <v>1554</v>
      </c>
      <c r="P731" s="139">
        <v>10000.0</v>
      </c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18"/>
      <c r="C732" s="11" t="s">
        <v>2967</v>
      </c>
      <c r="D732" s="11" t="s">
        <v>1586</v>
      </c>
      <c r="E732" s="32" t="s">
        <v>2968</v>
      </c>
      <c r="F732" s="11"/>
      <c r="G732" s="11" t="s">
        <v>1582</v>
      </c>
      <c r="H732" s="11" t="s">
        <v>2946</v>
      </c>
      <c r="I732" s="11">
        <v>90.0</v>
      </c>
      <c r="J732" s="138" t="s">
        <v>1589</v>
      </c>
      <c r="K732" s="138"/>
      <c r="L732" s="138"/>
      <c r="M732" s="138"/>
      <c r="N732" s="11"/>
      <c r="O732" s="163"/>
      <c r="P732" s="139">
        <v>4800.0</v>
      </c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18"/>
      <c r="C733" s="11" t="s">
        <v>2969</v>
      </c>
      <c r="D733" s="11" t="s">
        <v>1586</v>
      </c>
      <c r="E733" s="32" t="s">
        <v>2970</v>
      </c>
      <c r="F733" s="11"/>
      <c r="G733" s="11" t="s">
        <v>1582</v>
      </c>
      <c r="H733" s="11" t="s">
        <v>2946</v>
      </c>
      <c r="I733" s="11">
        <v>90.0</v>
      </c>
      <c r="J733" s="138" t="s">
        <v>1589</v>
      </c>
      <c r="K733" s="138"/>
      <c r="L733" s="138"/>
      <c r="M733" s="138"/>
      <c r="N733" s="11"/>
      <c r="O733" s="163"/>
      <c r="P733" s="139">
        <v>5400.0</v>
      </c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18"/>
      <c r="C734" s="11" t="s">
        <v>2971</v>
      </c>
      <c r="D734" s="11" t="s">
        <v>1586</v>
      </c>
      <c r="E734" s="32" t="s">
        <v>2972</v>
      </c>
      <c r="F734" s="11"/>
      <c r="G734" s="11" t="s">
        <v>1582</v>
      </c>
      <c r="H734" s="11" t="s">
        <v>2946</v>
      </c>
      <c r="I734" s="11">
        <v>180.0</v>
      </c>
      <c r="J734" s="138" t="s">
        <v>1589</v>
      </c>
      <c r="K734" s="138"/>
      <c r="L734" s="138"/>
      <c r="M734" s="138"/>
      <c r="N734" s="11">
        <v>50.0</v>
      </c>
      <c r="O734" s="163" t="s">
        <v>1554</v>
      </c>
      <c r="P734" s="139">
        <v>3600.0</v>
      </c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18"/>
      <c r="C735" s="11" t="s">
        <v>2973</v>
      </c>
      <c r="D735" s="11" t="s">
        <v>1586</v>
      </c>
      <c r="E735" s="32" t="s">
        <v>2974</v>
      </c>
      <c r="F735" s="11"/>
      <c r="G735" s="11" t="s">
        <v>1582</v>
      </c>
      <c r="H735" s="11" t="s">
        <v>2946</v>
      </c>
      <c r="I735" s="11">
        <v>90.0</v>
      </c>
      <c r="J735" s="138" t="s">
        <v>1589</v>
      </c>
      <c r="K735" s="138"/>
      <c r="L735" s="138"/>
      <c r="M735" s="138"/>
      <c r="N735" s="11"/>
      <c r="O735" s="163"/>
      <c r="P735" s="139">
        <v>7500.0</v>
      </c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18"/>
      <c r="C736" s="11" t="s">
        <v>2975</v>
      </c>
      <c r="D736" s="11" t="s">
        <v>1586</v>
      </c>
      <c r="E736" s="32" t="s">
        <v>2976</v>
      </c>
      <c r="F736" s="11"/>
      <c r="G736" s="11" t="s">
        <v>1582</v>
      </c>
      <c r="H736" s="11" t="s">
        <v>2946</v>
      </c>
      <c r="I736" s="11">
        <v>180.0</v>
      </c>
      <c r="J736" s="138" t="s">
        <v>1589</v>
      </c>
      <c r="K736" s="138"/>
      <c r="L736" s="138"/>
      <c r="M736" s="138"/>
      <c r="N736" s="11"/>
      <c r="O736" s="163"/>
      <c r="P736" s="139">
        <v>4400.0</v>
      </c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18"/>
      <c r="C737" s="11" t="s">
        <v>2977</v>
      </c>
      <c r="D737" s="11" t="s">
        <v>1586</v>
      </c>
      <c r="E737" s="32" t="s">
        <v>2978</v>
      </c>
      <c r="F737" s="11"/>
      <c r="G737" s="11" t="s">
        <v>1582</v>
      </c>
      <c r="H737" s="11" t="s">
        <v>2946</v>
      </c>
      <c r="I737" s="11">
        <v>180.0</v>
      </c>
      <c r="J737" s="138" t="s">
        <v>1589</v>
      </c>
      <c r="K737" s="138"/>
      <c r="L737" s="138"/>
      <c r="M737" s="138"/>
      <c r="N737" s="11"/>
      <c r="O737" s="163"/>
      <c r="P737" s="139">
        <f>(MIN(P736, P738) / 2) + MAX(P736, P738)</f>
        <v>7500</v>
      </c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18"/>
      <c r="C738" s="11" t="s">
        <v>2979</v>
      </c>
      <c r="D738" s="11" t="s">
        <v>1586</v>
      </c>
      <c r="E738" s="32" t="s">
        <v>2980</v>
      </c>
      <c r="F738" s="11"/>
      <c r="G738" s="11" t="s">
        <v>1582</v>
      </c>
      <c r="H738" s="11" t="s">
        <v>2946</v>
      </c>
      <c r="I738" s="11">
        <v>180.0</v>
      </c>
      <c r="J738" s="138" t="s">
        <v>1589</v>
      </c>
      <c r="K738" s="138"/>
      <c r="L738" s="138"/>
      <c r="M738" s="138"/>
      <c r="N738" s="11"/>
      <c r="O738" s="163"/>
      <c r="P738" s="139">
        <v>5300.0</v>
      </c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18"/>
      <c r="C739" s="11" t="s">
        <v>2981</v>
      </c>
      <c r="D739" s="11" t="s">
        <v>1586</v>
      </c>
      <c r="E739" s="32" t="s">
        <v>2982</v>
      </c>
      <c r="F739" s="11"/>
      <c r="G739" s="11" t="s">
        <v>1582</v>
      </c>
      <c r="H739" s="11" t="s">
        <v>2946</v>
      </c>
      <c r="I739" s="11">
        <v>90.0</v>
      </c>
      <c r="J739" s="138" t="s">
        <v>1589</v>
      </c>
      <c r="K739" s="138"/>
      <c r="L739" s="138"/>
      <c r="M739" s="138"/>
      <c r="N739" s="11"/>
      <c r="O739" s="163"/>
      <c r="P739" s="139">
        <v>5000.0</v>
      </c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18"/>
      <c r="C740" s="11" t="s">
        <v>2983</v>
      </c>
      <c r="D740" s="11" t="s">
        <v>1586</v>
      </c>
      <c r="E740" s="32" t="s">
        <v>2984</v>
      </c>
      <c r="F740" s="11"/>
      <c r="G740" s="11" t="s">
        <v>1582</v>
      </c>
      <c r="H740" s="11" t="s">
        <v>2946</v>
      </c>
      <c r="I740" s="11">
        <v>90.0</v>
      </c>
      <c r="J740" s="138" t="s">
        <v>1589</v>
      </c>
      <c r="K740" s="138"/>
      <c r="L740" s="138"/>
      <c r="M740" s="138"/>
      <c r="N740" s="11"/>
      <c r="O740" s="163"/>
      <c r="P740" s="139">
        <v>4300.0</v>
      </c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18"/>
      <c r="C741" s="11" t="s">
        <v>2985</v>
      </c>
      <c r="D741" s="11" t="s">
        <v>1586</v>
      </c>
      <c r="E741" s="32" t="s">
        <v>2986</v>
      </c>
      <c r="F741" s="11"/>
      <c r="G741" s="11" t="s">
        <v>1582</v>
      </c>
      <c r="H741" s="11" t="s">
        <v>2946</v>
      </c>
      <c r="I741" s="11">
        <v>90.0</v>
      </c>
      <c r="J741" s="138" t="s">
        <v>1589</v>
      </c>
      <c r="K741" s="138"/>
      <c r="L741" s="138"/>
      <c r="M741" s="138"/>
      <c r="N741" s="11"/>
      <c r="O741" s="163"/>
      <c r="P741" s="139">
        <v>4300.0</v>
      </c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18"/>
      <c r="C742" s="11" t="s">
        <v>2987</v>
      </c>
      <c r="D742" s="11" t="s">
        <v>1586</v>
      </c>
      <c r="E742" s="32" t="s">
        <v>2988</v>
      </c>
      <c r="F742" s="11"/>
      <c r="G742" s="11" t="s">
        <v>1582</v>
      </c>
      <c r="H742" s="11" t="s">
        <v>2946</v>
      </c>
      <c r="I742" s="11">
        <v>90.0</v>
      </c>
      <c r="J742" s="138" t="s">
        <v>1589</v>
      </c>
      <c r="K742" s="138"/>
      <c r="L742" s="138"/>
      <c r="M742" s="138"/>
      <c r="N742" s="11"/>
      <c r="O742" s="163"/>
      <c r="P742" s="139">
        <v>4900.0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18"/>
      <c r="C743" s="11" t="s">
        <v>2989</v>
      </c>
      <c r="D743" s="11" t="s">
        <v>1586</v>
      </c>
      <c r="E743" s="32" t="s">
        <v>2990</v>
      </c>
      <c r="F743" s="11"/>
      <c r="G743" s="11" t="s">
        <v>1582</v>
      </c>
      <c r="H743" s="11" t="s">
        <v>2946</v>
      </c>
      <c r="I743" s="11">
        <v>90.0</v>
      </c>
      <c r="J743" s="138" t="s">
        <v>1589</v>
      </c>
      <c r="K743" s="138"/>
      <c r="L743" s="138"/>
      <c r="M743" s="138"/>
      <c r="N743" s="11"/>
      <c r="O743" s="163"/>
      <c r="P743" s="139">
        <v>5500.0</v>
      </c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18"/>
      <c r="C744" s="11" t="s">
        <v>2991</v>
      </c>
      <c r="D744" s="11" t="s">
        <v>1586</v>
      </c>
      <c r="E744" s="32" t="s">
        <v>2992</v>
      </c>
      <c r="F744" s="11"/>
      <c r="G744" s="11" t="s">
        <v>1582</v>
      </c>
      <c r="H744" s="11" t="s">
        <v>2946</v>
      </c>
      <c r="I744" s="11">
        <v>90.0</v>
      </c>
      <c r="J744" s="138" t="s">
        <v>1589</v>
      </c>
      <c r="K744" s="138"/>
      <c r="L744" s="138"/>
      <c r="M744" s="138"/>
      <c r="N744" s="11"/>
      <c r="O744" s="163"/>
      <c r="P744" s="139">
        <v>9000.0</v>
      </c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18"/>
      <c r="C745" s="11" t="s">
        <v>2993</v>
      </c>
      <c r="D745" s="11" t="s">
        <v>1586</v>
      </c>
      <c r="E745" s="32" t="s">
        <v>2994</v>
      </c>
      <c r="F745" s="11"/>
      <c r="G745" s="11" t="s">
        <v>1582</v>
      </c>
      <c r="H745" s="11" t="s">
        <v>2946</v>
      </c>
      <c r="I745" s="11">
        <v>90.0</v>
      </c>
      <c r="J745" s="138" t="s">
        <v>1589</v>
      </c>
      <c r="K745" s="138"/>
      <c r="L745" s="138"/>
      <c r="M745" s="138"/>
      <c r="N745" s="11"/>
      <c r="O745" s="163"/>
      <c r="P745" s="139">
        <v>6500.0</v>
      </c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18"/>
      <c r="C746" s="11" t="s">
        <v>2995</v>
      </c>
      <c r="D746" s="11" t="s">
        <v>1586</v>
      </c>
      <c r="E746" s="32" t="s">
        <v>2996</v>
      </c>
      <c r="F746" s="11"/>
      <c r="G746" s="11" t="s">
        <v>1582</v>
      </c>
      <c r="H746" s="11" t="s">
        <v>2946</v>
      </c>
      <c r="I746" s="11">
        <v>90.0</v>
      </c>
      <c r="J746" s="138" t="s">
        <v>1589</v>
      </c>
      <c r="K746" s="138"/>
      <c r="L746" s="138"/>
      <c r="M746" s="138"/>
      <c r="N746" s="11"/>
      <c r="O746" s="163"/>
      <c r="P746" s="139">
        <v>5500.0</v>
      </c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35"/>
      <c r="C747" s="36" t="s">
        <v>2997</v>
      </c>
      <c r="D747" s="36" t="s">
        <v>1586</v>
      </c>
      <c r="E747" s="158" t="s">
        <v>2998</v>
      </c>
      <c r="F747" s="36"/>
      <c r="G747" s="36" t="s">
        <v>1582</v>
      </c>
      <c r="H747" s="36" t="s">
        <v>2946</v>
      </c>
      <c r="I747" s="36">
        <v>90.0</v>
      </c>
      <c r="J747" s="141" t="s">
        <v>1589</v>
      </c>
      <c r="K747" s="141"/>
      <c r="L747" s="141"/>
      <c r="M747" s="141"/>
      <c r="N747" s="36"/>
      <c r="O747" s="164"/>
      <c r="P747" s="142">
        <v>6000.0</v>
      </c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147" t="s">
        <v>276</v>
      </c>
      <c r="C748" s="42" t="s">
        <v>2999</v>
      </c>
      <c r="D748" s="42" t="s">
        <v>1586</v>
      </c>
      <c r="E748" s="165" t="s">
        <v>3000</v>
      </c>
      <c r="F748" s="42"/>
      <c r="G748" s="42" t="s">
        <v>1582</v>
      </c>
      <c r="H748" s="42" t="s">
        <v>3001</v>
      </c>
      <c r="I748" s="42">
        <v>0.0</v>
      </c>
      <c r="J748" s="149" t="s">
        <v>1589</v>
      </c>
      <c r="K748" s="149"/>
      <c r="L748" s="149"/>
      <c r="M748" s="149"/>
      <c r="N748" s="42"/>
      <c r="O748" s="162"/>
      <c r="P748" s="136">
        <v>1.0</v>
      </c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18"/>
      <c r="C749" s="11" t="s">
        <v>3002</v>
      </c>
      <c r="D749" s="11" t="s">
        <v>1586</v>
      </c>
      <c r="E749" s="32" t="s">
        <v>3003</v>
      </c>
      <c r="F749" s="11"/>
      <c r="G749" s="11" t="s">
        <v>1582</v>
      </c>
      <c r="H749" s="11" t="s">
        <v>3001</v>
      </c>
      <c r="I749" s="11">
        <v>0.0</v>
      </c>
      <c r="J749" s="138" t="s">
        <v>1589</v>
      </c>
      <c r="K749" s="138"/>
      <c r="L749" s="138"/>
      <c r="M749" s="138"/>
      <c r="N749" s="11">
        <v>30.0</v>
      </c>
      <c r="O749" s="163" t="s">
        <v>1554</v>
      </c>
      <c r="P749" s="139">
        <v>900.0</v>
      </c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18"/>
      <c r="C750" s="11" t="s">
        <v>3004</v>
      </c>
      <c r="D750" s="11" t="s">
        <v>1586</v>
      </c>
      <c r="E750" s="32" t="s">
        <v>3005</v>
      </c>
      <c r="F750" s="11"/>
      <c r="G750" s="11" t="s">
        <v>1582</v>
      </c>
      <c r="H750" s="11" t="s">
        <v>3001</v>
      </c>
      <c r="I750" s="11">
        <v>0.0</v>
      </c>
      <c r="J750" s="138" t="s">
        <v>1589</v>
      </c>
      <c r="K750" s="138"/>
      <c r="L750" s="138"/>
      <c r="M750" s="138"/>
      <c r="N750" s="11">
        <v>30.0</v>
      </c>
      <c r="O750" s="163" t="s">
        <v>1554</v>
      </c>
      <c r="P750" s="139">
        <v>900.0</v>
      </c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18"/>
      <c r="C751" s="11" t="s">
        <v>3006</v>
      </c>
      <c r="D751" s="11" t="s">
        <v>1586</v>
      </c>
      <c r="E751" s="32" t="s">
        <v>3007</v>
      </c>
      <c r="F751" s="11"/>
      <c r="G751" s="11" t="s">
        <v>1582</v>
      </c>
      <c r="H751" s="11" t="s">
        <v>3001</v>
      </c>
      <c r="I751" s="11">
        <v>0.0</v>
      </c>
      <c r="J751" s="138" t="s">
        <v>1589</v>
      </c>
      <c r="K751" s="138"/>
      <c r="L751" s="138"/>
      <c r="M751" s="138"/>
      <c r="N751" s="11"/>
      <c r="O751" s="163"/>
      <c r="P751" s="139">
        <v>700.0</v>
      </c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18"/>
      <c r="C752" s="11" t="s">
        <v>3008</v>
      </c>
      <c r="D752" s="11" t="s">
        <v>1586</v>
      </c>
      <c r="E752" s="32" t="s">
        <v>3009</v>
      </c>
      <c r="F752" s="11"/>
      <c r="G752" s="11" t="s">
        <v>1582</v>
      </c>
      <c r="H752" s="11" t="s">
        <v>3001</v>
      </c>
      <c r="I752" s="11">
        <v>0.0</v>
      </c>
      <c r="J752" s="138" t="s">
        <v>1589</v>
      </c>
      <c r="K752" s="138"/>
      <c r="L752" s="138"/>
      <c r="M752" s="138"/>
      <c r="N752" s="11"/>
      <c r="O752" s="163"/>
      <c r="P752" s="139">
        <v>5000.0</v>
      </c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18"/>
      <c r="C753" s="11" t="s">
        <v>3010</v>
      </c>
      <c r="D753" s="11" t="s">
        <v>1586</v>
      </c>
      <c r="E753" s="32" t="s">
        <v>3011</v>
      </c>
      <c r="F753" s="11"/>
      <c r="G753" s="11" t="s">
        <v>1582</v>
      </c>
      <c r="H753" s="11" t="s">
        <v>3001</v>
      </c>
      <c r="I753" s="11">
        <v>180.0</v>
      </c>
      <c r="J753" s="138" t="s">
        <v>1589</v>
      </c>
      <c r="K753" s="138"/>
      <c r="L753" s="138"/>
      <c r="M753" s="138"/>
      <c r="N753" s="11"/>
      <c r="O753" s="163"/>
      <c r="P753" s="139">
        <v>5100.0</v>
      </c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18"/>
      <c r="C754" s="11" t="s">
        <v>3012</v>
      </c>
      <c r="D754" s="11" t="s">
        <v>1586</v>
      </c>
      <c r="E754" s="32" t="s">
        <v>3013</v>
      </c>
      <c r="F754" s="11"/>
      <c r="G754" s="11" t="s">
        <v>1582</v>
      </c>
      <c r="H754" s="11" t="s">
        <v>3001</v>
      </c>
      <c r="I754" s="11">
        <v>180.0</v>
      </c>
      <c r="J754" s="138" t="s">
        <v>1589</v>
      </c>
      <c r="K754" s="138"/>
      <c r="L754" s="138"/>
      <c r="M754" s="138"/>
      <c r="N754" s="11"/>
      <c r="O754" s="163"/>
      <c r="P754" s="139">
        <v>3700.0</v>
      </c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18"/>
      <c r="C755" s="11" t="s">
        <v>3014</v>
      </c>
      <c r="D755" s="11" t="s">
        <v>1586</v>
      </c>
      <c r="E755" s="32" t="s">
        <v>3015</v>
      </c>
      <c r="F755" s="11"/>
      <c r="G755" s="11" t="s">
        <v>1582</v>
      </c>
      <c r="H755" s="11" t="s">
        <v>3001</v>
      </c>
      <c r="I755" s="11">
        <v>90.0</v>
      </c>
      <c r="J755" s="138" t="s">
        <v>1589</v>
      </c>
      <c r="K755" s="138"/>
      <c r="L755" s="138"/>
      <c r="M755" s="138"/>
      <c r="N755" s="11"/>
      <c r="O755" s="163"/>
      <c r="P755" s="139">
        <v>5200.0</v>
      </c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18"/>
      <c r="C756" s="11" t="s">
        <v>3016</v>
      </c>
      <c r="D756" s="11" t="s">
        <v>1586</v>
      </c>
      <c r="E756" s="32" t="s">
        <v>3017</v>
      </c>
      <c r="F756" s="11"/>
      <c r="G756" s="11" t="s">
        <v>1582</v>
      </c>
      <c r="H756" s="11" t="s">
        <v>3001</v>
      </c>
      <c r="I756" s="11">
        <v>90.0</v>
      </c>
      <c r="J756" s="138" t="s">
        <v>1589</v>
      </c>
      <c r="K756" s="138"/>
      <c r="L756" s="138"/>
      <c r="M756" s="138"/>
      <c r="N756" s="11"/>
      <c r="O756" s="163"/>
      <c r="P756" s="139">
        <v>5100.0</v>
      </c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18"/>
      <c r="C757" s="11" t="s">
        <v>3018</v>
      </c>
      <c r="D757" s="11" t="s">
        <v>1586</v>
      </c>
      <c r="E757" s="32" t="s">
        <v>3019</v>
      </c>
      <c r="F757" s="11"/>
      <c r="G757" s="11" t="s">
        <v>1582</v>
      </c>
      <c r="H757" s="11" t="s">
        <v>3001</v>
      </c>
      <c r="I757" s="11">
        <v>90.0</v>
      </c>
      <c r="J757" s="138" t="s">
        <v>1589</v>
      </c>
      <c r="K757" s="138"/>
      <c r="L757" s="138"/>
      <c r="M757" s="138"/>
      <c r="N757" s="11"/>
      <c r="O757" s="163"/>
      <c r="P757" s="139">
        <v>4000.0</v>
      </c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18"/>
      <c r="C758" s="11" t="s">
        <v>3020</v>
      </c>
      <c r="D758" s="11" t="s">
        <v>1586</v>
      </c>
      <c r="E758" s="32" t="s">
        <v>3021</v>
      </c>
      <c r="F758" s="11"/>
      <c r="G758" s="11" t="s">
        <v>1582</v>
      </c>
      <c r="H758" s="11" t="s">
        <v>3001</v>
      </c>
      <c r="I758" s="11">
        <v>90.0</v>
      </c>
      <c r="J758" s="138" t="s">
        <v>1589</v>
      </c>
      <c r="K758" s="138"/>
      <c r="L758" s="138"/>
      <c r="M758" s="138"/>
      <c r="N758" s="11">
        <v>20.0</v>
      </c>
      <c r="O758" s="163" t="s">
        <v>1554</v>
      </c>
      <c r="P758" s="139">
        <v>13000.0</v>
      </c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18"/>
      <c r="C759" s="11" t="s">
        <v>3022</v>
      </c>
      <c r="D759" s="11" t="s">
        <v>1586</v>
      </c>
      <c r="E759" s="32" t="s">
        <v>3023</v>
      </c>
      <c r="F759" s="11"/>
      <c r="G759" s="11" t="s">
        <v>1582</v>
      </c>
      <c r="H759" s="11" t="s">
        <v>3001</v>
      </c>
      <c r="I759" s="11">
        <v>90.0</v>
      </c>
      <c r="J759" s="138" t="s">
        <v>1589</v>
      </c>
      <c r="K759" s="138"/>
      <c r="L759" s="138"/>
      <c r="M759" s="138"/>
      <c r="N759" s="11"/>
      <c r="O759" s="163"/>
      <c r="P759" s="139">
        <v>5100.0</v>
      </c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18"/>
      <c r="C760" s="11" t="s">
        <v>3024</v>
      </c>
      <c r="D760" s="11" t="s">
        <v>1586</v>
      </c>
      <c r="E760" s="32" t="s">
        <v>3025</v>
      </c>
      <c r="F760" s="11"/>
      <c r="G760" s="11" t="s">
        <v>1582</v>
      </c>
      <c r="H760" s="11" t="s">
        <v>3001</v>
      </c>
      <c r="I760" s="11">
        <v>90.0</v>
      </c>
      <c r="J760" s="138" t="s">
        <v>1589</v>
      </c>
      <c r="K760" s="138"/>
      <c r="L760" s="138"/>
      <c r="M760" s="138"/>
      <c r="N760" s="11"/>
      <c r="O760" s="163"/>
      <c r="P760" s="139">
        <v>5700.0</v>
      </c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18"/>
      <c r="C761" s="11" t="s">
        <v>3026</v>
      </c>
      <c r="D761" s="11" t="s">
        <v>1586</v>
      </c>
      <c r="E761" s="32" t="s">
        <v>3027</v>
      </c>
      <c r="F761" s="11"/>
      <c r="G761" s="11" t="s">
        <v>1582</v>
      </c>
      <c r="H761" s="11" t="s">
        <v>3001</v>
      </c>
      <c r="I761" s="11">
        <v>180.0</v>
      </c>
      <c r="J761" s="138" t="s">
        <v>1589</v>
      </c>
      <c r="K761" s="138"/>
      <c r="L761" s="138"/>
      <c r="M761" s="138"/>
      <c r="N761" s="11">
        <v>50.0</v>
      </c>
      <c r="O761" s="163" t="s">
        <v>1554</v>
      </c>
      <c r="P761" s="139">
        <v>4000.0</v>
      </c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18"/>
      <c r="C762" s="11" t="s">
        <v>3028</v>
      </c>
      <c r="D762" s="11" t="s">
        <v>1586</v>
      </c>
      <c r="E762" s="32" t="s">
        <v>3029</v>
      </c>
      <c r="F762" s="11"/>
      <c r="G762" s="11" t="s">
        <v>1582</v>
      </c>
      <c r="H762" s="11" t="s">
        <v>3001</v>
      </c>
      <c r="I762" s="11">
        <v>90.0</v>
      </c>
      <c r="J762" s="138" t="s">
        <v>1589</v>
      </c>
      <c r="K762" s="138"/>
      <c r="L762" s="138"/>
      <c r="M762" s="138"/>
      <c r="N762" s="11"/>
      <c r="O762" s="163"/>
      <c r="P762" s="139">
        <v>7500.0</v>
      </c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18"/>
      <c r="C763" s="11" t="s">
        <v>3030</v>
      </c>
      <c r="D763" s="11" t="s">
        <v>1586</v>
      </c>
      <c r="E763" s="32" t="s">
        <v>3031</v>
      </c>
      <c r="F763" s="11"/>
      <c r="G763" s="11" t="s">
        <v>1582</v>
      </c>
      <c r="H763" s="11" t="s">
        <v>3001</v>
      </c>
      <c r="I763" s="11">
        <v>180.0</v>
      </c>
      <c r="J763" s="138" t="s">
        <v>1589</v>
      </c>
      <c r="K763" s="138"/>
      <c r="L763" s="138"/>
      <c r="M763" s="138"/>
      <c r="N763" s="11"/>
      <c r="O763" s="163"/>
      <c r="P763" s="139">
        <v>7300.0</v>
      </c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18"/>
      <c r="C764" s="11" t="s">
        <v>3032</v>
      </c>
      <c r="D764" s="11" t="s">
        <v>1586</v>
      </c>
      <c r="E764" s="32" t="s">
        <v>3033</v>
      </c>
      <c r="F764" s="11"/>
      <c r="G764" s="11" t="s">
        <v>1582</v>
      </c>
      <c r="H764" s="11" t="s">
        <v>3001</v>
      </c>
      <c r="I764" s="11">
        <v>180.0</v>
      </c>
      <c r="J764" s="138" t="s">
        <v>1589</v>
      </c>
      <c r="K764" s="138"/>
      <c r="L764" s="138"/>
      <c r="M764" s="138"/>
      <c r="N764" s="11"/>
      <c r="O764" s="163"/>
      <c r="P764" s="139">
        <v>5300.0</v>
      </c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18"/>
      <c r="C765" s="11" t="s">
        <v>3034</v>
      </c>
      <c r="D765" s="11" t="s">
        <v>1586</v>
      </c>
      <c r="E765" s="32" t="s">
        <v>3035</v>
      </c>
      <c r="F765" s="11"/>
      <c r="G765" s="11" t="s">
        <v>1582</v>
      </c>
      <c r="H765" s="11" t="s">
        <v>3001</v>
      </c>
      <c r="I765" s="11">
        <v>90.0</v>
      </c>
      <c r="J765" s="138" t="s">
        <v>1589</v>
      </c>
      <c r="K765" s="138"/>
      <c r="L765" s="138"/>
      <c r="M765" s="138"/>
      <c r="N765" s="11"/>
      <c r="O765" s="163"/>
      <c r="P765" s="139">
        <v>6000.0</v>
      </c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18"/>
      <c r="C766" s="11" t="s">
        <v>3036</v>
      </c>
      <c r="D766" s="11" t="s">
        <v>1586</v>
      </c>
      <c r="E766" s="32" t="s">
        <v>3037</v>
      </c>
      <c r="F766" s="11"/>
      <c r="G766" s="11" t="s">
        <v>1582</v>
      </c>
      <c r="H766" s="11" t="s">
        <v>3001</v>
      </c>
      <c r="I766" s="11">
        <v>90.0</v>
      </c>
      <c r="J766" s="138" t="s">
        <v>1589</v>
      </c>
      <c r="K766" s="138"/>
      <c r="L766" s="138"/>
      <c r="M766" s="138"/>
      <c r="N766" s="11"/>
      <c r="O766" s="163"/>
      <c r="P766" s="139">
        <v>5000.0</v>
      </c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18"/>
      <c r="C767" s="11" t="s">
        <v>3038</v>
      </c>
      <c r="D767" s="11" t="s">
        <v>1586</v>
      </c>
      <c r="E767" s="32" t="s">
        <v>3039</v>
      </c>
      <c r="F767" s="11"/>
      <c r="G767" s="11" t="s">
        <v>1582</v>
      </c>
      <c r="H767" s="11" t="s">
        <v>3001</v>
      </c>
      <c r="I767" s="11">
        <v>90.0</v>
      </c>
      <c r="J767" s="138" t="s">
        <v>1589</v>
      </c>
      <c r="K767" s="138"/>
      <c r="L767" s="138"/>
      <c r="M767" s="138"/>
      <c r="N767" s="11"/>
      <c r="O767" s="163"/>
      <c r="P767" s="139">
        <v>5000.0</v>
      </c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18"/>
      <c r="C768" s="11" t="s">
        <v>3040</v>
      </c>
      <c r="D768" s="11" t="s">
        <v>1586</v>
      </c>
      <c r="E768" s="32" t="s">
        <v>3041</v>
      </c>
      <c r="F768" s="11"/>
      <c r="G768" s="11" t="s">
        <v>1582</v>
      </c>
      <c r="H768" s="11" t="s">
        <v>3001</v>
      </c>
      <c r="I768" s="11">
        <v>90.0</v>
      </c>
      <c r="J768" s="138" t="s">
        <v>1589</v>
      </c>
      <c r="K768" s="138"/>
      <c r="L768" s="138"/>
      <c r="M768" s="138"/>
      <c r="N768" s="11"/>
      <c r="O768" s="163"/>
      <c r="P768" s="139">
        <v>5600.0</v>
      </c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18"/>
      <c r="C769" s="11" t="s">
        <v>3042</v>
      </c>
      <c r="D769" s="11" t="s">
        <v>1586</v>
      </c>
      <c r="E769" s="32" t="s">
        <v>3043</v>
      </c>
      <c r="F769" s="11"/>
      <c r="G769" s="11" t="s">
        <v>1582</v>
      </c>
      <c r="H769" s="11" t="s">
        <v>3001</v>
      </c>
      <c r="I769" s="11">
        <v>90.0</v>
      </c>
      <c r="J769" s="138" t="s">
        <v>1589</v>
      </c>
      <c r="K769" s="138"/>
      <c r="L769" s="138"/>
      <c r="M769" s="138"/>
      <c r="N769" s="11"/>
      <c r="O769" s="163"/>
      <c r="P769" s="139">
        <v>5500.0</v>
      </c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18"/>
      <c r="C770" s="11" t="s">
        <v>3044</v>
      </c>
      <c r="D770" s="11" t="s">
        <v>1586</v>
      </c>
      <c r="E770" s="32" t="s">
        <v>3045</v>
      </c>
      <c r="F770" s="11"/>
      <c r="G770" s="11" t="s">
        <v>1582</v>
      </c>
      <c r="H770" s="11" t="s">
        <v>3001</v>
      </c>
      <c r="I770" s="11">
        <v>90.0</v>
      </c>
      <c r="J770" s="138" t="s">
        <v>1589</v>
      </c>
      <c r="K770" s="138"/>
      <c r="L770" s="138"/>
      <c r="M770" s="138"/>
      <c r="N770" s="11"/>
      <c r="O770" s="163"/>
      <c r="P770" s="139">
        <v>9500.0</v>
      </c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18"/>
      <c r="C771" s="11" t="s">
        <v>3046</v>
      </c>
      <c r="D771" s="11" t="s">
        <v>1586</v>
      </c>
      <c r="E771" s="32" t="s">
        <v>3047</v>
      </c>
      <c r="F771" s="11"/>
      <c r="G771" s="11" t="s">
        <v>1582</v>
      </c>
      <c r="H771" s="11" t="s">
        <v>3001</v>
      </c>
      <c r="I771" s="11">
        <v>90.0</v>
      </c>
      <c r="J771" s="138" t="s">
        <v>1589</v>
      </c>
      <c r="K771" s="138"/>
      <c r="L771" s="138"/>
      <c r="M771" s="138"/>
      <c r="N771" s="11"/>
      <c r="O771" s="163"/>
      <c r="P771" s="139">
        <v>6500.0</v>
      </c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18"/>
      <c r="C772" s="11" t="s">
        <v>3048</v>
      </c>
      <c r="D772" s="11" t="s">
        <v>1586</v>
      </c>
      <c r="E772" s="32" t="s">
        <v>3049</v>
      </c>
      <c r="F772" s="11"/>
      <c r="G772" s="11" t="s">
        <v>1582</v>
      </c>
      <c r="H772" s="11" t="s">
        <v>3001</v>
      </c>
      <c r="I772" s="11">
        <v>90.0</v>
      </c>
      <c r="J772" s="138" t="s">
        <v>1589</v>
      </c>
      <c r="K772" s="138"/>
      <c r="L772" s="138"/>
      <c r="M772" s="138"/>
      <c r="N772" s="11"/>
      <c r="O772" s="163"/>
      <c r="P772" s="139">
        <v>5500.0</v>
      </c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35"/>
      <c r="C773" s="36" t="s">
        <v>3050</v>
      </c>
      <c r="D773" s="36" t="s">
        <v>1586</v>
      </c>
      <c r="E773" s="158" t="s">
        <v>3051</v>
      </c>
      <c r="F773" s="36"/>
      <c r="G773" s="36" t="s">
        <v>1582</v>
      </c>
      <c r="H773" s="36" t="s">
        <v>3001</v>
      </c>
      <c r="I773" s="36">
        <v>90.0</v>
      </c>
      <c r="J773" s="141" t="s">
        <v>1589</v>
      </c>
      <c r="K773" s="141"/>
      <c r="L773" s="141"/>
      <c r="M773" s="141"/>
      <c r="N773" s="36"/>
      <c r="O773" s="164"/>
      <c r="P773" s="142">
        <v>6000.0</v>
      </c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147" t="s">
        <v>283</v>
      </c>
      <c r="C774" s="42" t="s">
        <v>3052</v>
      </c>
      <c r="D774" s="42" t="s">
        <v>1586</v>
      </c>
      <c r="E774" s="165" t="s">
        <v>3053</v>
      </c>
      <c r="F774" s="42"/>
      <c r="G774" s="42" t="s">
        <v>1582</v>
      </c>
      <c r="H774" s="42" t="s">
        <v>3054</v>
      </c>
      <c r="I774" s="42">
        <v>0.0</v>
      </c>
      <c r="J774" s="149" t="s">
        <v>1589</v>
      </c>
      <c r="K774" s="149"/>
      <c r="L774" s="149"/>
      <c r="M774" s="149"/>
      <c r="N774" s="42"/>
      <c r="O774" s="162"/>
      <c r="P774" s="136">
        <v>1.0</v>
      </c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18"/>
      <c r="C775" s="11" t="s">
        <v>3055</v>
      </c>
      <c r="D775" s="11" t="s">
        <v>1586</v>
      </c>
      <c r="E775" s="32" t="s">
        <v>3056</v>
      </c>
      <c r="F775" s="11"/>
      <c r="G775" s="11" t="s">
        <v>1582</v>
      </c>
      <c r="H775" s="11" t="s">
        <v>3054</v>
      </c>
      <c r="I775" s="11">
        <v>0.0</v>
      </c>
      <c r="J775" s="138" t="s">
        <v>1589</v>
      </c>
      <c r="K775" s="138"/>
      <c r="L775" s="138"/>
      <c r="M775" s="138"/>
      <c r="N775" s="11">
        <v>30.0</v>
      </c>
      <c r="O775" s="163" t="s">
        <v>1554</v>
      </c>
      <c r="P775" s="139">
        <v>900.0</v>
      </c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18"/>
      <c r="C776" s="11" t="s">
        <v>3057</v>
      </c>
      <c r="D776" s="11" t="s">
        <v>1586</v>
      </c>
      <c r="E776" s="32" t="s">
        <v>3058</v>
      </c>
      <c r="F776" s="11"/>
      <c r="G776" s="11" t="s">
        <v>1582</v>
      </c>
      <c r="H776" s="11" t="s">
        <v>3054</v>
      </c>
      <c r="I776" s="11">
        <v>0.0</v>
      </c>
      <c r="J776" s="138" t="s">
        <v>1589</v>
      </c>
      <c r="K776" s="138"/>
      <c r="L776" s="138"/>
      <c r="M776" s="138"/>
      <c r="N776" s="11">
        <v>30.0</v>
      </c>
      <c r="O776" s="163" t="s">
        <v>1554</v>
      </c>
      <c r="P776" s="139">
        <v>900.0</v>
      </c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18"/>
      <c r="C777" s="11" t="s">
        <v>3059</v>
      </c>
      <c r="D777" s="11" t="s">
        <v>1586</v>
      </c>
      <c r="E777" s="32" t="s">
        <v>3060</v>
      </c>
      <c r="F777" s="11"/>
      <c r="G777" s="11" t="s">
        <v>1582</v>
      </c>
      <c r="H777" s="11" t="s">
        <v>3054</v>
      </c>
      <c r="I777" s="11">
        <v>0.0</v>
      </c>
      <c r="J777" s="138" t="s">
        <v>1589</v>
      </c>
      <c r="K777" s="138"/>
      <c r="L777" s="138"/>
      <c r="M777" s="138"/>
      <c r="N777" s="11"/>
      <c r="O777" s="163"/>
      <c r="P777" s="139">
        <v>700.0</v>
      </c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18"/>
      <c r="C778" s="11" t="s">
        <v>3061</v>
      </c>
      <c r="D778" s="11" t="s">
        <v>1586</v>
      </c>
      <c r="E778" s="32" t="s">
        <v>3062</v>
      </c>
      <c r="F778" s="11"/>
      <c r="G778" s="11" t="s">
        <v>1582</v>
      </c>
      <c r="H778" s="11" t="s">
        <v>3054</v>
      </c>
      <c r="I778" s="11">
        <v>0.0</v>
      </c>
      <c r="J778" s="138" t="s">
        <v>1589</v>
      </c>
      <c r="K778" s="138"/>
      <c r="L778" s="138"/>
      <c r="M778" s="138"/>
      <c r="N778" s="11"/>
      <c r="O778" s="163"/>
      <c r="P778" s="139">
        <v>5000.0</v>
      </c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18"/>
      <c r="C779" s="11" t="s">
        <v>3063</v>
      </c>
      <c r="D779" s="11" t="s">
        <v>1586</v>
      </c>
      <c r="E779" s="32" t="s">
        <v>3064</v>
      </c>
      <c r="F779" s="11"/>
      <c r="G779" s="11" t="s">
        <v>1582</v>
      </c>
      <c r="H779" s="11" t="s">
        <v>3054</v>
      </c>
      <c r="I779" s="11">
        <v>180.0</v>
      </c>
      <c r="J779" s="138" t="s">
        <v>1589</v>
      </c>
      <c r="K779" s="138"/>
      <c r="L779" s="138"/>
      <c r="M779" s="138"/>
      <c r="N779" s="11"/>
      <c r="O779" s="163"/>
      <c r="P779" s="139">
        <v>5100.0</v>
      </c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18"/>
      <c r="C780" s="11" t="s">
        <v>3065</v>
      </c>
      <c r="D780" s="11" t="s">
        <v>1586</v>
      </c>
      <c r="E780" s="32" t="s">
        <v>3066</v>
      </c>
      <c r="F780" s="11"/>
      <c r="G780" s="11" t="s">
        <v>1582</v>
      </c>
      <c r="H780" s="11" t="s">
        <v>3054</v>
      </c>
      <c r="I780" s="11">
        <v>180.0</v>
      </c>
      <c r="J780" s="138" t="s">
        <v>1589</v>
      </c>
      <c r="K780" s="138"/>
      <c r="L780" s="138"/>
      <c r="M780" s="138"/>
      <c r="N780" s="11"/>
      <c r="O780" s="163"/>
      <c r="P780" s="139">
        <v>3700.0</v>
      </c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18"/>
      <c r="C781" s="11" t="s">
        <v>3067</v>
      </c>
      <c r="D781" s="11" t="s">
        <v>1586</v>
      </c>
      <c r="E781" s="32" t="s">
        <v>3068</v>
      </c>
      <c r="F781" s="11"/>
      <c r="G781" s="11" t="s">
        <v>1582</v>
      </c>
      <c r="H781" s="11" t="s">
        <v>3054</v>
      </c>
      <c r="I781" s="11">
        <v>90.0</v>
      </c>
      <c r="J781" s="138" t="s">
        <v>1589</v>
      </c>
      <c r="K781" s="138"/>
      <c r="L781" s="138"/>
      <c r="M781" s="138"/>
      <c r="N781" s="11"/>
      <c r="O781" s="163"/>
      <c r="P781" s="139">
        <v>5200.0</v>
      </c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18"/>
      <c r="C782" s="11" t="s">
        <v>3069</v>
      </c>
      <c r="D782" s="11" t="s">
        <v>1586</v>
      </c>
      <c r="E782" s="32" t="s">
        <v>3070</v>
      </c>
      <c r="F782" s="11"/>
      <c r="G782" s="11" t="s">
        <v>1582</v>
      </c>
      <c r="H782" s="11" t="s">
        <v>3054</v>
      </c>
      <c r="I782" s="11">
        <v>90.0</v>
      </c>
      <c r="J782" s="138" t="s">
        <v>1589</v>
      </c>
      <c r="K782" s="138"/>
      <c r="L782" s="138"/>
      <c r="M782" s="138"/>
      <c r="N782" s="11"/>
      <c r="O782" s="163"/>
      <c r="P782" s="139">
        <v>5100.0</v>
      </c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18"/>
      <c r="C783" s="11" t="s">
        <v>3071</v>
      </c>
      <c r="D783" s="11" t="s">
        <v>1586</v>
      </c>
      <c r="E783" s="32" t="s">
        <v>3072</v>
      </c>
      <c r="F783" s="11"/>
      <c r="G783" s="11" t="s">
        <v>1582</v>
      </c>
      <c r="H783" s="11" t="s">
        <v>3054</v>
      </c>
      <c r="I783" s="11">
        <v>90.0</v>
      </c>
      <c r="J783" s="138" t="s">
        <v>1589</v>
      </c>
      <c r="K783" s="138"/>
      <c r="L783" s="138"/>
      <c r="M783" s="138"/>
      <c r="N783" s="11"/>
      <c r="O783" s="163"/>
      <c r="P783" s="139">
        <v>4000.0</v>
      </c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18"/>
      <c r="C784" s="11" t="s">
        <v>3073</v>
      </c>
      <c r="D784" s="11" t="s">
        <v>1586</v>
      </c>
      <c r="E784" s="32" t="s">
        <v>3074</v>
      </c>
      <c r="F784" s="11"/>
      <c r="G784" s="11" t="s">
        <v>1582</v>
      </c>
      <c r="H784" s="11" t="s">
        <v>3054</v>
      </c>
      <c r="I784" s="11">
        <v>90.0</v>
      </c>
      <c r="J784" s="138" t="s">
        <v>1589</v>
      </c>
      <c r="K784" s="138"/>
      <c r="L784" s="138"/>
      <c r="M784" s="138"/>
      <c r="N784" s="11">
        <v>20.0</v>
      </c>
      <c r="O784" s="163" t="s">
        <v>1554</v>
      </c>
      <c r="P784" s="156">
        <v>15000.0</v>
      </c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18"/>
      <c r="C785" s="11" t="s">
        <v>3075</v>
      </c>
      <c r="D785" s="11" t="s">
        <v>1586</v>
      </c>
      <c r="E785" s="32" t="s">
        <v>3076</v>
      </c>
      <c r="F785" s="11"/>
      <c r="G785" s="11" t="s">
        <v>1582</v>
      </c>
      <c r="H785" s="11" t="s">
        <v>3054</v>
      </c>
      <c r="I785" s="11">
        <v>90.0</v>
      </c>
      <c r="J785" s="138" t="s">
        <v>1589</v>
      </c>
      <c r="K785" s="138"/>
      <c r="L785" s="138"/>
      <c r="M785" s="138"/>
      <c r="N785" s="11"/>
      <c r="O785" s="163"/>
      <c r="P785" s="139">
        <v>5100.0</v>
      </c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18"/>
      <c r="C786" s="11" t="s">
        <v>3077</v>
      </c>
      <c r="D786" s="11" t="s">
        <v>1586</v>
      </c>
      <c r="E786" s="32" t="s">
        <v>3078</v>
      </c>
      <c r="F786" s="11"/>
      <c r="G786" s="11" t="s">
        <v>1582</v>
      </c>
      <c r="H786" s="11" t="s">
        <v>3054</v>
      </c>
      <c r="I786" s="11">
        <v>90.0</v>
      </c>
      <c r="J786" s="138" t="s">
        <v>1589</v>
      </c>
      <c r="K786" s="138"/>
      <c r="L786" s="138"/>
      <c r="M786" s="138"/>
      <c r="N786" s="11"/>
      <c r="O786" s="163"/>
      <c r="P786" s="139">
        <v>5700.0</v>
      </c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18"/>
      <c r="C787" s="11" t="s">
        <v>3079</v>
      </c>
      <c r="D787" s="11" t="s">
        <v>1586</v>
      </c>
      <c r="E787" s="32" t="s">
        <v>3080</v>
      </c>
      <c r="F787" s="11"/>
      <c r="G787" s="11" t="s">
        <v>1582</v>
      </c>
      <c r="H787" s="11" t="s">
        <v>3054</v>
      </c>
      <c r="I787" s="11">
        <v>180.0</v>
      </c>
      <c r="J787" s="138" t="s">
        <v>1589</v>
      </c>
      <c r="K787" s="138"/>
      <c r="L787" s="138"/>
      <c r="M787" s="138"/>
      <c r="N787" s="11">
        <v>50.0</v>
      </c>
      <c r="O787" s="163" t="s">
        <v>1554</v>
      </c>
      <c r="P787" s="139">
        <v>4000.0</v>
      </c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18"/>
      <c r="C788" s="11" t="s">
        <v>3081</v>
      </c>
      <c r="D788" s="11" t="s">
        <v>1586</v>
      </c>
      <c r="E788" s="32" t="s">
        <v>3082</v>
      </c>
      <c r="F788" s="11"/>
      <c r="G788" s="11" t="s">
        <v>1582</v>
      </c>
      <c r="H788" s="11" t="s">
        <v>3054</v>
      </c>
      <c r="I788" s="11">
        <v>90.0</v>
      </c>
      <c r="J788" s="138" t="s">
        <v>1589</v>
      </c>
      <c r="K788" s="138"/>
      <c r="L788" s="138"/>
      <c r="M788" s="138"/>
      <c r="N788" s="11"/>
      <c r="O788" s="163"/>
      <c r="P788" s="139">
        <v>7500.0</v>
      </c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18"/>
      <c r="C789" s="11" t="s">
        <v>3083</v>
      </c>
      <c r="D789" s="11" t="s">
        <v>1586</v>
      </c>
      <c r="E789" s="32" t="s">
        <v>3084</v>
      </c>
      <c r="F789" s="11"/>
      <c r="G789" s="11" t="s">
        <v>1582</v>
      </c>
      <c r="H789" s="11" t="s">
        <v>3054</v>
      </c>
      <c r="I789" s="11">
        <v>180.0</v>
      </c>
      <c r="J789" s="138" t="s">
        <v>1589</v>
      </c>
      <c r="K789" s="138"/>
      <c r="L789" s="138"/>
      <c r="M789" s="138"/>
      <c r="N789" s="11"/>
      <c r="O789" s="163"/>
      <c r="P789" s="139">
        <v>7300.0</v>
      </c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18"/>
      <c r="C790" s="11" t="s">
        <v>3085</v>
      </c>
      <c r="D790" s="11" t="s">
        <v>1586</v>
      </c>
      <c r="E790" s="32" t="s">
        <v>3086</v>
      </c>
      <c r="F790" s="11"/>
      <c r="G790" s="11" t="s">
        <v>1582</v>
      </c>
      <c r="H790" s="11" t="s">
        <v>3054</v>
      </c>
      <c r="I790" s="11">
        <v>180.0</v>
      </c>
      <c r="J790" s="138" t="s">
        <v>1589</v>
      </c>
      <c r="K790" s="138"/>
      <c r="L790" s="138"/>
      <c r="M790" s="138"/>
      <c r="N790" s="11"/>
      <c r="O790" s="163"/>
      <c r="P790" s="139">
        <v>5300.0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18"/>
      <c r="C791" s="11" t="s">
        <v>3087</v>
      </c>
      <c r="D791" s="11" t="s">
        <v>1586</v>
      </c>
      <c r="E791" s="32" t="s">
        <v>3088</v>
      </c>
      <c r="F791" s="11"/>
      <c r="G791" s="11" t="s">
        <v>1582</v>
      </c>
      <c r="H791" s="11" t="s">
        <v>3054</v>
      </c>
      <c r="I791" s="11">
        <v>90.0</v>
      </c>
      <c r="J791" s="138" t="s">
        <v>1589</v>
      </c>
      <c r="K791" s="138"/>
      <c r="L791" s="138"/>
      <c r="M791" s="138"/>
      <c r="N791" s="11"/>
      <c r="O791" s="163"/>
      <c r="P791" s="139">
        <v>6000.0</v>
      </c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18"/>
      <c r="C792" s="11" t="s">
        <v>3089</v>
      </c>
      <c r="D792" s="11" t="s">
        <v>1586</v>
      </c>
      <c r="E792" s="32" t="s">
        <v>3090</v>
      </c>
      <c r="F792" s="11"/>
      <c r="G792" s="11" t="s">
        <v>1582</v>
      </c>
      <c r="H792" s="11" t="s">
        <v>3054</v>
      </c>
      <c r="I792" s="11">
        <v>90.0</v>
      </c>
      <c r="J792" s="138" t="s">
        <v>1589</v>
      </c>
      <c r="K792" s="138"/>
      <c r="L792" s="138"/>
      <c r="M792" s="138"/>
      <c r="N792" s="11"/>
      <c r="O792" s="163"/>
      <c r="P792" s="139">
        <v>5000.0</v>
      </c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18"/>
      <c r="C793" s="11" t="s">
        <v>3091</v>
      </c>
      <c r="D793" s="11" t="s">
        <v>1586</v>
      </c>
      <c r="E793" s="32" t="s">
        <v>3092</v>
      </c>
      <c r="F793" s="11"/>
      <c r="G793" s="11" t="s">
        <v>1582</v>
      </c>
      <c r="H793" s="11" t="s">
        <v>3054</v>
      </c>
      <c r="I793" s="11">
        <v>90.0</v>
      </c>
      <c r="J793" s="138" t="s">
        <v>1589</v>
      </c>
      <c r="K793" s="138"/>
      <c r="L793" s="138"/>
      <c r="M793" s="138"/>
      <c r="N793" s="11"/>
      <c r="O793" s="163"/>
      <c r="P793" s="139">
        <v>5000.0</v>
      </c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18"/>
      <c r="C794" s="11" t="s">
        <v>3093</v>
      </c>
      <c r="D794" s="11" t="s">
        <v>1586</v>
      </c>
      <c r="E794" s="32" t="s">
        <v>3094</v>
      </c>
      <c r="F794" s="11"/>
      <c r="G794" s="11" t="s">
        <v>1582</v>
      </c>
      <c r="H794" s="11" t="s">
        <v>3054</v>
      </c>
      <c r="I794" s="11">
        <v>90.0</v>
      </c>
      <c r="J794" s="138" t="s">
        <v>1589</v>
      </c>
      <c r="K794" s="138"/>
      <c r="L794" s="138"/>
      <c r="M794" s="138"/>
      <c r="N794" s="11"/>
      <c r="O794" s="163"/>
      <c r="P794" s="139">
        <v>5600.0</v>
      </c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18"/>
      <c r="C795" s="11" t="s">
        <v>3095</v>
      </c>
      <c r="D795" s="11" t="s">
        <v>1586</v>
      </c>
      <c r="E795" s="32" t="s">
        <v>3096</v>
      </c>
      <c r="F795" s="11"/>
      <c r="G795" s="11" t="s">
        <v>1582</v>
      </c>
      <c r="H795" s="11" t="s">
        <v>3054</v>
      </c>
      <c r="I795" s="11">
        <v>90.0</v>
      </c>
      <c r="J795" s="138" t="s">
        <v>1589</v>
      </c>
      <c r="K795" s="138"/>
      <c r="L795" s="138"/>
      <c r="M795" s="138"/>
      <c r="N795" s="11"/>
      <c r="O795" s="163"/>
      <c r="P795" s="139">
        <v>5500.0</v>
      </c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18"/>
      <c r="C796" s="11" t="s">
        <v>3097</v>
      </c>
      <c r="D796" s="11" t="s">
        <v>1586</v>
      </c>
      <c r="E796" s="32" t="s">
        <v>3098</v>
      </c>
      <c r="F796" s="11"/>
      <c r="G796" s="11" t="s">
        <v>1582</v>
      </c>
      <c r="H796" s="11" t="s">
        <v>3054</v>
      </c>
      <c r="I796" s="11">
        <v>90.0</v>
      </c>
      <c r="J796" s="138" t="s">
        <v>1589</v>
      </c>
      <c r="K796" s="138"/>
      <c r="L796" s="138"/>
      <c r="M796" s="138"/>
      <c r="N796" s="11"/>
      <c r="O796" s="163"/>
      <c r="P796" s="139">
        <v>9500.0</v>
      </c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18"/>
      <c r="C797" s="11" t="s">
        <v>3099</v>
      </c>
      <c r="D797" s="11" t="s">
        <v>1586</v>
      </c>
      <c r="E797" s="32" t="s">
        <v>3100</v>
      </c>
      <c r="F797" s="11"/>
      <c r="G797" s="11" t="s">
        <v>1582</v>
      </c>
      <c r="H797" s="11" t="s">
        <v>3054</v>
      </c>
      <c r="I797" s="11">
        <v>90.0</v>
      </c>
      <c r="J797" s="138" t="s">
        <v>1589</v>
      </c>
      <c r="K797" s="138"/>
      <c r="L797" s="138"/>
      <c r="M797" s="138"/>
      <c r="N797" s="11"/>
      <c r="O797" s="163"/>
      <c r="P797" s="139">
        <v>6500.0</v>
      </c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18"/>
      <c r="C798" s="11" t="s">
        <v>3101</v>
      </c>
      <c r="D798" s="11" t="s">
        <v>1586</v>
      </c>
      <c r="E798" s="32" t="s">
        <v>3102</v>
      </c>
      <c r="F798" s="11"/>
      <c r="G798" s="11" t="s">
        <v>1582</v>
      </c>
      <c r="H798" s="11" t="s">
        <v>3054</v>
      </c>
      <c r="I798" s="11">
        <v>90.0</v>
      </c>
      <c r="J798" s="138" t="s">
        <v>1589</v>
      </c>
      <c r="K798" s="138"/>
      <c r="L798" s="138"/>
      <c r="M798" s="138"/>
      <c r="N798" s="11"/>
      <c r="O798" s="163"/>
      <c r="P798" s="139">
        <v>5500.0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35"/>
      <c r="C799" s="36" t="s">
        <v>3103</v>
      </c>
      <c r="D799" s="36" t="s">
        <v>1586</v>
      </c>
      <c r="E799" s="158" t="s">
        <v>3104</v>
      </c>
      <c r="F799" s="36"/>
      <c r="G799" s="36" t="s">
        <v>1582</v>
      </c>
      <c r="H799" s="36" t="s">
        <v>3054</v>
      </c>
      <c r="I799" s="36">
        <v>90.0</v>
      </c>
      <c r="J799" s="141" t="s">
        <v>1589</v>
      </c>
      <c r="K799" s="141"/>
      <c r="L799" s="141"/>
      <c r="M799" s="141"/>
      <c r="N799" s="36"/>
      <c r="O799" s="164"/>
      <c r="P799" s="142">
        <v>6000.0</v>
      </c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147" t="s">
        <v>290</v>
      </c>
      <c r="C800" s="42" t="s">
        <v>3105</v>
      </c>
      <c r="D800" s="42" t="s">
        <v>1586</v>
      </c>
      <c r="E800" s="165" t="s">
        <v>3106</v>
      </c>
      <c r="F800" s="42"/>
      <c r="G800" s="42" t="s">
        <v>1582</v>
      </c>
      <c r="H800" s="42" t="s">
        <v>3107</v>
      </c>
      <c r="I800" s="42">
        <v>0.0</v>
      </c>
      <c r="J800" s="149" t="s">
        <v>1589</v>
      </c>
      <c r="K800" s="149"/>
      <c r="L800" s="149"/>
      <c r="M800" s="149"/>
      <c r="N800" s="42"/>
      <c r="O800" s="162"/>
      <c r="P800" s="136">
        <v>1.0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18"/>
      <c r="C801" s="11" t="s">
        <v>3108</v>
      </c>
      <c r="D801" s="11" t="s">
        <v>1586</v>
      </c>
      <c r="E801" s="32" t="s">
        <v>3109</v>
      </c>
      <c r="F801" s="11"/>
      <c r="G801" s="11" t="s">
        <v>1582</v>
      </c>
      <c r="H801" s="11" t="s">
        <v>3107</v>
      </c>
      <c r="I801" s="11">
        <v>0.0</v>
      </c>
      <c r="J801" s="138" t="s">
        <v>1589</v>
      </c>
      <c r="K801" s="138"/>
      <c r="L801" s="138"/>
      <c r="M801" s="138"/>
      <c r="N801" s="11">
        <v>30.0</v>
      </c>
      <c r="O801" s="163" t="s">
        <v>1554</v>
      </c>
      <c r="P801" s="139">
        <v>1050.0</v>
      </c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18"/>
      <c r="C802" s="11" t="s">
        <v>3110</v>
      </c>
      <c r="D802" s="11" t="s">
        <v>1586</v>
      </c>
      <c r="E802" s="32" t="s">
        <v>3111</v>
      </c>
      <c r="F802" s="11"/>
      <c r="G802" s="11" t="s">
        <v>1582</v>
      </c>
      <c r="H802" s="11" t="s">
        <v>3107</v>
      </c>
      <c r="I802" s="11">
        <v>0.0</v>
      </c>
      <c r="J802" s="138" t="s">
        <v>1589</v>
      </c>
      <c r="K802" s="138"/>
      <c r="L802" s="138"/>
      <c r="M802" s="138"/>
      <c r="N802" s="11">
        <v>30.0</v>
      </c>
      <c r="O802" s="163" t="s">
        <v>1554</v>
      </c>
      <c r="P802" s="139">
        <v>1050.0</v>
      </c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18"/>
      <c r="C803" s="11" t="s">
        <v>3112</v>
      </c>
      <c r="D803" s="11" t="s">
        <v>1586</v>
      </c>
      <c r="E803" s="32" t="s">
        <v>3113</v>
      </c>
      <c r="F803" s="11"/>
      <c r="G803" s="11" t="s">
        <v>1582</v>
      </c>
      <c r="H803" s="11" t="s">
        <v>3107</v>
      </c>
      <c r="I803" s="11">
        <v>0.0</v>
      </c>
      <c r="J803" s="138" t="s">
        <v>1589</v>
      </c>
      <c r="K803" s="138"/>
      <c r="L803" s="138"/>
      <c r="M803" s="138"/>
      <c r="N803" s="11"/>
      <c r="O803" s="163"/>
      <c r="P803" s="139">
        <v>700.0</v>
      </c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18"/>
      <c r="C804" s="11" t="s">
        <v>3114</v>
      </c>
      <c r="D804" s="11" t="s">
        <v>1586</v>
      </c>
      <c r="E804" s="32" t="s">
        <v>3115</v>
      </c>
      <c r="F804" s="11"/>
      <c r="G804" s="11" t="s">
        <v>1582</v>
      </c>
      <c r="H804" s="11" t="s">
        <v>3107</v>
      </c>
      <c r="I804" s="11">
        <v>0.0</v>
      </c>
      <c r="J804" s="138" t="s">
        <v>1589</v>
      </c>
      <c r="K804" s="138"/>
      <c r="L804" s="138"/>
      <c r="M804" s="138"/>
      <c r="N804" s="11"/>
      <c r="O804" s="163"/>
      <c r="P804" s="139">
        <v>5500.0</v>
      </c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18"/>
      <c r="C805" s="11" t="s">
        <v>3116</v>
      </c>
      <c r="D805" s="11" t="s">
        <v>1586</v>
      </c>
      <c r="E805" s="32" t="s">
        <v>3117</v>
      </c>
      <c r="F805" s="11"/>
      <c r="G805" s="11" t="s">
        <v>1582</v>
      </c>
      <c r="H805" s="11" t="s">
        <v>3107</v>
      </c>
      <c r="I805" s="11">
        <v>180.0</v>
      </c>
      <c r="J805" s="138" t="s">
        <v>1589</v>
      </c>
      <c r="K805" s="138"/>
      <c r="L805" s="138"/>
      <c r="M805" s="138"/>
      <c r="N805" s="11"/>
      <c r="O805" s="163"/>
      <c r="P805" s="139">
        <v>5800.0</v>
      </c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18"/>
      <c r="C806" s="11" t="s">
        <v>3118</v>
      </c>
      <c r="D806" s="11" t="s">
        <v>1586</v>
      </c>
      <c r="E806" s="32" t="s">
        <v>3119</v>
      </c>
      <c r="F806" s="11"/>
      <c r="G806" s="11" t="s">
        <v>1582</v>
      </c>
      <c r="H806" s="11" t="s">
        <v>3107</v>
      </c>
      <c r="I806" s="11">
        <v>180.0</v>
      </c>
      <c r="J806" s="138" t="s">
        <v>1589</v>
      </c>
      <c r="K806" s="138"/>
      <c r="L806" s="138"/>
      <c r="M806" s="138"/>
      <c r="N806" s="11"/>
      <c r="O806" s="163"/>
      <c r="P806" s="156">
        <v>4200.0</v>
      </c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18"/>
      <c r="C807" s="11" t="s">
        <v>3120</v>
      </c>
      <c r="D807" s="11" t="s">
        <v>1586</v>
      </c>
      <c r="E807" s="32" t="s">
        <v>3121</v>
      </c>
      <c r="F807" s="11"/>
      <c r="G807" s="11" t="s">
        <v>1582</v>
      </c>
      <c r="H807" s="11" t="s">
        <v>3107</v>
      </c>
      <c r="I807" s="11">
        <v>90.0</v>
      </c>
      <c r="J807" s="138" t="s">
        <v>1589</v>
      </c>
      <c r="K807" s="138"/>
      <c r="L807" s="138"/>
      <c r="M807" s="138"/>
      <c r="N807" s="11"/>
      <c r="O807" s="163"/>
      <c r="P807" s="139">
        <v>6000.0</v>
      </c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18"/>
      <c r="C808" s="11" t="s">
        <v>3122</v>
      </c>
      <c r="D808" s="11" t="s">
        <v>1586</v>
      </c>
      <c r="E808" s="32" t="s">
        <v>3123</v>
      </c>
      <c r="F808" s="11"/>
      <c r="G808" s="11" t="s">
        <v>1582</v>
      </c>
      <c r="H808" s="11" t="s">
        <v>3107</v>
      </c>
      <c r="I808" s="11">
        <v>90.0</v>
      </c>
      <c r="J808" s="138" t="s">
        <v>1589</v>
      </c>
      <c r="K808" s="138"/>
      <c r="L808" s="138"/>
      <c r="M808" s="138"/>
      <c r="N808" s="11"/>
      <c r="O808" s="163"/>
      <c r="P808" s="139">
        <v>5800.0</v>
      </c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18"/>
      <c r="C809" s="11" t="s">
        <v>3124</v>
      </c>
      <c r="D809" s="11" t="s">
        <v>1586</v>
      </c>
      <c r="E809" s="32" t="s">
        <v>3125</v>
      </c>
      <c r="F809" s="11"/>
      <c r="G809" s="11" t="s">
        <v>1582</v>
      </c>
      <c r="H809" s="11" t="s">
        <v>3107</v>
      </c>
      <c r="I809" s="11">
        <v>90.0</v>
      </c>
      <c r="J809" s="138" t="s">
        <v>1589</v>
      </c>
      <c r="K809" s="138"/>
      <c r="L809" s="138"/>
      <c r="M809" s="138"/>
      <c r="N809" s="11"/>
      <c r="O809" s="163"/>
      <c r="P809" s="139">
        <v>5000.0</v>
      </c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18"/>
      <c r="C810" s="11" t="s">
        <v>3126</v>
      </c>
      <c r="D810" s="11" t="s">
        <v>1586</v>
      </c>
      <c r="E810" s="32" t="s">
        <v>3127</v>
      </c>
      <c r="F810" s="11"/>
      <c r="G810" s="11" t="s">
        <v>1582</v>
      </c>
      <c r="H810" s="11" t="s">
        <v>3107</v>
      </c>
      <c r="I810" s="11">
        <v>90.0</v>
      </c>
      <c r="J810" s="138" t="s">
        <v>1589</v>
      </c>
      <c r="K810" s="138"/>
      <c r="L810" s="138"/>
      <c r="M810" s="138"/>
      <c r="N810" s="11">
        <v>20.0</v>
      </c>
      <c r="O810" s="163" t="s">
        <v>1554</v>
      </c>
      <c r="P810" s="139">
        <v>14000.0</v>
      </c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18"/>
      <c r="C811" s="11" t="s">
        <v>3128</v>
      </c>
      <c r="D811" s="11" t="s">
        <v>1586</v>
      </c>
      <c r="E811" s="32" t="s">
        <v>3129</v>
      </c>
      <c r="F811" s="11"/>
      <c r="G811" s="11" t="s">
        <v>1582</v>
      </c>
      <c r="H811" s="11" t="s">
        <v>3107</v>
      </c>
      <c r="I811" s="11">
        <v>90.0</v>
      </c>
      <c r="J811" s="138" t="s">
        <v>1589</v>
      </c>
      <c r="K811" s="138"/>
      <c r="L811" s="138"/>
      <c r="M811" s="138"/>
      <c r="N811" s="11"/>
      <c r="O811" s="163"/>
      <c r="P811" s="139">
        <v>5800.0</v>
      </c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18"/>
      <c r="C812" s="11" t="s">
        <v>3130</v>
      </c>
      <c r="D812" s="11" t="s">
        <v>1586</v>
      </c>
      <c r="E812" s="32" t="s">
        <v>3131</v>
      </c>
      <c r="F812" s="11"/>
      <c r="G812" s="11" t="s">
        <v>1582</v>
      </c>
      <c r="H812" s="11" t="s">
        <v>3107</v>
      </c>
      <c r="I812" s="11">
        <v>90.0</v>
      </c>
      <c r="J812" s="138" t="s">
        <v>1589</v>
      </c>
      <c r="K812" s="138"/>
      <c r="L812" s="138"/>
      <c r="M812" s="138"/>
      <c r="N812" s="11"/>
      <c r="O812" s="163"/>
      <c r="P812" s="139">
        <v>6400.0</v>
      </c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18"/>
      <c r="C813" s="11" t="s">
        <v>3132</v>
      </c>
      <c r="D813" s="11" t="s">
        <v>1586</v>
      </c>
      <c r="E813" s="32" t="s">
        <v>3133</v>
      </c>
      <c r="F813" s="11"/>
      <c r="G813" s="11" t="s">
        <v>1582</v>
      </c>
      <c r="H813" s="11" t="s">
        <v>3107</v>
      </c>
      <c r="I813" s="11">
        <v>180.0</v>
      </c>
      <c r="J813" s="138" t="s">
        <v>1589</v>
      </c>
      <c r="K813" s="138"/>
      <c r="L813" s="138"/>
      <c r="M813" s="138"/>
      <c r="N813" s="11">
        <v>50.0</v>
      </c>
      <c r="O813" s="163" t="s">
        <v>1554</v>
      </c>
      <c r="P813" s="139">
        <v>4300.0</v>
      </c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18"/>
      <c r="C814" s="11" t="s">
        <v>3134</v>
      </c>
      <c r="D814" s="11" t="s">
        <v>1586</v>
      </c>
      <c r="E814" s="32" t="s">
        <v>3135</v>
      </c>
      <c r="F814" s="11"/>
      <c r="G814" s="11" t="s">
        <v>1582</v>
      </c>
      <c r="H814" s="11" t="s">
        <v>3107</v>
      </c>
      <c r="I814" s="11">
        <v>90.0</v>
      </c>
      <c r="J814" s="138" t="s">
        <v>1589</v>
      </c>
      <c r="K814" s="138"/>
      <c r="L814" s="138"/>
      <c r="M814" s="138"/>
      <c r="N814" s="11"/>
      <c r="O814" s="163"/>
      <c r="P814" s="139">
        <v>8500.0</v>
      </c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18"/>
      <c r="C815" s="11" t="s">
        <v>3136</v>
      </c>
      <c r="D815" s="11" t="s">
        <v>1586</v>
      </c>
      <c r="E815" s="32" t="s">
        <v>3137</v>
      </c>
      <c r="F815" s="11"/>
      <c r="G815" s="11" t="s">
        <v>1582</v>
      </c>
      <c r="H815" s="11" t="s">
        <v>3107</v>
      </c>
      <c r="I815" s="11">
        <v>180.0</v>
      </c>
      <c r="J815" s="138" t="s">
        <v>1589</v>
      </c>
      <c r="K815" s="138"/>
      <c r="L815" s="138"/>
      <c r="M815" s="138"/>
      <c r="N815" s="11"/>
      <c r="O815" s="163"/>
      <c r="P815" s="139">
        <v>4600.0</v>
      </c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18"/>
      <c r="C816" s="11" t="s">
        <v>3138</v>
      </c>
      <c r="D816" s="11" t="s">
        <v>1586</v>
      </c>
      <c r="E816" s="32" t="s">
        <v>3139</v>
      </c>
      <c r="F816" s="11"/>
      <c r="G816" s="11" t="s">
        <v>1582</v>
      </c>
      <c r="H816" s="11" t="s">
        <v>3107</v>
      </c>
      <c r="I816" s="11">
        <v>180.0</v>
      </c>
      <c r="J816" s="138" t="s">
        <v>1589</v>
      </c>
      <c r="K816" s="138"/>
      <c r="L816" s="138"/>
      <c r="M816" s="138"/>
      <c r="N816" s="11"/>
      <c r="O816" s="163"/>
      <c r="P816" s="139">
        <f>(MIN(P815, P817) / 2) + MAX(P815, P817)</f>
        <v>8600</v>
      </c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18"/>
      <c r="C817" s="11" t="s">
        <v>3140</v>
      </c>
      <c r="D817" s="11" t="s">
        <v>1586</v>
      </c>
      <c r="E817" s="32" t="s">
        <v>3141</v>
      </c>
      <c r="F817" s="11"/>
      <c r="G817" s="11" t="s">
        <v>1582</v>
      </c>
      <c r="H817" s="11" t="s">
        <v>3107</v>
      </c>
      <c r="I817" s="11">
        <v>180.0</v>
      </c>
      <c r="J817" s="138" t="s">
        <v>1589</v>
      </c>
      <c r="K817" s="138"/>
      <c r="L817" s="138"/>
      <c r="M817" s="138"/>
      <c r="N817" s="11"/>
      <c r="O817" s="163"/>
      <c r="P817" s="139">
        <v>6300.0</v>
      </c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18"/>
      <c r="C818" s="11" t="s">
        <v>3142</v>
      </c>
      <c r="D818" s="11" t="s">
        <v>1586</v>
      </c>
      <c r="E818" s="32" t="s">
        <v>3143</v>
      </c>
      <c r="F818" s="11"/>
      <c r="G818" s="11" t="s">
        <v>1582</v>
      </c>
      <c r="H818" s="11" t="s">
        <v>3107</v>
      </c>
      <c r="I818" s="11">
        <v>90.0</v>
      </c>
      <c r="J818" s="138" t="s">
        <v>1589</v>
      </c>
      <c r="K818" s="138"/>
      <c r="L818" s="138"/>
      <c r="M818" s="138"/>
      <c r="N818" s="11"/>
      <c r="O818" s="163"/>
      <c r="P818" s="139">
        <v>7200.0</v>
      </c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18"/>
      <c r="C819" s="11" t="s">
        <v>3144</v>
      </c>
      <c r="D819" s="11" t="s">
        <v>1586</v>
      </c>
      <c r="E819" s="32" t="s">
        <v>3145</v>
      </c>
      <c r="F819" s="11"/>
      <c r="G819" s="11" t="s">
        <v>1582</v>
      </c>
      <c r="H819" s="11" t="s">
        <v>3107</v>
      </c>
      <c r="I819" s="11">
        <v>90.0</v>
      </c>
      <c r="J819" s="138" t="s">
        <v>1589</v>
      </c>
      <c r="K819" s="138"/>
      <c r="L819" s="138"/>
      <c r="M819" s="138"/>
      <c r="N819" s="11"/>
      <c r="O819" s="163"/>
      <c r="P819" s="139">
        <v>5300.0</v>
      </c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18"/>
      <c r="C820" s="11" t="s">
        <v>3146</v>
      </c>
      <c r="D820" s="11" t="s">
        <v>1586</v>
      </c>
      <c r="E820" s="32" t="s">
        <v>3147</v>
      </c>
      <c r="F820" s="11"/>
      <c r="G820" s="11" t="s">
        <v>1582</v>
      </c>
      <c r="H820" s="11" t="s">
        <v>3107</v>
      </c>
      <c r="I820" s="11">
        <v>90.0</v>
      </c>
      <c r="J820" s="138" t="s">
        <v>1589</v>
      </c>
      <c r="K820" s="138"/>
      <c r="L820" s="138"/>
      <c r="M820" s="138"/>
      <c r="N820" s="11"/>
      <c r="O820" s="163"/>
      <c r="P820" s="139">
        <v>5300.0</v>
      </c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18"/>
      <c r="C821" s="11" t="s">
        <v>3148</v>
      </c>
      <c r="D821" s="11" t="s">
        <v>1586</v>
      </c>
      <c r="E821" s="32" t="s">
        <v>3149</v>
      </c>
      <c r="F821" s="11"/>
      <c r="G821" s="11" t="s">
        <v>1582</v>
      </c>
      <c r="H821" s="11" t="s">
        <v>3107</v>
      </c>
      <c r="I821" s="11">
        <v>90.0</v>
      </c>
      <c r="J821" s="138" t="s">
        <v>1589</v>
      </c>
      <c r="K821" s="138"/>
      <c r="L821" s="138"/>
      <c r="M821" s="138"/>
      <c r="N821" s="11"/>
      <c r="O821" s="163"/>
      <c r="P821" s="139">
        <v>5900.0</v>
      </c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18"/>
      <c r="C822" s="11" t="s">
        <v>3150</v>
      </c>
      <c r="D822" s="11" t="s">
        <v>1586</v>
      </c>
      <c r="E822" s="32" t="s">
        <v>3151</v>
      </c>
      <c r="F822" s="11"/>
      <c r="G822" s="11" t="s">
        <v>1582</v>
      </c>
      <c r="H822" s="11" t="s">
        <v>3107</v>
      </c>
      <c r="I822" s="11">
        <v>90.0</v>
      </c>
      <c r="J822" s="138" t="s">
        <v>1589</v>
      </c>
      <c r="K822" s="138"/>
      <c r="L822" s="138"/>
      <c r="M822" s="138"/>
      <c r="N822" s="11"/>
      <c r="O822" s="163"/>
      <c r="P822" s="139">
        <v>6500.0</v>
      </c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18"/>
      <c r="C823" s="11" t="s">
        <v>3152</v>
      </c>
      <c r="D823" s="11" t="s">
        <v>1586</v>
      </c>
      <c r="E823" s="32" t="s">
        <v>3153</v>
      </c>
      <c r="F823" s="11"/>
      <c r="G823" s="11" t="s">
        <v>1582</v>
      </c>
      <c r="H823" s="11" t="s">
        <v>3107</v>
      </c>
      <c r="I823" s="11">
        <v>90.0</v>
      </c>
      <c r="J823" s="138" t="s">
        <v>1589</v>
      </c>
      <c r="K823" s="138"/>
      <c r="L823" s="138"/>
      <c r="M823" s="138"/>
      <c r="N823" s="11"/>
      <c r="O823" s="163"/>
      <c r="P823" s="139">
        <v>10200.0</v>
      </c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18"/>
      <c r="C824" s="11" t="s">
        <v>3154</v>
      </c>
      <c r="D824" s="11" t="s">
        <v>1586</v>
      </c>
      <c r="E824" s="32" t="s">
        <v>3155</v>
      </c>
      <c r="F824" s="11"/>
      <c r="G824" s="11" t="s">
        <v>1582</v>
      </c>
      <c r="H824" s="11" t="s">
        <v>3107</v>
      </c>
      <c r="I824" s="11">
        <v>90.0</v>
      </c>
      <c r="J824" s="138" t="s">
        <v>1589</v>
      </c>
      <c r="K824" s="138"/>
      <c r="L824" s="138"/>
      <c r="M824" s="138"/>
      <c r="N824" s="11"/>
      <c r="O824" s="163"/>
      <c r="P824" s="139">
        <v>7700.0</v>
      </c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18"/>
      <c r="C825" s="11" t="s">
        <v>3156</v>
      </c>
      <c r="D825" s="11" t="s">
        <v>1586</v>
      </c>
      <c r="E825" s="32" t="s">
        <v>3157</v>
      </c>
      <c r="F825" s="11"/>
      <c r="G825" s="11" t="s">
        <v>1582</v>
      </c>
      <c r="H825" s="11" t="s">
        <v>3107</v>
      </c>
      <c r="I825" s="11">
        <v>90.0</v>
      </c>
      <c r="J825" s="138" t="s">
        <v>1589</v>
      </c>
      <c r="K825" s="138"/>
      <c r="L825" s="138"/>
      <c r="M825" s="138"/>
      <c r="N825" s="11"/>
      <c r="O825" s="163"/>
      <c r="P825" s="139">
        <v>6500.0</v>
      </c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35"/>
      <c r="C826" s="36" t="s">
        <v>3158</v>
      </c>
      <c r="D826" s="36" t="s">
        <v>1586</v>
      </c>
      <c r="E826" s="158" t="s">
        <v>3159</v>
      </c>
      <c r="F826" s="36"/>
      <c r="G826" s="36" t="s">
        <v>1582</v>
      </c>
      <c r="H826" s="36" t="s">
        <v>3107</v>
      </c>
      <c r="I826" s="36">
        <v>90.0</v>
      </c>
      <c r="J826" s="141" t="s">
        <v>1589</v>
      </c>
      <c r="K826" s="141"/>
      <c r="L826" s="141"/>
      <c r="M826" s="141"/>
      <c r="N826" s="36"/>
      <c r="O826" s="164"/>
      <c r="P826" s="142">
        <v>7000.0</v>
      </c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147" t="s">
        <v>297</v>
      </c>
      <c r="C827" s="42" t="s">
        <v>3160</v>
      </c>
      <c r="D827" s="42" t="s">
        <v>1586</v>
      </c>
      <c r="E827" s="165" t="s">
        <v>3161</v>
      </c>
      <c r="F827" s="42"/>
      <c r="G827" s="42" t="s">
        <v>1582</v>
      </c>
      <c r="H827" s="42" t="s">
        <v>3162</v>
      </c>
      <c r="I827" s="42">
        <v>0.0</v>
      </c>
      <c r="J827" s="149" t="s">
        <v>1589</v>
      </c>
      <c r="K827" s="149"/>
      <c r="L827" s="149"/>
      <c r="M827" s="149"/>
      <c r="N827" s="42"/>
      <c r="O827" s="162"/>
      <c r="P827" s="136">
        <v>1.0</v>
      </c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18"/>
      <c r="C828" s="11" t="s">
        <v>3163</v>
      </c>
      <c r="D828" s="11" t="s">
        <v>1586</v>
      </c>
      <c r="E828" s="32" t="s">
        <v>3164</v>
      </c>
      <c r="F828" s="11"/>
      <c r="G828" s="11" t="s">
        <v>1582</v>
      </c>
      <c r="H828" s="11" t="s">
        <v>3162</v>
      </c>
      <c r="I828" s="11">
        <v>0.0</v>
      </c>
      <c r="J828" s="138" t="s">
        <v>1589</v>
      </c>
      <c r="K828" s="138"/>
      <c r="L828" s="138"/>
      <c r="M828" s="138"/>
      <c r="N828" s="11">
        <v>30.0</v>
      </c>
      <c r="O828" s="163" t="s">
        <v>1554</v>
      </c>
      <c r="P828" s="139">
        <v>1050.0</v>
      </c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18"/>
      <c r="C829" s="11" t="s">
        <v>3165</v>
      </c>
      <c r="D829" s="11" t="s">
        <v>1586</v>
      </c>
      <c r="E829" s="32" t="s">
        <v>3166</v>
      </c>
      <c r="F829" s="11"/>
      <c r="G829" s="11" t="s">
        <v>1582</v>
      </c>
      <c r="H829" s="11" t="s">
        <v>3162</v>
      </c>
      <c r="I829" s="11">
        <v>0.0</v>
      </c>
      <c r="J829" s="138" t="s">
        <v>1589</v>
      </c>
      <c r="K829" s="138"/>
      <c r="L829" s="138"/>
      <c r="M829" s="138"/>
      <c r="N829" s="11">
        <v>30.0</v>
      </c>
      <c r="O829" s="163" t="s">
        <v>1554</v>
      </c>
      <c r="P829" s="139">
        <v>1050.0</v>
      </c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18"/>
      <c r="C830" s="11" t="s">
        <v>3167</v>
      </c>
      <c r="D830" s="11" t="s">
        <v>1586</v>
      </c>
      <c r="E830" s="32" t="s">
        <v>3168</v>
      </c>
      <c r="F830" s="11"/>
      <c r="G830" s="11" t="s">
        <v>1582</v>
      </c>
      <c r="H830" s="11" t="s">
        <v>3162</v>
      </c>
      <c r="I830" s="11">
        <v>0.0</v>
      </c>
      <c r="J830" s="138" t="s">
        <v>1589</v>
      </c>
      <c r="K830" s="138"/>
      <c r="L830" s="138"/>
      <c r="M830" s="138"/>
      <c r="N830" s="11"/>
      <c r="O830" s="163"/>
      <c r="P830" s="139">
        <v>700.0</v>
      </c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18"/>
      <c r="C831" s="11" t="s">
        <v>3169</v>
      </c>
      <c r="D831" s="11" t="s">
        <v>1586</v>
      </c>
      <c r="E831" s="32" t="s">
        <v>3170</v>
      </c>
      <c r="F831" s="11"/>
      <c r="G831" s="11" t="s">
        <v>1582</v>
      </c>
      <c r="H831" s="11" t="s">
        <v>3162</v>
      </c>
      <c r="I831" s="11">
        <v>0.0</v>
      </c>
      <c r="J831" s="138" t="s">
        <v>1589</v>
      </c>
      <c r="K831" s="138"/>
      <c r="L831" s="138"/>
      <c r="M831" s="138"/>
      <c r="N831" s="11"/>
      <c r="O831" s="163"/>
      <c r="P831" s="139">
        <v>5500.0</v>
      </c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18"/>
      <c r="C832" s="11" t="s">
        <v>3171</v>
      </c>
      <c r="D832" s="11" t="s">
        <v>1586</v>
      </c>
      <c r="E832" s="32" t="s">
        <v>3172</v>
      </c>
      <c r="F832" s="11"/>
      <c r="G832" s="11" t="s">
        <v>1582</v>
      </c>
      <c r="H832" s="11" t="s">
        <v>3162</v>
      </c>
      <c r="I832" s="11">
        <v>180.0</v>
      </c>
      <c r="J832" s="138" t="s">
        <v>1589</v>
      </c>
      <c r="K832" s="138"/>
      <c r="L832" s="138"/>
      <c r="M832" s="138"/>
      <c r="N832" s="11"/>
      <c r="O832" s="163"/>
      <c r="P832" s="139">
        <v>5800.0</v>
      </c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18"/>
      <c r="C833" s="11" t="s">
        <v>3173</v>
      </c>
      <c r="D833" s="11" t="s">
        <v>1586</v>
      </c>
      <c r="E833" s="32" t="s">
        <v>3174</v>
      </c>
      <c r="F833" s="11"/>
      <c r="G833" s="11" t="s">
        <v>1582</v>
      </c>
      <c r="H833" s="11" t="s">
        <v>3162</v>
      </c>
      <c r="I833" s="11">
        <v>180.0</v>
      </c>
      <c r="J833" s="138" t="s">
        <v>1589</v>
      </c>
      <c r="K833" s="138"/>
      <c r="L833" s="138"/>
      <c r="M833" s="138"/>
      <c r="N833" s="11"/>
      <c r="O833" s="163"/>
      <c r="P833" s="156">
        <v>4200.0</v>
      </c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18"/>
      <c r="C834" s="11" t="s">
        <v>3175</v>
      </c>
      <c r="D834" s="11" t="s">
        <v>1586</v>
      </c>
      <c r="E834" s="32" t="s">
        <v>3176</v>
      </c>
      <c r="F834" s="11"/>
      <c r="G834" s="11" t="s">
        <v>1582</v>
      </c>
      <c r="H834" s="11" t="s">
        <v>3162</v>
      </c>
      <c r="I834" s="11">
        <v>90.0</v>
      </c>
      <c r="J834" s="138" t="s">
        <v>1589</v>
      </c>
      <c r="K834" s="138"/>
      <c r="L834" s="138"/>
      <c r="M834" s="138"/>
      <c r="N834" s="11"/>
      <c r="O834" s="163"/>
      <c r="P834" s="139">
        <v>6000.0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18"/>
      <c r="C835" s="11" t="s">
        <v>3177</v>
      </c>
      <c r="D835" s="11" t="s">
        <v>1586</v>
      </c>
      <c r="E835" s="32" t="s">
        <v>3178</v>
      </c>
      <c r="F835" s="11"/>
      <c r="G835" s="11" t="s">
        <v>1582</v>
      </c>
      <c r="H835" s="11" t="s">
        <v>3162</v>
      </c>
      <c r="I835" s="11">
        <v>90.0</v>
      </c>
      <c r="J835" s="138" t="s">
        <v>1589</v>
      </c>
      <c r="K835" s="138"/>
      <c r="L835" s="138"/>
      <c r="M835" s="138"/>
      <c r="N835" s="11"/>
      <c r="O835" s="163"/>
      <c r="P835" s="139">
        <v>5800.0</v>
      </c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18"/>
      <c r="C836" s="11" t="s">
        <v>3179</v>
      </c>
      <c r="D836" s="11" t="s">
        <v>1586</v>
      </c>
      <c r="E836" s="32" t="s">
        <v>3180</v>
      </c>
      <c r="F836" s="11"/>
      <c r="G836" s="11" t="s">
        <v>1582</v>
      </c>
      <c r="H836" s="11" t="s">
        <v>3162</v>
      </c>
      <c r="I836" s="11">
        <v>90.0</v>
      </c>
      <c r="J836" s="138" t="s">
        <v>1589</v>
      </c>
      <c r="K836" s="138"/>
      <c r="L836" s="138"/>
      <c r="M836" s="138"/>
      <c r="N836" s="11"/>
      <c r="O836" s="163"/>
      <c r="P836" s="139">
        <v>5000.0</v>
      </c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18"/>
      <c r="C837" s="11" t="s">
        <v>3181</v>
      </c>
      <c r="D837" s="11" t="s">
        <v>1586</v>
      </c>
      <c r="E837" s="32" t="s">
        <v>3182</v>
      </c>
      <c r="F837" s="11"/>
      <c r="G837" s="11" t="s">
        <v>1582</v>
      </c>
      <c r="H837" s="11" t="s">
        <v>3162</v>
      </c>
      <c r="I837" s="11">
        <v>90.0</v>
      </c>
      <c r="J837" s="138" t="s">
        <v>1589</v>
      </c>
      <c r="K837" s="138"/>
      <c r="L837" s="138"/>
      <c r="M837" s="138"/>
      <c r="N837" s="11">
        <v>20.0</v>
      </c>
      <c r="O837" s="163" t="s">
        <v>1554</v>
      </c>
      <c r="P837" s="139">
        <v>18000.0</v>
      </c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18"/>
      <c r="C838" s="11" t="s">
        <v>3183</v>
      </c>
      <c r="D838" s="11" t="s">
        <v>1586</v>
      </c>
      <c r="E838" s="32" t="s">
        <v>3184</v>
      </c>
      <c r="F838" s="11"/>
      <c r="G838" s="11" t="s">
        <v>1582</v>
      </c>
      <c r="H838" s="11" t="s">
        <v>3162</v>
      </c>
      <c r="I838" s="11">
        <v>90.0</v>
      </c>
      <c r="J838" s="138" t="s">
        <v>1589</v>
      </c>
      <c r="K838" s="138"/>
      <c r="L838" s="138"/>
      <c r="M838" s="138"/>
      <c r="N838" s="11"/>
      <c r="O838" s="163"/>
      <c r="P838" s="139">
        <v>5800.0</v>
      </c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18"/>
      <c r="C839" s="11" t="s">
        <v>3185</v>
      </c>
      <c r="D839" s="11" t="s">
        <v>1586</v>
      </c>
      <c r="E839" s="32" t="s">
        <v>3186</v>
      </c>
      <c r="F839" s="11"/>
      <c r="G839" s="11" t="s">
        <v>1582</v>
      </c>
      <c r="H839" s="11" t="s">
        <v>3162</v>
      </c>
      <c r="I839" s="11">
        <v>90.0</v>
      </c>
      <c r="J839" s="138" t="s">
        <v>1589</v>
      </c>
      <c r="K839" s="138"/>
      <c r="L839" s="138"/>
      <c r="M839" s="138"/>
      <c r="N839" s="11"/>
      <c r="O839" s="163"/>
      <c r="P839" s="139">
        <v>6400.0</v>
      </c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18"/>
      <c r="C840" s="11" t="s">
        <v>3187</v>
      </c>
      <c r="D840" s="11" t="s">
        <v>1586</v>
      </c>
      <c r="E840" s="32" t="s">
        <v>3188</v>
      </c>
      <c r="F840" s="11"/>
      <c r="G840" s="11" t="s">
        <v>1582</v>
      </c>
      <c r="H840" s="11" t="s">
        <v>3162</v>
      </c>
      <c r="I840" s="11">
        <v>180.0</v>
      </c>
      <c r="J840" s="138" t="s">
        <v>1589</v>
      </c>
      <c r="K840" s="138"/>
      <c r="L840" s="138"/>
      <c r="M840" s="138"/>
      <c r="N840" s="11">
        <v>50.0</v>
      </c>
      <c r="O840" s="163" t="s">
        <v>1554</v>
      </c>
      <c r="P840" s="139">
        <v>4300.0</v>
      </c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18"/>
      <c r="C841" s="11" t="s">
        <v>3189</v>
      </c>
      <c r="D841" s="11" t="s">
        <v>1586</v>
      </c>
      <c r="E841" s="32" t="s">
        <v>3190</v>
      </c>
      <c r="F841" s="11"/>
      <c r="G841" s="11" t="s">
        <v>1582</v>
      </c>
      <c r="H841" s="11" t="s">
        <v>3162</v>
      </c>
      <c r="I841" s="11">
        <v>90.0</v>
      </c>
      <c r="J841" s="138" t="s">
        <v>1589</v>
      </c>
      <c r="K841" s="138"/>
      <c r="L841" s="138"/>
      <c r="M841" s="138"/>
      <c r="N841" s="11"/>
      <c r="O841" s="163"/>
      <c r="P841" s="139">
        <v>8500.0</v>
      </c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18"/>
      <c r="C842" s="11" t="s">
        <v>3191</v>
      </c>
      <c r="D842" s="11" t="s">
        <v>1586</v>
      </c>
      <c r="E842" s="32" t="s">
        <v>3192</v>
      </c>
      <c r="F842" s="11"/>
      <c r="G842" s="11" t="s">
        <v>1582</v>
      </c>
      <c r="H842" s="11" t="s">
        <v>3162</v>
      </c>
      <c r="I842" s="11">
        <v>180.0</v>
      </c>
      <c r="J842" s="138" t="s">
        <v>1589</v>
      </c>
      <c r="K842" s="138"/>
      <c r="L842" s="138"/>
      <c r="M842" s="138"/>
      <c r="N842" s="11"/>
      <c r="O842" s="163"/>
      <c r="P842" s="139">
        <v>4600.0</v>
      </c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18"/>
      <c r="C843" s="11" t="s">
        <v>3193</v>
      </c>
      <c r="D843" s="11" t="s">
        <v>1586</v>
      </c>
      <c r="E843" s="32" t="s">
        <v>3194</v>
      </c>
      <c r="F843" s="11"/>
      <c r="G843" s="11" t="s">
        <v>1582</v>
      </c>
      <c r="H843" s="11" t="s">
        <v>3162</v>
      </c>
      <c r="I843" s="11">
        <v>180.0</v>
      </c>
      <c r="J843" s="138" t="s">
        <v>1589</v>
      </c>
      <c r="K843" s="138"/>
      <c r="L843" s="138"/>
      <c r="M843" s="138"/>
      <c r="N843" s="11"/>
      <c r="O843" s="163"/>
      <c r="P843" s="139">
        <f>(MIN(P842, P844) / 2) + MAX(P842, P844)</f>
        <v>8600</v>
      </c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18"/>
      <c r="C844" s="11" t="s">
        <v>3195</v>
      </c>
      <c r="D844" s="11" t="s">
        <v>1586</v>
      </c>
      <c r="E844" s="32" t="s">
        <v>3196</v>
      </c>
      <c r="F844" s="11"/>
      <c r="G844" s="11" t="s">
        <v>1582</v>
      </c>
      <c r="H844" s="11" t="s">
        <v>3162</v>
      </c>
      <c r="I844" s="11">
        <v>180.0</v>
      </c>
      <c r="J844" s="138" t="s">
        <v>1589</v>
      </c>
      <c r="K844" s="138"/>
      <c r="L844" s="138"/>
      <c r="M844" s="138"/>
      <c r="N844" s="11"/>
      <c r="O844" s="163"/>
      <c r="P844" s="139">
        <v>6300.0</v>
      </c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18"/>
      <c r="C845" s="11" t="s">
        <v>3197</v>
      </c>
      <c r="D845" s="11" t="s">
        <v>1586</v>
      </c>
      <c r="E845" s="32" t="s">
        <v>3198</v>
      </c>
      <c r="F845" s="11"/>
      <c r="G845" s="11" t="s">
        <v>1582</v>
      </c>
      <c r="H845" s="11" t="s">
        <v>3162</v>
      </c>
      <c r="I845" s="11">
        <v>90.0</v>
      </c>
      <c r="J845" s="138" t="s">
        <v>1589</v>
      </c>
      <c r="K845" s="138"/>
      <c r="L845" s="138"/>
      <c r="M845" s="138"/>
      <c r="N845" s="11"/>
      <c r="O845" s="163"/>
      <c r="P845" s="139">
        <v>7200.0</v>
      </c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18"/>
      <c r="C846" s="11" t="s">
        <v>3199</v>
      </c>
      <c r="D846" s="11" t="s">
        <v>1586</v>
      </c>
      <c r="E846" s="32" t="s">
        <v>3200</v>
      </c>
      <c r="F846" s="11"/>
      <c r="G846" s="11" t="s">
        <v>1582</v>
      </c>
      <c r="H846" s="11" t="s">
        <v>3162</v>
      </c>
      <c r="I846" s="11">
        <v>90.0</v>
      </c>
      <c r="J846" s="138" t="s">
        <v>1589</v>
      </c>
      <c r="K846" s="138"/>
      <c r="L846" s="138"/>
      <c r="M846" s="138"/>
      <c r="N846" s="11"/>
      <c r="O846" s="163"/>
      <c r="P846" s="139">
        <v>5300.0</v>
      </c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18"/>
      <c r="C847" s="11" t="s">
        <v>3201</v>
      </c>
      <c r="D847" s="11" t="s">
        <v>1586</v>
      </c>
      <c r="E847" s="32" t="s">
        <v>3202</v>
      </c>
      <c r="F847" s="11"/>
      <c r="G847" s="11" t="s">
        <v>1582</v>
      </c>
      <c r="H847" s="11" t="s">
        <v>3162</v>
      </c>
      <c r="I847" s="11">
        <v>90.0</v>
      </c>
      <c r="J847" s="138" t="s">
        <v>1589</v>
      </c>
      <c r="K847" s="138"/>
      <c r="L847" s="138"/>
      <c r="M847" s="138"/>
      <c r="N847" s="11"/>
      <c r="O847" s="163"/>
      <c r="P847" s="139">
        <v>5300.0</v>
      </c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18"/>
      <c r="C848" s="11" t="s">
        <v>3203</v>
      </c>
      <c r="D848" s="11" t="s">
        <v>1586</v>
      </c>
      <c r="E848" s="32" t="s">
        <v>3204</v>
      </c>
      <c r="F848" s="11"/>
      <c r="G848" s="11" t="s">
        <v>1582</v>
      </c>
      <c r="H848" s="11" t="s">
        <v>3162</v>
      </c>
      <c r="I848" s="11">
        <v>90.0</v>
      </c>
      <c r="J848" s="138" t="s">
        <v>1589</v>
      </c>
      <c r="K848" s="138"/>
      <c r="L848" s="138"/>
      <c r="M848" s="138"/>
      <c r="N848" s="11"/>
      <c r="O848" s="163"/>
      <c r="P848" s="139">
        <v>5900.0</v>
      </c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18"/>
      <c r="C849" s="11" t="s">
        <v>3205</v>
      </c>
      <c r="D849" s="11" t="s">
        <v>1586</v>
      </c>
      <c r="E849" s="32" t="s">
        <v>3206</v>
      </c>
      <c r="F849" s="11"/>
      <c r="G849" s="11" t="s">
        <v>1582</v>
      </c>
      <c r="H849" s="11" t="s">
        <v>3162</v>
      </c>
      <c r="I849" s="11">
        <v>90.0</v>
      </c>
      <c r="J849" s="138" t="s">
        <v>1589</v>
      </c>
      <c r="K849" s="138"/>
      <c r="L849" s="138"/>
      <c r="M849" s="138"/>
      <c r="N849" s="11"/>
      <c r="O849" s="163"/>
      <c r="P849" s="139">
        <v>6500.0</v>
      </c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18"/>
      <c r="C850" s="11" t="s">
        <v>3207</v>
      </c>
      <c r="D850" s="11" t="s">
        <v>1586</v>
      </c>
      <c r="E850" s="32" t="s">
        <v>3208</v>
      </c>
      <c r="F850" s="11"/>
      <c r="G850" s="11" t="s">
        <v>1582</v>
      </c>
      <c r="H850" s="11" t="s">
        <v>3162</v>
      </c>
      <c r="I850" s="11">
        <v>90.0</v>
      </c>
      <c r="J850" s="138" t="s">
        <v>1589</v>
      </c>
      <c r="K850" s="138"/>
      <c r="L850" s="138"/>
      <c r="M850" s="138"/>
      <c r="N850" s="11"/>
      <c r="O850" s="163"/>
      <c r="P850" s="139">
        <v>10200.0</v>
      </c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18"/>
      <c r="C851" s="11" t="s">
        <v>3209</v>
      </c>
      <c r="D851" s="11" t="s">
        <v>1586</v>
      </c>
      <c r="E851" s="32" t="s">
        <v>3210</v>
      </c>
      <c r="F851" s="11"/>
      <c r="G851" s="11" t="s">
        <v>1582</v>
      </c>
      <c r="H851" s="11" t="s">
        <v>3162</v>
      </c>
      <c r="I851" s="11">
        <v>90.0</v>
      </c>
      <c r="J851" s="138" t="s">
        <v>1589</v>
      </c>
      <c r="K851" s="138"/>
      <c r="L851" s="138"/>
      <c r="M851" s="138"/>
      <c r="N851" s="11"/>
      <c r="O851" s="163"/>
      <c r="P851" s="139">
        <v>7700.0</v>
      </c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18"/>
      <c r="C852" s="11" t="s">
        <v>3211</v>
      </c>
      <c r="D852" s="11" t="s">
        <v>1586</v>
      </c>
      <c r="E852" s="32" t="s">
        <v>3212</v>
      </c>
      <c r="F852" s="11"/>
      <c r="G852" s="11" t="s">
        <v>1582</v>
      </c>
      <c r="H852" s="11" t="s">
        <v>3162</v>
      </c>
      <c r="I852" s="11">
        <v>90.0</v>
      </c>
      <c r="J852" s="138" t="s">
        <v>1589</v>
      </c>
      <c r="K852" s="138"/>
      <c r="L852" s="138"/>
      <c r="M852" s="138"/>
      <c r="N852" s="11"/>
      <c r="O852" s="163"/>
      <c r="P852" s="139">
        <v>6500.0</v>
      </c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35"/>
      <c r="C853" s="36" t="s">
        <v>3213</v>
      </c>
      <c r="D853" s="36" t="s">
        <v>1586</v>
      </c>
      <c r="E853" s="158" t="s">
        <v>3214</v>
      </c>
      <c r="F853" s="36"/>
      <c r="G853" s="36" t="s">
        <v>1582</v>
      </c>
      <c r="H853" s="36" t="s">
        <v>3162</v>
      </c>
      <c r="I853" s="36">
        <v>90.0</v>
      </c>
      <c r="J853" s="141" t="s">
        <v>1589</v>
      </c>
      <c r="K853" s="141"/>
      <c r="L853" s="141"/>
      <c r="M853" s="141"/>
      <c r="N853" s="36"/>
      <c r="O853" s="164"/>
      <c r="P853" s="142">
        <v>7000.0</v>
      </c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147" t="s">
        <v>304</v>
      </c>
      <c r="C854" s="42" t="s">
        <v>3215</v>
      </c>
      <c r="D854" s="42" t="s">
        <v>1586</v>
      </c>
      <c r="E854" s="165" t="s">
        <v>3216</v>
      </c>
      <c r="F854" s="42"/>
      <c r="G854" s="42" t="s">
        <v>1582</v>
      </c>
      <c r="H854" s="42" t="s">
        <v>3217</v>
      </c>
      <c r="I854" s="42">
        <v>0.0</v>
      </c>
      <c r="J854" s="149" t="s">
        <v>1589</v>
      </c>
      <c r="K854" s="149"/>
      <c r="L854" s="149"/>
      <c r="M854" s="149"/>
      <c r="N854" s="42"/>
      <c r="O854" s="162"/>
      <c r="P854" s="136">
        <v>1.0</v>
      </c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18"/>
      <c r="C855" s="11" t="s">
        <v>3218</v>
      </c>
      <c r="D855" s="11" t="s">
        <v>1586</v>
      </c>
      <c r="E855" s="32" t="s">
        <v>3219</v>
      </c>
      <c r="F855" s="11"/>
      <c r="G855" s="11" t="s">
        <v>1582</v>
      </c>
      <c r="H855" s="11" t="s">
        <v>3217</v>
      </c>
      <c r="I855" s="11">
        <v>0.0</v>
      </c>
      <c r="J855" s="138" t="s">
        <v>1589</v>
      </c>
      <c r="K855" s="138"/>
      <c r="L855" s="138"/>
      <c r="M855" s="138"/>
      <c r="N855" s="11">
        <v>30.0</v>
      </c>
      <c r="O855" s="163" t="s">
        <v>1554</v>
      </c>
      <c r="P855" s="139">
        <v>1150.0</v>
      </c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18"/>
      <c r="C856" s="11" t="s">
        <v>3220</v>
      </c>
      <c r="D856" s="11" t="s">
        <v>1586</v>
      </c>
      <c r="E856" s="32" t="s">
        <v>3221</v>
      </c>
      <c r="F856" s="11"/>
      <c r="G856" s="11" t="s">
        <v>1582</v>
      </c>
      <c r="H856" s="11" t="s">
        <v>3217</v>
      </c>
      <c r="I856" s="11">
        <v>0.0</v>
      </c>
      <c r="J856" s="138" t="s">
        <v>1589</v>
      </c>
      <c r="K856" s="138"/>
      <c r="L856" s="138"/>
      <c r="M856" s="138"/>
      <c r="N856" s="11">
        <v>30.0</v>
      </c>
      <c r="O856" s="163" t="s">
        <v>1554</v>
      </c>
      <c r="P856" s="139">
        <v>1150.0</v>
      </c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18"/>
      <c r="C857" s="11" t="s">
        <v>3222</v>
      </c>
      <c r="D857" s="11" t="s">
        <v>1586</v>
      </c>
      <c r="E857" s="32" t="s">
        <v>3223</v>
      </c>
      <c r="F857" s="11"/>
      <c r="G857" s="11" t="s">
        <v>1582</v>
      </c>
      <c r="H857" s="11" t="s">
        <v>3217</v>
      </c>
      <c r="I857" s="11">
        <v>0.0</v>
      </c>
      <c r="J857" s="138" t="s">
        <v>1589</v>
      </c>
      <c r="K857" s="138"/>
      <c r="L857" s="138"/>
      <c r="M857" s="138"/>
      <c r="N857" s="11"/>
      <c r="O857" s="163"/>
      <c r="P857" s="139">
        <v>700.0</v>
      </c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18"/>
      <c r="C858" s="11" t="s">
        <v>3224</v>
      </c>
      <c r="D858" s="11" t="s">
        <v>1586</v>
      </c>
      <c r="E858" s="32" t="s">
        <v>3225</v>
      </c>
      <c r="F858" s="11"/>
      <c r="G858" s="11" t="s">
        <v>1582</v>
      </c>
      <c r="H858" s="11" t="s">
        <v>3217</v>
      </c>
      <c r="I858" s="11">
        <v>0.0</v>
      </c>
      <c r="J858" s="138" t="s">
        <v>1589</v>
      </c>
      <c r="K858" s="138"/>
      <c r="L858" s="138"/>
      <c r="M858" s="138"/>
      <c r="N858" s="11"/>
      <c r="O858" s="163"/>
      <c r="P858" s="139">
        <v>6000.0</v>
      </c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18"/>
      <c r="C859" s="11" t="s">
        <v>3226</v>
      </c>
      <c r="D859" s="11" t="s">
        <v>1586</v>
      </c>
      <c r="E859" s="32" t="s">
        <v>3227</v>
      </c>
      <c r="F859" s="11"/>
      <c r="G859" s="11" t="s">
        <v>1582</v>
      </c>
      <c r="H859" s="11" t="s">
        <v>3217</v>
      </c>
      <c r="I859" s="11">
        <v>180.0</v>
      </c>
      <c r="J859" s="138" t="s">
        <v>1589</v>
      </c>
      <c r="K859" s="138"/>
      <c r="L859" s="138"/>
      <c r="M859" s="138"/>
      <c r="N859" s="11"/>
      <c r="O859" s="163"/>
      <c r="P859" s="139">
        <v>6100.0</v>
      </c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18"/>
      <c r="C860" s="11" t="s">
        <v>3228</v>
      </c>
      <c r="D860" s="11" t="s">
        <v>1586</v>
      </c>
      <c r="E860" s="32" t="s">
        <v>3229</v>
      </c>
      <c r="F860" s="11"/>
      <c r="G860" s="11" t="s">
        <v>1582</v>
      </c>
      <c r="H860" s="11" t="s">
        <v>3217</v>
      </c>
      <c r="I860" s="11">
        <v>180.0</v>
      </c>
      <c r="J860" s="138" t="s">
        <v>1589</v>
      </c>
      <c r="K860" s="138"/>
      <c r="L860" s="138"/>
      <c r="M860" s="138"/>
      <c r="N860" s="11"/>
      <c r="O860" s="163"/>
      <c r="P860" s="156">
        <v>4200.0</v>
      </c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18"/>
      <c r="C861" s="11" t="s">
        <v>3230</v>
      </c>
      <c r="D861" s="11" t="s">
        <v>1586</v>
      </c>
      <c r="E861" s="32" t="s">
        <v>3231</v>
      </c>
      <c r="F861" s="11"/>
      <c r="G861" s="11" t="s">
        <v>1582</v>
      </c>
      <c r="H861" s="11" t="s">
        <v>3217</v>
      </c>
      <c r="I861" s="11">
        <v>90.0</v>
      </c>
      <c r="J861" s="138" t="s">
        <v>1589</v>
      </c>
      <c r="K861" s="138"/>
      <c r="L861" s="138"/>
      <c r="M861" s="138"/>
      <c r="N861" s="11"/>
      <c r="O861" s="163"/>
      <c r="P861" s="139">
        <v>6500.0</v>
      </c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18"/>
      <c r="C862" s="11" t="s">
        <v>3232</v>
      </c>
      <c r="D862" s="11" t="s">
        <v>1586</v>
      </c>
      <c r="E862" s="32" t="s">
        <v>3233</v>
      </c>
      <c r="F862" s="11"/>
      <c r="G862" s="11" t="s">
        <v>1582</v>
      </c>
      <c r="H862" s="11" t="s">
        <v>3217</v>
      </c>
      <c r="I862" s="11">
        <v>90.0</v>
      </c>
      <c r="J862" s="138" t="s">
        <v>1589</v>
      </c>
      <c r="K862" s="138"/>
      <c r="L862" s="138"/>
      <c r="M862" s="138"/>
      <c r="N862" s="11"/>
      <c r="O862" s="163"/>
      <c r="P862" s="139">
        <v>6100.0</v>
      </c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18"/>
      <c r="C863" s="11" t="s">
        <v>3234</v>
      </c>
      <c r="D863" s="11" t="s">
        <v>1586</v>
      </c>
      <c r="E863" s="32" t="s">
        <v>3235</v>
      </c>
      <c r="F863" s="11"/>
      <c r="G863" s="11" t="s">
        <v>1582</v>
      </c>
      <c r="H863" s="11" t="s">
        <v>3217</v>
      </c>
      <c r="I863" s="11">
        <v>90.0</v>
      </c>
      <c r="J863" s="138" t="s">
        <v>1589</v>
      </c>
      <c r="K863" s="138"/>
      <c r="L863" s="138"/>
      <c r="M863" s="138"/>
      <c r="N863" s="11"/>
      <c r="O863" s="163"/>
      <c r="P863" s="139">
        <v>5000.0</v>
      </c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18"/>
      <c r="C864" s="11" t="s">
        <v>3236</v>
      </c>
      <c r="D864" s="11" t="s">
        <v>1586</v>
      </c>
      <c r="E864" s="32" t="s">
        <v>3237</v>
      </c>
      <c r="F864" s="11"/>
      <c r="G864" s="11" t="s">
        <v>1582</v>
      </c>
      <c r="H864" s="11" t="s">
        <v>3217</v>
      </c>
      <c r="I864" s="11">
        <v>90.0</v>
      </c>
      <c r="J864" s="138" t="s">
        <v>1589</v>
      </c>
      <c r="K864" s="138"/>
      <c r="L864" s="138"/>
      <c r="M864" s="138"/>
      <c r="N864" s="11">
        <v>20.0</v>
      </c>
      <c r="O864" s="163" t="s">
        <v>1554</v>
      </c>
      <c r="P864" s="139">
        <v>18000.0</v>
      </c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18"/>
      <c r="C865" s="11" t="s">
        <v>3238</v>
      </c>
      <c r="D865" s="11" t="s">
        <v>1586</v>
      </c>
      <c r="E865" s="32" t="s">
        <v>3239</v>
      </c>
      <c r="F865" s="11"/>
      <c r="G865" s="11" t="s">
        <v>1582</v>
      </c>
      <c r="H865" s="11" t="s">
        <v>3217</v>
      </c>
      <c r="I865" s="11">
        <v>90.0</v>
      </c>
      <c r="J865" s="138" t="s">
        <v>1589</v>
      </c>
      <c r="K865" s="138"/>
      <c r="L865" s="138"/>
      <c r="M865" s="138"/>
      <c r="N865" s="11"/>
      <c r="O865" s="163"/>
      <c r="P865" s="139">
        <v>6100.0</v>
      </c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18"/>
      <c r="C866" s="11" t="s">
        <v>3240</v>
      </c>
      <c r="D866" s="11" t="s">
        <v>1586</v>
      </c>
      <c r="E866" s="32" t="s">
        <v>3241</v>
      </c>
      <c r="F866" s="11"/>
      <c r="G866" s="11" t="s">
        <v>1582</v>
      </c>
      <c r="H866" s="11" t="s">
        <v>3217</v>
      </c>
      <c r="I866" s="11">
        <v>90.0</v>
      </c>
      <c r="J866" s="138" t="s">
        <v>1589</v>
      </c>
      <c r="K866" s="138"/>
      <c r="L866" s="138"/>
      <c r="M866" s="138"/>
      <c r="N866" s="11"/>
      <c r="O866" s="163"/>
      <c r="P866" s="139">
        <v>6700.0</v>
      </c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18"/>
      <c r="C867" s="11" t="s">
        <v>3242</v>
      </c>
      <c r="D867" s="11" t="s">
        <v>1586</v>
      </c>
      <c r="E867" s="32" t="s">
        <v>3243</v>
      </c>
      <c r="F867" s="11"/>
      <c r="G867" s="11" t="s">
        <v>1582</v>
      </c>
      <c r="H867" s="11" t="s">
        <v>3217</v>
      </c>
      <c r="I867" s="11">
        <v>180.0</v>
      </c>
      <c r="J867" s="138" t="s">
        <v>1589</v>
      </c>
      <c r="K867" s="138"/>
      <c r="L867" s="138"/>
      <c r="M867" s="138"/>
      <c r="N867" s="11">
        <v>50.0</v>
      </c>
      <c r="O867" s="163" t="s">
        <v>1554</v>
      </c>
      <c r="P867" s="139">
        <v>4700.0</v>
      </c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18"/>
      <c r="C868" s="11" t="s">
        <v>3244</v>
      </c>
      <c r="D868" s="11" t="s">
        <v>1586</v>
      </c>
      <c r="E868" s="32" t="s">
        <v>3245</v>
      </c>
      <c r="F868" s="11"/>
      <c r="G868" s="11" t="s">
        <v>1582</v>
      </c>
      <c r="H868" s="11" t="s">
        <v>3217</v>
      </c>
      <c r="I868" s="11">
        <v>90.0</v>
      </c>
      <c r="J868" s="138" t="s">
        <v>1589</v>
      </c>
      <c r="K868" s="138"/>
      <c r="L868" s="138"/>
      <c r="M868" s="138"/>
      <c r="N868" s="11"/>
      <c r="O868" s="163"/>
      <c r="P868" s="139">
        <v>8500.0</v>
      </c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18"/>
      <c r="C869" s="11" t="s">
        <v>3246</v>
      </c>
      <c r="D869" s="11" t="s">
        <v>1586</v>
      </c>
      <c r="E869" s="32" t="s">
        <v>3247</v>
      </c>
      <c r="F869" s="11"/>
      <c r="G869" s="11" t="s">
        <v>1582</v>
      </c>
      <c r="H869" s="11" t="s">
        <v>3217</v>
      </c>
      <c r="I869" s="11">
        <v>180.0</v>
      </c>
      <c r="J869" s="138" t="s">
        <v>1589</v>
      </c>
      <c r="K869" s="138"/>
      <c r="L869" s="138"/>
      <c r="M869" s="138"/>
      <c r="N869" s="11"/>
      <c r="O869" s="163"/>
      <c r="P869" s="139">
        <v>4700.0</v>
      </c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18"/>
      <c r="C870" s="11" t="s">
        <v>3248</v>
      </c>
      <c r="D870" s="11" t="s">
        <v>1586</v>
      </c>
      <c r="E870" s="32" t="s">
        <v>3249</v>
      </c>
      <c r="F870" s="11"/>
      <c r="G870" s="11" t="s">
        <v>1582</v>
      </c>
      <c r="H870" s="11" t="s">
        <v>3217</v>
      </c>
      <c r="I870" s="11">
        <v>180.0</v>
      </c>
      <c r="J870" s="138" t="s">
        <v>1589</v>
      </c>
      <c r="K870" s="138"/>
      <c r="L870" s="138"/>
      <c r="M870" s="138"/>
      <c r="N870" s="11"/>
      <c r="O870" s="163"/>
      <c r="P870" s="139">
        <f>(MIN(P869, P871) / 2) + MAX(P869, P871)</f>
        <v>8650</v>
      </c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18"/>
      <c r="C871" s="11" t="s">
        <v>3250</v>
      </c>
      <c r="D871" s="11" t="s">
        <v>1586</v>
      </c>
      <c r="E871" s="32" t="s">
        <v>3251</v>
      </c>
      <c r="F871" s="11"/>
      <c r="G871" s="11" t="s">
        <v>1582</v>
      </c>
      <c r="H871" s="11" t="s">
        <v>3217</v>
      </c>
      <c r="I871" s="11">
        <v>180.0</v>
      </c>
      <c r="J871" s="138" t="s">
        <v>1589</v>
      </c>
      <c r="K871" s="138"/>
      <c r="L871" s="138"/>
      <c r="M871" s="138"/>
      <c r="N871" s="11"/>
      <c r="O871" s="163"/>
      <c r="P871" s="139">
        <v>6300.0</v>
      </c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18"/>
      <c r="C872" s="11" t="s">
        <v>3252</v>
      </c>
      <c r="D872" s="11" t="s">
        <v>1586</v>
      </c>
      <c r="E872" s="32" t="s">
        <v>3253</v>
      </c>
      <c r="F872" s="11"/>
      <c r="G872" s="11" t="s">
        <v>1582</v>
      </c>
      <c r="H872" s="11" t="s">
        <v>3217</v>
      </c>
      <c r="I872" s="11">
        <v>90.0</v>
      </c>
      <c r="J872" s="138" t="s">
        <v>1589</v>
      </c>
      <c r="K872" s="138"/>
      <c r="L872" s="138"/>
      <c r="M872" s="138"/>
      <c r="N872" s="11"/>
      <c r="O872" s="163"/>
      <c r="P872" s="139">
        <v>7200.0</v>
      </c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18"/>
      <c r="C873" s="11" t="s">
        <v>3254</v>
      </c>
      <c r="D873" s="11" t="s">
        <v>1586</v>
      </c>
      <c r="E873" s="32" t="s">
        <v>3255</v>
      </c>
      <c r="F873" s="11"/>
      <c r="G873" s="11" t="s">
        <v>1582</v>
      </c>
      <c r="H873" s="11" t="s">
        <v>3217</v>
      </c>
      <c r="I873" s="11">
        <v>90.0</v>
      </c>
      <c r="J873" s="138" t="s">
        <v>1589</v>
      </c>
      <c r="K873" s="138"/>
      <c r="L873" s="138"/>
      <c r="M873" s="138"/>
      <c r="N873" s="11"/>
      <c r="O873" s="163"/>
      <c r="P873" s="139">
        <v>6000.0</v>
      </c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18"/>
      <c r="C874" s="11" t="s">
        <v>3256</v>
      </c>
      <c r="D874" s="11" t="s">
        <v>1586</v>
      </c>
      <c r="E874" s="32" t="s">
        <v>3257</v>
      </c>
      <c r="F874" s="11"/>
      <c r="G874" s="11" t="s">
        <v>1582</v>
      </c>
      <c r="H874" s="11" t="s">
        <v>3217</v>
      </c>
      <c r="I874" s="11">
        <v>90.0</v>
      </c>
      <c r="J874" s="138" t="s">
        <v>1589</v>
      </c>
      <c r="K874" s="138"/>
      <c r="L874" s="138"/>
      <c r="M874" s="138"/>
      <c r="N874" s="11"/>
      <c r="O874" s="163"/>
      <c r="P874" s="139">
        <v>6000.0</v>
      </c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18"/>
      <c r="C875" s="11" t="s">
        <v>3258</v>
      </c>
      <c r="D875" s="11" t="s">
        <v>1586</v>
      </c>
      <c r="E875" s="32" t="s">
        <v>3259</v>
      </c>
      <c r="F875" s="11"/>
      <c r="G875" s="11" t="s">
        <v>1582</v>
      </c>
      <c r="H875" s="11" t="s">
        <v>3217</v>
      </c>
      <c r="I875" s="11">
        <v>90.0</v>
      </c>
      <c r="J875" s="138" t="s">
        <v>1589</v>
      </c>
      <c r="K875" s="138"/>
      <c r="L875" s="138"/>
      <c r="M875" s="138"/>
      <c r="N875" s="11"/>
      <c r="O875" s="163"/>
      <c r="P875" s="139">
        <v>6600.0</v>
      </c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18"/>
      <c r="C876" s="11" t="s">
        <v>3260</v>
      </c>
      <c r="D876" s="11" t="s">
        <v>1586</v>
      </c>
      <c r="E876" s="32" t="s">
        <v>3261</v>
      </c>
      <c r="F876" s="11"/>
      <c r="G876" s="11" t="s">
        <v>1582</v>
      </c>
      <c r="H876" s="11" t="s">
        <v>3217</v>
      </c>
      <c r="I876" s="11">
        <v>90.0</v>
      </c>
      <c r="J876" s="138" t="s">
        <v>1589</v>
      </c>
      <c r="K876" s="138"/>
      <c r="L876" s="138"/>
      <c r="M876" s="138"/>
      <c r="N876" s="11"/>
      <c r="O876" s="163"/>
      <c r="P876" s="139">
        <v>6500.0</v>
      </c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18"/>
      <c r="C877" s="11" t="s">
        <v>3262</v>
      </c>
      <c r="D877" s="11" t="s">
        <v>1586</v>
      </c>
      <c r="E877" s="32" t="s">
        <v>3263</v>
      </c>
      <c r="F877" s="11"/>
      <c r="G877" s="11" t="s">
        <v>1582</v>
      </c>
      <c r="H877" s="11" t="s">
        <v>3217</v>
      </c>
      <c r="I877" s="11">
        <v>90.0</v>
      </c>
      <c r="J877" s="138" t="s">
        <v>1589</v>
      </c>
      <c r="K877" s="138"/>
      <c r="L877" s="138"/>
      <c r="M877" s="138"/>
      <c r="N877" s="11"/>
      <c r="O877" s="163"/>
      <c r="P877" s="139">
        <v>10700.0</v>
      </c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18"/>
      <c r="C878" s="11" t="s">
        <v>3264</v>
      </c>
      <c r="D878" s="11" t="s">
        <v>1586</v>
      </c>
      <c r="E878" s="32" t="s">
        <v>3265</v>
      </c>
      <c r="F878" s="11"/>
      <c r="G878" s="11" t="s">
        <v>1582</v>
      </c>
      <c r="H878" s="11" t="s">
        <v>3217</v>
      </c>
      <c r="I878" s="11">
        <v>90.0</v>
      </c>
      <c r="J878" s="138" t="s">
        <v>1589</v>
      </c>
      <c r="K878" s="138"/>
      <c r="L878" s="138"/>
      <c r="M878" s="138"/>
      <c r="N878" s="11"/>
      <c r="O878" s="163"/>
      <c r="P878" s="139">
        <v>7700.0</v>
      </c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18"/>
      <c r="C879" s="11" t="s">
        <v>3266</v>
      </c>
      <c r="D879" s="11" t="s">
        <v>1586</v>
      </c>
      <c r="E879" s="32" t="s">
        <v>3267</v>
      </c>
      <c r="F879" s="11"/>
      <c r="G879" s="11" t="s">
        <v>1582</v>
      </c>
      <c r="H879" s="11" t="s">
        <v>3217</v>
      </c>
      <c r="I879" s="11">
        <v>90.0</v>
      </c>
      <c r="J879" s="138" t="s">
        <v>1589</v>
      </c>
      <c r="K879" s="138"/>
      <c r="L879" s="138"/>
      <c r="M879" s="138"/>
      <c r="N879" s="11"/>
      <c r="O879" s="163"/>
      <c r="P879" s="139">
        <v>6500.0</v>
      </c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35"/>
      <c r="C880" s="36" t="s">
        <v>3268</v>
      </c>
      <c r="D880" s="36" t="s">
        <v>1586</v>
      </c>
      <c r="E880" s="158" t="s">
        <v>3269</v>
      </c>
      <c r="F880" s="36"/>
      <c r="G880" s="36" t="s">
        <v>1582</v>
      </c>
      <c r="H880" s="36" t="s">
        <v>3217</v>
      </c>
      <c r="I880" s="36">
        <v>90.0</v>
      </c>
      <c r="J880" s="141" t="s">
        <v>1589</v>
      </c>
      <c r="K880" s="141"/>
      <c r="L880" s="141"/>
      <c r="M880" s="141"/>
      <c r="N880" s="36"/>
      <c r="O880" s="164"/>
      <c r="P880" s="142">
        <v>7000.0</v>
      </c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147" t="s">
        <v>311</v>
      </c>
      <c r="C881" s="42" t="s">
        <v>3270</v>
      </c>
      <c r="D881" s="42" t="s">
        <v>1586</v>
      </c>
      <c r="E881" s="165" t="s">
        <v>3271</v>
      </c>
      <c r="F881" s="42"/>
      <c r="G881" s="42" t="s">
        <v>1582</v>
      </c>
      <c r="H881" s="42" t="s">
        <v>3272</v>
      </c>
      <c r="I881" s="42">
        <v>0.0</v>
      </c>
      <c r="J881" s="149" t="s">
        <v>1589</v>
      </c>
      <c r="K881" s="149"/>
      <c r="L881" s="149"/>
      <c r="M881" s="149"/>
      <c r="N881" s="42"/>
      <c r="O881" s="162"/>
      <c r="P881" s="136">
        <v>1.0</v>
      </c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18"/>
      <c r="C882" s="11" t="s">
        <v>3273</v>
      </c>
      <c r="D882" s="11" t="s">
        <v>1586</v>
      </c>
      <c r="E882" s="32" t="s">
        <v>3274</v>
      </c>
      <c r="F882" s="11"/>
      <c r="G882" s="11" t="s">
        <v>1582</v>
      </c>
      <c r="H882" s="11" t="s">
        <v>3272</v>
      </c>
      <c r="I882" s="11">
        <v>0.0</v>
      </c>
      <c r="J882" s="138" t="s">
        <v>1589</v>
      </c>
      <c r="K882" s="138"/>
      <c r="L882" s="138"/>
      <c r="M882" s="138"/>
      <c r="N882" s="11">
        <v>30.0</v>
      </c>
      <c r="O882" s="163" t="s">
        <v>1554</v>
      </c>
      <c r="P882" s="139">
        <v>1150.0</v>
      </c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18"/>
      <c r="C883" s="11" t="s">
        <v>3275</v>
      </c>
      <c r="D883" s="11" t="s">
        <v>1586</v>
      </c>
      <c r="E883" s="32" t="s">
        <v>3276</v>
      </c>
      <c r="F883" s="11"/>
      <c r="G883" s="11" t="s">
        <v>1582</v>
      </c>
      <c r="H883" s="11" t="s">
        <v>3272</v>
      </c>
      <c r="I883" s="11">
        <v>0.0</v>
      </c>
      <c r="J883" s="138" t="s">
        <v>1589</v>
      </c>
      <c r="K883" s="138"/>
      <c r="L883" s="138"/>
      <c r="M883" s="138"/>
      <c r="N883" s="11">
        <v>30.0</v>
      </c>
      <c r="O883" s="163" t="s">
        <v>1554</v>
      </c>
      <c r="P883" s="139">
        <v>1150.0</v>
      </c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18"/>
      <c r="C884" s="11" t="s">
        <v>3277</v>
      </c>
      <c r="D884" s="11" t="s">
        <v>1586</v>
      </c>
      <c r="E884" s="32" t="s">
        <v>3278</v>
      </c>
      <c r="F884" s="11"/>
      <c r="G884" s="11" t="s">
        <v>1582</v>
      </c>
      <c r="H884" s="11" t="s">
        <v>3272</v>
      </c>
      <c r="I884" s="11">
        <v>0.0</v>
      </c>
      <c r="J884" s="138" t="s">
        <v>1589</v>
      </c>
      <c r="K884" s="138"/>
      <c r="L884" s="138"/>
      <c r="M884" s="138"/>
      <c r="N884" s="11"/>
      <c r="O884" s="163"/>
      <c r="P884" s="139">
        <v>700.0</v>
      </c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18"/>
      <c r="C885" s="11" t="s">
        <v>3279</v>
      </c>
      <c r="D885" s="11" t="s">
        <v>1586</v>
      </c>
      <c r="E885" s="32" t="s">
        <v>3280</v>
      </c>
      <c r="F885" s="11"/>
      <c r="G885" s="11" t="s">
        <v>1582</v>
      </c>
      <c r="H885" s="11" t="s">
        <v>3272</v>
      </c>
      <c r="I885" s="11">
        <v>0.0</v>
      </c>
      <c r="J885" s="138" t="s">
        <v>1589</v>
      </c>
      <c r="K885" s="138"/>
      <c r="L885" s="138"/>
      <c r="M885" s="138"/>
      <c r="N885" s="11"/>
      <c r="O885" s="163"/>
      <c r="P885" s="139">
        <v>6000.0</v>
      </c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18"/>
      <c r="C886" s="11" t="s">
        <v>3281</v>
      </c>
      <c r="D886" s="11" t="s">
        <v>1586</v>
      </c>
      <c r="E886" s="32" t="s">
        <v>3282</v>
      </c>
      <c r="F886" s="11"/>
      <c r="G886" s="11" t="s">
        <v>1582</v>
      </c>
      <c r="H886" s="11" t="s">
        <v>3272</v>
      </c>
      <c r="I886" s="11">
        <v>180.0</v>
      </c>
      <c r="J886" s="138" t="s">
        <v>1589</v>
      </c>
      <c r="K886" s="138"/>
      <c r="L886" s="138"/>
      <c r="M886" s="138"/>
      <c r="N886" s="11"/>
      <c r="O886" s="163"/>
      <c r="P886" s="139">
        <v>6100.0</v>
      </c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18"/>
      <c r="C887" s="11" t="s">
        <v>3283</v>
      </c>
      <c r="D887" s="11" t="s">
        <v>1586</v>
      </c>
      <c r="E887" s="32" t="s">
        <v>3284</v>
      </c>
      <c r="F887" s="11"/>
      <c r="G887" s="11" t="s">
        <v>1582</v>
      </c>
      <c r="H887" s="11" t="s">
        <v>3272</v>
      </c>
      <c r="I887" s="11">
        <v>180.0</v>
      </c>
      <c r="J887" s="138" t="s">
        <v>1589</v>
      </c>
      <c r="K887" s="138"/>
      <c r="L887" s="138"/>
      <c r="M887" s="138"/>
      <c r="N887" s="11"/>
      <c r="O887" s="163"/>
      <c r="P887" s="156">
        <v>4200.0</v>
      </c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18"/>
      <c r="C888" s="11" t="s">
        <v>3285</v>
      </c>
      <c r="D888" s="11" t="s">
        <v>1586</v>
      </c>
      <c r="E888" s="32" t="s">
        <v>3286</v>
      </c>
      <c r="F888" s="11"/>
      <c r="G888" s="11" t="s">
        <v>1582</v>
      </c>
      <c r="H888" s="11" t="s">
        <v>3272</v>
      </c>
      <c r="I888" s="11">
        <v>90.0</v>
      </c>
      <c r="J888" s="138" t="s">
        <v>1589</v>
      </c>
      <c r="K888" s="138"/>
      <c r="L888" s="138"/>
      <c r="M888" s="138"/>
      <c r="N888" s="11"/>
      <c r="O888" s="163"/>
      <c r="P888" s="139">
        <v>6500.0</v>
      </c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18"/>
      <c r="C889" s="11" t="s">
        <v>3287</v>
      </c>
      <c r="D889" s="11" t="s">
        <v>1586</v>
      </c>
      <c r="E889" s="32" t="s">
        <v>3288</v>
      </c>
      <c r="F889" s="11"/>
      <c r="G889" s="11" t="s">
        <v>1582</v>
      </c>
      <c r="H889" s="11" t="s">
        <v>3272</v>
      </c>
      <c r="I889" s="11">
        <v>90.0</v>
      </c>
      <c r="J889" s="138" t="s">
        <v>1589</v>
      </c>
      <c r="K889" s="138"/>
      <c r="L889" s="138"/>
      <c r="M889" s="138"/>
      <c r="N889" s="11"/>
      <c r="O889" s="163"/>
      <c r="P889" s="139">
        <v>6100.0</v>
      </c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18"/>
      <c r="C890" s="11" t="s">
        <v>3289</v>
      </c>
      <c r="D890" s="11" t="s">
        <v>1586</v>
      </c>
      <c r="E890" s="32" t="s">
        <v>3290</v>
      </c>
      <c r="F890" s="11"/>
      <c r="G890" s="11" t="s">
        <v>1582</v>
      </c>
      <c r="H890" s="11" t="s">
        <v>3272</v>
      </c>
      <c r="I890" s="11">
        <v>90.0</v>
      </c>
      <c r="J890" s="138" t="s">
        <v>1589</v>
      </c>
      <c r="K890" s="138"/>
      <c r="L890" s="138"/>
      <c r="M890" s="138"/>
      <c r="N890" s="11"/>
      <c r="O890" s="163"/>
      <c r="P890" s="139">
        <v>5000.0</v>
      </c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18"/>
      <c r="C891" s="11" t="s">
        <v>3291</v>
      </c>
      <c r="D891" s="11" t="s">
        <v>1586</v>
      </c>
      <c r="E891" s="32" t="s">
        <v>3292</v>
      </c>
      <c r="F891" s="11"/>
      <c r="G891" s="11" t="s">
        <v>1582</v>
      </c>
      <c r="H891" s="11" t="s">
        <v>3272</v>
      </c>
      <c r="I891" s="11">
        <v>90.0</v>
      </c>
      <c r="J891" s="138" t="s">
        <v>1589</v>
      </c>
      <c r="K891" s="138"/>
      <c r="L891" s="138"/>
      <c r="M891" s="138"/>
      <c r="N891" s="11">
        <v>20.0</v>
      </c>
      <c r="O891" s="163" t="s">
        <v>1554</v>
      </c>
      <c r="P891" s="139">
        <v>20000.0</v>
      </c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18"/>
      <c r="C892" s="11" t="s">
        <v>3293</v>
      </c>
      <c r="D892" s="11" t="s">
        <v>1586</v>
      </c>
      <c r="E892" s="32" t="s">
        <v>3294</v>
      </c>
      <c r="F892" s="11"/>
      <c r="G892" s="11" t="s">
        <v>1582</v>
      </c>
      <c r="H892" s="11" t="s">
        <v>3272</v>
      </c>
      <c r="I892" s="11">
        <v>90.0</v>
      </c>
      <c r="J892" s="138" t="s">
        <v>1589</v>
      </c>
      <c r="K892" s="138"/>
      <c r="L892" s="138"/>
      <c r="M892" s="138"/>
      <c r="N892" s="11"/>
      <c r="O892" s="163"/>
      <c r="P892" s="139">
        <v>6100.0</v>
      </c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18"/>
      <c r="C893" s="11" t="s">
        <v>3295</v>
      </c>
      <c r="D893" s="11" t="s">
        <v>1586</v>
      </c>
      <c r="E893" s="32" t="s">
        <v>3296</v>
      </c>
      <c r="F893" s="11"/>
      <c r="G893" s="11" t="s">
        <v>1582</v>
      </c>
      <c r="H893" s="11" t="s">
        <v>3272</v>
      </c>
      <c r="I893" s="11">
        <v>90.0</v>
      </c>
      <c r="J893" s="138" t="s">
        <v>1589</v>
      </c>
      <c r="K893" s="138"/>
      <c r="L893" s="138"/>
      <c r="M893" s="138"/>
      <c r="N893" s="11"/>
      <c r="O893" s="163"/>
      <c r="P893" s="139">
        <v>6700.0</v>
      </c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18"/>
      <c r="C894" s="11" t="s">
        <v>3297</v>
      </c>
      <c r="D894" s="11" t="s">
        <v>1586</v>
      </c>
      <c r="E894" s="32" t="s">
        <v>3298</v>
      </c>
      <c r="F894" s="11"/>
      <c r="G894" s="11" t="s">
        <v>1582</v>
      </c>
      <c r="H894" s="11" t="s">
        <v>3272</v>
      </c>
      <c r="I894" s="11">
        <v>180.0</v>
      </c>
      <c r="J894" s="138" t="s">
        <v>1589</v>
      </c>
      <c r="K894" s="138"/>
      <c r="L894" s="138"/>
      <c r="M894" s="138"/>
      <c r="N894" s="11">
        <v>50.0</v>
      </c>
      <c r="O894" s="163" t="s">
        <v>1554</v>
      </c>
      <c r="P894" s="139">
        <v>4700.0</v>
      </c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18"/>
      <c r="C895" s="11" t="s">
        <v>3299</v>
      </c>
      <c r="D895" s="11" t="s">
        <v>1586</v>
      </c>
      <c r="E895" s="32" t="s">
        <v>3300</v>
      </c>
      <c r="F895" s="11"/>
      <c r="G895" s="11" t="s">
        <v>1582</v>
      </c>
      <c r="H895" s="11" t="s">
        <v>3272</v>
      </c>
      <c r="I895" s="11">
        <v>90.0</v>
      </c>
      <c r="J895" s="138" t="s">
        <v>1589</v>
      </c>
      <c r="K895" s="138"/>
      <c r="L895" s="138"/>
      <c r="M895" s="138"/>
      <c r="N895" s="11"/>
      <c r="O895" s="163"/>
      <c r="P895" s="139">
        <v>8500.0</v>
      </c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18"/>
      <c r="C896" s="11" t="s">
        <v>3301</v>
      </c>
      <c r="D896" s="11" t="s">
        <v>1586</v>
      </c>
      <c r="E896" s="32" t="s">
        <v>3302</v>
      </c>
      <c r="F896" s="11"/>
      <c r="G896" s="11" t="s">
        <v>1582</v>
      </c>
      <c r="H896" s="11" t="s">
        <v>3272</v>
      </c>
      <c r="I896" s="11">
        <v>180.0</v>
      </c>
      <c r="J896" s="138" t="s">
        <v>1589</v>
      </c>
      <c r="K896" s="138"/>
      <c r="L896" s="138"/>
      <c r="M896" s="138"/>
      <c r="N896" s="11"/>
      <c r="O896" s="163"/>
      <c r="P896" s="139">
        <v>4700.0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18"/>
      <c r="C897" s="11" t="s">
        <v>3303</v>
      </c>
      <c r="D897" s="11" t="s">
        <v>1586</v>
      </c>
      <c r="E897" s="32" t="s">
        <v>3304</v>
      </c>
      <c r="F897" s="11"/>
      <c r="G897" s="11" t="s">
        <v>1582</v>
      </c>
      <c r="H897" s="11" t="s">
        <v>3272</v>
      </c>
      <c r="I897" s="11">
        <v>180.0</v>
      </c>
      <c r="J897" s="138" t="s">
        <v>1589</v>
      </c>
      <c r="K897" s="138"/>
      <c r="L897" s="138"/>
      <c r="M897" s="138"/>
      <c r="N897" s="11"/>
      <c r="O897" s="163"/>
      <c r="P897" s="139">
        <f>(MIN(P896, P898) / 2) + MAX(P896, P898)</f>
        <v>8650</v>
      </c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18"/>
      <c r="C898" s="11" t="s">
        <v>3305</v>
      </c>
      <c r="D898" s="11" t="s">
        <v>1586</v>
      </c>
      <c r="E898" s="32" t="s">
        <v>3306</v>
      </c>
      <c r="F898" s="11"/>
      <c r="G898" s="11" t="s">
        <v>1582</v>
      </c>
      <c r="H898" s="11" t="s">
        <v>3272</v>
      </c>
      <c r="I898" s="11">
        <v>180.0</v>
      </c>
      <c r="J898" s="138" t="s">
        <v>1589</v>
      </c>
      <c r="K898" s="138"/>
      <c r="L898" s="138"/>
      <c r="M898" s="138"/>
      <c r="N898" s="11"/>
      <c r="O898" s="163"/>
      <c r="P898" s="139">
        <v>6300.0</v>
      </c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18"/>
      <c r="C899" s="11" t="s">
        <v>3307</v>
      </c>
      <c r="D899" s="11" t="s">
        <v>1586</v>
      </c>
      <c r="E899" s="32" t="s">
        <v>3308</v>
      </c>
      <c r="F899" s="11"/>
      <c r="G899" s="11" t="s">
        <v>1582</v>
      </c>
      <c r="H899" s="11" t="s">
        <v>3272</v>
      </c>
      <c r="I899" s="11">
        <v>90.0</v>
      </c>
      <c r="J899" s="138" t="s">
        <v>1589</v>
      </c>
      <c r="K899" s="138"/>
      <c r="L899" s="138"/>
      <c r="M899" s="138"/>
      <c r="N899" s="11"/>
      <c r="O899" s="163"/>
      <c r="P899" s="139">
        <v>7200.0</v>
      </c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18"/>
      <c r="C900" s="11" t="s">
        <v>3309</v>
      </c>
      <c r="D900" s="11" t="s">
        <v>1586</v>
      </c>
      <c r="E900" s="32" t="s">
        <v>3310</v>
      </c>
      <c r="F900" s="11"/>
      <c r="G900" s="11" t="s">
        <v>1582</v>
      </c>
      <c r="H900" s="11" t="s">
        <v>3272</v>
      </c>
      <c r="I900" s="11">
        <v>90.0</v>
      </c>
      <c r="J900" s="138" t="s">
        <v>1589</v>
      </c>
      <c r="K900" s="138"/>
      <c r="L900" s="138"/>
      <c r="M900" s="138"/>
      <c r="N900" s="11"/>
      <c r="O900" s="163"/>
      <c r="P900" s="139">
        <v>6000.0</v>
      </c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18"/>
      <c r="C901" s="11" t="s">
        <v>3311</v>
      </c>
      <c r="D901" s="11" t="s">
        <v>1586</v>
      </c>
      <c r="E901" s="32" t="s">
        <v>3312</v>
      </c>
      <c r="F901" s="11"/>
      <c r="G901" s="11" t="s">
        <v>1582</v>
      </c>
      <c r="H901" s="11" t="s">
        <v>3272</v>
      </c>
      <c r="I901" s="11">
        <v>90.0</v>
      </c>
      <c r="J901" s="138" t="s">
        <v>1589</v>
      </c>
      <c r="K901" s="138"/>
      <c r="L901" s="138"/>
      <c r="M901" s="138"/>
      <c r="N901" s="11"/>
      <c r="O901" s="163"/>
      <c r="P901" s="139">
        <v>6000.0</v>
      </c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18"/>
      <c r="C902" s="11" t="s">
        <v>3313</v>
      </c>
      <c r="D902" s="11" t="s">
        <v>1586</v>
      </c>
      <c r="E902" s="32" t="s">
        <v>3314</v>
      </c>
      <c r="F902" s="11"/>
      <c r="G902" s="11" t="s">
        <v>1582</v>
      </c>
      <c r="H902" s="11" t="s">
        <v>3272</v>
      </c>
      <c r="I902" s="11">
        <v>90.0</v>
      </c>
      <c r="J902" s="138" t="s">
        <v>1589</v>
      </c>
      <c r="K902" s="138"/>
      <c r="L902" s="138"/>
      <c r="M902" s="138"/>
      <c r="N902" s="11"/>
      <c r="O902" s="163"/>
      <c r="P902" s="139">
        <v>6600.0</v>
      </c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18"/>
      <c r="C903" s="11" t="s">
        <v>3315</v>
      </c>
      <c r="D903" s="11" t="s">
        <v>1586</v>
      </c>
      <c r="E903" s="32" t="s">
        <v>3316</v>
      </c>
      <c r="F903" s="11"/>
      <c r="G903" s="11" t="s">
        <v>1582</v>
      </c>
      <c r="H903" s="11" t="s">
        <v>3272</v>
      </c>
      <c r="I903" s="11">
        <v>90.0</v>
      </c>
      <c r="J903" s="138" t="s">
        <v>1589</v>
      </c>
      <c r="K903" s="138"/>
      <c r="L903" s="138"/>
      <c r="M903" s="138"/>
      <c r="N903" s="11"/>
      <c r="O903" s="163"/>
      <c r="P903" s="139">
        <v>6500.0</v>
      </c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18"/>
      <c r="C904" s="11" t="s">
        <v>3317</v>
      </c>
      <c r="D904" s="11" t="s">
        <v>1586</v>
      </c>
      <c r="E904" s="32" t="s">
        <v>3318</v>
      </c>
      <c r="F904" s="11"/>
      <c r="G904" s="11" t="s">
        <v>1582</v>
      </c>
      <c r="H904" s="11" t="s">
        <v>3272</v>
      </c>
      <c r="I904" s="11">
        <v>90.0</v>
      </c>
      <c r="J904" s="138" t="s">
        <v>1589</v>
      </c>
      <c r="K904" s="138"/>
      <c r="L904" s="138"/>
      <c r="M904" s="138"/>
      <c r="N904" s="11"/>
      <c r="O904" s="163"/>
      <c r="P904" s="139">
        <v>10700.0</v>
      </c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18"/>
      <c r="C905" s="11" t="s">
        <v>3319</v>
      </c>
      <c r="D905" s="11" t="s">
        <v>1586</v>
      </c>
      <c r="E905" s="32" t="s">
        <v>3320</v>
      </c>
      <c r="F905" s="11"/>
      <c r="G905" s="11" t="s">
        <v>1582</v>
      </c>
      <c r="H905" s="11" t="s">
        <v>3272</v>
      </c>
      <c r="I905" s="11">
        <v>90.0</v>
      </c>
      <c r="J905" s="138" t="s">
        <v>1589</v>
      </c>
      <c r="K905" s="138"/>
      <c r="L905" s="138"/>
      <c r="M905" s="138"/>
      <c r="N905" s="11"/>
      <c r="O905" s="163"/>
      <c r="P905" s="139">
        <v>7700.0</v>
      </c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18"/>
      <c r="C906" s="11" t="s">
        <v>3321</v>
      </c>
      <c r="D906" s="11" t="s">
        <v>1586</v>
      </c>
      <c r="E906" s="32" t="s">
        <v>3322</v>
      </c>
      <c r="F906" s="11"/>
      <c r="G906" s="11" t="s">
        <v>1582</v>
      </c>
      <c r="H906" s="11" t="s">
        <v>3272</v>
      </c>
      <c r="I906" s="11">
        <v>90.0</v>
      </c>
      <c r="J906" s="138" t="s">
        <v>1589</v>
      </c>
      <c r="K906" s="138"/>
      <c r="L906" s="138"/>
      <c r="M906" s="138"/>
      <c r="N906" s="11"/>
      <c r="O906" s="163"/>
      <c r="P906" s="139">
        <v>6500.0</v>
      </c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35"/>
      <c r="C907" s="36" t="s">
        <v>3323</v>
      </c>
      <c r="D907" s="36" t="s">
        <v>1586</v>
      </c>
      <c r="E907" s="158" t="s">
        <v>3324</v>
      </c>
      <c r="F907" s="36"/>
      <c r="G907" s="36" t="s">
        <v>1582</v>
      </c>
      <c r="H907" s="36" t="s">
        <v>3272</v>
      </c>
      <c r="I907" s="36">
        <v>90.0</v>
      </c>
      <c r="J907" s="141" t="s">
        <v>1589</v>
      </c>
      <c r="K907" s="141"/>
      <c r="L907" s="141"/>
      <c r="M907" s="141"/>
      <c r="N907" s="36"/>
      <c r="O907" s="164"/>
      <c r="P907" s="142">
        <v>7000.0</v>
      </c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147" t="s">
        <v>318</v>
      </c>
      <c r="C908" s="42" t="s">
        <v>3325</v>
      </c>
      <c r="D908" s="42" t="s">
        <v>1586</v>
      </c>
      <c r="E908" s="165" t="s">
        <v>3326</v>
      </c>
      <c r="F908" s="42"/>
      <c r="G908" s="42" t="s">
        <v>1582</v>
      </c>
      <c r="H908" s="42" t="s">
        <v>3327</v>
      </c>
      <c r="I908" s="42">
        <v>0.0</v>
      </c>
      <c r="J908" s="149" t="s">
        <v>1589</v>
      </c>
      <c r="K908" s="149"/>
      <c r="L908" s="149"/>
      <c r="M908" s="149"/>
      <c r="N908" s="42"/>
      <c r="O908" s="162"/>
      <c r="P908" s="136">
        <v>1.0</v>
      </c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18"/>
      <c r="C909" s="11" t="s">
        <v>3328</v>
      </c>
      <c r="D909" s="11" t="s">
        <v>1586</v>
      </c>
      <c r="E909" s="32" t="s">
        <v>3329</v>
      </c>
      <c r="F909" s="11"/>
      <c r="G909" s="11" t="s">
        <v>1582</v>
      </c>
      <c r="H909" s="11" t="s">
        <v>3327</v>
      </c>
      <c r="I909" s="11">
        <v>0.0</v>
      </c>
      <c r="J909" s="138" t="s">
        <v>1589</v>
      </c>
      <c r="K909" s="138"/>
      <c r="L909" s="138"/>
      <c r="M909" s="138"/>
      <c r="N909" s="11">
        <v>30.0</v>
      </c>
      <c r="O909" s="163" t="s">
        <v>1554</v>
      </c>
      <c r="P909" s="139">
        <v>1450.0</v>
      </c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18"/>
      <c r="C910" s="11" t="s">
        <v>3330</v>
      </c>
      <c r="D910" s="11" t="s">
        <v>1586</v>
      </c>
      <c r="E910" s="32" t="s">
        <v>3331</v>
      </c>
      <c r="F910" s="11"/>
      <c r="G910" s="11" t="s">
        <v>1582</v>
      </c>
      <c r="H910" s="11" t="s">
        <v>3327</v>
      </c>
      <c r="I910" s="11">
        <v>0.0</v>
      </c>
      <c r="J910" s="138" t="s">
        <v>1589</v>
      </c>
      <c r="K910" s="138"/>
      <c r="L910" s="138"/>
      <c r="M910" s="138"/>
      <c r="N910" s="11">
        <v>30.0</v>
      </c>
      <c r="O910" s="163" t="s">
        <v>1554</v>
      </c>
      <c r="P910" s="139">
        <v>1450.0</v>
      </c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18"/>
      <c r="C911" s="11" t="s">
        <v>3332</v>
      </c>
      <c r="D911" s="11" t="s">
        <v>1586</v>
      </c>
      <c r="E911" s="32" t="s">
        <v>3333</v>
      </c>
      <c r="F911" s="11"/>
      <c r="G911" s="11" t="s">
        <v>1582</v>
      </c>
      <c r="H911" s="11" t="s">
        <v>3327</v>
      </c>
      <c r="I911" s="11">
        <v>0.0</v>
      </c>
      <c r="J911" s="138" t="s">
        <v>1589</v>
      </c>
      <c r="K911" s="138"/>
      <c r="L911" s="138"/>
      <c r="M911" s="138"/>
      <c r="N911" s="11"/>
      <c r="O911" s="163"/>
      <c r="P911" s="139">
        <v>700.0</v>
      </c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18"/>
      <c r="C912" s="11" t="s">
        <v>3334</v>
      </c>
      <c r="D912" s="11" t="s">
        <v>1586</v>
      </c>
      <c r="E912" s="32" t="s">
        <v>3335</v>
      </c>
      <c r="F912" s="11"/>
      <c r="G912" s="11" t="s">
        <v>1582</v>
      </c>
      <c r="H912" s="11" t="s">
        <v>3327</v>
      </c>
      <c r="I912" s="11">
        <v>0.0</v>
      </c>
      <c r="J912" s="138" t="s">
        <v>1589</v>
      </c>
      <c r="K912" s="138"/>
      <c r="L912" s="138"/>
      <c r="M912" s="138"/>
      <c r="N912" s="11"/>
      <c r="O912" s="163"/>
      <c r="P912" s="139">
        <v>6700.0</v>
      </c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18"/>
      <c r="C913" s="11" t="s">
        <v>3336</v>
      </c>
      <c r="D913" s="11" t="s">
        <v>1586</v>
      </c>
      <c r="E913" s="32" t="s">
        <v>3337</v>
      </c>
      <c r="F913" s="11"/>
      <c r="G913" s="11" t="s">
        <v>1582</v>
      </c>
      <c r="H913" s="11" t="s">
        <v>3327</v>
      </c>
      <c r="I913" s="11">
        <v>180.0</v>
      </c>
      <c r="J913" s="138" t="s">
        <v>1589</v>
      </c>
      <c r="K913" s="138"/>
      <c r="L913" s="138"/>
      <c r="M913" s="138"/>
      <c r="N913" s="11"/>
      <c r="O913" s="163"/>
      <c r="P913" s="139">
        <v>7800.0</v>
      </c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18"/>
      <c r="C914" s="11" t="s">
        <v>3338</v>
      </c>
      <c r="D914" s="11" t="s">
        <v>1586</v>
      </c>
      <c r="E914" s="32" t="s">
        <v>3339</v>
      </c>
      <c r="F914" s="11"/>
      <c r="G914" s="11" t="s">
        <v>1582</v>
      </c>
      <c r="H914" s="11" t="s">
        <v>3327</v>
      </c>
      <c r="I914" s="11">
        <v>180.0</v>
      </c>
      <c r="J914" s="138" t="s">
        <v>1589</v>
      </c>
      <c r="K914" s="138"/>
      <c r="L914" s="138"/>
      <c r="M914" s="138"/>
      <c r="N914" s="11"/>
      <c r="O914" s="163"/>
      <c r="P914" s="139">
        <v>0.0</v>
      </c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18"/>
      <c r="C915" s="11" t="s">
        <v>3340</v>
      </c>
      <c r="D915" s="11" t="s">
        <v>1586</v>
      </c>
      <c r="E915" s="32" t="s">
        <v>3341</v>
      </c>
      <c r="F915" s="11"/>
      <c r="G915" s="11" t="s">
        <v>1582</v>
      </c>
      <c r="H915" s="11" t="s">
        <v>3327</v>
      </c>
      <c r="I915" s="11">
        <v>90.0</v>
      </c>
      <c r="J915" s="138" t="s">
        <v>1589</v>
      </c>
      <c r="K915" s="138"/>
      <c r="L915" s="138"/>
      <c r="M915" s="138"/>
      <c r="N915" s="11"/>
      <c r="O915" s="163"/>
      <c r="P915" s="139">
        <v>7500.0</v>
      </c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18"/>
      <c r="C916" s="11" t="s">
        <v>3342</v>
      </c>
      <c r="D916" s="11" t="s">
        <v>1586</v>
      </c>
      <c r="E916" s="32" t="s">
        <v>3343</v>
      </c>
      <c r="F916" s="11"/>
      <c r="G916" s="11" t="s">
        <v>1582</v>
      </c>
      <c r="H916" s="11" t="s">
        <v>3327</v>
      </c>
      <c r="I916" s="11">
        <v>90.0</v>
      </c>
      <c r="J916" s="138" t="s">
        <v>1589</v>
      </c>
      <c r="K916" s="138"/>
      <c r="L916" s="138"/>
      <c r="M916" s="138"/>
      <c r="N916" s="11"/>
      <c r="O916" s="163"/>
      <c r="P916" s="139">
        <v>7000.0</v>
      </c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18"/>
      <c r="C917" s="11" t="s">
        <v>3344</v>
      </c>
      <c r="D917" s="11" t="s">
        <v>1586</v>
      </c>
      <c r="E917" s="32" t="s">
        <v>3345</v>
      </c>
      <c r="F917" s="11"/>
      <c r="G917" s="11" t="s">
        <v>1582</v>
      </c>
      <c r="H917" s="11" t="s">
        <v>3327</v>
      </c>
      <c r="I917" s="11">
        <v>90.0</v>
      </c>
      <c r="J917" s="138" t="s">
        <v>1589</v>
      </c>
      <c r="K917" s="138"/>
      <c r="L917" s="138"/>
      <c r="M917" s="138"/>
      <c r="N917" s="11"/>
      <c r="O917" s="163"/>
      <c r="P917" s="139">
        <v>6300.0</v>
      </c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18"/>
      <c r="C918" s="11" t="s">
        <v>3346</v>
      </c>
      <c r="D918" s="11" t="s">
        <v>1586</v>
      </c>
      <c r="E918" s="32" t="s">
        <v>3347</v>
      </c>
      <c r="F918" s="11"/>
      <c r="G918" s="11" t="s">
        <v>1582</v>
      </c>
      <c r="H918" s="11" t="s">
        <v>3327</v>
      </c>
      <c r="I918" s="11">
        <v>90.0</v>
      </c>
      <c r="J918" s="138" t="s">
        <v>1589</v>
      </c>
      <c r="K918" s="138"/>
      <c r="L918" s="138"/>
      <c r="M918" s="138"/>
      <c r="N918" s="11">
        <v>20.0</v>
      </c>
      <c r="O918" s="163" t="s">
        <v>1554</v>
      </c>
      <c r="P918" s="139">
        <v>20000.0</v>
      </c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18"/>
      <c r="C919" s="11" t="s">
        <v>3348</v>
      </c>
      <c r="D919" s="11" t="s">
        <v>1586</v>
      </c>
      <c r="E919" s="32" t="s">
        <v>3349</v>
      </c>
      <c r="F919" s="11"/>
      <c r="G919" s="11" t="s">
        <v>1582</v>
      </c>
      <c r="H919" s="11" t="s">
        <v>3327</v>
      </c>
      <c r="I919" s="11">
        <v>90.0</v>
      </c>
      <c r="J919" s="138" t="s">
        <v>1589</v>
      </c>
      <c r="K919" s="138"/>
      <c r="L919" s="138"/>
      <c r="M919" s="138"/>
      <c r="N919" s="11"/>
      <c r="O919" s="163"/>
      <c r="P919" s="139">
        <v>7000.0</v>
      </c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18"/>
      <c r="C920" s="11" t="s">
        <v>3350</v>
      </c>
      <c r="D920" s="11" t="s">
        <v>1586</v>
      </c>
      <c r="E920" s="32" t="s">
        <v>3351</v>
      </c>
      <c r="F920" s="11"/>
      <c r="G920" s="11" t="s">
        <v>1582</v>
      </c>
      <c r="H920" s="11" t="s">
        <v>3327</v>
      </c>
      <c r="I920" s="11">
        <v>90.0</v>
      </c>
      <c r="J920" s="138" t="s">
        <v>1589</v>
      </c>
      <c r="K920" s="138"/>
      <c r="L920" s="138"/>
      <c r="M920" s="138"/>
      <c r="N920" s="11"/>
      <c r="O920" s="163"/>
      <c r="P920" s="139">
        <v>7600.0</v>
      </c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18"/>
      <c r="C921" s="11" t="s">
        <v>3352</v>
      </c>
      <c r="D921" s="11" t="s">
        <v>1586</v>
      </c>
      <c r="E921" s="32" t="s">
        <v>3353</v>
      </c>
      <c r="F921" s="11"/>
      <c r="G921" s="11" t="s">
        <v>1582</v>
      </c>
      <c r="H921" s="11" t="s">
        <v>3327</v>
      </c>
      <c r="I921" s="11">
        <v>180.0</v>
      </c>
      <c r="J921" s="138" t="s">
        <v>1589</v>
      </c>
      <c r="K921" s="138"/>
      <c r="L921" s="138"/>
      <c r="M921" s="138"/>
      <c r="N921" s="11">
        <v>50.0</v>
      </c>
      <c r="O921" s="163" t="s">
        <v>1554</v>
      </c>
      <c r="P921" s="139">
        <v>4300.0</v>
      </c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18"/>
      <c r="C922" s="11" t="s">
        <v>3354</v>
      </c>
      <c r="D922" s="11" t="s">
        <v>1586</v>
      </c>
      <c r="E922" s="32" t="s">
        <v>3355</v>
      </c>
      <c r="F922" s="11"/>
      <c r="G922" s="11" t="s">
        <v>1582</v>
      </c>
      <c r="H922" s="11" t="s">
        <v>3327</v>
      </c>
      <c r="I922" s="11">
        <v>90.0</v>
      </c>
      <c r="J922" s="138" t="s">
        <v>1589</v>
      </c>
      <c r="K922" s="138"/>
      <c r="L922" s="138"/>
      <c r="M922" s="138"/>
      <c r="N922" s="11"/>
      <c r="O922" s="163"/>
      <c r="P922" s="139">
        <v>9700.0</v>
      </c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18"/>
      <c r="C923" s="11" t="s">
        <v>3356</v>
      </c>
      <c r="D923" s="11" t="s">
        <v>1586</v>
      </c>
      <c r="E923" s="32" t="s">
        <v>3357</v>
      </c>
      <c r="F923" s="11"/>
      <c r="G923" s="11" t="s">
        <v>1582</v>
      </c>
      <c r="H923" s="11" t="s">
        <v>3327</v>
      </c>
      <c r="I923" s="11">
        <v>180.0</v>
      </c>
      <c r="J923" s="138" t="s">
        <v>1589</v>
      </c>
      <c r="K923" s="138"/>
      <c r="L923" s="138"/>
      <c r="M923" s="138"/>
      <c r="N923" s="11"/>
      <c r="O923" s="163"/>
      <c r="P923" s="139">
        <v>4900.0</v>
      </c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18"/>
      <c r="C924" s="11" t="s">
        <v>3358</v>
      </c>
      <c r="D924" s="11" t="s">
        <v>1586</v>
      </c>
      <c r="E924" s="32" t="s">
        <v>3359</v>
      </c>
      <c r="F924" s="11"/>
      <c r="G924" s="11" t="s">
        <v>1582</v>
      </c>
      <c r="H924" s="11" t="s">
        <v>3327</v>
      </c>
      <c r="I924" s="11">
        <v>180.0</v>
      </c>
      <c r="J924" s="138" t="s">
        <v>1589</v>
      </c>
      <c r="K924" s="138"/>
      <c r="L924" s="138"/>
      <c r="M924" s="138"/>
      <c r="N924" s="11"/>
      <c r="O924" s="163"/>
      <c r="P924" s="139">
        <f>(MIN(P923, P925) / 2) + MAX(P923, P925)</f>
        <v>11450</v>
      </c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18"/>
      <c r="C925" s="11" t="s">
        <v>3360</v>
      </c>
      <c r="D925" s="11" t="s">
        <v>1586</v>
      </c>
      <c r="E925" s="32" t="s">
        <v>3361</v>
      </c>
      <c r="F925" s="11"/>
      <c r="G925" s="11" t="s">
        <v>1582</v>
      </c>
      <c r="H925" s="11" t="s">
        <v>3327</v>
      </c>
      <c r="I925" s="11">
        <v>180.0</v>
      </c>
      <c r="J925" s="138" t="s">
        <v>1589</v>
      </c>
      <c r="K925" s="138"/>
      <c r="L925" s="138"/>
      <c r="M925" s="138"/>
      <c r="N925" s="11"/>
      <c r="O925" s="163"/>
      <c r="P925" s="139">
        <v>9000.0</v>
      </c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18"/>
      <c r="C926" s="11" t="s">
        <v>3362</v>
      </c>
      <c r="D926" s="11" t="s">
        <v>1586</v>
      </c>
      <c r="E926" s="32" t="s">
        <v>3363</v>
      </c>
      <c r="F926" s="11"/>
      <c r="G926" s="11" t="s">
        <v>1582</v>
      </c>
      <c r="H926" s="11" t="s">
        <v>3327</v>
      </c>
      <c r="I926" s="11">
        <v>90.0</v>
      </c>
      <c r="J926" s="138" t="s">
        <v>1589</v>
      </c>
      <c r="K926" s="138"/>
      <c r="L926" s="138"/>
      <c r="M926" s="138"/>
      <c r="N926" s="11"/>
      <c r="O926" s="163"/>
      <c r="P926" s="139">
        <v>8500.0</v>
      </c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18"/>
      <c r="C927" s="11" t="s">
        <v>3364</v>
      </c>
      <c r="D927" s="11" t="s">
        <v>1586</v>
      </c>
      <c r="E927" s="32" t="s">
        <v>3365</v>
      </c>
      <c r="F927" s="11"/>
      <c r="G927" s="11" t="s">
        <v>1582</v>
      </c>
      <c r="H927" s="11" t="s">
        <v>3327</v>
      </c>
      <c r="I927" s="11">
        <v>90.0</v>
      </c>
      <c r="J927" s="138" t="s">
        <v>1589</v>
      </c>
      <c r="K927" s="138"/>
      <c r="L927" s="138"/>
      <c r="M927" s="138"/>
      <c r="N927" s="11"/>
      <c r="O927" s="163"/>
      <c r="P927" s="139">
        <v>6600.0</v>
      </c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18"/>
      <c r="C928" s="11" t="s">
        <v>3366</v>
      </c>
      <c r="D928" s="11" t="s">
        <v>1586</v>
      </c>
      <c r="E928" s="32" t="s">
        <v>3367</v>
      </c>
      <c r="F928" s="11"/>
      <c r="G928" s="11" t="s">
        <v>1582</v>
      </c>
      <c r="H928" s="11" t="s">
        <v>3327</v>
      </c>
      <c r="I928" s="11">
        <v>90.0</v>
      </c>
      <c r="J928" s="138" t="s">
        <v>1589</v>
      </c>
      <c r="K928" s="138"/>
      <c r="L928" s="138"/>
      <c r="M928" s="138"/>
      <c r="N928" s="11"/>
      <c r="O928" s="163"/>
      <c r="P928" s="139">
        <v>6600.0</v>
      </c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18"/>
      <c r="C929" s="11" t="s">
        <v>3368</v>
      </c>
      <c r="D929" s="11" t="s">
        <v>1586</v>
      </c>
      <c r="E929" s="32" t="s">
        <v>3369</v>
      </c>
      <c r="F929" s="11"/>
      <c r="G929" s="11" t="s">
        <v>1582</v>
      </c>
      <c r="H929" s="11" t="s">
        <v>3327</v>
      </c>
      <c r="I929" s="11">
        <v>90.0</v>
      </c>
      <c r="J929" s="138" t="s">
        <v>1589</v>
      </c>
      <c r="K929" s="138"/>
      <c r="L929" s="138"/>
      <c r="M929" s="138"/>
      <c r="N929" s="11"/>
      <c r="O929" s="163"/>
      <c r="P929" s="139">
        <v>7200.0</v>
      </c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18"/>
      <c r="C930" s="11" t="s">
        <v>3370</v>
      </c>
      <c r="D930" s="11" t="s">
        <v>1586</v>
      </c>
      <c r="E930" s="32" t="s">
        <v>3371</v>
      </c>
      <c r="F930" s="11"/>
      <c r="G930" s="11" t="s">
        <v>1582</v>
      </c>
      <c r="H930" s="11" t="s">
        <v>3327</v>
      </c>
      <c r="I930" s="11">
        <v>90.0</v>
      </c>
      <c r="J930" s="138" t="s">
        <v>1589</v>
      </c>
      <c r="K930" s="138"/>
      <c r="L930" s="138"/>
      <c r="M930" s="138"/>
      <c r="N930" s="11"/>
      <c r="O930" s="163"/>
      <c r="P930" s="139">
        <v>7700.0</v>
      </c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18"/>
      <c r="C931" s="11" t="s">
        <v>3372</v>
      </c>
      <c r="D931" s="11" t="s">
        <v>1586</v>
      </c>
      <c r="E931" s="32" t="s">
        <v>3373</v>
      </c>
      <c r="F931" s="11"/>
      <c r="G931" s="11" t="s">
        <v>1582</v>
      </c>
      <c r="H931" s="11" t="s">
        <v>3327</v>
      </c>
      <c r="I931" s="11">
        <v>90.0</v>
      </c>
      <c r="J931" s="138" t="s">
        <v>1589</v>
      </c>
      <c r="K931" s="138"/>
      <c r="L931" s="138"/>
      <c r="M931" s="138"/>
      <c r="N931" s="11"/>
      <c r="O931" s="163"/>
      <c r="P931" s="139">
        <v>11500.0</v>
      </c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18"/>
      <c r="C932" s="11" t="s">
        <v>3374</v>
      </c>
      <c r="D932" s="11" t="s">
        <v>1586</v>
      </c>
      <c r="E932" s="32" t="s">
        <v>3375</v>
      </c>
      <c r="F932" s="11"/>
      <c r="G932" s="11" t="s">
        <v>1582</v>
      </c>
      <c r="H932" s="11" t="s">
        <v>3327</v>
      </c>
      <c r="I932" s="11">
        <v>90.0</v>
      </c>
      <c r="J932" s="138" t="s">
        <v>1589</v>
      </c>
      <c r="K932" s="138"/>
      <c r="L932" s="138"/>
      <c r="M932" s="138"/>
      <c r="N932" s="11"/>
      <c r="O932" s="163"/>
      <c r="P932" s="139">
        <v>9000.0</v>
      </c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18"/>
      <c r="C933" s="11" t="s">
        <v>3376</v>
      </c>
      <c r="D933" s="11" t="s">
        <v>1586</v>
      </c>
      <c r="E933" s="32" t="s">
        <v>3377</v>
      </c>
      <c r="F933" s="11"/>
      <c r="G933" s="11" t="s">
        <v>1582</v>
      </c>
      <c r="H933" s="11" t="s">
        <v>3327</v>
      </c>
      <c r="I933" s="11">
        <v>90.0</v>
      </c>
      <c r="J933" s="138" t="s">
        <v>1589</v>
      </c>
      <c r="K933" s="138"/>
      <c r="L933" s="138"/>
      <c r="M933" s="138"/>
      <c r="N933" s="11"/>
      <c r="O933" s="163"/>
      <c r="P933" s="139">
        <v>7700.0</v>
      </c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35"/>
      <c r="C934" s="36" t="s">
        <v>3378</v>
      </c>
      <c r="D934" s="36" t="s">
        <v>1586</v>
      </c>
      <c r="E934" s="158" t="s">
        <v>3379</v>
      </c>
      <c r="F934" s="36"/>
      <c r="G934" s="36" t="s">
        <v>1582</v>
      </c>
      <c r="H934" s="36" t="s">
        <v>3327</v>
      </c>
      <c r="I934" s="36">
        <v>90.0</v>
      </c>
      <c r="J934" s="141" t="s">
        <v>1589</v>
      </c>
      <c r="K934" s="141"/>
      <c r="L934" s="141"/>
      <c r="M934" s="141"/>
      <c r="N934" s="36"/>
      <c r="O934" s="164"/>
      <c r="P934" s="142">
        <v>8200.0</v>
      </c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147" t="s">
        <v>325</v>
      </c>
      <c r="C935" s="42" t="s">
        <v>3380</v>
      </c>
      <c r="D935" s="42" t="s">
        <v>1586</v>
      </c>
      <c r="E935" s="165" t="s">
        <v>3381</v>
      </c>
      <c r="F935" s="42"/>
      <c r="G935" s="42" t="s">
        <v>1582</v>
      </c>
      <c r="H935" s="42" t="s">
        <v>3382</v>
      </c>
      <c r="I935" s="42">
        <v>0.0</v>
      </c>
      <c r="J935" s="149" t="s">
        <v>1589</v>
      </c>
      <c r="K935" s="149"/>
      <c r="L935" s="149"/>
      <c r="M935" s="149"/>
      <c r="N935" s="42"/>
      <c r="O935" s="162"/>
      <c r="P935" s="136">
        <v>1.0</v>
      </c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18"/>
      <c r="C936" s="11" t="s">
        <v>3383</v>
      </c>
      <c r="D936" s="11" t="s">
        <v>1586</v>
      </c>
      <c r="E936" s="32" t="s">
        <v>3384</v>
      </c>
      <c r="F936" s="11"/>
      <c r="G936" s="11" t="s">
        <v>1582</v>
      </c>
      <c r="H936" s="11" t="s">
        <v>3382</v>
      </c>
      <c r="I936" s="11">
        <v>0.0</v>
      </c>
      <c r="J936" s="138" t="s">
        <v>1589</v>
      </c>
      <c r="K936" s="138"/>
      <c r="L936" s="138"/>
      <c r="M936" s="138"/>
      <c r="N936" s="11">
        <v>30.0</v>
      </c>
      <c r="O936" s="163" t="s">
        <v>1554</v>
      </c>
      <c r="P936" s="139">
        <v>1450.0</v>
      </c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18"/>
      <c r="C937" s="11" t="s">
        <v>3385</v>
      </c>
      <c r="D937" s="11" t="s">
        <v>1586</v>
      </c>
      <c r="E937" s="32" t="s">
        <v>3386</v>
      </c>
      <c r="F937" s="11"/>
      <c r="G937" s="11" t="s">
        <v>1582</v>
      </c>
      <c r="H937" s="11" t="s">
        <v>3382</v>
      </c>
      <c r="I937" s="11">
        <v>0.0</v>
      </c>
      <c r="J937" s="138" t="s">
        <v>1589</v>
      </c>
      <c r="K937" s="138"/>
      <c r="L937" s="138"/>
      <c r="M937" s="138"/>
      <c r="N937" s="11">
        <v>30.0</v>
      </c>
      <c r="O937" s="163" t="s">
        <v>1554</v>
      </c>
      <c r="P937" s="139">
        <v>1450.0</v>
      </c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18"/>
      <c r="C938" s="11" t="s">
        <v>3387</v>
      </c>
      <c r="D938" s="11" t="s">
        <v>1586</v>
      </c>
      <c r="E938" s="32" t="s">
        <v>3388</v>
      </c>
      <c r="F938" s="11"/>
      <c r="G938" s="11" t="s">
        <v>1582</v>
      </c>
      <c r="H938" s="11" t="s">
        <v>3382</v>
      </c>
      <c r="I938" s="11">
        <v>0.0</v>
      </c>
      <c r="J938" s="138" t="s">
        <v>1589</v>
      </c>
      <c r="K938" s="138"/>
      <c r="L938" s="138"/>
      <c r="M938" s="138"/>
      <c r="N938" s="11"/>
      <c r="O938" s="163"/>
      <c r="P938" s="139">
        <v>700.0</v>
      </c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18"/>
      <c r="C939" s="11" t="s">
        <v>3389</v>
      </c>
      <c r="D939" s="11" t="s">
        <v>1586</v>
      </c>
      <c r="E939" s="32" t="s">
        <v>3390</v>
      </c>
      <c r="F939" s="11"/>
      <c r="G939" s="11" t="s">
        <v>1582</v>
      </c>
      <c r="H939" s="11" t="s">
        <v>3382</v>
      </c>
      <c r="I939" s="11">
        <v>0.0</v>
      </c>
      <c r="J939" s="138" t="s">
        <v>1589</v>
      </c>
      <c r="K939" s="138"/>
      <c r="L939" s="138"/>
      <c r="M939" s="138"/>
      <c r="N939" s="11"/>
      <c r="O939" s="163"/>
      <c r="P939" s="139">
        <v>6700.0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18"/>
      <c r="C940" s="11" t="s">
        <v>3391</v>
      </c>
      <c r="D940" s="11" t="s">
        <v>1586</v>
      </c>
      <c r="E940" s="32" t="s">
        <v>3392</v>
      </c>
      <c r="F940" s="11"/>
      <c r="G940" s="11" t="s">
        <v>1582</v>
      </c>
      <c r="H940" s="11" t="s">
        <v>3382</v>
      </c>
      <c r="I940" s="11">
        <v>180.0</v>
      </c>
      <c r="J940" s="138" t="s">
        <v>1589</v>
      </c>
      <c r="K940" s="138"/>
      <c r="L940" s="138"/>
      <c r="M940" s="138"/>
      <c r="N940" s="11"/>
      <c r="O940" s="163"/>
      <c r="P940" s="139">
        <v>7800.0</v>
      </c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18"/>
      <c r="C941" s="11" t="s">
        <v>3393</v>
      </c>
      <c r="D941" s="11" t="s">
        <v>1586</v>
      </c>
      <c r="E941" s="32" t="s">
        <v>3394</v>
      </c>
      <c r="F941" s="11"/>
      <c r="G941" s="11" t="s">
        <v>1582</v>
      </c>
      <c r="H941" s="11" t="s">
        <v>3382</v>
      </c>
      <c r="I941" s="11">
        <v>180.0</v>
      </c>
      <c r="J941" s="138" t="s">
        <v>1589</v>
      </c>
      <c r="K941" s="138"/>
      <c r="L941" s="138"/>
      <c r="M941" s="138"/>
      <c r="N941" s="11"/>
      <c r="O941" s="163"/>
      <c r="P941" s="139">
        <v>0.0</v>
      </c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18"/>
      <c r="C942" s="11" t="s">
        <v>3395</v>
      </c>
      <c r="D942" s="11" t="s">
        <v>1586</v>
      </c>
      <c r="E942" s="32" t="s">
        <v>3396</v>
      </c>
      <c r="F942" s="11"/>
      <c r="G942" s="11" t="s">
        <v>1582</v>
      </c>
      <c r="H942" s="11" t="s">
        <v>3382</v>
      </c>
      <c r="I942" s="11">
        <v>90.0</v>
      </c>
      <c r="J942" s="138" t="s">
        <v>1589</v>
      </c>
      <c r="K942" s="138"/>
      <c r="L942" s="138"/>
      <c r="M942" s="138"/>
      <c r="N942" s="11"/>
      <c r="O942" s="163"/>
      <c r="P942" s="139">
        <v>7500.0</v>
      </c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18"/>
      <c r="C943" s="11" t="s">
        <v>3397</v>
      </c>
      <c r="D943" s="11" t="s">
        <v>1586</v>
      </c>
      <c r="E943" s="32" t="s">
        <v>3398</v>
      </c>
      <c r="F943" s="11"/>
      <c r="G943" s="11" t="s">
        <v>1582</v>
      </c>
      <c r="H943" s="11" t="s">
        <v>3382</v>
      </c>
      <c r="I943" s="11">
        <v>90.0</v>
      </c>
      <c r="J943" s="138" t="s">
        <v>1589</v>
      </c>
      <c r="K943" s="138"/>
      <c r="L943" s="138"/>
      <c r="M943" s="138"/>
      <c r="N943" s="11"/>
      <c r="O943" s="163"/>
      <c r="P943" s="139">
        <v>7000.0</v>
      </c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18"/>
      <c r="C944" s="11" t="s">
        <v>3399</v>
      </c>
      <c r="D944" s="11" t="s">
        <v>1586</v>
      </c>
      <c r="E944" s="32" t="s">
        <v>3400</v>
      </c>
      <c r="F944" s="11"/>
      <c r="G944" s="11" t="s">
        <v>1582</v>
      </c>
      <c r="H944" s="11" t="s">
        <v>3382</v>
      </c>
      <c r="I944" s="11">
        <v>90.0</v>
      </c>
      <c r="J944" s="138" t="s">
        <v>1589</v>
      </c>
      <c r="K944" s="138"/>
      <c r="L944" s="138"/>
      <c r="M944" s="138"/>
      <c r="N944" s="11"/>
      <c r="O944" s="163"/>
      <c r="P944" s="139">
        <v>6300.0</v>
      </c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18"/>
      <c r="C945" s="11" t="s">
        <v>3401</v>
      </c>
      <c r="D945" s="11" t="s">
        <v>1586</v>
      </c>
      <c r="E945" s="32" t="s">
        <v>3402</v>
      </c>
      <c r="F945" s="11"/>
      <c r="G945" s="11" t="s">
        <v>1582</v>
      </c>
      <c r="H945" s="11" t="s">
        <v>3382</v>
      </c>
      <c r="I945" s="11">
        <v>90.0</v>
      </c>
      <c r="J945" s="138" t="s">
        <v>1589</v>
      </c>
      <c r="K945" s="138"/>
      <c r="L945" s="138"/>
      <c r="M945" s="138"/>
      <c r="N945" s="11">
        <v>20.0</v>
      </c>
      <c r="O945" s="163" t="s">
        <v>1554</v>
      </c>
      <c r="P945" s="139">
        <v>1.0</v>
      </c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18"/>
      <c r="C946" s="11" t="s">
        <v>3403</v>
      </c>
      <c r="D946" s="11" t="s">
        <v>1586</v>
      </c>
      <c r="E946" s="32" t="s">
        <v>3404</v>
      </c>
      <c r="F946" s="11"/>
      <c r="G946" s="11" t="s">
        <v>1582</v>
      </c>
      <c r="H946" s="11" t="s">
        <v>3382</v>
      </c>
      <c r="I946" s="11">
        <v>90.0</v>
      </c>
      <c r="J946" s="138" t="s">
        <v>1589</v>
      </c>
      <c r="K946" s="138"/>
      <c r="L946" s="138"/>
      <c r="M946" s="138"/>
      <c r="N946" s="11"/>
      <c r="O946" s="163"/>
      <c r="P946" s="139">
        <v>7000.0</v>
      </c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18"/>
      <c r="C947" s="11" t="s">
        <v>3405</v>
      </c>
      <c r="D947" s="11" t="s">
        <v>1586</v>
      </c>
      <c r="E947" s="32" t="s">
        <v>3406</v>
      </c>
      <c r="F947" s="11"/>
      <c r="G947" s="11" t="s">
        <v>1582</v>
      </c>
      <c r="H947" s="11" t="s">
        <v>3382</v>
      </c>
      <c r="I947" s="11">
        <v>90.0</v>
      </c>
      <c r="J947" s="138" t="s">
        <v>1589</v>
      </c>
      <c r="K947" s="138"/>
      <c r="L947" s="138"/>
      <c r="M947" s="138"/>
      <c r="N947" s="11"/>
      <c r="O947" s="163"/>
      <c r="P947" s="139">
        <v>7600.0</v>
      </c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18"/>
      <c r="C948" s="11" t="s">
        <v>3407</v>
      </c>
      <c r="D948" s="11" t="s">
        <v>1586</v>
      </c>
      <c r="E948" s="32" t="s">
        <v>3408</v>
      </c>
      <c r="F948" s="11"/>
      <c r="G948" s="11" t="s">
        <v>1582</v>
      </c>
      <c r="H948" s="11" t="s">
        <v>3382</v>
      </c>
      <c r="I948" s="11">
        <v>180.0</v>
      </c>
      <c r="J948" s="138" t="s">
        <v>1589</v>
      </c>
      <c r="K948" s="138"/>
      <c r="L948" s="138"/>
      <c r="M948" s="138"/>
      <c r="N948" s="11">
        <v>50.0</v>
      </c>
      <c r="O948" s="163" t="s">
        <v>1554</v>
      </c>
      <c r="P948" s="139">
        <v>4300.0</v>
      </c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18"/>
      <c r="C949" s="11" t="s">
        <v>3409</v>
      </c>
      <c r="D949" s="11" t="s">
        <v>1586</v>
      </c>
      <c r="E949" s="32" t="s">
        <v>3410</v>
      </c>
      <c r="F949" s="11"/>
      <c r="G949" s="11" t="s">
        <v>1582</v>
      </c>
      <c r="H949" s="11" t="s">
        <v>3382</v>
      </c>
      <c r="I949" s="11">
        <v>90.0</v>
      </c>
      <c r="J949" s="138" t="s">
        <v>1589</v>
      </c>
      <c r="K949" s="138"/>
      <c r="L949" s="138"/>
      <c r="M949" s="138"/>
      <c r="N949" s="11"/>
      <c r="O949" s="163"/>
      <c r="P949" s="139">
        <v>9700.0</v>
      </c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18"/>
      <c r="C950" s="11" t="s">
        <v>3411</v>
      </c>
      <c r="D950" s="11" t="s">
        <v>1586</v>
      </c>
      <c r="E950" s="32" t="s">
        <v>3412</v>
      </c>
      <c r="F950" s="11"/>
      <c r="G950" s="11" t="s">
        <v>1582</v>
      </c>
      <c r="H950" s="11" t="s">
        <v>3382</v>
      </c>
      <c r="I950" s="11">
        <v>180.0</v>
      </c>
      <c r="J950" s="138" t="s">
        <v>1589</v>
      </c>
      <c r="K950" s="138"/>
      <c r="L950" s="138"/>
      <c r="M950" s="138"/>
      <c r="N950" s="11"/>
      <c r="O950" s="163"/>
      <c r="P950" s="139">
        <v>4900.0</v>
      </c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18"/>
      <c r="C951" s="11" t="s">
        <v>3413</v>
      </c>
      <c r="D951" s="11" t="s">
        <v>1586</v>
      </c>
      <c r="E951" s="32" t="s">
        <v>3414</v>
      </c>
      <c r="F951" s="11"/>
      <c r="G951" s="11" t="s">
        <v>1582</v>
      </c>
      <c r="H951" s="11" t="s">
        <v>3382</v>
      </c>
      <c r="I951" s="11">
        <v>180.0</v>
      </c>
      <c r="J951" s="138" t="s">
        <v>1589</v>
      </c>
      <c r="K951" s="138"/>
      <c r="L951" s="138"/>
      <c r="M951" s="138"/>
      <c r="N951" s="11"/>
      <c r="O951" s="163"/>
      <c r="P951" s="139">
        <f>(MIN(P950, P952) / 2) + MAX(P950, P952)</f>
        <v>11450</v>
      </c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18"/>
      <c r="C952" s="11" t="s">
        <v>3415</v>
      </c>
      <c r="D952" s="11" t="s">
        <v>1586</v>
      </c>
      <c r="E952" s="32" t="s">
        <v>3416</v>
      </c>
      <c r="F952" s="11"/>
      <c r="G952" s="11" t="s">
        <v>1582</v>
      </c>
      <c r="H952" s="11" t="s">
        <v>3382</v>
      </c>
      <c r="I952" s="11">
        <v>180.0</v>
      </c>
      <c r="J952" s="138" t="s">
        <v>1589</v>
      </c>
      <c r="K952" s="138"/>
      <c r="L952" s="138"/>
      <c r="M952" s="138"/>
      <c r="N952" s="11"/>
      <c r="O952" s="163"/>
      <c r="P952" s="139">
        <v>9000.0</v>
      </c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18"/>
      <c r="C953" s="11" t="s">
        <v>3417</v>
      </c>
      <c r="D953" s="11" t="s">
        <v>1586</v>
      </c>
      <c r="E953" s="32" t="s">
        <v>3418</v>
      </c>
      <c r="F953" s="11"/>
      <c r="G953" s="11" t="s">
        <v>1582</v>
      </c>
      <c r="H953" s="11" t="s">
        <v>3382</v>
      </c>
      <c r="I953" s="11">
        <v>90.0</v>
      </c>
      <c r="J953" s="138" t="s">
        <v>1589</v>
      </c>
      <c r="K953" s="138"/>
      <c r="L953" s="138"/>
      <c r="M953" s="138"/>
      <c r="N953" s="11"/>
      <c r="O953" s="163"/>
      <c r="P953" s="139">
        <v>8500.0</v>
      </c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18"/>
      <c r="C954" s="11" t="s">
        <v>3419</v>
      </c>
      <c r="D954" s="11" t="s">
        <v>1586</v>
      </c>
      <c r="E954" s="32" t="s">
        <v>3420</v>
      </c>
      <c r="F954" s="11"/>
      <c r="G954" s="11" t="s">
        <v>1582</v>
      </c>
      <c r="H954" s="11" t="s">
        <v>3382</v>
      </c>
      <c r="I954" s="11">
        <v>90.0</v>
      </c>
      <c r="J954" s="138" t="s">
        <v>1589</v>
      </c>
      <c r="K954" s="138"/>
      <c r="L954" s="138"/>
      <c r="M954" s="138"/>
      <c r="N954" s="11"/>
      <c r="O954" s="163"/>
      <c r="P954" s="139">
        <v>6600.0</v>
      </c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2"/>
      <c r="B955" s="18"/>
      <c r="C955" s="11" t="s">
        <v>3421</v>
      </c>
      <c r="D955" s="11" t="s">
        <v>1586</v>
      </c>
      <c r="E955" s="32" t="s">
        <v>3422</v>
      </c>
      <c r="F955" s="11"/>
      <c r="G955" s="11" t="s">
        <v>1582</v>
      </c>
      <c r="H955" s="11" t="s">
        <v>3382</v>
      </c>
      <c r="I955" s="11">
        <v>90.0</v>
      </c>
      <c r="J955" s="138" t="s">
        <v>1589</v>
      </c>
      <c r="K955" s="138"/>
      <c r="L955" s="138"/>
      <c r="M955" s="138"/>
      <c r="N955" s="11"/>
      <c r="O955" s="163"/>
      <c r="P955" s="139">
        <v>6600.0</v>
      </c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2"/>
      <c r="B956" s="18"/>
      <c r="C956" s="11" t="s">
        <v>3423</v>
      </c>
      <c r="D956" s="11" t="s">
        <v>1586</v>
      </c>
      <c r="E956" s="32" t="s">
        <v>3424</v>
      </c>
      <c r="F956" s="11"/>
      <c r="G956" s="11" t="s">
        <v>1582</v>
      </c>
      <c r="H956" s="11" t="s">
        <v>3382</v>
      </c>
      <c r="I956" s="11">
        <v>90.0</v>
      </c>
      <c r="J956" s="138" t="s">
        <v>1589</v>
      </c>
      <c r="K956" s="138"/>
      <c r="L956" s="138"/>
      <c r="M956" s="138"/>
      <c r="N956" s="11"/>
      <c r="O956" s="163"/>
      <c r="P956" s="139">
        <v>7200.0</v>
      </c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2"/>
      <c r="B957" s="18"/>
      <c r="C957" s="11" t="s">
        <v>3425</v>
      </c>
      <c r="D957" s="11" t="s">
        <v>1586</v>
      </c>
      <c r="E957" s="32" t="s">
        <v>3426</v>
      </c>
      <c r="F957" s="11"/>
      <c r="G957" s="11" t="s">
        <v>1582</v>
      </c>
      <c r="H957" s="11" t="s">
        <v>3382</v>
      </c>
      <c r="I957" s="11">
        <v>90.0</v>
      </c>
      <c r="J957" s="138" t="s">
        <v>1589</v>
      </c>
      <c r="K957" s="138"/>
      <c r="L957" s="138"/>
      <c r="M957" s="138"/>
      <c r="N957" s="11"/>
      <c r="O957" s="163"/>
      <c r="P957" s="139">
        <v>7700.0</v>
      </c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2"/>
      <c r="B958" s="18"/>
      <c r="C958" s="11" t="s">
        <v>3427</v>
      </c>
      <c r="D958" s="11" t="s">
        <v>1586</v>
      </c>
      <c r="E958" s="32" t="s">
        <v>3428</v>
      </c>
      <c r="F958" s="11"/>
      <c r="G958" s="11" t="s">
        <v>1582</v>
      </c>
      <c r="H958" s="11" t="s">
        <v>3382</v>
      </c>
      <c r="I958" s="11">
        <v>90.0</v>
      </c>
      <c r="J958" s="138" t="s">
        <v>1589</v>
      </c>
      <c r="K958" s="138"/>
      <c r="L958" s="138"/>
      <c r="M958" s="138"/>
      <c r="N958" s="11"/>
      <c r="O958" s="163"/>
      <c r="P958" s="139">
        <v>11500.0</v>
      </c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18"/>
      <c r="C959" s="11" t="s">
        <v>3429</v>
      </c>
      <c r="D959" s="11" t="s">
        <v>1586</v>
      </c>
      <c r="E959" s="32" t="s">
        <v>3430</v>
      </c>
      <c r="F959" s="11"/>
      <c r="G959" s="11" t="s">
        <v>1582</v>
      </c>
      <c r="H959" s="11" t="s">
        <v>3382</v>
      </c>
      <c r="I959" s="11">
        <v>90.0</v>
      </c>
      <c r="J959" s="138" t="s">
        <v>1589</v>
      </c>
      <c r="K959" s="138"/>
      <c r="L959" s="138"/>
      <c r="M959" s="138"/>
      <c r="N959" s="11"/>
      <c r="O959" s="163"/>
      <c r="P959" s="139">
        <v>9000.0</v>
      </c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2"/>
      <c r="B960" s="18"/>
      <c r="C960" s="11" t="s">
        <v>3431</v>
      </c>
      <c r="D960" s="11" t="s">
        <v>1586</v>
      </c>
      <c r="E960" s="32" t="s">
        <v>3432</v>
      </c>
      <c r="F960" s="11"/>
      <c r="G960" s="11" t="s">
        <v>1582</v>
      </c>
      <c r="H960" s="11" t="s">
        <v>3382</v>
      </c>
      <c r="I960" s="11">
        <v>90.0</v>
      </c>
      <c r="J960" s="138" t="s">
        <v>1589</v>
      </c>
      <c r="K960" s="138"/>
      <c r="L960" s="138"/>
      <c r="M960" s="138"/>
      <c r="N960" s="11"/>
      <c r="O960" s="163"/>
      <c r="P960" s="139">
        <v>7700.0</v>
      </c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2"/>
      <c r="B961" s="35"/>
      <c r="C961" s="36" t="s">
        <v>3433</v>
      </c>
      <c r="D961" s="36" t="s">
        <v>1586</v>
      </c>
      <c r="E961" s="158" t="s">
        <v>3434</v>
      </c>
      <c r="F961" s="36"/>
      <c r="G961" s="36" t="s">
        <v>1582</v>
      </c>
      <c r="H961" s="36" t="s">
        <v>3382</v>
      </c>
      <c r="I961" s="36">
        <v>90.0</v>
      </c>
      <c r="J961" s="141" t="s">
        <v>1589</v>
      </c>
      <c r="K961" s="141"/>
      <c r="L961" s="141"/>
      <c r="M961" s="141"/>
      <c r="N961" s="36"/>
      <c r="O961" s="164"/>
      <c r="P961" s="142">
        <v>8200.0</v>
      </c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2"/>
      <c r="B962" s="147" t="s">
        <v>332</v>
      </c>
      <c r="C962" s="42" t="s">
        <v>3435</v>
      </c>
      <c r="D962" s="42" t="s">
        <v>1586</v>
      </c>
      <c r="E962" s="165" t="s">
        <v>3436</v>
      </c>
      <c r="F962" s="42"/>
      <c r="G962" s="42" t="s">
        <v>1582</v>
      </c>
      <c r="H962" s="42" t="s">
        <v>3437</v>
      </c>
      <c r="I962" s="42">
        <v>0.0</v>
      </c>
      <c r="J962" s="149" t="s">
        <v>1589</v>
      </c>
      <c r="K962" s="149"/>
      <c r="L962" s="149"/>
      <c r="M962" s="149"/>
      <c r="N962" s="42"/>
      <c r="O962" s="162"/>
      <c r="P962" s="136">
        <v>1.0</v>
      </c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18"/>
      <c r="C963" s="11" t="s">
        <v>3438</v>
      </c>
      <c r="D963" s="11" t="s">
        <v>1586</v>
      </c>
      <c r="E963" s="32" t="s">
        <v>3439</v>
      </c>
      <c r="F963" s="11"/>
      <c r="G963" s="11" t="s">
        <v>1582</v>
      </c>
      <c r="H963" s="11" t="s">
        <v>3437</v>
      </c>
      <c r="I963" s="11">
        <v>0.0</v>
      </c>
      <c r="J963" s="138" t="s">
        <v>1589</v>
      </c>
      <c r="K963" s="138"/>
      <c r="L963" s="138"/>
      <c r="M963" s="138"/>
      <c r="N963" s="11">
        <v>30.0</v>
      </c>
      <c r="O963" s="163" t="s">
        <v>1554</v>
      </c>
      <c r="P963" s="139">
        <v>1450.0</v>
      </c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2"/>
      <c r="B964" s="18"/>
      <c r="C964" s="11" t="s">
        <v>3440</v>
      </c>
      <c r="D964" s="11" t="s">
        <v>1586</v>
      </c>
      <c r="E964" s="32" t="s">
        <v>3441</v>
      </c>
      <c r="F964" s="11"/>
      <c r="G964" s="11" t="s">
        <v>1582</v>
      </c>
      <c r="H964" s="11" t="s">
        <v>3437</v>
      </c>
      <c r="I964" s="11">
        <v>0.0</v>
      </c>
      <c r="J964" s="138" t="s">
        <v>1589</v>
      </c>
      <c r="K964" s="138"/>
      <c r="L964" s="138"/>
      <c r="M964" s="138"/>
      <c r="N964" s="11">
        <v>30.0</v>
      </c>
      <c r="O964" s="163" t="s">
        <v>1554</v>
      </c>
      <c r="P964" s="139">
        <v>1450.0</v>
      </c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2"/>
      <c r="B965" s="18"/>
      <c r="C965" s="11" t="s">
        <v>3442</v>
      </c>
      <c r="D965" s="11" t="s">
        <v>1586</v>
      </c>
      <c r="E965" s="32" t="s">
        <v>3443</v>
      </c>
      <c r="F965" s="11"/>
      <c r="G965" s="11" t="s">
        <v>1582</v>
      </c>
      <c r="H965" s="11" t="s">
        <v>3437</v>
      </c>
      <c r="I965" s="11">
        <v>0.0</v>
      </c>
      <c r="J965" s="138" t="s">
        <v>1589</v>
      </c>
      <c r="K965" s="138"/>
      <c r="L965" s="138"/>
      <c r="M965" s="138"/>
      <c r="N965" s="11"/>
      <c r="O965" s="163"/>
      <c r="P965" s="139">
        <v>700.0</v>
      </c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2"/>
      <c r="B966" s="18"/>
      <c r="C966" s="11" t="s">
        <v>3444</v>
      </c>
      <c r="D966" s="11" t="s">
        <v>1586</v>
      </c>
      <c r="E966" s="32" t="s">
        <v>3445</v>
      </c>
      <c r="F966" s="11"/>
      <c r="G966" s="11" t="s">
        <v>1582</v>
      </c>
      <c r="H966" s="11" t="s">
        <v>3437</v>
      </c>
      <c r="I966" s="11">
        <v>0.0</v>
      </c>
      <c r="J966" s="138" t="s">
        <v>1589</v>
      </c>
      <c r="K966" s="138"/>
      <c r="L966" s="138"/>
      <c r="M966" s="138"/>
      <c r="N966" s="11"/>
      <c r="O966" s="163"/>
      <c r="P966" s="139">
        <v>6700.0</v>
      </c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18"/>
      <c r="C967" s="11" t="s">
        <v>3446</v>
      </c>
      <c r="D967" s="11" t="s">
        <v>1586</v>
      </c>
      <c r="E967" s="32" t="s">
        <v>3447</v>
      </c>
      <c r="F967" s="11"/>
      <c r="G967" s="11" t="s">
        <v>1582</v>
      </c>
      <c r="H967" s="11" t="s">
        <v>3437</v>
      </c>
      <c r="I967" s="11">
        <v>180.0</v>
      </c>
      <c r="J967" s="138" t="s">
        <v>1589</v>
      </c>
      <c r="K967" s="138"/>
      <c r="L967" s="138"/>
      <c r="M967" s="138"/>
      <c r="N967" s="11"/>
      <c r="O967" s="163"/>
      <c r="P967" s="139">
        <v>7800.0</v>
      </c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18"/>
      <c r="C968" s="11" t="s">
        <v>3448</v>
      </c>
      <c r="D968" s="11" t="s">
        <v>1586</v>
      </c>
      <c r="E968" s="32" t="s">
        <v>3449</v>
      </c>
      <c r="F968" s="11"/>
      <c r="G968" s="11" t="s">
        <v>1582</v>
      </c>
      <c r="H968" s="11" t="s">
        <v>3437</v>
      </c>
      <c r="I968" s="11">
        <v>180.0</v>
      </c>
      <c r="J968" s="138" t="s">
        <v>1589</v>
      </c>
      <c r="K968" s="138"/>
      <c r="L968" s="138"/>
      <c r="M968" s="138"/>
      <c r="N968" s="11"/>
      <c r="O968" s="163"/>
      <c r="P968" s="139">
        <v>0.0</v>
      </c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2"/>
      <c r="B969" s="18"/>
      <c r="C969" s="11" t="s">
        <v>3450</v>
      </c>
      <c r="D969" s="11" t="s">
        <v>1586</v>
      </c>
      <c r="E969" s="32" t="s">
        <v>3451</v>
      </c>
      <c r="F969" s="11"/>
      <c r="G969" s="11" t="s">
        <v>1582</v>
      </c>
      <c r="H969" s="11" t="s">
        <v>3437</v>
      </c>
      <c r="I969" s="11">
        <v>90.0</v>
      </c>
      <c r="J969" s="138" t="s">
        <v>1589</v>
      </c>
      <c r="K969" s="138"/>
      <c r="L969" s="138"/>
      <c r="M969" s="138"/>
      <c r="N969" s="11"/>
      <c r="O969" s="163"/>
      <c r="P969" s="139">
        <v>7500.0</v>
      </c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2"/>
      <c r="B970" s="18"/>
      <c r="C970" s="11" t="s">
        <v>3452</v>
      </c>
      <c r="D970" s="11" t="s">
        <v>1586</v>
      </c>
      <c r="E970" s="32" t="s">
        <v>3453</v>
      </c>
      <c r="F970" s="11"/>
      <c r="G970" s="11" t="s">
        <v>1582</v>
      </c>
      <c r="H970" s="11" t="s">
        <v>3437</v>
      </c>
      <c r="I970" s="11">
        <v>90.0</v>
      </c>
      <c r="J970" s="138" t="s">
        <v>1589</v>
      </c>
      <c r="K970" s="138"/>
      <c r="L970" s="138"/>
      <c r="M970" s="138"/>
      <c r="N970" s="11"/>
      <c r="O970" s="163"/>
      <c r="P970" s="139">
        <v>7000.0</v>
      </c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18"/>
      <c r="C971" s="11" t="s">
        <v>3454</v>
      </c>
      <c r="D971" s="11" t="s">
        <v>1586</v>
      </c>
      <c r="E971" s="32" t="s">
        <v>3455</v>
      </c>
      <c r="F971" s="11"/>
      <c r="G971" s="11" t="s">
        <v>1582</v>
      </c>
      <c r="H971" s="11" t="s">
        <v>3437</v>
      </c>
      <c r="I971" s="11">
        <v>90.0</v>
      </c>
      <c r="J971" s="138" t="s">
        <v>1589</v>
      </c>
      <c r="K971" s="138"/>
      <c r="L971" s="138"/>
      <c r="M971" s="138"/>
      <c r="N971" s="11"/>
      <c r="O971" s="163"/>
      <c r="P971" s="139">
        <v>6300.0</v>
      </c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18"/>
      <c r="C972" s="11" t="s">
        <v>3456</v>
      </c>
      <c r="D972" s="11" t="s">
        <v>1586</v>
      </c>
      <c r="E972" s="32" t="s">
        <v>3457</v>
      </c>
      <c r="F972" s="11"/>
      <c r="G972" s="11" t="s">
        <v>1582</v>
      </c>
      <c r="H972" s="11" t="s">
        <v>3437</v>
      </c>
      <c r="I972" s="11">
        <v>90.0</v>
      </c>
      <c r="J972" s="138" t="s">
        <v>1589</v>
      </c>
      <c r="K972" s="138"/>
      <c r="L972" s="138"/>
      <c r="M972" s="138"/>
      <c r="N972" s="11">
        <v>20.0</v>
      </c>
      <c r="O972" s="163" t="s">
        <v>1554</v>
      </c>
      <c r="P972" s="139">
        <v>20000.0</v>
      </c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2"/>
      <c r="B973" s="18"/>
      <c r="C973" s="11" t="s">
        <v>3458</v>
      </c>
      <c r="D973" s="11" t="s">
        <v>1586</v>
      </c>
      <c r="E973" s="32" t="s">
        <v>3459</v>
      </c>
      <c r="F973" s="11"/>
      <c r="G973" s="11" t="s">
        <v>1582</v>
      </c>
      <c r="H973" s="11" t="s">
        <v>3437</v>
      </c>
      <c r="I973" s="11">
        <v>90.0</v>
      </c>
      <c r="J973" s="138" t="s">
        <v>1589</v>
      </c>
      <c r="K973" s="138"/>
      <c r="L973" s="138"/>
      <c r="M973" s="138"/>
      <c r="N973" s="11"/>
      <c r="O973" s="163"/>
      <c r="P973" s="139">
        <v>7000.0</v>
      </c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18"/>
      <c r="C974" s="11" t="s">
        <v>3460</v>
      </c>
      <c r="D974" s="11" t="s">
        <v>1586</v>
      </c>
      <c r="E974" s="32" t="s">
        <v>3461</v>
      </c>
      <c r="F974" s="11"/>
      <c r="G974" s="11" t="s">
        <v>1582</v>
      </c>
      <c r="H974" s="11" t="s">
        <v>3437</v>
      </c>
      <c r="I974" s="11">
        <v>90.0</v>
      </c>
      <c r="J974" s="138" t="s">
        <v>1589</v>
      </c>
      <c r="K974" s="138"/>
      <c r="L974" s="138"/>
      <c r="M974" s="138"/>
      <c r="N974" s="11"/>
      <c r="O974" s="163"/>
      <c r="P974" s="139">
        <v>7600.0</v>
      </c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2"/>
      <c r="B975" s="18"/>
      <c r="C975" s="11" t="s">
        <v>3462</v>
      </c>
      <c r="D975" s="11" t="s">
        <v>1586</v>
      </c>
      <c r="E975" s="32" t="s">
        <v>3463</v>
      </c>
      <c r="F975" s="11"/>
      <c r="G975" s="11" t="s">
        <v>1582</v>
      </c>
      <c r="H975" s="11" t="s">
        <v>3437</v>
      </c>
      <c r="I975" s="11">
        <v>180.0</v>
      </c>
      <c r="J975" s="138" t="s">
        <v>1589</v>
      </c>
      <c r="K975" s="138"/>
      <c r="L975" s="138"/>
      <c r="M975" s="138"/>
      <c r="N975" s="11">
        <v>50.0</v>
      </c>
      <c r="O975" s="163" t="s">
        <v>1554</v>
      </c>
      <c r="P975" s="139">
        <v>4300.0</v>
      </c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2"/>
      <c r="B976" s="18"/>
      <c r="C976" s="11" t="s">
        <v>3464</v>
      </c>
      <c r="D976" s="11" t="s">
        <v>1586</v>
      </c>
      <c r="E976" s="32" t="s">
        <v>3465</v>
      </c>
      <c r="F976" s="11"/>
      <c r="G976" s="11" t="s">
        <v>1582</v>
      </c>
      <c r="H976" s="11" t="s">
        <v>3437</v>
      </c>
      <c r="I976" s="11">
        <v>90.0</v>
      </c>
      <c r="J976" s="138" t="s">
        <v>1589</v>
      </c>
      <c r="K976" s="138"/>
      <c r="L976" s="138"/>
      <c r="M976" s="138"/>
      <c r="N976" s="11"/>
      <c r="O976" s="163"/>
      <c r="P976" s="139">
        <v>9700.0</v>
      </c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18"/>
      <c r="C977" s="11" t="s">
        <v>3466</v>
      </c>
      <c r="D977" s="11" t="s">
        <v>1586</v>
      </c>
      <c r="E977" s="32" t="s">
        <v>3467</v>
      </c>
      <c r="F977" s="11"/>
      <c r="G977" s="11" t="s">
        <v>1582</v>
      </c>
      <c r="H977" s="11" t="s">
        <v>3437</v>
      </c>
      <c r="I977" s="11">
        <v>180.0</v>
      </c>
      <c r="J977" s="138" t="s">
        <v>1589</v>
      </c>
      <c r="K977" s="138"/>
      <c r="L977" s="138"/>
      <c r="M977" s="138"/>
      <c r="N977" s="11"/>
      <c r="O977" s="163"/>
      <c r="P977" s="139">
        <v>4900.0</v>
      </c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2"/>
      <c r="B978" s="18"/>
      <c r="C978" s="11" t="s">
        <v>3468</v>
      </c>
      <c r="D978" s="11" t="s">
        <v>1586</v>
      </c>
      <c r="E978" s="32" t="s">
        <v>3469</v>
      </c>
      <c r="F978" s="11"/>
      <c r="G978" s="11" t="s">
        <v>1582</v>
      </c>
      <c r="H978" s="11" t="s">
        <v>3437</v>
      </c>
      <c r="I978" s="11">
        <v>180.0</v>
      </c>
      <c r="J978" s="138" t="s">
        <v>1589</v>
      </c>
      <c r="K978" s="138"/>
      <c r="L978" s="138"/>
      <c r="M978" s="138"/>
      <c r="N978" s="11"/>
      <c r="O978" s="163"/>
      <c r="P978" s="139">
        <f>(MIN(P977, P979) / 2) + MAX(P977, P979)</f>
        <v>11450</v>
      </c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2"/>
      <c r="B979" s="18"/>
      <c r="C979" s="11" t="s">
        <v>3470</v>
      </c>
      <c r="D979" s="11" t="s">
        <v>1586</v>
      </c>
      <c r="E979" s="32" t="s">
        <v>3471</v>
      </c>
      <c r="F979" s="11"/>
      <c r="G979" s="11" t="s">
        <v>1582</v>
      </c>
      <c r="H979" s="11" t="s">
        <v>3437</v>
      </c>
      <c r="I979" s="11">
        <v>180.0</v>
      </c>
      <c r="J979" s="138" t="s">
        <v>1589</v>
      </c>
      <c r="K979" s="138"/>
      <c r="L979" s="138"/>
      <c r="M979" s="138"/>
      <c r="N979" s="11"/>
      <c r="O979" s="163"/>
      <c r="P979" s="139">
        <v>9000.0</v>
      </c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2"/>
      <c r="B980" s="18"/>
      <c r="C980" s="11" t="s">
        <v>3472</v>
      </c>
      <c r="D980" s="11" t="s">
        <v>1586</v>
      </c>
      <c r="E980" s="32" t="s">
        <v>3473</v>
      </c>
      <c r="F980" s="11"/>
      <c r="G980" s="11" t="s">
        <v>1582</v>
      </c>
      <c r="H980" s="11" t="s">
        <v>3437</v>
      </c>
      <c r="I980" s="11">
        <v>90.0</v>
      </c>
      <c r="J980" s="138" t="s">
        <v>1589</v>
      </c>
      <c r="K980" s="138"/>
      <c r="L980" s="138"/>
      <c r="M980" s="138"/>
      <c r="N980" s="11"/>
      <c r="O980" s="163"/>
      <c r="P980" s="139">
        <v>8500.0</v>
      </c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2"/>
      <c r="B981" s="18"/>
      <c r="C981" s="11" t="s">
        <v>3474</v>
      </c>
      <c r="D981" s="11" t="s">
        <v>1586</v>
      </c>
      <c r="E981" s="32" t="s">
        <v>3475</v>
      </c>
      <c r="F981" s="11"/>
      <c r="G981" s="11" t="s">
        <v>1582</v>
      </c>
      <c r="H981" s="11" t="s">
        <v>3437</v>
      </c>
      <c r="I981" s="11">
        <v>90.0</v>
      </c>
      <c r="J981" s="138" t="s">
        <v>1589</v>
      </c>
      <c r="K981" s="138"/>
      <c r="L981" s="138"/>
      <c r="M981" s="138"/>
      <c r="N981" s="11"/>
      <c r="O981" s="163"/>
      <c r="P981" s="139">
        <v>6600.0</v>
      </c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2"/>
      <c r="B982" s="18"/>
      <c r="C982" s="11" t="s">
        <v>3476</v>
      </c>
      <c r="D982" s="11" t="s">
        <v>1586</v>
      </c>
      <c r="E982" s="32" t="s">
        <v>3477</v>
      </c>
      <c r="F982" s="11"/>
      <c r="G982" s="11" t="s">
        <v>1582</v>
      </c>
      <c r="H982" s="11" t="s">
        <v>3437</v>
      </c>
      <c r="I982" s="11">
        <v>90.0</v>
      </c>
      <c r="J982" s="138" t="s">
        <v>1589</v>
      </c>
      <c r="K982" s="138"/>
      <c r="L982" s="138"/>
      <c r="M982" s="138"/>
      <c r="N982" s="11"/>
      <c r="O982" s="163"/>
      <c r="P982" s="139">
        <v>6600.0</v>
      </c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18"/>
      <c r="C983" s="11" t="s">
        <v>3478</v>
      </c>
      <c r="D983" s="11" t="s">
        <v>1586</v>
      </c>
      <c r="E983" s="32" t="s">
        <v>3479</v>
      </c>
      <c r="F983" s="11"/>
      <c r="G983" s="11" t="s">
        <v>1582</v>
      </c>
      <c r="H983" s="11" t="s">
        <v>3437</v>
      </c>
      <c r="I983" s="11">
        <v>90.0</v>
      </c>
      <c r="J983" s="138" t="s">
        <v>1589</v>
      </c>
      <c r="K983" s="138"/>
      <c r="L983" s="138"/>
      <c r="M983" s="138"/>
      <c r="N983" s="11"/>
      <c r="O983" s="163"/>
      <c r="P983" s="139">
        <v>7200.0</v>
      </c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2"/>
      <c r="B984" s="18"/>
      <c r="C984" s="11" t="s">
        <v>3480</v>
      </c>
      <c r="D984" s="11" t="s">
        <v>1586</v>
      </c>
      <c r="E984" s="32" t="s">
        <v>3481</v>
      </c>
      <c r="F984" s="11"/>
      <c r="G984" s="11" t="s">
        <v>1582</v>
      </c>
      <c r="H984" s="11" t="s">
        <v>3437</v>
      </c>
      <c r="I984" s="11">
        <v>90.0</v>
      </c>
      <c r="J984" s="138" t="s">
        <v>1589</v>
      </c>
      <c r="K984" s="138"/>
      <c r="L984" s="138"/>
      <c r="M984" s="138"/>
      <c r="N984" s="11"/>
      <c r="O984" s="163"/>
      <c r="P984" s="139">
        <v>7700.0</v>
      </c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2"/>
      <c r="B985" s="18"/>
      <c r="C985" s="11" t="s">
        <v>3482</v>
      </c>
      <c r="D985" s="11" t="s">
        <v>1586</v>
      </c>
      <c r="E985" s="32" t="s">
        <v>3483</v>
      </c>
      <c r="F985" s="11"/>
      <c r="G985" s="11" t="s">
        <v>1582</v>
      </c>
      <c r="H985" s="11" t="s">
        <v>3437</v>
      </c>
      <c r="I985" s="11">
        <v>90.0</v>
      </c>
      <c r="J985" s="138" t="s">
        <v>1589</v>
      </c>
      <c r="K985" s="138"/>
      <c r="L985" s="138"/>
      <c r="M985" s="138"/>
      <c r="N985" s="11"/>
      <c r="O985" s="163"/>
      <c r="P985" s="139">
        <v>11500.0</v>
      </c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2"/>
      <c r="B986" s="18"/>
      <c r="C986" s="11" t="s">
        <v>3484</v>
      </c>
      <c r="D986" s="11" t="s">
        <v>1586</v>
      </c>
      <c r="E986" s="32" t="s">
        <v>3485</v>
      </c>
      <c r="F986" s="11"/>
      <c r="G986" s="11" t="s">
        <v>1582</v>
      </c>
      <c r="H986" s="11" t="s">
        <v>3437</v>
      </c>
      <c r="I986" s="11">
        <v>90.0</v>
      </c>
      <c r="J986" s="138" t="s">
        <v>1589</v>
      </c>
      <c r="K986" s="138"/>
      <c r="L986" s="138"/>
      <c r="M986" s="138"/>
      <c r="N986" s="11"/>
      <c r="O986" s="163"/>
      <c r="P986" s="139">
        <v>9000.0</v>
      </c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2"/>
      <c r="B987" s="18"/>
      <c r="C987" s="11" t="s">
        <v>3486</v>
      </c>
      <c r="D987" s="11" t="s">
        <v>1586</v>
      </c>
      <c r="E987" s="32" t="s">
        <v>3487</v>
      </c>
      <c r="F987" s="11"/>
      <c r="G987" s="11" t="s">
        <v>1582</v>
      </c>
      <c r="H987" s="11" t="s">
        <v>3437</v>
      </c>
      <c r="I987" s="11">
        <v>90.0</v>
      </c>
      <c r="J987" s="138" t="s">
        <v>1589</v>
      </c>
      <c r="K987" s="138"/>
      <c r="L987" s="138"/>
      <c r="M987" s="138"/>
      <c r="N987" s="11"/>
      <c r="O987" s="163"/>
      <c r="P987" s="139">
        <v>7700.0</v>
      </c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35"/>
      <c r="C988" s="36" t="s">
        <v>3488</v>
      </c>
      <c r="D988" s="36" t="s">
        <v>1586</v>
      </c>
      <c r="E988" s="158" t="s">
        <v>3489</v>
      </c>
      <c r="F988" s="36"/>
      <c r="G988" s="36" t="s">
        <v>1582</v>
      </c>
      <c r="H988" s="36" t="s">
        <v>3437</v>
      </c>
      <c r="I988" s="36">
        <v>90.0</v>
      </c>
      <c r="J988" s="141" t="s">
        <v>1589</v>
      </c>
      <c r="K988" s="141"/>
      <c r="L988" s="141"/>
      <c r="M988" s="141"/>
      <c r="N988" s="36"/>
      <c r="O988" s="164"/>
      <c r="P988" s="142">
        <v>8200.0</v>
      </c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2"/>
      <c r="B989" s="147" t="s">
        <v>339</v>
      </c>
      <c r="C989" s="42" t="s">
        <v>3490</v>
      </c>
      <c r="D989" s="42" t="s">
        <v>1586</v>
      </c>
      <c r="E989" s="165" t="s">
        <v>3491</v>
      </c>
      <c r="F989" s="42"/>
      <c r="G989" s="42" t="s">
        <v>1582</v>
      </c>
      <c r="H989" s="42" t="s">
        <v>3492</v>
      </c>
      <c r="I989" s="42">
        <v>0.0</v>
      </c>
      <c r="J989" s="149" t="s">
        <v>1589</v>
      </c>
      <c r="K989" s="149"/>
      <c r="L989" s="149"/>
      <c r="M989" s="149"/>
      <c r="N989" s="42"/>
      <c r="O989" s="162"/>
      <c r="P989" s="136">
        <v>1.0</v>
      </c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2"/>
      <c r="B990" s="18"/>
      <c r="C990" s="11" t="s">
        <v>3493</v>
      </c>
      <c r="D990" s="11" t="s">
        <v>1586</v>
      </c>
      <c r="E990" s="32" t="s">
        <v>3494</v>
      </c>
      <c r="F990" s="11"/>
      <c r="G990" s="11" t="s">
        <v>1582</v>
      </c>
      <c r="H990" s="11" t="s">
        <v>3492</v>
      </c>
      <c r="I990" s="11">
        <v>0.0</v>
      </c>
      <c r="J990" s="138" t="s">
        <v>1589</v>
      </c>
      <c r="K990" s="138"/>
      <c r="L990" s="138"/>
      <c r="M990" s="138"/>
      <c r="N990" s="11">
        <v>30.0</v>
      </c>
      <c r="O990" s="163" t="s">
        <v>1554</v>
      </c>
      <c r="P990" s="139">
        <v>1550.0</v>
      </c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2"/>
      <c r="B991" s="18"/>
      <c r="C991" s="11" t="s">
        <v>3495</v>
      </c>
      <c r="D991" s="11" t="s">
        <v>1586</v>
      </c>
      <c r="E991" s="32" t="s">
        <v>3496</v>
      </c>
      <c r="F991" s="11"/>
      <c r="G991" s="11" t="s">
        <v>1582</v>
      </c>
      <c r="H991" s="11" t="s">
        <v>3492</v>
      </c>
      <c r="I991" s="11">
        <v>0.0</v>
      </c>
      <c r="J991" s="138" t="s">
        <v>1589</v>
      </c>
      <c r="K991" s="138"/>
      <c r="L991" s="138"/>
      <c r="M991" s="138"/>
      <c r="N991" s="11">
        <v>30.0</v>
      </c>
      <c r="O991" s="163" t="s">
        <v>1554</v>
      </c>
      <c r="P991" s="139">
        <v>1550.0</v>
      </c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2"/>
      <c r="B992" s="18"/>
      <c r="C992" s="11" t="s">
        <v>3497</v>
      </c>
      <c r="D992" s="11" t="s">
        <v>1586</v>
      </c>
      <c r="E992" s="32" t="s">
        <v>3498</v>
      </c>
      <c r="F992" s="11"/>
      <c r="G992" s="11" t="s">
        <v>1582</v>
      </c>
      <c r="H992" s="11" t="s">
        <v>3492</v>
      </c>
      <c r="I992" s="11">
        <v>0.0</v>
      </c>
      <c r="J992" s="138" t="s">
        <v>1589</v>
      </c>
      <c r="K992" s="138"/>
      <c r="L992" s="138"/>
      <c r="M992" s="138"/>
      <c r="N992" s="11"/>
      <c r="O992" s="163"/>
      <c r="P992" s="139">
        <v>700.0</v>
      </c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2"/>
      <c r="B993" s="18"/>
      <c r="C993" s="11" t="s">
        <v>3499</v>
      </c>
      <c r="D993" s="11" t="s">
        <v>1586</v>
      </c>
      <c r="E993" s="32" t="s">
        <v>3500</v>
      </c>
      <c r="F993" s="11"/>
      <c r="G993" s="11" t="s">
        <v>1582</v>
      </c>
      <c r="H993" s="11" t="s">
        <v>3492</v>
      </c>
      <c r="I993" s="11">
        <v>0.0</v>
      </c>
      <c r="J993" s="138" t="s">
        <v>1589</v>
      </c>
      <c r="K993" s="138"/>
      <c r="L993" s="138"/>
      <c r="M993" s="138"/>
      <c r="N993" s="11"/>
      <c r="O993" s="163"/>
      <c r="P993" s="139">
        <v>7200.0</v>
      </c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2"/>
      <c r="B994" s="18"/>
      <c r="C994" s="11" t="s">
        <v>3501</v>
      </c>
      <c r="D994" s="11" t="s">
        <v>1586</v>
      </c>
      <c r="E994" s="32" t="s">
        <v>3502</v>
      </c>
      <c r="F994" s="11"/>
      <c r="G994" s="11" t="s">
        <v>1582</v>
      </c>
      <c r="H994" s="11" t="s">
        <v>3492</v>
      </c>
      <c r="I994" s="11">
        <v>180.0</v>
      </c>
      <c r="J994" s="138" t="s">
        <v>1589</v>
      </c>
      <c r="K994" s="138"/>
      <c r="L994" s="138"/>
      <c r="M994" s="138"/>
      <c r="N994" s="11"/>
      <c r="O994" s="163"/>
      <c r="P994" s="139">
        <v>8100.0</v>
      </c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18"/>
      <c r="C995" s="11" t="s">
        <v>3503</v>
      </c>
      <c r="D995" s="11" t="s">
        <v>1586</v>
      </c>
      <c r="E995" s="32" t="s">
        <v>3504</v>
      </c>
      <c r="F995" s="11"/>
      <c r="G995" s="11" t="s">
        <v>1582</v>
      </c>
      <c r="H995" s="11" t="s">
        <v>3492</v>
      </c>
      <c r="I995" s="11">
        <v>180.0</v>
      </c>
      <c r="J995" s="138" t="s">
        <v>1589</v>
      </c>
      <c r="K995" s="138"/>
      <c r="L995" s="138"/>
      <c r="M995" s="138"/>
      <c r="N995" s="11"/>
      <c r="O995" s="163"/>
      <c r="P995" s="139">
        <v>0.0</v>
      </c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2"/>
      <c r="B996" s="18"/>
      <c r="C996" s="11" t="s">
        <v>3505</v>
      </c>
      <c r="D996" s="11" t="s">
        <v>1586</v>
      </c>
      <c r="E996" s="32" t="s">
        <v>3506</v>
      </c>
      <c r="F996" s="11"/>
      <c r="G996" s="11" t="s">
        <v>1582</v>
      </c>
      <c r="H996" s="11" t="s">
        <v>3492</v>
      </c>
      <c r="I996" s="11">
        <v>90.0</v>
      </c>
      <c r="J996" s="138" t="s">
        <v>1589</v>
      </c>
      <c r="K996" s="138"/>
      <c r="L996" s="138"/>
      <c r="M996" s="138"/>
      <c r="N996" s="11"/>
      <c r="O996" s="163"/>
      <c r="P996" s="139">
        <v>8000.0</v>
      </c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2"/>
      <c r="B997" s="18"/>
      <c r="C997" s="11" t="s">
        <v>3507</v>
      </c>
      <c r="D997" s="11" t="s">
        <v>1586</v>
      </c>
      <c r="E997" s="32" t="s">
        <v>3508</v>
      </c>
      <c r="F997" s="11"/>
      <c r="G997" s="11" t="s">
        <v>1582</v>
      </c>
      <c r="H997" s="11" t="s">
        <v>3492</v>
      </c>
      <c r="I997" s="11">
        <v>90.0</v>
      </c>
      <c r="J997" s="138" t="s">
        <v>1589</v>
      </c>
      <c r="K997" s="138"/>
      <c r="L997" s="138"/>
      <c r="M997" s="138"/>
      <c r="N997" s="11"/>
      <c r="O997" s="163"/>
      <c r="P997" s="139">
        <v>7300.0</v>
      </c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2"/>
      <c r="B998" s="18"/>
      <c r="C998" s="11" t="s">
        <v>3509</v>
      </c>
      <c r="D998" s="11" t="s">
        <v>1586</v>
      </c>
      <c r="E998" s="32" t="s">
        <v>3510</v>
      </c>
      <c r="F998" s="11"/>
      <c r="G998" s="11" t="s">
        <v>1582</v>
      </c>
      <c r="H998" s="11" t="s">
        <v>3492</v>
      </c>
      <c r="I998" s="11">
        <v>90.0</v>
      </c>
      <c r="J998" s="138" t="s">
        <v>1589</v>
      </c>
      <c r="K998" s="138"/>
      <c r="L998" s="138"/>
      <c r="M998" s="138"/>
      <c r="N998" s="11"/>
      <c r="O998" s="163"/>
      <c r="P998" s="139">
        <v>6300.0</v>
      </c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2"/>
      <c r="B999" s="18"/>
      <c r="C999" s="11" t="s">
        <v>3511</v>
      </c>
      <c r="D999" s="11" t="s">
        <v>1586</v>
      </c>
      <c r="E999" s="32" t="s">
        <v>3512</v>
      </c>
      <c r="F999" s="11"/>
      <c r="G999" s="11" t="s">
        <v>1582</v>
      </c>
      <c r="H999" s="11" t="s">
        <v>3492</v>
      </c>
      <c r="I999" s="11">
        <v>90.0</v>
      </c>
      <c r="J999" s="138" t="s">
        <v>1589</v>
      </c>
      <c r="K999" s="138"/>
      <c r="L999" s="138"/>
      <c r="M999" s="138"/>
      <c r="N999" s="11">
        <v>20.0</v>
      </c>
      <c r="O999" s="163" t="s">
        <v>1554</v>
      </c>
      <c r="P999" s="139">
        <v>25000.0</v>
      </c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2"/>
      <c r="B1000" s="18"/>
      <c r="C1000" s="11" t="s">
        <v>3513</v>
      </c>
      <c r="D1000" s="11" t="s">
        <v>1586</v>
      </c>
      <c r="E1000" s="32" t="s">
        <v>3514</v>
      </c>
      <c r="F1000" s="11"/>
      <c r="G1000" s="11" t="s">
        <v>1582</v>
      </c>
      <c r="H1000" s="11" t="s">
        <v>3492</v>
      </c>
      <c r="I1000" s="11">
        <v>90.0</v>
      </c>
      <c r="J1000" s="138" t="s">
        <v>1589</v>
      </c>
      <c r="K1000" s="138"/>
      <c r="L1000" s="138"/>
      <c r="M1000" s="138"/>
      <c r="N1000" s="11"/>
      <c r="O1000" s="163"/>
      <c r="P1000" s="139">
        <v>7300.0</v>
      </c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>
      <c r="A1001" s="2"/>
      <c r="B1001" s="18"/>
      <c r="C1001" s="11" t="s">
        <v>3515</v>
      </c>
      <c r="D1001" s="11" t="s">
        <v>1586</v>
      </c>
      <c r="E1001" s="32" t="s">
        <v>3516</v>
      </c>
      <c r="F1001" s="11"/>
      <c r="G1001" s="11" t="s">
        <v>1582</v>
      </c>
      <c r="H1001" s="11" t="s">
        <v>3492</v>
      </c>
      <c r="I1001" s="11">
        <v>90.0</v>
      </c>
      <c r="J1001" s="138" t="s">
        <v>1589</v>
      </c>
      <c r="K1001" s="138"/>
      <c r="L1001" s="138"/>
      <c r="M1001" s="138"/>
      <c r="N1001" s="11"/>
      <c r="O1001" s="163"/>
      <c r="P1001" s="139">
        <v>7900.0</v>
      </c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>
      <c r="A1002" s="2"/>
      <c r="B1002" s="18"/>
      <c r="C1002" s="11" t="s">
        <v>3517</v>
      </c>
      <c r="D1002" s="11" t="s">
        <v>1586</v>
      </c>
      <c r="E1002" s="32" t="s">
        <v>3518</v>
      </c>
      <c r="F1002" s="11"/>
      <c r="G1002" s="11" t="s">
        <v>1582</v>
      </c>
      <c r="H1002" s="11" t="s">
        <v>3492</v>
      </c>
      <c r="I1002" s="11">
        <v>180.0</v>
      </c>
      <c r="J1002" s="138" t="s">
        <v>1589</v>
      </c>
      <c r="K1002" s="138"/>
      <c r="L1002" s="138"/>
      <c r="M1002" s="138"/>
      <c r="N1002" s="11">
        <v>50.0</v>
      </c>
      <c r="O1002" s="163" t="s">
        <v>1554</v>
      </c>
      <c r="P1002" s="139">
        <v>4700.0</v>
      </c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>
      <c r="A1003" s="2"/>
      <c r="B1003" s="18"/>
      <c r="C1003" s="11" t="s">
        <v>3519</v>
      </c>
      <c r="D1003" s="11" t="s">
        <v>1586</v>
      </c>
      <c r="E1003" s="32" t="s">
        <v>3520</v>
      </c>
      <c r="F1003" s="11"/>
      <c r="G1003" s="11" t="s">
        <v>1582</v>
      </c>
      <c r="H1003" s="11" t="s">
        <v>3492</v>
      </c>
      <c r="I1003" s="11">
        <v>90.0</v>
      </c>
      <c r="J1003" s="138" t="s">
        <v>1589</v>
      </c>
      <c r="K1003" s="138"/>
      <c r="L1003" s="138"/>
      <c r="M1003" s="138"/>
      <c r="N1003" s="11"/>
      <c r="O1003" s="163"/>
      <c r="P1003" s="139">
        <v>9700.0</v>
      </c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2"/>
      <c r="B1004" s="18"/>
      <c r="C1004" s="11" t="s">
        <v>3521</v>
      </c>
      <c r="D1004" s="11" t="s">
        <v>1586</v>
      </c>
      <c r="E1004" s="32" t="s">
        <v>3522</v>
      </c>
      <c r="F1004" s="11"/>
      <c r="G1004" s="11" t="s">
        <v>1582</v>
      </c>
      <c r="H1004" s="11" t="s">
        <v>3492</v>
      </c>
      <c r="I1004" s="11">
        <v>180.0</v>
      </c>
      <c r="J1004" s="138" t="s">
        <v>1589</v>
      </c>
      <c r="K1004" s="138"/>
      <c r="L1004" s="138"/>
      <c r="M1004" s="138"/>
      <c r="N1004" s="11"/>
      <c r="O1004" s="163"/>
      <c r="P1004" s="139">
        <v>5200.0</v>
      </c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>
      <c r="A1005" s="2"/>
      <c r="B1005" s="18"/>
      <c r="C1005" s="11" t="s">
        <v>3523</v>
      </c>
      <c r="D1005" s="11" t="s">
        <v>1586</v>
      </c>
      <c r="E1005" s="32" t="s">
        <v>3524</v>
      </c>
      <c r="F1005" s="11"/>
      <c r="G1005" s="11" t="s">
        <v>1582</v>
      </c>
      <c r="H1005" s="11" t="s">
        <v>3492</v>
      </c>
      <c r="I1005" s="11">
        <v>180.0</v>
      </c>
      <c r="J1005" s="138" t="s">
        <v>1589</v>
      </c>
      <c r="K1005" s="138"/>
      <c r="L1005" s="138"/>
      <c r="M1005" s="138"/>
      <c r="N1005" s="11"/>
      <c r="O1005" s="163"/>
      <c r="P1005" s="139">
        <f>(MIN(P1004, P1006) / 2) + MAX(P1004, P1006)</f>
        <v>12100</v>
      </c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  <row r="1006">
      <c r="A1006" s="2"/>
      <c r="B1006" s="18"/>
      <c r="C1006" s="11" t="s">
        <v>3525</v>
      </c>
      <c r="D1006" s="11" t="s">
        <v>1586</v>
      </c>
      <c r="E1006" s="32" t="s">
        <v>3526</v>
      </c>
      <c r="F1006" s="11"/>
      <c r="G1006" s="11" t="s">
        <v>1582</v>
      </c>
      <c r="H1006" s="11" t="s">
        <v>3492</v>
      </c>
      <c r="I1006" s="11">
        <v>180.0</v>
      </c>
      <c r="J1006" s="138" t="s">
        <v>1589</v>
      </c>
      <c r="K1006" s="138"/>
      <c r="L1006" s="138"/>
      <c r="M1006" s="138"/>
      <c r="N1006" s="11"/>
      <c r="O1006" s="163"/>
      <c r="P1006" s="139">
        <v>9500.0</v>
      </c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>
      <c r="A1007" s="2"/>
      <c r="B1007" s="18"/>
      <c r="C1007" s="11" t="s">
        <v>3527</v>
      </c>
      <c r="D1007" s="11" t="s">
        <v>1586</v>
      </c>
      <c r="E1007" s="32" t="s">
        <v>3528</v>
      </c>
      <c r="F1007" s="11"/>
      <c r="G1007" s="11" t="s">
        <v>1582</v>
      </c>
      <c r="H1007" s="11" t="s">
        <v>3492</v>
      </c>
      <c r="I1007" s="11">
        <v>90.0</v>
      </c>
      <c r="J1007" s="138" t="s">
        <v>1589</v>
      </c>
      <c r="K1007" s="138"/>
      <c r="L1007" s="138"/>
      <c r="M1007" s="138"/>
      <c r="N1007" s="11"/>
      <c r="O1007" s="163"/>
      <c r="P1007" s="139">
        <v>8500.0</v>
      </c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>
      <c r="A1008" s="2"/>
      <c r="B1008" s="18"/>
      <c r="C1008" s="11" t="s">
        <v>3529</v>
      </c>
      <c r="D1008" s="11" t="s">
        <v>1586</v>
      </c>
      <c r="E1008" s="32" t="s">
        <v>3530</v>
      </c>
      <c r="F1008" s="11"/>
      <c r="G1008" s="11" t="s">
        <v>1582</v>
      </c>
      <c r="H1008" s="11" t="s">
        <v>3492</v>
      </c>
      <c r="I1008" s="11">
        <v>90.0</v>
      </c>
      <c r="J1008" s="138" t="s">
        <v>1589</v>
      </c>
      <c r="K1008" s="138"/>
      <c r="L1008" s="138"/>
      <c r="M1008" s="138"/>
      <c r="N1008" s="11"/>
      <c r="O1008" s="163"/>
      <c r="P1008" s="139">
        <v>7300.0</v>
      </c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</row>
    <row r="1009">
      <c r="A1009" s="2"/>
      <c r="B1009" s="18"/>
      <c r="C1009" s="11" t="s">
        <v>3531</v>
      </c>
      <c r="D1009" s="11" t="s">
        <v>1586</v>
      </c>
      <c r="E1009" s="32" t="s">
        <v>3532</v>
      </c>
      <c r="F1009" s="11"/>
      <c r="G1009" s="11" t="s">
        <v>1582</v>
      </c>
      <c r="H1009" s="11" t="s">
        <v>3492</v>
      </c>
      <c r="I1009" s="11">
        <v>90.0</v>
      </c>
      <c r="J1009" s="138" t="s">
        <v>1589</v>
      </c>
      <c r="K1009" s="138"/>
      <c r="L1009" s="138"/>
      <c r="M1009" s="138"/>
      <c r="N1009" s="11"/>
      <c r="O1009" s="163"/>
      <c r="P1009" s="139">
        <v>7300.0</v>
      </c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</row>
    <row r="1010">
      <c r="A1010" s="2"/>
      <c r="B1010" s="18"/>
      <c r="C1010" s="11" t="s">
        <v>3533</v>
      </c>
      <c r="D1010" s="11" t="s">
        <v>1586</v>
      </c>
      <c r="E1010" s="32" t="s">
        <v>3534</v>
      </c>
      <c r="F1010" s="11"/>
      <c r="G1010" s="11" t="s">
        <v>1582</v>
      </c>
      <c r="H1010" s="11" t="s">
        <v>3492</v>
      </c>
      <c r="I1010" s="11">
        <v>90.0</v>
      </c>
      <c r="J1010" s="138" t="s">
        <v>1589</v>
      </c>
      <c r="K1010" s="138"/>
      <c r="L1010" s="138"/>
      <c r="M1010" s="138"/>
      <c r="N1010" s="11"/>
      <c r="O1010" s="163"/>
      <c r="P1010" s="139">
        <v>7900.0</v>
      </c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</row>
    <row r="1011">
      <c r="A1011" s="2"/>
      <c r="B1011" s="18"/>
      <c r="C1011" s="11" t="s">
        <v>3535</v>
      </c>
      <c r="D1011" s="11" t="s">
        <v>1586</v>
      </c>
      <c r="E1011" s="32" t="s">
        <v>3536</v>
      </c>
      <c r="F1011" s="11"/>
      <c r="G1011" s="11" t="s">
        <v>1582</v>
      </c>
      <c r="H1011" s="11" t="s">
        <v>3492</v>
      </c>
      <c r="I1011" s="11">
        <v>90.0</v>
      </c>
      <c r="J1011" s="138" t="s">
        <v>1589</v>
      </c>
      <c r="K1011" s="138"/>
      <c r="L1011" s="138"/>
      <c r="M1011" s="138"/>
      <c r="N1011" s="11"/>
      <c r="O1011" s="163"/>
      <c r="P1011" s="139">
        <v>7700.0</v>
      </c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>
      <c r="A1012" s="2"/>
      <c r="B1012" s="18"/>
      <c r="C1012" s="11" t="s">
        <v>3537</v>
      </c>
      <c r="D1012" s="11" t="s">
        <v>1586</v>
      </c>
      <c r="E1012" s="32" t="s">
        <v>3538</v>
      </c>
      <c r="F1012" s="11"/>
      <c r="G1012" s="11" t="s">
        <v>1582</v>
      </c>
      <c r="H1012" s="11" t="s">
        <v>3492</v>
      </c>
      <c r="I1012" s="11">
        <v>90.0</v>
      </c>
      <c r="J1012" s="138" t="s">
        <v>1589</v>
      </c>
      <c r="K1012" s="138"/>
      <c r="L1012" s="138"/>
      <c r="M1012" s="138"/>
      <c r="N1012" s="11"/>
      <c r="O1012" s="163"/>
      <c r="P1012" s="139">
        <v>12000.0</v>
      </c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>
      <c r="A1013" s="2"/>
      <c r="B1013" s="18"/>
      <c r="C1013" s="11" t="s">
        <v>3539</v>
      </c>
      <c r="D1013" s="11" t="s">
        <v>1586</v>
      </c>
      <c r="E1013" s="32" t="s">
        <v>3540</v>
      </c>
      <c r="F1013" s="11"/>
      <c r="G1013" s="11" t="s">
        <v>1582</v>
      </c>
      <c r="H1013" s="11" t="s">
        <v>3492</v>
      </c>
      <c r="I1013" s="11">
        <v>90.0</v>
      </c>
      <c r="J1013" s="138" t="s">
        <v>1589</v>
      </c>
      <c r="K1013" s="138"/>
      <c r="L1013" s="138"/>
      <c r="M1013" s="138"/>
      <c r="N1013" s="11"/>
      <c r="O1013" s="163"/>
      <c r="P1013" s="139">
        <v>9000.0</v>
      </c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</row>
    <row r="1014">
      <c r="A1014" s="2"/>
      <c r="B1014" s="18"/>
      <c r="C1014" s="11" t="s">
        <v>3541</v>
      </c>
      <c r="D1014" s="11" t="s">
        <v>1586</v>
      </c>
      <c r="E1014" s="32" t="s">
        <v>3542</v>
      </c>
      <c r="F1014" s="11"/>
      <c r="G1014" s="11" t="s">
        <v>1582</v>
      </c>
      <c r="H1014" s="11" t="s">
        <v>3492</v>
      </c>
      <c r="I1014" s="11">
        <v>90.0</v>
      </c>
      <c r="J1014" s="138" t="s">
        <v>1589</v>
      </c>
      <c r="K1014" s="138"/>
      <c r="L1014" s="138"/>
      <c r="M1014" s="138"/>
      <c r="N1014" s="11"/>
      <c r="O1014" s="163"/>
      <c r="P1014" s="139">
        <v>7700.0</v>
      </c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</row>
    <row r="1015">
      <c r="A1015" s="2"/>
      <c r="B1015" s="35"/>
      <c r="C1015" s="36" t="s">
        <v>3543</v>
      </c>
      <c r="D1015" s="36" t="s">
        <v>1586</v>
      </c>
      <c r="E1015" s="158" t="s">
        <v>3544</v>
      </c>
      <c r="F1015" s="36"/>
      <c r="G1015" s="36" t="s">
        <v>1582</v>
      </c>
      <c r="H1015" s="36" t="s">
        <v>3492</v>
      </c>
      <c r="I1015" s="36">
        <v>90.0</v>
      </c>
      <c r="J1015" s="141" t="s">
        <v>1589</v>
      </c>
      <c r="K1015" s="141"/>
      <c r="L1015" s="141"/>
      <c r="M1015" s="141"/>
      <c r="N1015" s="36"/>
      <c r="O1015" s="164"/>
      <c r="P1015" s="142">
        <v>8200.0</v>
      </c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  <row r="1016">
      <c r="A1016" s="2"/>
      <c r="B1016" s="147" t="s">
        <v>346</v>
      </c>
      <c r="C1016" s="42" t="s">
        <v>3545</v>
      </c>
      <c r="D1016" s="42" t="s">
        <v>1586</v>
      </c>
      <c r="E1016" s="165" t="s">
        <v>3546</v>
      </c>
      <c r="F1016" s="42"/>
      <c r="G1016" s="42" t="s">
        <v>1582</v>
      </c>
      <c r="H1016" s="42" t="s">
        <v>3547</v>
      </c>
      <c r="I1016" s="42">
        <v>0.0</v>
      </c>
      <c r="J1016" s="149" t="s">
        <v>1589</v>
      </c>
      <c r="K1016" s="149"/>
      <c r="L1016" s="149"/>
      <c r="M1016" s="149"/>
      <c r="N1016" s="42"/>
      <c r="O1016" s="162"/>
      <c r="P1016" s="136">
        <v>1.0</v>
      </c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</row>
    <row r="1017">
      <c r="A1017" s="2"/>
      <c r="B1017" s="18"/>
      <c r="C1017" s="11" t="s">
        <v>3548</v>
      </c>
      <c r="D1017" s="11" t="s">
        <v>1586</v>
      </c>
      <c r="E1017" s="32" t="s">
        <v>3549</v>
      </c>
      <c r="F1017" s="11"/>
      <c r="G1017" s="11" t="s">
        <v>1582</v>
      </c>
      <c r="H1017" s="11" t="s">
        <v>3547</v>
      </c>
      <c r="I1017" s="11">
        <v>0.0</v>
      </c>
      <c r="J1017" s="138" t="s">
        <v>1589</v>
      </c>
      <c r="K1017" s="138"/>
      <c r="L1017" s="138"/>
      <c r="M1017" s="138"/>
      <c r="N1017" s="11">
        <v>30.0</v>
      </c>
      <c r="O1017" s="163" t="s">
        <v>1554</v>
      </c>
      <c r="P1017" s="139">
        <v>1550.0</v>
      </c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</row>
    <row r="1018">
      <c r="A1018" s="2"/>
      <c r="B1018" s="18"/>
      <c r="C1018" s="11" t="s">
        <v>3550</v>
      </c>
      <c r="D1018" s="11" t="s">
        <v>1586</v>
      </c>
      <c r="E1018" s="32" t="s">
        <v>3551</v>
      </c>
      <c r="F1018" s="11"/>
      <c r="G1018" s="11" t="s">
        <v>1582</v>
      </c>
      <c r="H1018" s="11" t="s">
        <v>3547</v>
      </c>
      <c r="I1018" s="11">
        <v>0.0</v>
      </c>
      <c r="J1018" s="138" t="s">
        <v>1589</v>
      </c>
      <c r="K1018" s="138"/>
      <c r="L1018" s="138"/>
      <c r="M1018" s="138"/>
      <c r="N1018" s="11">
        <v>30.0</v>
      </c>
      <c r="O1018" s="163" t="s">
        <v>1554</v>
      </c>
      <c r="P1018" s="139">
        <v>1550.0</v>
      </c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</row>
    <row r="1019">
      <c r="A1019" s="2"/>
      <c r="B1019" s="18"/>
      <c r="C1019" s="11" t="s">
        <v>3552</v>
      </c>
      <c r="D1019" s="11" t="s">
        <v>1586</v>
      </c>
      <c r="E1019" s="32" t="s">
        <v>3553</v>
      </c>
      <c r="F1019" s="11"/>
      <c r="G1019" s="11" t="s">
        <v>1582</v>
      </c>
      <c r="H1019" s="11" t="s">
        <v>3547</v>
      </c>
      <c r="I1019" s="11">
        <v>0.0</v>
      </c>
      <c r="J1019" s="138" t="s">
        <v>1589</v>
      </c>
      <c r="K1019" s="138"/>
      <c r="L1019" s="138"/>
      <c r="M1019" s="138"/>
      <c r="N1019" s="11"/>
      <c r="O1019" s="163"/>
      <c r="P1019" s="139">
        <v>700.0</v>
      </c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>
      <c r="A1020" s="2"/>
      <c r="B1020" s="18"/>
      <c r="C1020" s="11" t="s">
        <v>3554</v>
      </c>
      <c r="D1020" s="11" t="s">
        <v>1586</v>
      </c>
      <c r="E1020" s="32" t="s">
        <v>3555</v>
      </c>
      <c r="F1020" s="11"/>
      <c r="G1020" s="11" t="s">
        <v>1582</v>
      </c>
      <c r="H1020" s="11" t="s">
        <v>3547</v>
      </c>
      <c r="I1020" s="11">
        <v>0.0</v>
      </c>
      <c r="J1020" s="138" t="s">
        <v>1589</v>
      </c>
      <c r="K1020" s="138"/>
      <c r="L1020" s="138"/>
      <c r="M1020" s="138"/>
      <c r="N1020" s="11"/>
      <c r="O1020" s="163"/>
      <c r="P1020" s="139">
        <v>7200.0</v>
      </c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</row>
    <row r="1021">
      <c r="A1021" s="2"/>
      <c r="B1021" s="18"/>
      <c r="C1021" s="11" t="s">
        <v>3556</v>
      </c>
      <c r="D1021" s="11" t="s">
        <v>1586</v>
      </c>
      <c r="E1021" s="32" t="s">
        <v>3557</v>
      </c>
      <c r="F1021" s="11"/>
      <c r="G1021" s="11" t="s">
        <v>1582</v>
      </c>
      <c r="H1021" s="11" t="s">
        <v>3547</v>
      </c>
      <c r="I1021" s="11">
        <v>180.0</v>
      </c>
      <c r="J1021" s="138" t="s">
        <v>1589</v>
      </c>
      <c r="K1021" s="138"/>
      <c r="L1021" s="138"/>
      <c r="M1021" s="138"/>
      <c r="N1021" s="11"/>
      <c r="O1021" s="163"/>
      <c r="P1021" s="139">
        <v>8100.0</v>
      </c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</row>
    <row r="1022">
      <c r="A1022" s="2"/>
      <c r="B1022" s="18"/>
      <c r="C1022" s="11" t="s">
        <v>3558</v>
      </c>
      <c r="D1022" s="11" t="s">
        <v>1586</v>
      </c>
      <c r="E1022" s="32" t="s">
        <v>3559</v>
      </c>
      <c r="F1022" s="11"/>
      <c r="G1022" s="11" t="s">
        <v>1582</v>
      </c>
      <c r="H1022" s="11" t="s">
        <v>3547</v>
      </c>
      <c r="I1022" s="11">
        <v>180.0</v>
      </c>
      <c r="J1022" s="138" t="s">
        <v>1589</v>
      </c>
      <c r="K1022" s="138"/>
      <c r="L1022" s="138"/>
      <c r="M1022" s="138"/>
      <c r="N1022" s="11"/>
      <c r="O1022" s="163"/>
      <c r="P1022" s="139">
        <v>0.0</v>
      </c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</row>
    <row r="1023">
      <c r="A1023" s="2"/>
      <c r="B1023" s="18"/>
      <c r="C1023" s="11" t="s">
        <v>3560</v>
      </c>
      <c r="D1023" s="11" t="s">
        <v>1586</v>
      </c>
      <c r="E1023" s="32" t="s">
        <v>3561</v>
      </c>
      <c r="F1023" s="11"/>
      <c r="G1023" s="11" t="s">
        <v>1582</v>
      </c>
      <c r="H1023" s="11" t="s">
        <v>3547</v>
      </c>
      <c r="I1023" s="11">
        <v>90.0</v>
      </c>
      <c r="J1023" s="138" t="s">
        <v>1589</v>
      </c>
      <c r="K1023" s="138"/>
      <c r="L1023" s="138"/>
      <c r="M1023" s="138"/>
      <c r="N1023" s="11"/>
      <c r="O1023" s="163"/>
      <c r="P1023" s="139">
        <v>8000.0</v>
      </c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</row>
    <row r="1024">
      <c r="A1024" s="2"/>
      <c r="B1024" s="18"/>
      <c r="C1024" s="11" t="s">
        <v>3562</v>
      </c>
      <c r="D1024" s="11" t="s">
        <v>1586</v>
      </c>
      <c r="E1024" s="32" t="s">
        <v>3563</v>
      </c>
      <c r="F1024" s="11"/>
      <c r="G1024" s="11" t="s">
        <v>1582</v>
      </c>
      <c r="H1024" s="11" t="s">
        <v>3547</v>
      </c>
      <c r="I1024" s="11">
        <v>90.0</v>
      </c>
      <c r="J1024" s="138" t="s">
        <v>1589</v>
      </c>
      <c r="K1024" s="138"/>
      <c r="L1024" s="138"/>
      <c r="M1024" s="138"/>
      <c r="N1024" s="11"/>
      <c r="O1024" s="163"/>
      <c r="P1024" s="139">
        <v>7300.0</v>
      </c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</row>
    <row r="1025">
      <c r="A1025" s="2"/>
      <c r="B1025" s="18"/>
      <c r="C1025" s="11" t="s">
        <v>3564</v>
      </c>
      <c r="D1025" s="11" t="s">
        <v>1586</v>
      </c>
      <c r="E1025" s="32" t="s">
        <v>3565</v>
      </c>
      <c r="F1025" s="11"/>
      <c r="G1025" s="11" t="s">
        <v>1582</v>
      </c>
      <c r="H1025" s="11" t="s">
        <v>3547</v>
      </c>
      <c r="I1025" s="11">
        <v>90.0</v>
      </c>
      <c r="J1025" s="138" t="s">
        <v>1589</v>
      </c>
      <c r="K1025" s="138"/>
      <c r="L1025" s="138"/>
      <c r="M1025" s="138"/>
      <c r="N1025" s="11"/>
      <c r="O1025" s="163"/>
      <c r="P1025" s="139">
        <v>6300.0</v>
      </c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</row>
    <row r="1026">
      <c r="A1026" s="2"/>
      <c r="B1026" s="18"/>
      <c r="C1026" s="11" t="s">
        <v>3566</v>
      </c>
      <c r="D1026" s="11" t="s">
        <v>1586</v>
      </c>
      <c r="E1026" s="32" t="s">
        <v>3567</v>
      </c>
      <c r="F1026" s="11"/>
      <c r="G1026" s="11" t="s">
        <v>1582</v>
      </c>
      <c r="H1026" s="11" t="s">
        <v>3547</v>
      </c>
      <c r="I1026" s="11">
        <v>90.0</v>
      </c>
      <c r="J1026" s="138" t="s">
        <v>1589</v>
      </c>
      <c r="K1026" s="138"/>
      <c r="L1026" s="138"/>
      <c r="M1026" s="138"/>
      <c r="N1026" s="11">
        <v>20.0</v>
      </c>
      <c r="O1026" s="163" t="s">
        <v>1554</v>
      </c>
      <c r="P1026" s="139">
        <v>26000.0</v>
      </c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>
      <c r="A1027" s="2"/>
      <c r="B1027" s="18"/>
      <c r="C1027" s="11" t="s">
        <v>3568</v>
      </c>
      <c r="D1027" s="11" t="s">
        <v>1586</v>
      </c>
      <c r="E1027" s="32" t="s">
        <v>3569</v>
      </c>
      <c r="F1027" s="11"/>
      <c r="G1027" s="11" t="s">
        <v>1582</v>
      </c>
      <c r="H1027" s="11" t="s">
        <v>3547</v>
      </c>
      <c r="I1027" s="11">
        <v>90.0</v>
      </c>
      <c r="J1027" s="138" t="s">
        <v>1589</v>
      </c>
      <c r="K1027" s="138"/>
      <c r="L1027" s="138"/>
      <c r="M1027" s="138"/>
      <c r="N1027" s="11"/>
      <c r="O1027" s="163"/>
      <c r="P1027" s="139">
        <v>7300.0</v>
      </c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</row>
    <row r="1028">
      <c r="A1028" s="2"/>
      <c r="B1028" s="18"/>
      <c r="C1028" s="11" t="s">
        <v>3570</v>
      </c>
      <c r="D1028" s="11" t="s">
        <v>1586</v>
      </c>
      <c r="E1028" s="32" t="s">
        <v>3571</v>
      </c>
      <c r="F1028" s="11"/>
      <c r="G1028" s="11" t="s">
        <v>1582</v>
      </c>
      <c r="H1028" s="11" t="s">
        <v>3547</v>
      </c>
      <c r="I1028" s="11">
        <v>90.0</v>
      </c>
      <c r="J1028" s="138" t="s">
        <v>1589</v>
      </c>
      <c r="K1028" s="138"/>
      <c r="L1028" s="138"/>
      <c r="M1028" s="138"/>
      <c r="N1028" s="11"/>
      <c r="O1028" s="163"/>
      <c r="P1028" s="139">
        <v>7900.0</v>
      </c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</row>
    <row r="1029">
      <c r="A1029" s="2"/>
      <c r="B1029" s="18"/>
      <c r="C1029" s="11" t="s">
        <v>3572</v>
      </c>
      <c r="D1029" s="11" t="s">
        <v>1586</v>
      </c>
      <c r="E1029" s="32" t="s">
        <v>3573</v>
      </c>
      <c r="F1029" s="11"/>
      <c r="G1029" s="11" t="s">
        <v>1582</v>
      </c>
      <c r="H1029" s="11" t="s">
        <v>3547</v>
      </c>
      <c r="I1029" s="11">
        <v>180.0</v>
      </c>
      <c r="J1029" s="138" t="s">
        <v>1589</v>
      </c>
      <c r="K1029" s="138"/>
      <c r="L1029" s="138"/>
      <c r="M1029" s="138"/>
      <c r="N1029" s="11">
        <v>50.0</v>
      </c>
      <c r="O1029" s="163" t="s">
        <v>1554</v>
      </c>
      <c r="P1029" s="139">
        <v>4700.0</v>
      </c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</row>
    <row r="1030">
      <c r="A1030" s="2"/>
      <c r="B1030" s="18"/>
      <c r="C1030" s="11" t="s">
        <v>3574</v>
      </c>
      <c r="D1030" s="11" t="s">
        <v>1586</v>
      </c>
      <c r="E1030" s="32" t="s">
        <v>3575</v>
      </c>
      <c r="F1030" s="11"/>
      <c r="G1030" s="11" t="s">
        <v>1582</v>
      </c>
      <c r="H1030" s="11" t="s">
        <v>3547</v>
      </c>
      <c r="I1030" s="11">
        <v>90.0</v>
      </c>
      <c r="J1030" s="138" t="s">
        <v>1589</v>
      </c>
      <c r="K1030" s="138"/>
      <c r="L1030" s="138"/>
      <c r="M1030" s="138"/>
      <c r="N1030" s="11"/>
      <c r="O1030" s="163"/>
      <c r="P1030" s="139">
        <v>9700.0</v>
      </c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>
      <c r="A1031" s="2"/>
      <c r="B1031" s="18"/>
      <c r="C1031" s="11" t="s">
        <v>3576</v>
      </c>
      <c r="D1031" s="11" t="s">
        <v>1586</v>
      </c>
      <c r="E1031" s="32" t="s">
        <v>3577</v>
      </c>
      <c r="F1031" s="11"/>
      <c r="G1031" s="11" t="s">
        <v>1582</v>
      </c>
      <c r="H1031" s="11" t="s">
        <v>3547</v>
      </c>
      <c r="I1031" s="11">
        <v>180.0</v>
      </c>
      <c r="J1031" s="138" t="s">
        <v>1589</v>
      </c>
      <c r="K1031" s="138"/>
      <c r="L1031" s="138"/>
      <c r="M1031" s="138"/>
      <c r="N1031" s="11"/>
      <c r="O1031" s="163"/>
      <c r="P1031" s="139">
        <v>5200.0</v>
      </c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</row>
    <row r="1032">
      <c r="A1032" s="2"/>
      <c r="B1032" s="18"/>
      <c r="C1032" s="11" t="s">
        <v>3578</v>
      </c>
      <c r="D1032" s="11" t="s">
        <v>1586</v>
      </c>
      <c r="E1032" s="32" t="s">
        <v>3579</v>
      </c>
      <c r="F1032" s="11"/>
      <c r="G1032" s="11" t="s">
        <v>1582</v>
      </c>
      <c r="H1032" s="11" t="s">
        <v>3547</v>
      </c>
      <c r="I1032" s="11">
        <v>180.0</v>
      </c>
      <c r="J1032" s="138" t="s">
        <v>1589</v>
      </c>
      <c r="K1032" s="138"/>
      <c r="L1032" s="138"/>
      <c r="M1032" s="138"/>
      <c r="N1032" s="11"/>
      <c r="O1032" s="163"/>
      <c r="P1032" s="139">
        <f>(MIN(P1031, P1033) / 2) + MAX(P1031, P1033)</f>
        <v>12100</v>
      </c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</row>
    <row r="1033">
      <c r="A1033" s="2"/>
      <c r="B1033" s="18"/>
      <c r="C1033" s="11" t="s">
        <v>3580</v>
      </c>
      <c r="D1033" s="11" t="s">
        <v>1586</v>
      </c>
      <c r="E1033" s="32" t="s">
        <v>3581</v>
      </c>
      <c r="F1033" s="11"/>
      <c r="G1033" s="11" t="s">
        <v>1582</v>
      </c>
      <c r="H1033" s="11" t="s">
        <v>3547</v>
      </c>
      <c r="I1033" s="11">
        <v>180.0</v>
      </c>
      <c r="J1033" s="138" t="s">
        <v>1589</v>
      </c>
      <c r="K1033" s="138"/>
      <c r="L1033" s="138"/>
      <c r="M1033" s="138"/>
      <c r="N1033" s="11"/>
      <c r="O1033" s="163"/>
      <c r="P1033" s="139">
        <v>9500.0</v>
      </c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</row>
    <row r="1034">
      <c r="A1034" s="2"/>
      <c r="B1034" s="18"/>
      <c r="C1034" s="11" t="s">
        <v>3582</v>
      </c>
      <c r="D1034" s="11" t="s">
        <v>1586</v>
      </c>
      <c r="E1034" s="32" t="s">
        <v>3583</v>
      </c>
      <c r="F1034" s="11"/>
      <c r="G1034" s="11" t="s">
        <v>1582</v>
      </c>
      <c r="H1034" s="11" t="s">
        <v>3547</v>
      </c>
      <c r="I1034" s="11">
        <v>90.0</v>
      </c>
      <c r="J1034" s="138" t="s">
        <v>1589</v>
      </c>
      <c r="K1034" s="138"/>
      <c r="L1034" s="138"/>
      <c r="M1034" s="138"/>
      <c r="N1034" s="11"/>
      <c r="O1034" s="163"/>
      <c r="P1034" s="139">
        <v>8500.0</v>
      </c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</row>
    <row r="1035">
      <c r="A1035" s="2"/>
      <c r="B1035" s="18"/>
      <c r="C1035" s="11" t="s">
        <v>3584</v>
      </c>
      <c r="D1035" s="11" t="s">
        <v>1586</v>
      </c>
      <c r="E1035" s="32" t="s">
        <v>3585</v>
      </c>
      <c r="F1035" s="11"/>
      <c r="G1035" s="11" t="s">
        <v>1582</v>
      </c>
      <c r="H1035" s="11" t="s">
        <v>3547</v>
      </c>
      <c r="I1035" s="11">
        <v>90.0</v>
      </c>
      <c r="J1035" s="138" t="s">
        <v>1589</v>
      </c>
      <c r="K1035" s="138"/>
      <c r="L1035" s="138"/>
      <c r="M1035" s="138"/>
      <c r="N1035" s="11"/>
      <c r="O1035" s="163"/>
      <c r="P1035" s="139">
        <v>7300.0</v>
      </c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</row>
    <row r="1036">
      <c r="A1036" s="2"/>
      <c r="B1036" s="18"/>
      <c r="C1036" s="11" t="s">
        <v>3586</v>
      </c>
      <c r="D1036" s="11" t="s">
        <v>1586</v>
      </c>
      <c r="E1036" s="32" t="s">
        <v>3587</v>
      </c>
      <c r="F1036" s="11"/>
      <c r="G1036" s="11" t="s">
        <v>1582</v>
      </c>
      <c r="H1036" s="11" t="s">
        <v>3547</v>
      </c>
      <c r="I1036" s="11">
        <v>90.0</v>
      </c>
      <c r="J1036" s="138" t="s">
        <v>1589</v>
      </c>
      <c r="K1036" s="138"/>
      <c r="L1036" s="138"/>
      <c r="M1036" s="138"/>
      <c r="N1036" s="11"/>
      <c r="O1036" s="163"/>
      <c r="P1036" s="139">
        <v>7300.0</v>
      </c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</row>
    <row r="1037">
      <c r="A1037" s="2"/>
      <c r="B1037" s="18"/>
      <c r="C1037" s="11" t="s">
        <v>3588</v>
      </c>
      <c r="D1037" s="11" t="s">
        <v>1586</v>
      </c>
      <c r="E1037" s="32" t="s">
        <v>3589</v>
      </c>
      <c r="F1037" s="11"/>
      <c r="G1037" s="11" t="s">
        <v>1582</v>
      </c>
      <c r="H1037" s="11" t="s">
        <v>3547</v>
      </c>
      <c r="I1037" s="11">
        <v>90.0</v>
      </c>
      <c r="J1037" s="138" t="s">
        <v>1589</v>
      </c>
      <c r="K1037" s="138"/>
      <c r="L1037" s="138"/>
      <c r="M1037" s="138"/>
      <c r="N1037" s="11"/>
      <c r="O1037" s="163"/>
      <c r="P1037" s="139">
        <v>7900.0</v>
      </c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</row>
    <row r="1038">
      <c r="A1038" s="2"/>
      <c r="B1038" s="18"/>
      <c r="C1038" s="11" t="s">
        <v>3590</v>
      </c>
      <c r="D1038" s="11" t="s">
        <v>1586</v>
      </c>
      <c r="E1038" s="32" t="s">
        <v>3591</v>
      </c>
      <c r="F1038" s="11"/>
      <c r="G1038" s="11" t="s">
        <v>1582</v>
      </c>
      <c r="H1038" s="11" t="s">
        <v>3547</v>
      </c>
      <c r="I1038" s="11">
        <v>90.0</v>
      </c>
      <c r="J1038" s="138" t="s">
        <v>1589</v>
      </c>
      <c r="K1038" s="138"/>
      <c r="L1038" s="138"/>
      <c r="M1038" s="138"/>
      <c r="N1038" s="11"/>
      <c r="O1038" s="163"/>
      <c r="P1038" s="139">
        <v>7700.0</v>
      </c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</row>
    <row r="1039">
      <c r="A1039" s="2"/>
      <c r="B1039" s="18"/>
      <c r="C1039" s="11" t="s">
        <v>3592</v>
      </c>
      <c r="D1039" s="11" t="s">
        <v>1586</v>
      </c>
      <c r="E1039" s="32" t="s">
        <v>3593</v>
      </c>
      <c r="F1039" s="11"/>
      <c r="G1039" s="11" t="s">
        <v>1582</v>
      </c>
      <c r="H1039" s="11" t="s">
        <v>3547</v>
      </c>
      <c r="I1039" s="11">
        <v>90.0</v>
      </c>
      <c r="J1039" s="138" t="s">
        <v>1589</v>
      </c>
      <c r="K1039" s="138"/>
      <c r="L1039" s="138"/>
      <c r="M1039" s="138"/>
      <c r="N1039" s="11"/>
      <c r="O1039" s="163"/>
      <c r="P1039" s="139">
        <v>12000.0</v>
      </c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</row>
    <row r="1040">
      <c r="A1040" s="2"/>
      <c r="B1040" s="18"/>
      <c r="C1040" s="11" t="s">
        <v>3594</v>
      </c>
      <c r="D1040" s="11" t="s">
        <v>1586</v>
      </c>
      <c r="E1040" s="32" t="s">
        <v>3595</v>
      </c>
      <c r="F1040" s="11"/>
      <c r="G1040" s="11" t="s">
        <v>1582</v>
      </c>
      <c r="H1040" s="11" t="s">
        <v>3547</v>
      </c>
      <c r="I1040" s="11">
        <v>90.0</v>
      </c>
      <c r="J1040" s="138" t="s">
        <v>1589</v>
      </c>
      <c r="K1040" s="138"/>
      <c r="L1040" s="138"/>
      <c r="M1040" s="138"/>
      <c r="N1040" s="11"/>
      <c r="O1040" s="163"/>
      <c r="P1040" s="139">
        <v>9000.0</v>
      </c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</row>
    <row r="1041">
      <c r="A1041" s="2"/>
      <c r="B1041" s="18"/>
      <c r="C1041" s="11" t="s">
        <v>3596</v>
      </c>
      <c r="D1041" s="11" t="s">
        <v>1586</v>
      </c>
      <c r="E1041" s="32" t="s">
        <v>3597</v>
      </c>
      <c r="F1041" s="11"/>
      <c r="G1041" s="11" t="s">
        <v>1582</v>
      </c>
      <c r="H1041" s="11" t="s">
        <v>3547</v>
      </c>
      <c r="I1041" s="11">
        <v>90.0</v>
      </c>
      <c r="J1041" s="138" t="s">
        <v>1589</v>
      </c>
      <c r="K1041" s="138"/>
      <c r="L1041" s="138"/>
      <c r="M1041" s="138"/>
      <c r="N1041" s="11"/>
      <c r="O1041" s="163"/>
      <c r="P1041" s="139">
        <v>7700.0</v>
      </c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</row>
    <row r="1042">
      <c r="A1042" s="2"/>
      <c r="B1042" s="35"/>
      <c r="C1042" s="36" t="s">
        <v>3598</v>
      </c>
      <c r="D1042" s="36" t="s">
        <v>1586</v>
      </c>
      <c r="E1042" s="158" t="s">
        <v>3599</v>
      </c>
      <c r="F1042" s="36"/>
      <c r="G1042" s="36" t="s">
        <v>1582</v>
      </c>
      <c r="H1042" s="36" t="s">
        <v>3547</v>
      </c>
      <c r="I1042" s="36">
        <v>90.0</v>
      </c>
      <c r="J1042" s="141" t="s">
        <v>1589</v>
      </c>
      <c r="K1042" s="141"/>
      <c r="L1042" s="141"/>
      <c r="M1042" s="141"/>
      <c r="N1042" s="36"/>
      <c r="O1042" s="164"/>
      <c r="P1042" s="142">
        <v>8200.0</v>
      </c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</row>
    <row r="1043">
      <c r="A1043" s="2"/>
      <c r="B1043" s="147" t="s">
        <v>353</v>
      </c>
      <c r="C1043" s="42" t="s">
        <v>3600</v>
      </c>
      <c r="D1043" s="42" t="s">
        <v>1586</v>
      </c>
      <c r="E1043" s="165" t="s">
        <v>3601</v>
      </c>
      <c r="F1043" s="42"/>
      <c r="G1043" s="42" t="s">
        <v>1582</v>
      </c>
      <c r="H1043" s="42" t="s">
        <v>3602</v>
      </c>
      <c r="I1043" s="42">
        <v>0.0</v>
      </c>
      <c r="J1043" s="149" t="s">
        <v>1589</v>
      </c>
      <c r="K1043" s="149"/>
      <c r="L1043" s="149"/>
      <c r="M1043" s="149"/>
      <c r="N1043" s="42"/>
      <c r="O1043" s="162"/>
      <c r="P1043" s="136">
        <v>1.0</v>
      </c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</row>
    <row r="1044">
      <c r="A1044" s="2"/>
      <c r="B1044" s="18"/>
      <c r="C1044" s="11" t="s">
        <v>3603</v>
      </c>
      <c r="D1044" s="11" t="s">
        <v>1586</v>
      </c>
      <c r="E1044" s="32" t="s">
        <v>3604</v>
      </c>
      <c r="F1044" s="11"/>
      <c r="G1044" s="11" t="s">
        <v>1582</v>
      </c>
      <c r="H1044" s="11" t="s">
        <v>3602</v>
      </c>
      <c r="I1044" s="11">
        <v>0.0</v>
      </c>
      <c r="J1044" s="138" t="s">
        <v>1589</v>
      </c>
      <c r="K1044" s="138"/>
      <c r="L1044" s="138"/>
      <c r="M1044" s="138"/>
      <c r="N1044" s="11">
        <v>30.0</v>
      </c>
      <c r="O1044" s="163" t="s">
        <v>1554</v>
      </c>
      <c r="P1044" s="139">
        <v>1900.0</v>
      </c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</row>
    <row r="1045">
      <c r="A1045" s="2"/>
      <c r="B1045" s="18"/>
      <c r="C1045" s="11" t="s">
        <v>3605</v>
      </c>
      <c r="D1045" s="11" t="s">
        <v>1586</v>
      </c>
      <c r="E1045" s="32" t="s">
        <v>3606</v>
      </c>
      <c r="F1045" s="11"/>
      <c r="G1045" s="11" t="s">
        <v>1582</v>
      </c>
      <c r="H1045" s="11" t="s">
        <v>3602</v>
      </c>
      <c r="I1045" s="11">
        <v>0.0</v>
      </c>
      <c r="J1045" s="138" t="s">
        <v>1589</v>
      </c>
      <c r="K1045" s="138"/>
      <c r="L1045" s="138"/>
      <c r="M1045" s="138"/>
      <c r="N1045" s="11">
        <v>30.0</v>
      </c>
      <c r="O1045" s="163" t="s">
        <v>1554</v>
      </c>
      <c r="P1045" s="139">
        <v>1900.0</v>
      </c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</row>
    <row r="1046">
      <c r="A1046" s="2"/>
      <c r="B1046" s="18"/>
      <c r="C1046" s="11" t="s">
        <v>3607</v>
      </c>
      <c r="D1046" s="11" t="s">
        <v>1586</v>
      </c>
      <c r="E1046" s="32" t="s">
        <v>3608</v>
      </c>
      <c r="F1046" s="11"/>
      <c r="G1046" s="11" t="s">
        <v>1582</v>
      </c>
      <c r="H1046" s="11" t="s">
        <v>3602</v>
      </c>
      <c r="I1046" s="11">
        <v>0.0</v>
      </c>
      <c r="J1046" s="138" t="s">
        <v>1589</v>
      </c>
      <c r="K1046" s="138"/>
      <c r="L1046" s="138"/>
      <c r="M1046" s="138"/>
      <c r="N1046" s="11"/>
      <c r="O1046" s="163"/>
      <c r="P1046" s="139">
        <v>700.0</v>
      </c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</row>
    <row r="1047">
      <c r="A1047" s="2"/>
      <c r="B1047" s="18"/>
      <c r="C1047" s="11" t="s">
        <v>3609</v>
      </c>
      <c r="D1047" s="11" t="s">
        <v>1586</v>
      </c>
      <c r="E1047" s="32" t="s">
        <v>3610</v>
      </c>
      <c r="F1047" s="11"/>
      <c r="G1047" s="11" t="s">
        <v>1582</v>
      </c>
      <c r="H1047" s="11" t="s">
        <v>3602</v>
      </c>
      <c r="I1047" s="11">
        <v>0.0</v>
      </c>
      <c r="J1047" s="138" t="s">
        <v>1589</v>
      </c>
      <c r="K1047" s="138"/>
      <c r="L1047" s="138"/>
      <c r="M1047" s="138"/>
      <c r="N1047" s="11"/>
      <c r="O1047" s="163"/>
      <c r="P1047" s="139">
        <v>7800.0</v>
      </c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</row>
    <row r="1048">
      <c r="A1048" s="2"/>
      <c r="B1048" s="18"/>
      <c r="C1048" s="11" t="s">
        <v>3611</v>
      </c>
      <c r="D1048" s="11" t="s">
        <v>1586</v>
      </c>
      <c r="E1048" s="32" t="s">
        <v>3612</v>
      </c>
      <c r="F1048" s="11"/>
      <c r="G1048" s="11" t="s">
        <v>1582</v>
      </c>
      <c r="H1048" s="11" t="s">
        <v>3602</v>
      </c>
      <c r="I1048" s="11">
        <v>180.0</v>
      </c>
      <c r="J1048" s="138" t="s">
        <v>1589</v>
      </c>
      <c r="K1048" s="138"/>
      <c r="L1048" s="138"/>
      <c r="M1048" s="138"/>
      <c r="N1048" s="11"/>
      <c r="O1048" s="163"/>
      <c r="P1048" s="139">
        <v>9800.0</v>
      </c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</row>
    <row r="1049">
      <c r="A1049" s="2"/>
      <c r="B1049" s="18"/>
      <c r="C1049" s="11" t="s">
        <v>3613</v>
      </c>
      <c r="D1049" s="11" t="s">
        <v>1586</v>
      </c>
      <c r="E1049" s="32" t="s">
        <v>3614</v>
      </c>
      <c r="F1049" s="11"/>
      <c r="G1049" s="11" t="s">
        <v>1582</v>
      </c>
      <c r="H1049" s="11" t="s">
        <v>3602</v>
      </c>
      <c r="I1049" s="11">
        <v>180.0</v>
      </c>
      <c r="J1049" s="138" t="s">
        <v>1589</v>
      </c>
      <c r="K1049" s="138"/>
      <c r="L1049" s="138"/>
      <c r="M1049" s="138"/>
      <c r="N1049" s="11"/>
      <c r="O1049" s="163"/>
      <c r="P1049" s="139">
        <v>0.0</v>
      </c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</row>
    <row r="1050">
      <c r="A1050" s="2"/>
      <c r="B1050" s="18"/>
      <c r="C1050" s="11" t="s">
        <v>3615</v>
      </c>
      <c r="D1050" s="11" t="s">
        <v>1586</v>
      </c>
      <c r="E1050" s="32" t="s">
        <v>3616</v>
      </c>
      <c r="F1050" s="11"/>
      <c r="G1050" s="11" t="s">
        <v>1582</v>
      </c>
      <c r="H1050" s="11" t="s">
        <v>3602</v>
      </c>
      <c r="I1050" s="11">
        <v>90.0</v>
      </c>
      <c r="J1050" s="138" t="s">
        <v>1589</v>
      </c>
      <c r="K1050" s="138"/>
      <c r="L1050" s="138"/>
      <c r="M1050" s="138"/>
      <c r="N1050" s="11"/>
      <c r="O1050" s="163"/>
      <c r="P1050" s="139">
        <v>10300.0</v>
      </c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</row>
    <row r="1051">
      <c r="A1051" s="2"/>
      <c r="B1051" s="18"/>
      <c r="C1051" s="11" t="s">
        <v>3617</v>
      </c>
      <c r="D1051" s="11" t="s">
        <v>1586</v>
      </c>
      <c r="E1051" s="32" t="s">
        <v>3618</v>
      </c>
      <c r="F1051" s="11"/>
      <c r="G1051" s="11" t="s">
        <v>1582</v>
      </c>
      <c r="H1051" s="11" t="s">
        <v>3602</v>
      </c>
      <c r="I1051" s="11">
        <v>90.0</v>
      </c>
      <c r="J1051" s="138" t="s">
        <v>1589</v>
      </c>
      <c r="K1051" s="138"/>
      <c r="L1051" s="138"/>
      <c r="M1051" s="138"/>
      <c r="N1051" s="11"/>
      <c r="O1051" s="163"/>
      <c r="P1051" s="139">
        <v>8100.0</v>
      </c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</row>
    <row r="1052">
      <c r="A1052" s="2"/>
      <c r="B1052" s="18"/>
      <c r="C1052" s="11" t="s">
        <v>3619</v>
      </c>
      <c r="D1052" s="11" t="s">
        <v>1586</v>
      </c>
      <c r="E1052" s="32" t="s">
        <v>3620</v>
      </c>
      <c r="F1052" s="11"/>
      <c r="G1052" s="11" t="s">
        <v>1582</v>
      </c>
      <c r="H1052" s="11" t="s">
        <v>3602</v>
      </c>
      <c r="I1052" s="11">
        <v>90.0</v>
      </c>
      <c r="J1052" s="138" t="s">
        <v>1589</v>
      </c>
      <c r="K1052" s="138"/>
      <c r="L1052" s="138"/>
      <c r="M1052" s="138"/>
      <c r="N1052" s="11"/>
      <c r="O1052" s="163"/>
      <c r="P1052" s="139">
        <v>7700.0</v>
      </c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</row>
    <row r="1053">
      <c r="A1053" s="2"/>
      <c r="B1053" s="18"/>
      <c r="C1053" s="11" t="s">
        <v>3621</v>
      </c>
      <c r="D1053" s="11" t="s">
        <v>1586</v>
      </c>
      <c r="E1053" s="32" t="s">
        <v>3622</v>
      </c>
      <c r="F1053" s="11"/>
      <c r="G1053" s="11" t="s">
        <v>1582</v>
      </c>
      <c r="H1053" s="11" t="s">
        <v>3602</v>
      </c>
      <c r="I1053" s="11">
        <v>90.0</v>
      </c>
      <c r="J1053" s="138" t="s">
        <v>1589</v>
      </c>
      <c r="K1053" s="138"/>
      <c r="L1053" s="138"/>
      <c r="M1053" s="138"/>
      <c r="N1053" s="11">
        <v>20.0</v>
      </c>
      <c r="O1053" s="163" t="s">
        <v>1554</v>
      </c>
      <c r="P1053" s="139">
        <v>1.0</v>
      </c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</row>
    <row r="1054">
      <c r="A1054" s="2"/>
      <c r="B1054" s="18"/>
      <c r="C1054" s="11" t="s">
        <v>3623</v>
      </c>
      <c r="D1054" s="11" t="s">
        <v>1586</v>
      </c>
      <c r="E1054" s="32" t="s">
        <v>3624</v>
      </c>
      <c r="F1054" s="11"/>
      <c r="G1054" s="11" t="s">
        <v>1582</v>
      </c>
      <c r="H1054" s="11" t="s">
        <v>3602</v>
      </c>
      <c r="I1054" s="11">
        <v>90.0</v>
      </c>
      <c r="J1054" s="138" t="s">
        <v>1589</v>
      </c>
      <c r="K1054" s="138"/>
      <c r="L1054" s="138"/>
      <c r="M1054" s="138"/>
      <c r="N1054" s="11"/>
      <c r="O1054" s="163"/>
      <c r="P1054" s="139">
        <v>8100.0</v>
      </c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</row>
    <row r="1055">
      <c r="A1055" s="2"/>
      <c r="B1055" s="18"/>
      <c r="C1055" s="11" t="s">
        <v>3625</v>
      </c>
      <c r="D1055" s="11" t="s">
        <v>1586</v>
      </c>
      <c r="E1055" s="32" t="s">
        <v>3626</v>
      </c>
      <c r="F1055" s="11"/>
      <c r="G1055" s="11" t="s">
        <v>1582</v>
      </c>
      <c r="H1055" s="11" t="s">
        <v>3602</v>
      </c>
      <c r="I1055" s="11">
        <v>90.0</v>
      </c>
      <c r="J1055" s="138" t="s">
        <v>1589</v>
      </c>
      <c r="K1055" s="138"/>
      <c r="L1055" s="138"/>
      <c r="M1055" s="138"/>
      <c r="N1055" s="11"/>
      <c r="O1055" s="163"/>
      <c r="P1055" s="139">
        <v>8700.0</v>
      </c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</row>
    <row r="1056">
      <c r="A1056" s="2"/>
      <c r="B1056" s="18"/>
      <c r="C1056" s="11" t="s">
        <v>3627</v>
      </c>
      <c r="D1056" s="11" t="s">
        <v>1586</v>
      </c>
      <c r="E1056" s="32" t="s">
        <v>3628</v>
      </c>
      <c r="F1056" s="11"/>
      <c r="G1056" s="11" t="s">
        <v>1582</v>
      </c>
      <c r="H1056" s="11" t="s">
        <v>3602</v>
      </c>
      <c r="I1056" s="11">
        <v>180.0</v>
      </c>
      <c r="J1056" s="138" t="s">
        <v>1589</v>
      </c>
      <c r="K1056" s="138"/>
      <c r="L1056" s="138"/>
      <c r="M1056" s="138"/>
      <c r="N1056" s="11">
        <v>50.0</v>
      </c>
      <c r="O1056" s="163" t="s">
        <v>1554</v>
      </c>
      <c r="P1056" s="139">
        <v>5700.0</v>
      </c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</row>
    <row r="1057">
      <c r="A1057" s="2"/>
      <c r="B1057" s="18"/>
      <c r="C1057" s="11" t="s">
        <v>3629</v>
      </c>
      <c r="D1057" s="11" t="s">
        <v>1586</v>
      </c>
      <c r="E1057" s="32" t="s">
        <v>3630</v>
      </c>
      <c r="F1057" s="11"/>
      <c r="G1057" s="11" t="s">
        <v>1582</v>
      </c>
      <c r="H1057" s="11" t="s">
        <v>3602</v>
      </c>
      <c r="I1057" s="11">
        <v>90.0</v>
      </c>
      <c r="J1057" s="138" t="s">
        <v>1589</v>
      </c>
      <c r="K1057" s="138"/>
      <c r="L1057" s="138"/>
      <c r="M1057" s="138"/>
      <c r="N1057" s="11"/>
      <c r="O1057" s="163"/>
      <c r="P1057" s="139">
        <v>10800.0</v>
      </c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</row>
    <row r="1058">
      <c r="A1058" s="2"/>
      <c r="B1058" s="18"/>
      <c r="C1058" s="11" t="s">
        <v>3631</v>
      </c>
      <c r="D1058" s="11" t="s">
        <v>1586</v>
      </c>
      <c r="E1058" s="32" t="s">
        <v>3632</v>
      </c>
      <c r="F1058" s="11"/>
      <c r="G1058" s="11" t="s">
        <v>1582</v>
      </c>
      <c r="H1058" s="11" t="s">
        <v>3602</v>
      </c>
      <c r="I1058" s="11">
        <v>180.0</v>
      </c>
      <c r="J1058" s="138" t="s">
        <v>1589</v>
      </c>
      <c r="K1058" s="138"/>
      <c r="L1058" s="138"/>
      <c r="M1058" s="138"/>
      <c r="N1058" s="11"/>
      <c r="O1058" s="163"/>
      <c r="P1058" s="139">
        <v>7000.0</v>
      </c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</row>
    <row r="1059">
      <c r="A1059" s="2"/>
      <c r="B1059" s="18"/>
      <c r="C1059" s="11" t="s">
        <v>3633</v>
      </c>
      <c r="D1059" s="11" t="s">
        <v>1586</v>
      </c>
      <c r="E1059" s="32" t="s">
        <v>3634</v>
      </c>
      <c r="F1059" s="11"/>
      <c r="G1059" s="11" t="s">
        <v>1582</v>
      </c>
      <c r="H1059" s="11" t="s">
        <v>3602</v>
      </c>
      <c r="I1059" s="11">
        <v>180.0</v>
      </c>
      <c r="J1059" s="138" t="s">
        <v>1589</v>
      </c>
      <c r="K1059" s="138"/>
      <c r="L1059" s="138"/>
      <c r="M1059" s="138"/>
      <c r="N1059" s="11"/>
      <c r="O1059" s="163"/>
      <c r="P1059" s="139">
        <f>(MIN(P1058, P1060) / 2) + MAX(P1058, P1060)</f>
        <v>13100</v>
      </c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</row>
    <row r="1060">
      <c r="A1060" s="2"/>
      <c r="B1060" s="18"/>
      <c r="C1060" s="11" t="s">
        <v>3635</v>
      </c>
      <c r="D1060" s="11" t="s">
        <v>1586</v>
      </c>
      <c r="E1060" s="32" t="s">
        <v>3636</v>
      </c>
      <c r="F1060" s="11"/>
      <c r="G1060" s="11" t="s">
        <v>1582</v>
      </c>
      <c r="H1060" s="11" t="s">
        <v>3602</v>
      </c>
      <c r="I1060" s="11">
        <v>180.0</v>
      </c>
      <c r="J1060" s="138" t="s">
        <v>1589</v>
      </c>
      <c r="K1060" s="138"/>
      <c r="L1060" s="138"/>
      <c r="M1060" s="138"/>
      <c r="N1060" s="11"/>
      <c r="O1060" s="163"/>
      <c r="P1060" s="139">
        <v>9600.0</v>
      </c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</row>
    <row r="1061">
      <c r="A1061" s="2"/>
      <c r="B1061" s="18"/>
      <c r="C1061" s="11" t="s">
        <v>3637</v>
      </c>
      <c r="D1061" s="11" t="s">
        <v>1586</v>
      </c>
      <c r="E1061" s="32" t="s">
        <v>3638</v>
      </c>
      <c r="F1061" s="11"/>
      <c r="G1061" s="11" t="s">
        <v>1582</v>
      </c>
      <c r="H1061" s="11" t="s">
        <v>3602</v>
      </c>
      <c r="I1061" s="11">
        <v>90.0</v>
      </c>
      <c r="J1061" s="138" t="s">
        <v>1589</v>
      </c>
      <c r="K1061" s="138"/>
      <c r="L1061" s="138"/>
      <c r="M1061" s="138"/>
      <c r="N1061" s="11"/>
      <c r="O1061" s="163"/>
      <c r="P1061" s="139">
        <v>9800.0</v>
      </c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</row>
    <row r="1062">
      <c r="A1062" s="2"/>
      <c r="B1062" s="18"/>
      <c r="C1062" s="11" t="s">
        <v>3639</v>
      </c>
      <c r="D1062" s="11" t="s">
        <v>1586</v>
      </c>
      <c r="E1062" s="32" t="s">
        <v>3640</v>
      </c>
      <c r="F1062" s="11"/>
      <c r="G1062" s="11" t="s">
        <v>1582</v>
      </c>
      <c r="H1062" s="11" t="s">
        <v>3602</v>
      </c>
      <c r="I1062" s="11">
        <v>90.0</v>
      </c>
      <c r="J1062" s="138" t="s">
        <v>1589</v>
      </c>
      <c r="K1062" s="138"/>
      <c r="L1062" s="138"/>
      <c r="M1062" s="138"/>
      <c r="N1062" s="11"/>
      <c r="O1062" s="163"/>
      <c r="P1062" s="139">
        <v>8000.0</v>
      </c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</row>
    <row r="1063">
      <c r="A1063" s="2"/>
      <c r="B1063" s="18"/>
      <c r="C1063" s="11" t="s">
        <v>3641</v>
      </c>
      <c r="D1063" s="11" t="s">
        <v>1586</v>
      </c>
      <c r="E1063" s="32" t="s">
        <v>3642</v>
      </c>
      <c r="F1063" s="11"/>
      <c r="G1063" s="11" t="s">
        <v>1582</v>
      </c>
      <c r="H1063" s="11" t="s">
        <v>3602</v>
      </c>
      <c r="I1063" s="11">
        <v>90.0</v>
      </c>
      <c r="J1063" s="138" t="s">
        <v>1589</v>
      </c>
      <c r="K1063" s="138"/>
      <c r="L1063" s="138"/>
      <c r="M1063" s="138"/>
      <c r="N1063" s="11"/>
      <c r="O1063" s="163"/>
      <c r="P1063" s="139">
        <v>8000.0</v>
      </c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</row>
    <row r="1064">
      <c r="A1064" s="2"/>
      <c r="B1064" s="18"/>
      <c r="C1064" s="11" t="s">
        <v>3643</v>
      </c>
      <c r="D1064" s="11" t="s">
        <v>1586</v>
      </c>
      <c r="E1064" s="32" t="s">
        <v>3644</v>
      </c>
      <c r="F1064" s="11"/>
      <c r="G1064" s="11" t="s">
        <v>1582</v>
      </c>
      <c r="H1064" s="11" t="s">
        <v>3602</v>
      </c>
      <c r="I1064" s="11">
        <v>90.0</v>
      </c>
      <c r="J1064" s="138" t="s">
        <v>1589</v>
      </c>
      <c r="K1064" s="138"/>
      <c r="L1064" s="138"/>
      <c r="M1064" s="138"/>
      <c r="N1064" s="11"/>
      <c r="O1064" s="163"/>
      <c r="P1064" s="139">
        <v>8600.0</v>
      </c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</row>
    <row r="1065">
      <c r="A1065" s="2"/>
      <c r="B1065" s="18"/>
      <c r="C1065" s="11" t="s">
        <v>3645</v>
      </c>
      <c r="D1065" s="11" t="s">
        <v>1586</v>
      </c>
      <c r="E1065" s="32" t="s">
        <v>3646</v>
      </c>
      <c r="F1065" s="11"/>
      <c r="G1065" s="11" t="s">
        <v>1582</v>
      </c>
      <c r="H1065" s="11" t="s">
        <v>3602</v>
      </c>
      <c r="I1065" s="11">
        <v>90.0</v>
      </c>
      <c r="J1065" s="138" t="s">
        <v>1589</v>
      </c>
      <c r="K1065" s="138"/>
      <c r="L1065" s="138"/>
      <c r="M1065" s="138"/>
      <c r="N1065" s="11"/>
      <c r="O1065" s="163"/>
      <c r="P1065" s="139">
        <v>8800.0</v>
      </c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</row>
    <row r="1066">
      <c r="A1066" s="2"/>
      <c r="B1066" s="18"/>
      <c r="C1066" s="11" t="s">
        <v>3647</v>
      </c>
      <c r="D1066" s="11" t="s">
        <v>1586</v>
      </c>
      <c r="E1066" s="32" t="s">
        <v>3648</v>
      </c>
      <c r="F1066" s="11"/>
      <c r="G1066" s="11" t="s">
        <v>1582</v>
      </c>
      <c r="H1066" s="11" t="s">
        <v>3602</v>
      </c>
      <c r="I1066" s="11">
        <v>90.0</v>
      </c>
      <c r="J1066" s="138" t="s">
        <v>1589</v>
      </c>
      <c r="K1066" s="138"/>
      <c r="L1066" s="138"/>
      <c r="M1066" s="138"/>
      <c r="N1066" s="11"/>
      <c r="O1066" s="163"/>
      <c r="P1066" s="139">
        <v>12800.0</v>
      </c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</row>
    <row r="1067">
      <c r="A1067" s="2"/>
      <c r="B1067" s="18"/>
      <c r="C1067" s="11" t="s">
        <v>3649</v>
      </c>
      <c r="D1067" s="11" t="s">
        <v>1586</v>
      </c>
      <c r="E1067" s="32" t="s">
        <v>3650</v>
      </c>
      <c r="F1067" s="11"/>
      <c r="G1067" s="11" t="s">
        <v>1582</v>
      </c>
      <c r="H1067" s="11" t="s">
        <v>3602</v>
      </c>
      <c r="I1067" s="11">
        <v>90.0</v>
      </c>
      <c r="J1067" s="138" t="s">
        <v>1589</v>
      </c>
      <c r="K1067" s="138"/>
      <c r="L1067" s="138"/>
      <c r="M1067" s="138"/>
      <c r="N1067" s="11"/>
      <c r="O1067" s="163"/>
      <c r="P1067" s="139">
        <v>10300.0</v>
      </c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</row>
    <row r="1068">
      <c r="A1068" s="2"/>
      <c r="B1068" s="18"/>
      <c r="C1068" s="11" t="s">
        <v>3651</v>
      </c>
      <c r="D1068" s="11" t="s">
        <v>1586</v>
      </c>
      <c r="E1068" s="32" t="s">
        <v>3652</v>
      </c>
      <c r="F1068" s="11"/>
      <c r="G1068" s="11" t="s">
        <v>1582</v>
      </c>
      <c r="H1068" s="11" t="s">
        <v>3602</v>
      </c>
      <c r="I1068" s="11">
        <v>90.0</v>
      </c>
      <c r="J1068" s="138" t="s">
        <v>1589</v>
      </c>
      <c r="K1068" s="138"/>
      <c r="L1068" s="138"/>
      <c r="M1068" s="138"/>
      <c r="N1068" s="11"/>
      <c r="O1068" s="163"/>
      <c r="P1068" s="139">
        <v>8800.0</v>
      </c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</row>
    <row r="1069">
      <c r="A1069" s="2"/>
      <c r="B1069" s="35"/>
      <c r="C1069" s="36" t="s">
        <v>3653</v>
      </c>
      <c r="D1069" s="36" t="s">
        <v>1586</v>
      </c>
      <c r="E1069" s="158" t="s">
        <v>3654</v>
      </c>
      <c r="F1069" s="36"/>
      <c r="G1069" s="36" t="s">
        <v>1582</v>
      </c>
      <c r="H1069" s="36" t="s">
        <v>3602</v>
      </c>
      <c r="I1069" s="36">
        <v>90.0</v>
      </c>
      <c r="J1069" s="141" t="s">
        <v>1589</v>
      </c>
      <c r="K1069" s="141"/>
      <c r="L1069" s="141"/>
      <c r="M1069" s="141"/>
      <c r="N1069" s="36"/>
      <c r="O1069" s="164"/>
      <c r="P1069" s="142">
        <v>9300.0</v>
      </c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</row>
    <row r="1070">
      <c r="A1070" s="2"/>
      <c r="B1070" s="147" t="s">
        <v>360</v>
      </c>
      <c r="C1070" s="42" t="s">
        <v>3655</v>
      </c>
      <c r="D1070" s="42" t="s">
        <v>1586</v>
      </c>
      <c r="E1070" s="165" t="s">
        <v>3656</v>
      </c>
      <c r="F1070" s="42"/>
      <c r="G1070" s="42" t="s">
        <v>1582</v>
      </c>
      <c r="H1070" s="42" t="s">
        <v>3657</v>
      </c>
      <c r="I1070" s="42">
        <v>0.0</v>
      </c>
      <c r="J1070" s="149" t="s">
        <v>1589</v>
      </c>
      <c r="K1070" s="149"/>
      <c r="L1070" s="149"/>
      <c r="M1070" s="149"/>
      <c r="N1070" s="42"/>
      <c r="O1070" s="162"/>
      <c r="P1070" s="136">
        <v>1.0</v>
      </c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</row>
    <row r="1071">
      <c r="A1071" s="2"/>
      <c r="B1071" s="18"/>
      <c r="C1071" s="11" t="s">
        <v>3658</v>
      </c>
      <c r="D1071" s="11" t="s">
        <v>1586</v>
      </c>
      <c r="E1071" s="32" t="s">
        <v>3659</v>
      </c>
      <c r="F1071" s="11"/>
      <c r="G1071" s="11" t="s">
        <v>1582</v>
      </c>
      <c r="H1071" s="11" t="s">
        <v>3657</v>
      </c>
      <c r="I1071" s="11">
        <v>0.0</v>
      </c>
      <c r="J1071" s="138" t="s">
        <v>1589</v>
      </c>
      <c r="K1071" s="138"/>
      <c r="L1071" s="138"/>
      <c r="M1071" s="138"/>
      <c r="N1071" s="11">
        <v>30.0</v>
      </c>
      <c r="O1071" s="163" t="s">
        <v>1554</v>
      </c>
      <c r="P1071" s="139">
        <v>1900.0</v>
      </c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</row>
    <row r="1072">
      <c r="A1072" s="2"/>
      <c r="B1072" s="18"/>
      <c r="C1072" s="11" t="s">
        <v>3660</v>
      </c>
      <c r="D1072" s="11" t="s">
        <v>1586</v>
      </c>
      <c r="E1072" s="32" t="s">
        <v>3661</v>
      </c>
      <c r="F1072" s="11"/>
      <c r="G1072" s="11" t="s">
        <v>1582</v>
      </c>
      <c r="H1072" s="11" t="s">
        <v>3657</v>
      </c>
      <c r="I1072" s="11">
        <v>0.0</v>
      </c>
      <c r="J1072" s="138" t="s">
        <v>1589</v>
      </c>
      <c r="K1072" s="138"/>
      <c r="L1072" s="138"/>
      <c r="M1072" s="138"/>
      <c r="N1072" s="11">
        <v>30.0</v>
      </c>
      <c r="O1072" s="163" t="s">
        <v>1554</v>
      </c>
      <c r="P1072" s="139">
        <v>1900.0</v>
      </c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</row>
    <row r="1073">
      <c r="A1073" s="2"/>
      <c r="B1073" s="18"/>
      <c r="C1073" s="11" t="s">
        <v>3662</v>
      </c>
      <c r="D1073" s="11" t="s">
        <v>1586</v>
      </c>
      <c r="E1073" s="32" t="s">
        <v>3663</v>
      </c>
      <c r="F1073" s="11"/>
      <c r="G1073" s="11" t="s">
        <v>1582</v>
      </c>
      <c r="H1073" s="11" t="s">
        <v>3657</v>
      </c>
      <c r="I1073" s="11">
        <v>0.0</v>
      </c>
      <c r="J1073" s="138" t="s">
        <v>1589</v>
      </c>
      <c r="K1073" s="138"/>
      <c r="L1073" s="138"/>
      <c r="M1073" s="138"/>
      <c r="N1073" s="11"/>
      <c r="O1073" s="163"/>
      <c r="P1073" s="139">
        <v>700.0</v>
      </c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</row>
    <row r="1074">
      <c r="A1074" s="2"/>
      <c r="B1074" s="18"/>
      <c r="C1074" s="11" t="s">
        <v>3664</v>
      </c>
      <c r="D1074" s="11" t="s">
        <v>1586</v>
      </c>
      <c r="E1074" s="32" t="s">
        <v>3665</v>
      </c>
      <c r="F1074" s="11"/>
      <c r="G1074" s="11" t="s">
        <v>1582</v>
      </c>
      <c r="H1074" s="11" t="s">
        <v>3657</v>
      </c>
      <c r="I1074" s="11">
        <v>0.0</v>
      </c>
      <c r="J1074" s="138" t="s">
        <v>1589</v>
      </c>
      <c r="K1074" s="138"/>
      <c r="L1074" s="138"/>
      <c r="M1074" s="138"/>
      <c r="N1074" s="11"/>
      <c r="O1074" s="163"/>
      <c r="P1074" s="139">
        <v>7800.0</v>
      </c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>
      <c r="A1075" s="2"/>
      <c r="B1075" s="18"/>
      <c r="C1075" s="11" t="s">
        <v>3666</v>
      </c>
      <c r="D1075" s="11" t="s">
        <v>1586</v>
      </c>
      <c r="E1075" s="32" t="s">
        <v>3667</v>
      </c>
      <c r="F1075" s="11"/>
      <c r="G1075" s="11" t="s">
        <v>1582</v>
      </c>
      <c r="H1075" s="11" t="s">
        <v>3657</v>
      </c>
      <c r="I1075" s="11">
        <v>180.0</v>
      </c>
      <c r="J1075" s="138" t="s">
        <v>1589</v>
      </c>
      <c r="K1075" s="138"/>
      <c r="L1075" s="138"/>
      <c r="M1075" s="138"/>
      <c r="N1075" s="11"/>
      <c r="O1075" s="163"/>
      <c r="P1075" s="139">
        <v>9800.0</v>
      </c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</row>
    <row r="1076">
      <c r="A1076" s="2"/>
      <c r="B1076" s="18"/>
      <c r="C1076" s="11" t="s">
        <v>3668</v>
      </c>
      <c r="D1076" s="11" t="s">
        <v>1586</v>
      </c>
      <c r="E1076" s="32" t="s">
        <v>3669</v>
      </c>
      <c r="F1076" s="11"/>
      <c r="G1076" s="11" t="s">
        <v>1582</v>
      </c>
      <c r="H1076" s="11" t="s">
        <v>3657</v>
      </c>
      <c r="I1076" s="11">
        <v>180.0</v>
      </c>
      <c r="J1076" s="138" t="s">
        <v>1589</v>
      </c>
      <c r="K1076" s="138"/>
      <c r="L1076" s="138"/>
      <c r="M1076" s="138"/>
      <c r="N1076" s="11"/>
      <c r="O1076" s="163"/>
      <c r="P1076" s="139">
        <v>0.0</v>
      </c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</row>
    <row r="1077">
      <c r="A1077" s="2"/>
      <c r="B1077" s="18"/>
      <c r="C1077" s="11" t="s">
        <v>3670</v>
      </c>
      <c r="D1077" s="11" t="s">
        <v>1586</v>
      </c>
      <c r="E1077" s="32" t="s">
        <v>3671</v>
      </c>
      <c r="F1077" s="11"/>
      <c r="G1077" s="11" t="s">
        <v>1582</v>
      </c>
      <c r="H1077" s="11" t="s">
        <v>3657</v>
      </c>
      <c r="I1077" s="11">
        <v>90.0</v>
      </c>
      <c r="J1077" s="138" t="s">
        <v>1589</v>
      </c>
      <c r="K1077" s="138"/>
      <c r="L1077" s="138"/>
      <c r="M1077" s="138"/>
      <c r="N1077" s="11"/>
      <c r="O1077" s="163"/>
      <c r="P1077" s="139">
        <v>10300.0</v>
      </c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</row>
    <row r="1078">
      <c r="A1078" s="2"/>
      <c r="B1078" s="18"/>
      <c r="C1078" s="11" t="s">
        <v>3672</v>
      </c>
      <c r="D1078" s="11" t="s">
        <v>1586</v>
      </c>
      <c r="E1078" s="32" t="s">
        <v>3673</v>
      </c>
      <c r="F1078" s="11"/>
      <c r="G1078" s="11" t="s">
        <v>1582</v>
      </c>
      <c r="H1078" s="11" t="s">
        <v>3657</v>
      </c>
      <c r="I1078" s="11">
        <v>90.0</v>
      </c>
      <c r="J1078" s="138" t="s">
        <v>1589</v>
      </c>
      <c r="K1078" s="138"/>
      <c r="L1078" s="138"/>
      <c r="M1078" s="138"/>
      <c r="N1078" s="11"/>
      <c r="O1078" s="163"/>
      <c r="P1078" s="139">
        <v>8100.0</v>
      </c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</row>
    <row r="1079">
      <c r="A1079" s="2"/>
      <c r="B1079" s="18"/>
      <c r="C1079" s="11" t="s">
        <v>3674</v>
      </c>
      <c r="D1079" s="11" t="s">
        <v>1586</v>
      </c>
      <c r="E1079" s="32" t="s">
        <v>3675</v>
      </c>
      <c r="F1079" s="11"/>
      <c r="G1079" s="11" t="s">
        <v>1582</v>
      </c>
      <c r="H1079" s="11" t="s">
        <v>3657</v>
      </c>
      <c r="I1079" s="11">
        <v>90.0</v>
      </c>
      <c r="J1079" s="138" t="s">
        <v>1589</v>
      </c>
      <c r="K1079" s="138"/>
      <c r="L1079" s="138"/>
      <c r="M1079" s="138"/>
      <c r="N1079" s="11"/>
      <c r="O1079" s="163"/>
      <c r="P1079" s="139">
        <v>7700.0</v>
      </c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</row>
    <row r="1080">
      <c r="A1080" s="2"/>
      <c r="B1080" s="18"/>
      <c r="C1080" s="11" t="s">
        <v>3676</v>
      </c>
      <c r="D1080" s="11" t="s">
        <v>1586</v>
      </c>
      <c r="E1080" s="32" t="s">
        <v>3677</v>
      </c>
      <c r="F1080" s="11"/>
      <c r="G1080" s="11" t="s">
        <v>1582</v>
      </c>
      <c r="H1080" s="11" t="s">
        <v>3657</v>
      </c>
      <c r="I1080" s="11">
        <v>90.0</v>
      </c>
      <c r="J1080" s="138" t="s">
        <v>1589</v>
      </c>
      <c r="K1080" s="138"/>
      <c r="L1080" s="138"/>
      <c r="M1080" s="138"/>
      <c r="N1080" s="11">
        <v>20.0</v>
      </c>
      <c r="O1080" s="163" t="s">
        <v>1554</v>
      </c>
      <c r="P1080" s="139">
        <v>1.0</v>
      </c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</row>
    <row r="1081">
      <c r="A1081" s="2"/>
      <c r="B1081" s="18"/>
      <c r="C1081" s="11" t="s">
        <v>3678</v>
      </c>
      <c r="D1081" s="11" t="s">
        <v>1586</v>
      </c>
      <c r="E1081" s="32" t="s">
        <v>3679</v>
      </c>
      <c r="F1081" s="11"/>
      <c r="G1081" s="11" t="s">
        <v>1582</v>
      </c>
      <c r="H1081" s="11" t="s">
        <v>3657</v>
      </c>
      <c r="I1081" s="11">
        <v>90.0</v>
      </c>
      <c r="J1081" s="138" t="s">
        <v>1589</v>
      </c>
      <c r="K1081" s="138"/>
      <c r="L1081" s="138"/>
      <c r="M1081" s="138"/>
      <c r="N1081" s="11"/>
      <c r="O1081" s="163"/>
      <c r="P1081" s="139">
        <v>8100.0</v>
      </c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</row>
    <row r="1082">
      <c r="A1082" s="2"/>
      <c r="B1082" s="18"/>
      <c r="C1082" s="11" t="s">
        <v>3680</v>
      </c>
      <c r="D1082" s="11" t="s">
        <v>1586</v>
      </c>
      <c r="E1082" s="32" t="s">
        <v>3681</v>
      </c>
      <c r="F1082" s="11"/>
      <c r="G1082" s="11" t="s">
        <v>1582</v>
      </c>
      <c r="H1082" s="11" t="s">
        <v>3657</v>
      </c>
      <c r="I1082" s="11">
        <v>90.0</v>
      </c>
      <c r="J1082" s="138" t="s">
        <v>1589</v>
      </c>
      <c r="K1082" s="138"/>
      <c r="L1082" s="138"/>
      <c r="M1082" s="138"/>
      <c r="N1082" s="11"/>
      <c r="O1082" s="163"/>
      <c r="P1082" s="139">
        <v>8700.0</v>
      </c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</row>
    <row r="1083">
      <c r="A1083" s="2"/>
      <c r="B1083" s="18"/>
      <c r="C1083" s="11" t="s">
        <v>3682</v>
      </c>
      <c r="D1083" s="11" t="s">
        <v>1586</v>
      </c>
      <c r="E1083" s="32" t="s">
        <v>3683</v>
      </c>
      <c r="F1083" s="11"/>
      <c r="G1083" s="11" t="s">
        <v>1582</v>
      </c>
      <c r="H1083" s="11" t="s">
        <v>3657</v>
      </c>
      <c r="I1083" s="11">
        <v>180.0</v>
      </c>
      <c r="J1083" s="138" t="s">
        <v>1589</v>
      </c>
      <c r="K1083" s="138"/>
      <c r="L1083" s="138"/>
      <c r="M1083" s="138"/>
      <c r="N1083" s="11">
        <v>50.0</v>
      </c>
      <c r="O1083" s="163" t="s">
        <v>1554</v>
      </c>
      <c r="P1083" s="139">
        <v>5700.0</v>
      </c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</row>
    <row r="1084">
      <c r="A1084" s="2"/>
      <c r="B1084" s="18"/>
      <c r="C1084" s="11" t="s">
        <v>3684</v>
      </c>
      <c r="D1084" s="11" t="s">
        <v>1586</v>
      </c>
      <c r="E1084" s="32" t="s">
        <v>3685</v>
      </c>
      <c r="F1084" s="11"/>
      <c r="G1084" s="11" t="s">
        <v>1582</v>
      </c>
      <c r="H1084" s="11" t="s">
        <v>3657</v>
      </c>
      <c r="I1084" s="11">
        <v>90.0</v>
      </c>
      <c r="J1084" s="138" t="s">
        <v>1589</v>
      </c>
      <c r="K1084" s="138"/>
      <c r="L1084" s="138"/>
      <c r="M1084" s="138"/>
      <c r="N1084" s="11"/>
      <c r="O1084" s="163"/>
      <c r="P1084" s="139">
        <v>10800.0</v>
      </c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</row>
    <row r="1085">
      <c r="A1085" s="2"/>
      <c r="B1085" s="18"/>
      <c r="C1085" s="11" t="s">
        <v>3686</v>
      </c>
      <c r="D1085" s="11" t="s">
        <v>1586</v>
      </c>
      <c r="E1085" s="32" t="s">
        <v>3687</v>
      </c>
      <c r="F1085" s="11"/>
      <c r="G1085" s="11" t="s">
        <v>1582</v>
      </c>
      <c r="H1085" s="11" t="s">
        <v>3657</v>
      </c>
      <c r="I1085" s="11">
        <v>180.0</v>
      </c>
      <c r="J1085" s="138" t="s">
        <v>1589</v>
      </c>
      <c r="K1085" s="138"/>
      <c r="L1085" s="138"/>
      <c r="M1085" s="138"/>
      <c r="N1085" s="11"/>
      <c r="O1085" s="163"/>
      <c r="P1085" s="139">
        <v>7000.0</v>
      </c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</row>
    <row r="1086">
      <c r="A1086" s="2"/>
      <c r="B1086" s="18"/>
      <c r="C1086" s="11" t="s">
        <v>3688</v>
      </c>
      <c r="D1086" s="11" t="s">
        <v>1586</v>
      </c>
      <c r="E1086" s="32" t="s">
        <v>3689</v>
      </c>
      <c r="F1086" s="11"/>
      <c r="G1086" s="11" t="s">
        <v>1582</v>
      </c>
      <c r="H1086" s="11" t="s">
        <v>3657</v>
      </c>
      <c r="I1086" s="11">
        <v>180.0</v>
      </c>
      <c r="J1086" s="138" t="s">
        <v>1589</v>
      </c>
      <c r="K1086" s="138"/>
      <c r="L1086" s="138"/>
      <c r="M1086" s="138"/>
      <c r="N1086" s="11"/>
      <c r="O1086" s="163"/>
      <c r="P1086" s="139">
        <f>(MIN(P1085, P1087) / 2) + MAX(P1085, P1087)</f>
        <v>13100</v>
      </c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</row>
    <row r="1087">
      <c r="A1087" s="2"/>
      <c r="B1087" s="18"/>
      <c r="C1087" s="11" t="s">
        <v>3690</v>
      </c>
      <c r="D1087" s="11" t="s">
        <v>1586</v>
      </c>
      <c r="E1087" s="32" t="s">
        <v>3691</v>
      </c>
      <c r="F1087" s="11"/>
      <c r="G1087" s="11" t="s">
        <v>1582</v>
      </c>
      <c r="H1087" s="11" t="s">
        <v>3657</v>
      </c>
      <c r="I1087" s="11">
        <v>180.0</v>
      </c>
      <c r="J1087" s="138" t="s">
        <v>1589</v>
      </c>
      <c r="K1087" s="138"/>
      <c r="L1087" s="138"/>
      <c r="M1087" s="138"/>
      <c r="N1087" s="11"/>
      <c r="O1087" s="163"/>
      <c r="P1087" s="139">
        <v>9600.0</v>
      </c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</row>
    <row r="1088">
      <c r="A1088" s="2"/>
      <c r="B1088" s="18"/>
      <c r="C1088" s="11" t="s">
        <v>3692</v>
      </c>
      <c r="D1088" s="11" t="s">
        <v>1586</v>
      </c>
      <c r="E1088" s="32" t="s">
        <v>3693</v>
      </c>
      <c r="F1088" s="11"/>
      <c r="G1088" s="11" t="s">
        <v>1582</v>
      </c>
      <c r="H1088" s="11" t="s">
        <v>3657</v>
      </c>
      <c r="I1088" s="11">
        <v>90.0</v>
      </c>
      <c r="J1088" s="138" t="s">
        <v>1589</v>
      </c>
      <c r="K1088" s="138"/>
      <c r="L1088" s="138"/>
      <c r="M1088" s="138"/>
      <c r="N1088" s="11"/>
      <c r="O1088" s="163"/>
      <c r="P1088" s="139">
        <v>9800.0</v>
      </c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</row>
    <row r="1089">
      <c r="A1089" s="2"/>
      <c r="B1089" s="18"/>
      <c r="C1089" s="11" t="s">
        <v>3694</v>
      </c>
      <c r="D1089" s="11" t="s">
        <v>1586</v>
      </c>
      <c r="E1089" s="32" t="s">
        <v>3695</v>
      </c>
      <c r="F1089" s="11"/>
      <c r="G1089" s="11" t="s">
        <v>1582</v>
      </c>
      <c r="H1089" s="11" t="s">
        <v>3657</v>
      </c>
      <c r="I1089" s="11">
        <v>90.0</v>
      </c>
      <c r="J1089" s="138" t="s">
        <v>1589</v>
      </c>
      <c r="K1089" s="138"/>
      <c r="L1089" s="138"/>
      <c r="M1089" s="138"/>
      <c r="N1089" s="11"/>
      <c r="O1089" s="163"/>
      <c r="P1089" s="139">
        <v>8000.0</v>
      </c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</row>
    <row r="1090">
      <c r="A1090" s="2"/>
      <c r="B1090" s="18"/>
      <c r="C1090" s="11" t="s">
        <v>3696</v>
      </c>
      <c r="D1090" s="11" t="s">
        <v>1586</v>
      </c>
      <c r="E1090" s="32" t="s">
        <v>3697</v>
      </c>
      <c r="F1090" s="11"/>
      <c r="G1090" s="11" t="s">
        <v>1582</v>
      </c>
      <c r="H1090" s="11" t="s">
        <v>3657</v>
      </c>
      <c r="I1090" s="11">
        <v>90.0</v>
      </c>
      <c r="J1090" s="138" t="s">
        <v>1589</v>
      </c>
      <c r="K1090" s="138"/>
      <c r="L1090" s="138"/>
      <c r="M1090" s="138"/>
      <c r="N1090" s="11"/>
      <c r="O1090" s="163"/>
      <c r="P1090" s="139">
        <v>8000.0</v>
      </c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</row>
    <row r="1091">
      <c r="A1091" s="2"/>
      <c r="B1091" s="18"/>
      <c r="C1091" s="11" t="s">
        <v>3698</v>
      </c>
      <c r="D1091" s="11" t="s">
        <v>1586</v>
      </c>
      <c r="E1091" s="32" t="s">
        <v>3699</v>
      </c>
      <c r="F1091" s="11"/>
      <c r="G1091" s="11" t="s">
        <v>1582</v>
      </c>
      <c r="H1091" s="11" t="s">
        <v>3657</v>
      </c>
      <c r="I1091" s="11">
        <v>90.0</v>
      </c>
      <c r="J1091" s="138" t="s">
        <v>1589</v>
      </c>
      <c r="K1091" s="138"/>
      <c r="L1091" s="138"/>
      <c r="M1091" s="138"/>
      <c r="N1091" s="11"/>
      <c r="O1091" s="163"/>
      <c r="P1091" s="139">
        <v>8600.0</v>
      </c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</row>
    <row r="1092">
      <c r="A1092" s="2"/>
      <c r="B1092" s="18"/>
      <c r="C1092" s="11" t="s">
        <v>3700</v>
      </c>
      <c r="D1092" s="11" t="s">
        <v>1586</v>
      </c>
      <c r="E1092" s="32" t="s">
        <v>3701</v>
      </c>
      <c r="F1092" s="11"/>
      <c r="G1092" s="11" t="s">
        <v>1582</v>
      </c>
      <c r="H1092" s="11" t="s">
        <v>3657</v>
      </c>
      <c r="I1092" s="11">
        <v>90.0</v>
      </c>
      <c r="J1092" s="138" t="s">
        <v>1589</v>
      </c>
      <c r="K1092" s="138"/>
      <c r="L1092" s="138"/>
      <c r="M1092" s="138"/>
      <c r="N1092" s="11"/>
      <c r="O1092" s="163"/>
      <c r="P1092" s="139">
        <v>8800.0</v>
      </c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</row>
    <row r="1093">
      <c r="A1093" s="2"/>
      <c r="B1093" s="18"/>
      <c r="C1093" s="11" t="s">
        <v>3702</v>
      </c>
      <c r="D1093" s="11" t="s">
        <v>1586</v>
      </c>
      <c r="E1093" s="32" t="s">
        <v>3703</v>
      </c>
      <c r="F1093" s="11"/>
      <c r="G1093" s="11" t="s">
        <v>1582</v>
      </c>
      <c r="H1093" s="11" t="s">
        <v>3657</v>
      </c>
      <c r="I1093" s="11">
        <v>90.0</v>
      </c>
      <c r="J1093" s="138" t="s">
        <v>1589</v>
      </c>
      <c r="K1093" s="138"/>
      <c r="L1093" s="138"/>
      <c r="M1093" s="138"/>
      <c r="N1093" s="11"/>
      <c r="O1093" s="163"/>
      <c r="P1093" s="139">
        <v>12800.0</v>
      </c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</row>
    <row r="1094">
      <c r="A1094" s="2"/>
      <c r="B1094" s="18"/>
      <c r="C1094" s="11" t="s">
        <v>3704</v>
      </c>
      <c r="D1094" s="11" t="s">
        <v>1586</v>
      </c>
      <c r="E1094" s="32" t="s">
        <v>3705</v>
      </c>
      <c r="F1094" s="11"/>
      <c r="G1094" s="11" t="s">
        <v>1582</v>
      </c>
      <c r="H1094" s="11" t="s">
        <v>3657</v>
      </c>
      <c r="I1094" s="11">
        <v>90.0</v>
      </c>
      <c r="J1094" s="138" t="s">
        <v>1589</v>
      </c>
      <c r="K1094" s="138"/>
      <c r="L1094" s="138"/>
      <c r="M1094" s="138"/>
      <c r="N1094" s="11"/>
      <c r="O1094" s="163"/>
      <c r="P1094" s="139">
        <v>10300.0</v>
      </c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</row>
    <row r="1095">
      <c r="A1095" s="2"/>
      <c r="B1095" s="18"/>
      <c r="C1095" s="11" t="s">
        <v>3706</v>
      </c>
      <c r="D1095" s="11" t="s">
        <v>1586</v>
      </c>
      <c r="E1095" s="32" t="s">
        <v>3707</v>
      </c>
      <c r="F1095" s="11"/>
      <c r="G1095" s="11" t="s">
        <v>1582</v>
      </c>
      <c r="H1095" s="11" t="s">
        <v>3657</v>
      </c>
      <c r="I1095" s="11">
        <v>90.0</v>
      </c>
      <c r="J1095" s="138" t="s">
        <v>1589</v>
      </c>
      <c r="K1095" s="138"/>
      <c r="L1095" s="138"/>
      <c r="M1095" s="138"/>
      <c r="N1095" s="11"/>
      <c r="O1095" s="163"/>
      <c r="P1095" s="139">
        <v>8800.0</v>
      </c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</row>
    <row r="1096">
      <c r="A1096" s="2"/>
      <c r="B1096" s="35"/>
      <c r="C1096" s="36" t="s">
        <v>3708</v>
      </c>
      <c r="D1096" s="36" t="s">
        <v>1586</v>
      </c>
      <c r="E1096" s="158" t="s">
        <v>3709</v>
      </c>
      <c r="F1096" s="36"/>
      <c r="G1096" s="36" t="s">
        <v>1582</v>
      </c>
      <c r="H1096" s="36" t="s">
        <v>3657</v>
      </c>
      <c r="I1096" s="36">
        <v>90.0</v>
      </c>
      <c r="J1096" s="141" t="s">
        <v>1589</v>
      </c>
      <c r="K1096" s="141"/>
      <c r="L1096" s="141"/>
      <c r="M1096" s="141"/>
      <c r="N1096" s="36"/>
      <c r="O1096" s="164"/>
      <c r="P1096" s="142">
        <v>9300.0</v>
      </c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</row>
    <row r="1097">
      <c r="A1097" s="2"/>
      <c r="B1097" s="147" t="s">
        <v>367</v>
      </c>
      <c r="C1097" s="42" t="s">
        <v>3710</v>
      </c>
      <c r="D1097" s="42" t="s">
        <v>1586</v>
      </c>
      <c r="E1097" s="165" t="s">
        <v>3711</v>
      </c>
      <c r="F1097" s="42"/>
      <c r="G1097" s="42" t="s">
        <v>1582</v>
      </c>
      <c r="H1097" s="42" t="s">
        <v>3712</v>
      </c>
      <c r="I1097" s="42">
        <v>0.0</v>
      </c>
      <c r="J1097" s="149" t="s">
        <v>1589</v>
      </c>
      <c r="K1097" s="149"/>
      <c r="L1097" s="149"/>
      <c r="M1097" s="149"/>
      <c r="N1097" s="42"/>
      <c r="O1097" s="162"/>
      <c r="P1097" s="136">
        <v>1.0</v>
      </c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</row>
    <row r="1098">
      <c r="A1098" s="2"/>
      <c r="B1098" s="18"/>
      <c r="C1098" s="11" t="s">
        <v>3713</v>
      </c>
      <c r="D1098" s="11" t="s">
        <v>1586</v>
      </c>
      <c r="E1098" s="32" t="s">
        <v>3714</v>
      </c>
      <c r="F1098" s="11"/>
      <c r="G1098" s="11" t="s">
        <v>1582</v>
      </c>
      <c r="H1098" s="11" t="s">
        <v>3712</v>
      </c>
      <c r="I1098" s="11">
        <v>0.0</v>
      </c>
      <c r="J1098" s="138" t="s">
        <v>1589</v>
      </c>
      <c r="K1098" s="138"/>
      <c r="L1098" s="138"/>
      <c r="M1098" s="138"/>
      <c r="N1098" s="11">
        <v>30.0</v>
      </c>
      <c r="O1098" s="163" t="s">
        <v>1554</v>
      </c>
      <c r="P1098" s="139">
        <v>2000.0</v>
      </c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</row>
    <row r="1099">
      <c r="A1099" s="2"/>
      <c r="B1099" s="18"/>
      <c r="C1099" s="11" t="s">
        <v>3715</v>
      </c>
      <c r="D1099" s="11" t="s">
        <v>1586</v>
      </c>
      <c r="E1099" s="32" t="s">
        <v>3716</v>
      </c>
      <c r="F1099" s="11"/>
      <c r="G1099" s="11" t="s">
        <v>1582</v>
      </c>
      <c r="H1099" s="11" t="s">
        <v>3712</v>
      </c>
      <c r="I1099" s="11">
        <v>0.0</v>
      </c>
      <c r="J1099" s="138" t="s">
        <v>1589</v>
      </c>
      <c r="K1099" s="138"/>
      <c r="L1099" s="138"/>
      <c r="M1099" s="138"/>
      <c r="N1099" s="11">
        <v>30.0</v>
      </c>
      <c r="O1099" s="163" t="s">
        <v>1554</v>
      </c>
      <c r="P1099" s="139">
        <v>2000.0</v>
      </c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</row>
    <row r="1100">
      <c r="A1100" s="2"/>
      <c r="B1100" s="18"/>
      <c r="C1100" s="11" t="s">
        <v>3717</v>
      </c>
      <c r="D1100" s="11" t="s">
        <v>1586</v>
      </c>
      <c r="E1100" s="32" t="s">
        <v>3718</v>
      </c>
      <c r="F1100" s="11"/>
      <c r="G1100" s="11" t="s">
        <v>1582</v>
      </c>
      <c r="H1100" s="11" t="s">
        <v>3712</v>
      </c>
      <c r="I1100" s="11">
        <v>0.0</v>
      </c>
      <c r="J1100" s="138" t="s">
        <v>1589</v>
      </c>
      <c r="K1100" s="138"/>
      <c r="L1100" s="138"/>
      <c r="M1100" s="138"/>
      <c r="N1100" s="11"/>
      <c r="O1100" s="163"/>
      <c r="P1100" s="139">
        <v>700.0</v>
      </c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</row>
    <row r="1101">
      <c r="A1101" s="2"/>
      <c r="B1101" s="18"/>
      <c r="C1101" s="11" t="s">
        <v>3719</v>
      </c>
      <c r="D1101" s="11" t="s">
        <v>1586</v>
      </c>
      <c r="E1101" s="32" t="s">
        <v>3720</v>
      </c>
      <c r="F1101" s="11"/>
      <c r="G1101" s="11" t="s">
        <v>1582</v>
      </c>
      <c r="H1101" s="11" t="s">
        <v>3712</v>
      </c>
      <c r="I1101" s="11">
        <v>0.0</v>
      </c>
      <c r="J1101" s="138" t="s">
        <v>1589</v>
      </c>
      <c r="K1101" s="138"/>
      <c r="L1101" s="138"/>
      <c r="M1101" s="138"/>
      <c r="N1101" s="11"/>
      <c r="O1101" s="163"/>
      <c r="P1101" s="139">
        <v>8300.0</v>
      </c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</row>
    <row r="1102">
      <c r="A1102" s="2"/>
      <c r="B1102" s="18"/>
      <c r="C1102" s="11" t="s">
        <v>3721</v>
      </c>
      <c r="D1102" s="11" t="s">
        <v>1586</v>
      </c>
      <c r="E1102" s="32" t="s">
        <v>3722</v>
      </c>
      <c r="F1102" s="11"/>
      <c r="G1102" s="11" t="s">
        <v>1582</v>
      </c>
      <c r="H1102" s="11" t="s">
        <v>3712</v>
      </c>
      <c r="I1102" s="11">
        <v>180.0</v>
      </c>
      <c r="J1102" s="138" t="s">
        <v>1589</v>
      </c>
      <c r="K1102" s="138"/>
      <c r="L1102" s="138"/>
      <c r="M1102" s="138"/>
      <c r="N1102" s="11"/>
      <c r="O1102" s="163"/>
      <c r="P1102" s="139">
        <v>10100.0</v>
      </c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</row>
    <row r="1103">
      <c r="A1103" s="2"/>
      <c r="B1103" s="18"/>
      <c r="C1103" s="11" t="s">
        <v>3723</v>
      </c>
      <c r="D1103" s="11" t="s">
        <v>1586</v>
      </c>
      <c r="E1103" s="32" t="s">
        <v>3724</v>
      </c>
      <c r="F1103" s="11"/>
      <c r="G1103" s="11" t="s">
        <v>1582</v>
      </c>
      <c r="H1103" s="11" t="s">
        <v>3712</v>
      </c>
      <c r="I1103" s="11">
        <v>180.0</v>
      </c>
      <c r="J1103" s="138" t="s">
        <v>1589</v>
      </c>
      <c r="K1103" s="138"/>
      <c r="L1103" s="138"/>
      <c r="M1103" s="138"/>
      <c r="N1103" s="11"/>
      <c r="O1103" s="163"/>
      <c r="P1103" s="139">
        <v>0.0</v>
      </c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</row>
    <row r="1104">
      <c r="A1104" s="2"/>
      <c r="B1104" s="18"/>
      <c r="C1104" s="11" t="s">
        <v>3725</v>
      </c>
      <c r="D1104" s="11" t="s">
        <v>1586</v>
      </c>
      <c r="E1104" s="32" t="s">
        <v>3726</v>
      </c>
      <c r="F1104" s="11"/>
      <c r="G1104" s="11" t="s">
        <v>1582</v>
      </c>
      <c r="H1104" s="11" t="s">
        <v>3712</v>
      </c>
      <c r="I1104" s="11">
        <v>90.0</v>
      </c>
      <c r="J1104" s="138" t="s">
        <v>1589</v>
      </c>
      <c r="K1104" s="138"/>
      <c r="L1104" s="138"/>
      <c r="M1104" s="138"/>
      <c r="N1104" s="11"/>
      <c r="O1104" s="163"/>
      <c r="P1104" s="139">
        <v>10500.0</v>
      </c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</row>
    <row r="1105">
      <c r="A1105" s="2"/>
      <c r="B1105" s="18"/>
      <c r="C1105" s="11" t="s">
        <v>3727</v>
      </c>
      <c r="D1105" s="11" t="s">
        <v>1586</v>
      </c>
      <c r="E1105" s="32" t="s">
        <v>3728</v>
      </c>
      <c r="F1105" s="11"/>
      <c r="G1105" s="11" t="s">
        <v>1582</v>
      </c>
      <c r="H1105" s="11" t="s">
        <v>3712</v>
      </c>
      <c r="I1105" s="11">
        <v>90.0</v>
      </c>
      <c r="J1105" s="138" t="s">
        <v>1589</v>
      </c>
      <c r="K1105" s="138"/>
      <c r="L1105" s="138"/>
      <c r="M1105" s="138"/>
      <c r="N1105" s="11"/>
      <c r="O1105" s="163"/>
      <c r="P1105" s="139">
        <v>8400.0</v>
      </c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</row>
    <row r="1106">
      <c r="A1106" s="2"/>
      <c r="B1106" s="18"/>
      <c r="C1106" s="11" t="s">
        <v>3729</v>
      </c>
      <c r="D1106" s="11" t="s">
        <v>1586</v>
      </c>
      <c r="E1106" s="32" t="s">
        <v>3730</v>
      </c>
      <c r="F1106" s="11"/>
      <c r="G1106" s="11" t="s">
        <v>1582</v>
      </c>
      <c r="H1106" s="11" t="s">
        <v>3712</v>
      </c>
      <c r="I1106" s="11">
        <v>90.0</v>
      </c>
      <c r="J1106" s="138" t="s">
        <v>1589</v>
      </c>
      <c r="K1106" s="138"/>
      <c r="L1106" s="138"/>
      <c r="M1106" s="138"/>
      <c r="N1106" s="11"/>
      <c r="O1106" s="163"/>
      <c r="P1106" s="139">
        <v>7700.0</v>
      </c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</row>
    <row r="1107">
      <c r="A1107" s="2"/>
      <c r="B1107" s="18"/>
      <c r="C1107" s="11" t="s">
        <v>3731</v>
      </c>
      <c r="D1107" s="11" t="s">
        <v>1586</v>
      </c>
      <c r="E1107" s="32" t="s">
        <v>3732</v>
      </c>
      <c r="F1107" s="11"/>
      <c r="G1107" s="11" t="s">
        <v>1582</v>
      </c>
      <c r="H1107" s="11" t="s">
        <v>3712</v>
      </c>
      <c r="I1107" s="11">
        <v>90.0</v>
      </c>
      <c r="J1107" s="138" t="s">
        <v>1589</v>
      </c>
      <c r="K1107" s="138"/>
      <c r="L1107" s="138"/>
      <c r="M1107" s="138"/>
      <c r="N1107" s="11">
        <v>20.0</v>
      </c>
      <c r="O1107" s="163" t="s">
        <v>1554</v>
      </c>
      <c r="P1107" s="139">
        <v>1.0</v>
      </c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</row>
    <row r="1108">
      <c r="A1108" s="2"/>
      <c r="B1108" s="18"/>
      <c r="C1108" s="11" t="s">
        <v>3733</v>
      </c>
      <c r="D1108" s="11" t="s">
        <v>1586</v>
      </c>
      <c r="E1108" s="32" t="s">
        <v>3734</v>
      </c>
      <c r="F1108" s="11"/>
      <c r="G1108" s="11" t="s">
        <v>1582</v>
      </c>
      <c r="H1108" s="11" t="s">
        <v>3712</v>
      </c>
      <c r="I1108" s="11">
        <v>90.0</v>
      </c>
      <c r="J1108" s="138" t="s">
        <v>1589</v>
      </c>
      <c r="K1108" s="138"/>
      <c r="L1108" s="138"/>
      <c r="M1108" s="138"/>
      <c r="N1108" s="11"/>
      <c r="O1108" s="163"/>
      <c r="P1108" s="139">
        <v>8400.0</v>
      </c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</row>
    <row r="1109">
      <c r="A1109" s="2"/>
      <c r="B1109" s="18"/>
      <c r="C1109" s="11" t="s">
        <v>3735</v>
      </c>
      <c r="D1109" s="11" t="s">
        <v>1586</v>
      </c>
      <c r="E1109" s="32" t="s">
        <v>3736</v>
      </c>
      <c r="F1109" s="11"/>
      <c r="G1109" s="11" t="s">
        <v>1582</v>
      </c>
      <c r="H1109" s="11" t="s">
        <v>3712</v>
      </c>
      <c r="I1109" s="11">
        <v>90.0</v>
      </c>
      <c r="J1109" s="138" t="s">
        <v>1589</v>
      </c>
      <c r="K1109" s="138"/>
      <c r="L1109" s="138"/>
      <c r="M1109" s="138"/>
      <c r="N1109" s="11"/>
      <c r="O1109" s="163"/>
      <c r="P1109" s="139">
        <v>9000.0</v>
      </c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</row>
    <row r="1110">
      <c r="A1110" s="2"/>
      <c r="B1110" s="18"/>
      <c r="C1110" s="11" t="s">
        <v>3737</v>
      </c>
      <c r="D1110" s="11" t="s">
        <v>1586</v>
      </c>
      <c r="E1110" s="32" t="s">
        <v>3738</v>
      </c>
      <c r="F1110" s="11"/>
      <c r="G1110" s="11" t="s">
        <v>1582</v>
      </c>
      <c r="H1110" s="11" t="s">
        <v>3712</v>
      </c>
      <c r="I1110" s="11">
        <v>180.0</v>
      </c>
      <c r="J1110" s="138" t="s">
        <v>1589</v>
      </c>
      <c r="K1110" s="138"/>
      <c r="L1110" s="138"/>
      <c r="M1110" s="138"/>
      <c r="N1110" s="11">
        <v>50.0</v>
      </c>
      <c r="O1110" s="163" t="s">
        <v>1554</v>
      </c>
      <c r="P1110" s="139">
        <v>6100.0</v>
      </c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</row>
    <row r="1111">
      <c r="A1111" s="2"/>
      <c r="B1111" s="18"/>
      <c r="C1111" s="11" t="s">
        <v>3739</v>
      </c>
      <c r="D1111" s="11" t="s">
        <v>1586</v>
      </c>
      <c r="E1111" s="32" t="s">
        <v>3740</v>
      </c>
      <c r="F1111" s="11"/>
      <c r="G1111" s="11" t="s">
        <v>1582</v>
      </c>
      <c r="H1111" s="11" t="s">
        <v>3712</v>
      </c>
      <c r="I1111" s="11">
        <v>90.0</v>
      </c>
      <c r="J1111" s="138" t="s">
        <v>1589</v>
      </c>
      <c r="K1111" s="138"/>
      <c r="L1111" s="138"/>
      <c r="M1111" s="138"/>
      <c r="N1111" s="11"/>
      <c r="O1111" s="163"/>
      <c r="P1111" s="139">
        <v>10800.0</v>
      </c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</row>
    <row r="1112">
      <c r="A1112" s="2"/>
      <c r="B1112" s="18"/>
      <c r="C1112" s="11" t="s">
        <v>3741</v>
      </c>
      <c r="D1112" s="11" t="s">
        <v>1586</v>
      </c>
      <c r="E1112" s="32" t="s">
        <v>3742</v>
      </c>
      <c r="F1112" s="11"/>
      <c r="G1112" s="11" t="s">
        <v>1582</v>
      </c>
      <c r="H1112" s="11" t="s">
        <v>3712</v>
      </c>
      <c r="I1112" s="11">
        <v>180.0</v>
      </c>
      <c r="J1112" s="138" t="s">
        <v>1589</v>
      </c>
      <c r="K1112" s="138"/>
      <c r="L1112" s="138"/>
      <c r="M1112" s="138"/>
      <c r="N1112" s="11"/>
      <c r="O1112" s="163"/>
      <c r="P1112" s="139">
        <v>7000.0</v>
      </c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</row>
    <row r="1113">
      <c r="A1113" s="2"/>
      <c r="B1113" s="18"/>
      <c r="C1113" s="11" t="s">
        <v>3743</v>
      </c>
      <c r="D1113" s="11" t="s">
        <v>1586</v>
      </c>
      <c r="E1113" s="32" t="s">
        <v>3744</v>
      </c>
      <c r="F1113" s="11"/>
      <c r="G1113" s="11" t="s">
        <v>1582</v>
      </c>
      <c r="H1113" s="11" t="s">
        <v>3712</v>
      </c>
      <c r="I1113" s="11">
        <v>180.0</v>
      </c>
      <c r="J1113" s="138" t="s">
        <v>1589</v>
      </c>
      <c r="K1113" s="138"/>
      <c r="L1113" s="138"/>
      <c r="M1113" s="138"/>
      <c r="N1113" s="11"/>
      <c r="O1113" s="163"/>
      <c r="P1113" s="139">
        <f>(MIN(P1112, P1114) / 2) + MAX(P1112, P1114)</f>
        <v>13100</v>
      </c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</row>
    <row r="1114">
      <c r="A1114" s="2"/>
      <c r="B1114" s="18"/>
      <c r="C1114" s="11" t="s">
        <v>3745</v>
      </c>
      <c r="D1114" s="11" t="s">
        <v>1586</v>
      </c>
      <c r="E1114" s="32" t="s">
        <v>3746</v>
      </c>
      <c r="F1114" s="11"/>
      <c r="G1114" s="11" t="s">
        <v>1582</v>
      </c>
      <c r="H1114" s="11" t="s">
        <v>3712</v>
      </c>
      <c r="I1114" s="11">
        <v>180.0</v>
      </c>
      <c r="J1114" s="138" t="s">
        <v>1589</v>
      </c>
      <c r="K1114" s="138"/>
      <c r="L1114" s="138"/>
      <c r="M1114" s="138"/>
      <c r="N1114" s="11"/>
      <c r="O1114" s="163"/>
      <c r="P1114" s="139">
        <v>9600.0</v>
      </c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</row>
    <row r="1115">
      <c r="A1115" s="2"/>
      <c r="B1115" s="18"/>
      <c r="C1115" s="11" t="s">
        <v>3747</v>
      </c>
      <c r="D1115" s="11" t="s">
        <v>1586</v>
      </c>
      <c r="E1115" s="32" t="s">
        <v>3748</v>
      </c>
      <c r="F1115" s="11"/>
      <c r="G1115" s="11" t="s">
        <v>1582</v>
      </c>
      <c r="H1115" s="11" t="s">
        <v>3712</v>
      </c>
      <c r="I1115" s="11">
        <v>90.0</v>
      </c>
      <c r="J1115" s="138" t="s">
        <v>1589</v>
      </c>
      <c r="K1115" s="138"/>
      <c r="L1115" s="138"/>
      <c r="M1115" s="138"/>
      <c r="N1115" s="11"/>
      <c r="O1115" s="163"/>
      <c r="P1115" s="139">
        <v>9800.0</v>
      </c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</row>
    <row r="1116">
      <c r="A1116" s="2"/>
      <c r="B1116" s="18"/>
      <c r="C1116" s="11" t="s">
        <v>3749</v>
      </c>
      <c r="D1116" s="11" t="s">
        <v>1586</v>
      </c>
      <c r="E1116" s="32" t="s">
        <v>3750</v>
      </c>
      <c r="F1116" s="11"/>
      <c r="G1116" s="11" t="s">
        <v>1582</v>
      </c>
      <c r="H1116" s="11" t="s">
        <v>3712</v>
      </c>
      <c r="I1116" s="11">
        <v>90.0</v>
      </c>
      <c r="J1116" s="138" t="s">
        <v>1589</v>
      </c>
      <c r="K1116" s="138"/>
      <c r="L1116" s="138"/>
      <c r="M1116" s="138"/>
      <c r="N1116" s="11"/>
      <c r="O1116" s="163"/>
      <c r="P1116" s="139">
        <v>8700.0</v>
      </c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</row>
    <row r="1117">
      <c r="A1117" s="2"/>
      <c r="B1117" s="18"/>
      <c r="C1117" s="11" t="s">
        <v>3751</v>
      </c>
      <c r="D1117" s="11" t="s">
        <v>1586</v>
      </c>
      <c r="E1117" s="32" t="s">
        <v>3752</v>
      </c>
      <c r="F1117" s="11"/>
      <c r="G1117" s="11" t="s">
        <v>1582</v>
      </c>
      <c r="H1117" s="11" t="s">
        <v>3712</v>
      </c>
      <c r="I1117" s="11">
        <v>90.0</v>
      </c>
      <c r="J1117" s="138" t="s">
        <v>1589</v>
      </c>
      <c r="K1117" s="138"/>
      <c r="L1117" s="138"/>
      <c r="M1117" s="138"/>
      <c r="N1117" s="11"/>
      <c r="O1117" s="163"/>
      <c r="P1117" s="139">
        <v>8700.0</v>
      </c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</row>
    <row r="1118">
      <c r="A1118" s="2"/>
      <c r="B1118" s="18"/>
      <c r="C1118" s="11" t="s">
        <v>3753</v>
      </c>
      <c r="D1118" s="11" t="s">
        <v>1586</v>
      </c>
      <c r="E1118" s="32" t="s">
        <v>3754</v>
      </c>
      <c r="F1118" s="11"/>
      <c r="G1118" s="11" t="s">
        <v>1582</v>
      </c>
      <c r="H1118" s="11" t="s">
        <v>3712</v>
      </c>
      <c r="I1118" s="11">
        <v>90.0</v>
      </c>
      <c r="J1118" s="138" t="s">
        <v>1589</v>
      </c>
      <c r="K1118" s="138"/>
      <c r="L1118" s="138"/>
      <c r="M1118" s="138"/>
      <c r="N1118" s="11"/>
      <c r="O1118" s="163"/>
      <c r="P1118" s="139">
        <v>9300.0</v>
      </c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</row>
    <row r="1119">
      <c r="A1119" s="2"/>
      <c r="B1119" s="18"/>
      <c r="C1119" s="11" t="s">
        <v>3755</v>
      </c>
      <c r="D1119" s="11" t="s">
        <v>1586</v>
      </c>
      <c r="E1119" s="32" t="s">
        <v>3756</v>
      </c>
      <c r="F1119" s="11"/>
      <c r="G1119" s="11" t="s">
        <v>1582</v>
      </c>
      <c r="H1119" s="11" t="s">
        <v>3712</v>
      </c>
      <c r="I1119" s="11">
        <v>90.0</v>
      </c>
      <c r="J1119" s="138" t="s">
        <v>1589</v>
      </c>
      <c r="K1119" s="138"/>
      <c r="L1119" s="138"/>
      <c r="M1119" s="138"/>
      <c r="N1119" s="11"/>
      <c r="O1119" s="163"/>
      <c r="P1119" s="139">
        <v>8800.0</v>
      </c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</row>
    <row r="1120">
      <c r="A1120" s="2"/>
      <c r="B1120" s="18"/>
      <c r="C1120" s="11" t="s">
        <v>3757</v>
      </c>
      <c r="D1120" s="11" t="s">
        <v>1586</v>
      </c>
      <c r="E1120" s="32" t="s">
        <v>3758</v>
      </c>
      <c r="F1120" s="11"/>
      <c r="G1120" s="11" t="s">
        <v>1582</v>
      </c>
      <c r="H1120" s="11" t="s">
        <v>3712</v>
      </c>
      <c r="I1120" s="11">
        <v>90.0</v>
      </c>
      <c r="J1120" s="138" t="s">
        <v>1589</v>
      </c>
      <c r="K1120" s="138"/>
      <c r="L1120" s="138"/>
      <c r="M1120" s="138"/>
      <c r="N1120" s="11"/>
      <c r="O1120" s="163"/>
      <c r="P1120" s="139">
        <v>13300.0</v>
      </c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</row>
    <row r="1121">
      <c r="A1121" s="2"/>
      <c r="B1121" s="18"/>
      <c r="C1121" s="11" t="s">
        <v>3759</v>
      </c>
      <c r="D1121" s="11" t="s">
        <v>1586</v>
      </c>
      <c r="E1121" s="32" t="s">
        <v>3760</v>
      </c>
      <c r="F1121" s="11"/>
      <c r="G1121" s="11" t="s">
        <v>1582</v>
      </c>
      <c r="H1121" s="11" t="s">
        <v>3712</v>
      </c>
      <c r="I1121" s="11">
        <v>90.0</v>
      </c>
      <c r="J1121" s="138" t="s">
        <v>1589</v>
      </c>
      <c r="K1121" s="138"/>
      <c r="L1121" s="138"/>
      <c r="M1121" s="138"/>
      <c r="N1121" s="11"/>
      <c r="O1121" s="163"/>
      <c r="P1121" s="139">
        <v>10300.0</v>
      </c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</row>
    <row r="1122">
      <c r="A1122" s="2"/>
      <c r="B1122" s="18"/>
      <c r="C1122" s="11" t="s">
        <v>3761</v>
      </c>
      <c r="D1122" s="11" t="s">
        <v>1586</v>
      </c>
      <c r="E1122" s="32" t="s">
        <v>3762</v>
      </c>
      <c r="F1122" s="11"/>
      <c r="G1122" s="11" t="s">
        <v>1582</v>
      </c>
      <c r="H1122" s="11" t="s">
        <v>3712</v>
      </c>
      <c r="I1122" s="11">
        <v>90.0</v>
      </c>
      <c r="J1122" s="138" t="s">
        <v>1589</v>
      </c>
      <c r="K1122" s="138"/>
      <c r="L1122" s="138"/>
      <c r="M1122" s="138"/>
      <c r="N1122" s="11"/>
      <c r="O1122" s="163"/>
      <c r="P1122" s="139">
        <v>8800.0</v>
      </c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</row>
    <row r="1123">
      <c r="A1123" s="2"/>
      <c r="B1123" s="35"/>
      <c r="C1123" s="36" t="s">
        <v>3763</v>
      </c>
      <c r="D1123" s="36" t="s">
        <v>1586</v>
      </c>
      <c r="E1123" s="158" t="s">
        <v>3764</v>
      </c>
      <c r="F1123" s="36"/>
      <c r="G1123" s="36" t="s">
        <v>1582</v>
      </c>
      <c r="H1123" s="36" t="s">
        <v>3712</v>
      </c>
      <c r="I1123" s="36">
        <v>90.0</v>
      </c>
      <c r="J1123" s="141" t="s">
        <v>1589</v>
      </c>
      <c r="K1123" s="141"/>
      <c r="L1123" s="141"/>
      <c r="M1123" s="141"/>
      <c r="N1123" s="36"/>
      <c r="O1123" s="164"/>
      <c r="P1123" s="142">
        <v>9300.0</v>
      </c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</row>
    <row r="1124">
      <c r="A1124" s="2"/>
      <c r="B1124" s="147" t="s">
        <v>374</v>
      </c>
      <c r="C1124" s="42" t="s">
        <v>3765</v>
      </c>
      <c r="D1124" s="42" t="s">
        <v>1586</v>
      </c>
      <c r="E1124" s="165" t="s">
        <v>3766</v>
      </c>
      <c r="F1124" s="42"/>
      <c r="G1124" s="42" t="s">
        <v>1582</v>
      </c>
      <c r="H1124" s="42" t="s">
        <v>3767</v>
      </c>
      <c r="I1124" s="42">
        <v>0.0</v>
      </c>
      <c r="J1124" s="149" t="s">
        <v>1589</v>
      </c>
      <c r="K1124" s="149"/>
      <c r="L1124" s="149"/>
      <c r="M1124" s="149"/>
      <c r="N1124" s="42"/>
      <c r="O1124" s="162"/>
      <c r="P1124" s="136">
        <v>1.0</v>
      </c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</row>
    <row r="1125">
      <c r="A1125" s="2"/>
      <c r="B1125" s="18"/>
      <c r="C1125" s="11" t="s">
        <v>3768</v>
      </c>
      <c r="D1125" s="11" t="s">
        <v>1586</v>
      </c>
      <c r="E1125" s="32" t="s">
        <v>3769</v>
      </c>
      <c r="F1125" s="11"/>
      <c r="G1125" s="11" t="s">
        <v>1582</v>
      </c>
      <c r="H1125" s="11" t="s">
        <v>3767</v>
      </c>
      <c r="I1125" s="11">
        <v>0.0</v>
      </c>
      <c r="J1125" s="138" t="s">
        <v>1589</v>
      </c>
      <c r="K1125" s="138"/>
      <c r="L1125" s="138"/>
      <c r="M1125" s="138"/>
      <c r="N1125" s="11">
        <v>30.0</v>
      </c>
      <c r="O1125" s="163" t="s">
        <v>1554</v>
      </c>
      <c r="P1125" s="139">
        <v>2000.0</v>
      </c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</row>
    <row r="1126">
      <c r="A1126" s="2"/>
      <c r="B1126" s="18"/>
      <c r="C1126" s="11" t="s">
        <v>3770</v>
      </c>
      <c r="D1126" s="11" t="s">
        <v>1586</v>
      </c>
      <c r="E1126" s="32" t="s">
        <v>3771</v>
      </c>
      <c r="F1126" s="11"/>
      <c r="G1126" s="11" t="s">
        <v>1582</v>
      </c>
      <c r="H1126" s="11" t="s">
        <v>3767</v>
      </c>
      <c r="I1126" s="11">
        <v>0.0</v>
      </c>
      <c r="J1126" s="138" t="s">
        <v>1589</v>
      </c>
      <c r="K1126" s="138"/>
      <c r="L1126" s="138"/>
      <c r="M1126" s="138"/>
      <c r="N1126" s="11">
        <v>30.0</v>
      </c>
      <c r="O1126" s="163" t="s">
        <v>1554</v>
      </c>
      <c r="P1126" s="139">
        <v>2000.0</v>
      </c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</row>
    <row r="1127">
      <c r="A1127" s="2"/>
      <c r="B1127" s="18"/>
      <c r="C1127" s="11" t="s">
        <v>3772</v>
      </c>
      <c r="D1127" s="11" t="s">
        <v>1586</v>
      </c>
      <c r="E1127" s="32" t="s">
        <v>3773</v>
      </c>
      <c r="F1127" s="11"/>
      <c r="G1127" s="11" t="s">
        <v>1582</v>
      </c>
      <c r="H1127" s="11" t="s">
        <v>3767</v>
      </c>
      <c r="I1127" s="11">
        <v>0.0</v>
      </c>
      <c r="J1127" s="138" t="s">
        <v>1589</v>
      </c>
      <c r="K1127" s="138"/>
      <c r="L1127" s="138"/>
      <c r="M1127" s="138"/>
      <c r="N1127" s="11"/>
      <c r="O1127" s="163"/>
      <c r="P1127" s="139">
        <v>700.0</v>
      </c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</row>
    <row r="1128">
      <c r="A1128" s="2"/>
      <c r="B1128" s="18"/>
      <c r="C1128" s="11" t="s">
        <v>3774</v>
      </c>
      <c r="D1128" s="11" t="s">
        <v>1586</v>
      </c>
      <c r="E1128" s="32" t="s">
        <v>3775</v>
      </c>
      <c r="F1128" s="11"/>
      <c r="G1128" s="11" t="s">
        <v>1582</v>
      </c>
      <c r="H1128" s="11" t="s">
        <v>3767</v>
      </c>
      <c r="I1128" s="11">
        <v>0.0</v>
      </c>
      <c r="J1128" s="138" t="s">
        <v>1589</v>
      </c>
      <c r="K1128" s="138"/>
      <c r="L1128" s="138"/>
      <c r="M1128" s="138"/>
      <c r="N1128" s="11"/>
      <c r="O1128" s="163"/>
      <c r="P1128" s="139">
        <v>8300.0</v>
      </c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</row>
    <row r="1129">
      <c r="A1129" s="2"/>
      <c r="B1129" s="18"/>
      <c r="C1129" s="11" t="s">
        <v>3776</v>
      </c>
      <c r="D1129" s="11" t="s">
        <v>1586</v>
      </c>
      <c r="E1129" s="32" t="s">
        <v>3777</v>
      </c>
      <c r="F1129" s="11"/>
      <c r="G1129" s="11" t="s">
        <v>1582</v>
      </c>
      <c r="H1129" s="11" t="s">
        <v>3767</v>
      </c>
      <c r="I1129" s="11">
        <v>180.0</v>
      </c>
      <c r="J1129" s="138" t="s">
        <v>1589</v>
      </c>
      <c r="K1129" s="138"/>
      <c r="L1129" s="138"/>
      <c r="M1129" s="138"/>
      <c r="N1129" s="11"/>
      <c r="O1129" s="163"/>
      <c r="P1129" s="139">
        <v>10100.0</v>
      </c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</row>
    <row r="1130">
      <c r="A1130" s="2"/>
      <c r="B1130" s="18"/>
      <c r="C1130" s="11" t="s">
        <v>3778</v>
      </c>
      <c r="D1130" s="11" t="s">
        <v>1586</v>
      </c>
      <c r="E1130" s="32" t="s">
        <v>3779</v>
      </c>
      <c r="F1130" s="11"/>
      <c r="G1130" s="11" t="s">
        <v>1582</v>
      </c>
      <c r="H1130" s="11" t="s">
        <v>3767</v>
      </c>
      <c r="I1130" s="11">
        <v>180.0</v>
      </c>
      <c r="J1130" s="138" t="s">
        <v>1589</v>
      </c>
      <c r="K1130" s="138"/>
      <c r="L1130" s="138"/>
      <c r="M1130" s="138"/>
      <c r="N1130" s="11"/>
      <c r="O1130" s="163"/>
      <c r="P1130" s="139">
        <v>0.0</v>
      </c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</row>
    <row r="1131">
      <c r="A1131" s="2"/>
      <c r="B1131" s="18"/>
      <c r="C1131" s="11" t="s">
        <v>3780</v>
      </c>
      <c r="D1131" s="11" t="s">
        <v>1586</v>
      </c>
      <c r="E1131" s="32" t="s">
        <v>3781</v>
      </c>
      <c r="F1131" s="11"/>
      <c r="G1131" s="11" t="s">
        <v>1582</v>
      </c>
      <c r="H1131" s="11" t="s">
        <v>3767</v>
      </c>
      <c r="I1131" s="11">
        <v>90.0</v>
      </c>
      <c r="J1131" s="138" t="s">
        <v>1589</v>
      </c>
      <c r="K1131" s="138"/>
      <c r="L1131" s="138"/>
      <c r="M1131" s="138"/>
      <c r="N1131" s="11"/>
      <c r="O1131" s="163"/>
      <c r="P1131" s="139">
        <v>10500.0</v>
      </c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</row>
    <row r="1132">
      <c r="A1132" s="2"/>
      <c r="B1132" s="18"/>
      <c r="C1132" s="11" t="s">
        <v>3782</v>
      </c>
      <c r="D1132" s="11" t="s">
        <v>1586</v>
      </c>
      <c r="E1132" s="32" t="s">
        <v>3783</v>
      </c>
      <c r="F1132" s="11"/>
      <c r="G1132" s="11" t="s">
        <v>1582</v>
      </c>
      <c r="H1132" s="11" t="s">
        <v>3767</v>
      </c>
      <c r="I1132" s="11">
        <v>90.0</v>
      </c>
      <c r="J1132" s="138" t="s">
        <v>1589</v>
      </c>
      <c r="K1132" s="138"/>
      <c r="L1132" s="138"/>
      <c r="M1132" s="138"/>
      <c r="N1132" s="11"/>
      <c r="O1132" s="163"/>
      <c r="P1132" s="139">
        <v>8400.0</v>
      </c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</row>
    <row r="1133">
      <c r="A1133" s="2"/>
      <c r="B1133" s="18"/>
      <c r="C1133" s="11" t="s">
        <v>3784</v>
      </c>
      <c r="D1133" s="11" t="s">
        <v>1586</v>
      </c>
      <c r="E1133" s="32" t="s">
        <v>3785</v>
      </c>
      <c r="F1133" s="11"/>
      <c r="G1133" s="11" t="s">
        <v>1582</v>
      </c>
      <c r="H1133" s="11" t="s">
        <v>3767</v>
      </c>
      <c r="I1133" s="11">
        <v>90.0</v>
      </c>
      <c r="J1133" s="138" t="s">
        <v>1589</v>
      </c>
      <c r="K1133" s="138"/>
      <c r="L1133" s="138"/>
      <c r="M1133" s="138"/>
      <c r="N1133" s="11"/>
      <c r="O1133" s="163"/>
      <c r="P1133" s="139">
        <v>7700.0</v>
      </c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</row>
    <row r="1134">
      <c r="A1134" s="2"/>
      <c r="B1134" s="18"/>
      <c r="C1134" s="11" t="s">
        <v>3786</v>
      </c>
      <c r="D1134" s="11" t="s">
        <v>1586</v>
      </c>
      <c r="E1134" s="32" t="s">
        <v>3787</v>
      </c>
      <c r="F1134" s="11"/>
      <c r="G1134" s="11" t="s">
        <v>1582</v>
      </c>
      <c r="H1134" s="11" t="s">
        <v>3767</v>
      </c>
      <c r="I1134" s="11">
        <v>90.0</v>
      </c>
      <c r="J1134" s="138" t="s">
        <v>1589</v>
      </c>
      <c r="K1134" s="138"/>
      <c r="L1134" s="138"/>
      <c r="M1134" s="138"/>
      <c r="N1134" s="11">
        <v>20.0</v>
      </c>
      <c r="O1134" s="163" t="s">
        <v>1554</v>
      </c>
      <c r="P1134" s="156">
        <v>38500.0</v>
      </c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</row>
    <row r="1135">
      <c r="A1135" s="2"/>
      <c r="B1135" s="18"/>
      <c r="C1135" s="11" t="s">
        <v>3788</v>
      </c>
      <c r="D1135" s="11" t="s">
        <v>1586</v>
      </c>
      <c r="E1135" s="32" t="s">
        <v>3789</v>
      </c>
      <c r="F1135" s="11"/>
      <c r="G1135" s="11" t="s">
        <v>1582</v>
      </c>
      <c r="H1135" s="11" t="s">
        <v>3767</v>
      </c>
      <c r="I1135" s="11">
        <v>90.0</v>
      </c>
      <c r="J1135" s="138" t="s">
        <v>1589</v>
      </c>
      <c r="K1135" s="138"/>
      <c r="L1135" s="138"/>
      <c r="M1135" s="138"/>
      <c r="N1135" s="11"/>
      <c r="O1135" s="163"/>
      <c r="P1135" s="139">
        <v>8400.0</v>
      </c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</row>
    <row r="1136">
      <c r="A1136" s="2"/>
      <c r="B1136" s="18"/>
      <c r="C1136" s="11" t="s">
        <v>3790</v>
      </c>
      <c r="D1136" s="11" t="s">
        <v>1586</v>
      </c>
      <c r="E1136" s="32" t="s">
        <v>3791</v>
      </c>
      <c r="F1136" s="11"/>
      <c r="G1136" s="11" t="s">
        <v>1582</v>
      </c>
      <c r="H1136" s="11" t="s">
        <v>3767</v>
      </c>
      <c r="I1136" s="11">
        <v>90.0</v>
      </c>
      <c r="J1136" s="138" t="s">
        <v>1589</v>
      </c>
      <c r="K1136" s="138"/>
      <c r="L1136" s="138"/>
      <c r="M1136" s="138"/>
      <c r="N1136" s="11"/>
      <c r="O1136" s="163"/>
      <c r="P1136" s="139">
        <v>9000.0</v>
      </c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</row>
    <row r="1137">
      <c r="A1137" s="2"/>
      <c r="B1137" s="18"/>
      <c r="C1137" s="11" t="s">
        <v>3792</v>
      </c>
      <c r="D1137" s="11" t="s">
        <v>1586</v>
      </c>
      <c r="E1137" s="32" t="s">
        <v>3793</v>
      </c>
      <c r="F1137" s="11"/>
      <c r="G1137" s="11" t="s">
        <v>1582</v>
      </c>
      <c r="H1137" s="11" t="s">
        <v>3767</v>
      </c>
      <c r="I1137" s="11">
        <v>180.0</v>
      </c>
      <c r="J1137" s="138" t="s">
        <v>1589</v>
      </c>
      <c r="K1137" s="138"/>
      <c r="L1137" s="138"/>
      <c r="M1137" s="138"/>
      <c r="N1137" s="11">
        <v>50.0</v>
      </c>
      <c r="O1137" s="163" t="s">
        <v>1554</v>
      </c>
      <c r="P1137" s="139">
        <v>6100.0</v>
      </c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</row>
    <row r="1138">
      <c r="A1138" s="2"/>
      <c r="B1138" s="18"/>
      <c r="C1138" s="11" t="s">
        <v>3794</v>
      </c>
      <c r="D1138" s="11" t="s">
        <v>1586</v>
      </c>
      <c r="E1138" s="32" t="s">
        <v>3795</v>
      </c>
      <c r="F1138" s="11"/>
      <c r="G1138" s="11" t="s">
        <v>1582</v>
      </c>
      <c r="H1138" s="11" t="s">
        <v>3767</v>
      </c>
      <c r="I1138" s="11">
        <v>90.0</v>
      </c>
      <c r="J1138" s="138" t="s">
        <v>1589</v>
      </c>
      <c r="K1138" s="138"/>
      <c r="L1138" s="138"/>
      <c r="M1138" s="138"/>
      <c r="N1138" s="11"/>
      <c r="O1138" s="163"/>
      <c r="P1138" s="139">
        <v>10800.0</v>
      </c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</row>
    <row r="1139">
      <c r="A1139" s="2"/>
      <c r="B1139" s="18"/>
      <c r="C1139" s="11" t="s">
        <v>3796</v>
      </c>
      <c r="D1139" s="11" t="s">
        <v>1586</v>
      </c>
      <c r="E1139" s="32" t="s">
        <v>3797</v>
      </c>
      <c r="F1139" s="11"/>
      <c r="G1139" s="11" t="s">
        <v>1582</v>
      </c>
      <c r="H1139" s="11" t="s">
        <v>3767</v>
      </c>
      <c r="I1139" s="11">
        <v>180.0</v>
      </c>
      <c r="J1139" s="138" t="s">
        <v>1589</v>
      </c>
      <c r="K1139" s="138"/>
      <c r="L1139" s="138"/>
      <c r="M1139" s="138"/>
      <c r="N1139" s="11"/>
      <c r="O1139" s="163"/>
      <c r="P1139" s="139">
        <v>7000.0</v>
      </c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</row>
    <row r="1140">
      <c r="A1140" s="2"/>
      <c r="B1140" s="18"/>
      <c r="C1140" s="11" t="s">
        <v>3798</v>
      </c>
      <c r="D1140" s="11" t="s">
        <v>1586</v>
      </c>
      <c r="E1140" s="32" t="s">
        <v>3799</v>
      </c>
      <c r="F1140" s="11"/>
      <c r="G1140" s="11" t="s">
        <v>1582</v>
      </c>
      <c r="H1140" s="11" t="s">
        <v>3767</v>
      </c>
      <c r="I1140" s="11">
        <v>180.0</v>
      </c>
      <c r="J1140" s="138" t="s">
        <v>1589</v>
      </c>
      <c r="K1140" s="138"/>
      <c r="L1140" s="138"/>
      <c r="M1140" s="138"/>
      <c r="N1140" s="11"/>
      <c r="O1140" s="163"/>
      <c r="P1140" s="139">
        <f>(MIN(P1139, P1141) / 2) + MAX(P1139, P1141)</f>
        <v>13100</v>
      </c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</row>
    <row r="1141">
      <c r="A1141" s="2"/>
      <c r="B1141" s="18"/>
      <c r="C1141" s="11" t="s">
        <v>3800</v>
      </c>
      <c r="D1141" s="11" t="s">
        <v>1586</v>
      </c>
      <c r="E1141" s="32" t="s">
        <v>3801</v>
      </c>
      <c r="F1141" s="11"/>
      <c r="G1141" s="11" t="s">
        <v>1582</v>
      </c>
      <c r="H1141" s="11" t="s">
        <v>3767</v>
      </c>
      <c r="I1141" s="11">
        <v>180.0</v>
      </c>
      <c r="J1141" s="138" t="s">
        <v>1589</v>
      </c>
      <c r="K1141" s="138"/>
      <c r="L1141" s="138"/>
      <c r="M1141" s="138"/>
      <c r="N1141" s="11"/>
      <c r="O1141" s="163"/>
      <c r="P1141" s="139">
        <v>9600.0</v>
      </c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</row>
    <row r="1142">
      <c r="A1142" s="2"/>
      <c r="B1142" s="18"/>
      <c r="C1142" s="11" t="s">
        <v>3802</v>
      </c>
      <c r="D1142" s="11" t="s">
        <v>1586</v>
      </c>
      <c r="E1142" s="32" t="s">
        <v>3803</v>
      </c>
      <c r="F1142" s="11"/>
      <c r="G1142" s="11" t="s">
        <v>1582</v>
      </c>
      <c r="H1142" s="11" t="s">
        <v>3767</v>
      </c>
      <c r="I1142" s="11">
        <v>90.0</v>
      </c>
      <c r="J1142" s="138" t="s">
        <v>1589</v>
      </c>
      <c r="K1142" s="138"/>
      <c r="L1142" s="138"/>
      <c r="M1142" s="138"/>
      <c r="N1142" s="11"/>
      <c r="O1142" s="163"/>
      <c r="P1142" s="139">
        <v>9800.0</v>
      </c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</row>
    <row r="1143">
      <c r="A1143" s="2"/>
      <c r="B1143" s="18"/>
      <c r="C1143" s="11" t="s">
        <v>3804</v>
      </c>
      <c r="D1143" s="11" t="s">
        <v>1586</v>
      </c>
      <c r="E1143" s="32" t="s">
        <v>3805</v>
      </c>
      <c r="F1143" s="11"/>
      <c r="G1143" s="11" t="s">
        <v>1582</v>
      </c>
      <c r="H1143" s="11" t="s">
        <v>3767</v>
      </c>
      <c r="I1143" s="11">
        <v>90.0</v>
      </c>
      <c r="J1143" s="138" t="s">
        <v>1589</v>
      </c>
      <c r="K1143" s="138"/>
      <c r="L1143" s="138"/>
      <c r="M1143" s="138"/>
      <c r="N1143" s="11"/>
      <c r="O1143" s="163"/>
      <c r="P1143" s="139">
        <v>8700.0</v>
      </c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</row>
    <row r="1144">
      <c r="A1144" s="2"/>
      <c r="B1144" s="18"/>
      <c r="C1144" s="11" t="s">
        <v>3806</v>
      </c>
      <c r="D1144" s="11" t="s">
        <v>1586</v>
      </c>
      <c r="E1144" s="32" t="s">
        <v>3807</v>
      </c>
      <c r="F1144" s="11"/>
      <c r="G1144" s="11" t="s">
        <v>1582</v>
      </c>
      <c r="H1144" s="11" t="s">
        <v>3767</v>
      </c>
      <c r="I1144" s="11">
        <v>90.0</v>
      </c>
      <c r="J1144" s="138" t="s">
        <v>1589</v>
      </c>
      <c r="K1144" s="138"/>
      <c r="L1144" s="138"/>
      <c r="M1144" s="138"/>
      <c r="N1144" s="11"/>
      <c r="O1144" s="163"/>
      <c r="P1144" s="139">
        <v>8700.0</v>
      </c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</row>
    <row r="1145">
      <c r="A1145" s="2"/>
      <c r="B1145" s="18"/>
      <c r="C1145" s="11" t="s">
        <v>3808</v>
      </c>
      <c r="D1145" s="11" t="s">
        <v>1586</v>
      </c>
      <c r="E1145" s="32" t="s">
        <v>3809</v>
      </c>
      <c r="F1145" s="11"/>
      <c r="G1145" s="11" t="s">
        <v>1582</v>
      </c>
      <c r="H1145" s="11" t="s">
        <v>3767</v>
      </c>
      <c r="I1145" s="11">
        <v>90.0</v>
      </c>
      <c r="J1145" s="138" t="s">
        <v>1589</v>
      </c>
      <c r="K1145" s="138"/>
      <c r="L1145" s="138"/>
      <c r="M1145" s="138"/>
      <c r="N1145" s="11"/>
      <c r="O1145" s="163"/>
      <c r="P1145" s="139">
        <v>9300.0</v>
      </c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</row>
    <row r="1146">
      <c r="A1146" s="2"/>
      <c r="B1146" s="18"/>
      <c r="C1146" s="11" t="s">
        <v>3810</v>
      </c>
      <c r="D1146" s="11" t="s">
        <v>1586</v>
      </c>
      <c r="E1146" s="32" t="s">
        <v>3811</v>
      </c>
      <c r="F1146" s="11"/>
      <c r="G1146" s="11" t="s">
        <v>1582</v>
      </c>
      <c r="H1146" s="11" t="s">
        <v>3767</v>
      </c>
      <c r="I1146" s="11">
        <v>90.0</v>
      </c>
      <c r="J1146" s="138" t="s">
        <v>1589</v>
      </c>
      <c r="K1146" s="138"/>
      <c r="L1146" s="138"/>
      <c r="M1146" s="138"/>
      <c r="N1146" s="11"/>
      <c r="O1146" s="163"/>
      <c r="P1146" s="139">
        <v>8800.0</v>
      </c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</row>
    <row r="1147">
      <c r="A1147" s="2"/>
      <c r="B1147" s="18"/>
      <c r="C1147" s="11" t="s">
        <v>3812</v>
      </c>
      <c r="D1147" s="11" t="s">
        <v>1586</v>
      </c>
      <c r="E1147" s="32" t="s">
        <v>3813</v>
      </c>
      <c r="F1147" s="11"/>
      <c r="G1147" s="11" t="s">
        <v>1582</v>
      </c>
      <c r="H1147" s="11" t="s">
        <v>3767</v>
      </c>
      <c r="I1147" s="11">
        <v>90.0</v>
      </c>
      <c r="J1147" s="138" t="s">
        <v>1589</v>
      </c>
      <c r="K1147" s="138"/>
      <c r="L1147" s="138"/>
      <c r="M1147" s="138"/>
      <c r="N1147" s="11"/>
      <c r="O1147" s="163"/>
      <c r="P1147" s="139">
        <v>13300.0</v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</row>
    <row r="1148">
      <c r="A1148" s="2"/>
      <c r="B1148" s="18"/>
      <c r="C1148" s="11" t="s">
        <v>3814</v>
      </c>
      <c r="D1148" s="11" t="s">
        <v>1586</v>
      </c>
      <c r="E1148" s="32" t="s">
        <v>3815</v>
      </c>
      <c r="F1148" s="11"/>
      <c r="G1148" s="11" t="s">
        <v>1582</v>
      </c>
      <c r="H1148" s="11" t="s">
        <v>3767</v>
      </c>
      <c r="I1148" s="11">
        <v>90.0</v>
      </c>
      <c r="J1148" s="138" t="s">
        <v>1589</v>
      </c>
      <c r="K1148" s="138"/>
      <c r="L1148" s="138"/>
      <c r="M1148" s="138"/>
      <c r="N1148" s="11"/>
      <c r="O1148" s="163"/>
      <c r="P1148" s="139">
        <v>10300.0</v>
      </c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</row>
    <row r="1149">
      <c r="A1149" s="2"/>
      <c r="B1149" s="18"/>
      <c r="C1149" s="11" t="s">
        <v>3816</v>
      </c>
      <c r="D1149" s="11" t="s">
        <v>1586</v>
      </c>
      <c r="E1149" s="32" t="s">
        <v>3817</v>
      </c>
      <c r="F1149" s="11"/>
      <c r="G1149" s="11" t="s">
        <v>1582</v>
      </c>
      <c r="H1149" s="11" t="s">
        <v>3767</v>
      </c>
      <c r="I1149" s="11">
        <v>90.0</v>
      </c>
      <c r="J1149" s="138" t="s">
        <v>1589</v>
      </c>
      <c r="K1149" s="138"/>
      <c r="L1149" s="138"/>
      <c r="M1149" s="138"/>
      <c r="N1149" s="11"/>
      <c r="O1149" s="163"/>
      <c r="P1149" s="139">
        <v>8800.0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</row>
    <row r="1150">
      <c r="A1150" s="2"/>
      <c r="B1150" s="35"/>
      <c r="C1150" s="36" t="s">
        <v>3818</v>
      </c>
      <c r="D1150" s="36" t="s">
        <v>1586</v>
      </c>
      <c r="E1150" s="158" t="s">
        <v>3819</v>
      </c>
      <c r="F1150" s="36"/>
      <c r="G1150" s="36" t="s">
        <v>1582</v>
      </c>
      <c r="H1150" s="36" t="s">
        <v>3767</v>
      </c>
      <c r="I1150" s="36">
        <v>90.0</v>
      </c>
      <c r="J1150" s="141" t="s">
        <v>1589</v>
      </c>
      <c r="K1150" s="141"/>
      <c r="L1150" s="141"/>
      <c r="M1150" s="141"/>
      <c r="N1150" s="36"/>
      <c r="O1150" s="164"/>
      <c r="P1150" s="142">
        <v>9300.0</v>
      </c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</row>
    <row r="1151">
      <c r="A1151" s="2"/>
      <c r="B1151" s="2"/>
      <c r="C1151" s="2"/>
      <c r="D1151" s="2"/>
      <c r="E1151" s="13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126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</row>
    <row r="1152">
      <c r="A1152" s="2"/>
      <c r="B1152" s="2"/>
      <c r="C1152" s="2"/>
      <c r="D1152" s="2"/>
      <c r="E1152" s="13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126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</row>
    <row r="1153">
      <c r="A1153" s="2"/>
      <c r="B1153" s="2"/>
      <c r="C1153" s="2"/>
      <c r="D1153" s="2"/>
      <c r="E1153" s="13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126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</row>
    <row r="1154">
      <c r="A1154" s="2"/>
      <c r="B1154" s="2"/>
      <c r="C1154" s="2"/>
      <c r="D1154" s="2"/>
      <c r="E1154" s="13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126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</row>
    <row r="1155">
      <c r="A1155" s="2"/>
      <c r="B1155" s="2"/>
      <c r="C1155" s="2"/>
      <c r="D1155" s="2"/>
      <c r="E1155" s="13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126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</row>
    <row r="1156">
      <c r="A1156" s="2"/>
      <c r="B1156" s="2"/>
      <c r="C1156" s="2"/>
      <c r="D1156" s="2"/>
      <c r="E1156" s="13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126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</row>
    <row r="1157">
      <c r="A1157" s="2"/>
      <c r="B1157" s="2"/>
      <c r="C1157" s="2"/>
      <c r="D1157" s="2"/>
      <c r="E1157" s="13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126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</row>
    <row r="1158">
      <c r="A1158" s="2"/>
      <c r="B1158" s="2"/>
      <c r="C1158" s="2"/>
      <c r="D1158" s="2"/>
      <c r="E1158" s="13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126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</row>
    <row r="1159">
      <c r="A1159" s="2"/>
      <c r="B1159" s="2"/>
      <c r="C1159" s="2"/>
      <c r="D1159" s="2"/>
      <c r="E1159" s="13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126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</row>
    <row r="1160">
      <c r="A1160" s="2"/>
      <c r="B1160" s="2"/>
      <c r="C1160" s="2"/>
      <c r="D1160" s="2"/>
      <c r="E1160" s="13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126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</row>
    <row r="1161">
      <c r="A1161" s="2"/>
      <c r="B1161" s="2"/>
      <c r="C1161" s="2"/>
      <c r="D1161" s="2"/>
      <c r="E1161" s="13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126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</row>
    <row r="1162">
      <c r="A1162" s="2"/>
      <c r="B1162" s="2"/>
      <c r="C1162" s="2"/>
      <c r="D1162" s="2"/>
      <c r="E1162" s="13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126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</row>
    <row r="1163">
      <c r="A1163" s="2"/>
      <c r="B1163" s="2"/>
      <c r="C1163" s="2"/>
      <c r="D1163" s="2"/>
      <c r="E1163" s="13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126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</row>
    <row r="1164">
      <c r="A1164" s="2"/>
      <c r="B1164" s="2"/>
      <c r="C1164" s="2"/>
      <c r="D1164" s="2"/>
      <c r="E1164" s="13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126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</row>
    <row r="1165">
      <c r="A1165" s="2"/>
      <c r="B1165" s="2"/>
      <c r="C1165" s="2"/>
      <c r="D1165" s="2"/>
      <c r="E1165" s="13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126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</row>
    <row r="1166">
      <c r="A1166" s="2"/>
      <c r="B1166" s="2"/>
      <c r="C1166" s="2"/>
      <c r="D1166" s="2"/>
      <c r="E1166" s="13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126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</row>
    <row r="1167">
      <c r="A1167" s="2"/>
      <c r="B1167" s="2"/>
      <c r="C1167" s="2"/>
      <c r="D1167" s="2"/>
      <c r="E1167" s="13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126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</row>
    <row r="1168">
      <c r="A1168" s="2"/>
      <c r="B1168" s="2"/>
      <c r="C1168" s="2"/>
      <c r="D1168" s="2"/>
      <c r="E1168" s="13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126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</row>
    <row r="1169">
      <c r="A1169" s="2"/>
      <c r="B1169" s="2"/>
      <c r="C1169" s="2"/>
      <c r="D1169" s="2"/>
      <c r="E1169" s="13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126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</row>
    <row r="1170">
      <c r="A1170" s="2"/>
      <c r="B1170" s="2"/>
      <c r="C1170" s="2"/>
      <c r="D1170" s="2"/>
      <c r="E1170" s="13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126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</row>
    <row r="1171">
      <c r="A1171" s="2"/>
      <c r="B1171" s="2"/>
      <c r="C1171" s="2"/>
      <c r="D1171" s="2"/>
      <c r="E1171" s="13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126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</row>
    <row r="1172">
      <c r="A1172" s="2"/>
      <c r="B1172" s="2"/>
      <c r="C1172" s="2"/>
      <c r="D1172" s="2"/>
      <c r="E1172" s="13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126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</row>
    <row r="1173">
      <c r="A1173" s="2"/>
      <c r="B1173" s="2"/>
      <c r="C1173" s="2"/>
      <c r="D1173" s="2"/>
      <c r="E1173" s="13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126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</row>
    <row r="1174">
      <c r="A1174" s="2"/>
      <c r="B1174" s="2"/>
      <c r="C1174" s="2"/>
      <c r="D1174" s="2"/>
      <c r="E1174" s="13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126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</row>
    <row r="1175">
      <c r="A1175" s="2"/>
      <c r="B1175" s="2"/>
      <c r="C1175" s="2"/>
      <c r="D1175" s="2"/>
      <c r="E1175" s="13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126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</row>
    <row r="1176">
      <c r="A1176" s="2"/>
      <c r="B1176" s="2"/>
      <c r="C1176" s="2"/>
      <c r="D1176" s="2"/>
      <c r="E1176" s="13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126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</row>
    <row r="1177">
      <c r="A1177" s="2"/>
      <c r="B1177" s="2"/>
      <c r="C1177" s="2"/>
      <c r="D1177" s="2"/>
      <c r="E1177" s="13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126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</row>
    <row r="1178">
      <c r="A1178" s="2"/>
      <c r="B1178" s="2"/>
      <c r="C1178" s="2"/>
      <c r="D1178" s="2"/>
      <c r="E1178" s="13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126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</row>
    <row r="1179">
      <c r="A1179" s="2"/>
      <c r="B1179" s="2"/>
      <c r="C1179" s="2"/>
      <c r="D1179" s="2"/>
      <c r="E1179" s="13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126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</row>
    <row r="1180">
      <c r="A1180" s="2"/>
      <c r="B1180" s="2"/>
      <c r="C1180" s="2"/>
      <c r="D1180" s="2"/>
      <c r="E1180" s="13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126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</row>
    <row r="1181">
      <c r="A1181" s="2"/>
      <c r="B1181" s="2"/>
      <c r="C1181" s="2"/>
      <c r="D1181" s="2"/>
      <c r="E1181" s="13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126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</row>
    <row r="1182">
      <c r="A1182" s="2"/>
      <c r="B1182" s="2"/>
      <c r="C1182" s="2"/>
      <c r="D1182" s="2"/>
      <c r="E1182" s="13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126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</row>
    <row r="1183">
      <c r="A1183" s="2"/>
      <c r="B1183" s="2"/>
      <c r="C1183" s="2"/>
      <c r="D1183" s="2"/>
      <c r="E1183" s="13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126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</row>
    <row r="1184">
      <c r="A1184" s="2"/>
      <c r="B1184" s="2"/>
      <c r="C1184" s="2"/>
      <c r="D1184" s="2"/>
      <c r="E1184" s="13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126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</row>
    <row r="1185">
      <c r="A1185" s="2"/>
      <c r="B1185" s="2"/>
      <c r="C1185" s="2"/>
      <c r="D1185" s="2"/>
      <c r="E1185" s="13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126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</row>
    <row r="1186">
      <c r="A1186" s="2"/>
      <c r="B1186" s="2"/>
      <c r="C1186" s="2"/>
      <c r="D1186" s="2"/>
      <c r="E1186" s="13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126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</row>
    <row r="1187">
      <c r="A1187" s="2"/>
      <c r="B1187" s="2"/>
      <c r="C1187" s="2"/>
      <c r="D1187" s="2"/>
      <c r="E1187" s="13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126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</row>
    <row r="1188">
      <c r="A1188" s="2"/>
      <c r="B1188" s="2"/>
      <c r="C1188" s="2"/>
      <c r="D1188" s="2"/>
      <c r="E1188" s="13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126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</row>
    <row r="1189">
      <c r="A1189" s="2"/>
      <c r="B1189" s="2"/>
      <c r="C1189" s="2"/>
      <c r="D1189" s="2"/>
      <c r="E1189" s="13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126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</row>
    <row r="1190">
      <c r="A1190" s="2"/>
      <c r="B1190" s="2"/>
      <c r="C1190" s="2"/>
      <c r="D1190" s="2"/>
      <c r="E1190" s="13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126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</row>
    <row r="1191">
      <c r="A1191" s="2"/>
      <c r="B1191" s="2"/>
      <c r="C1191" s="2"/>
      <c r="D1191" s="2"/>
      <c r="E1191" s="13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126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</row>
    <row r="1192">
      <c r="A1192" s="2"/>
      <c r="B1192" s="2"/>
      <c r="C1192" s="2"/>
      <c r="D1192" s="2"/>
      <c r="E1192" s="13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126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</row>
    <row r="1193">
      <c r="A1193" s="2"/>
      <c r="B1193" s="2"/>
      <c r="C1193" s="2"/>
      <c r="D1193" s="2"/>
      <c r="E1193" s="13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126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</row>
    <row r="1194">
      <c r="A1194" s="2"/>
      <c r="B1194" s="2"/>
      <c r="C1194" s="2"/>
      <c r="D1194" s="2"/>
      <c r="E1194" s="13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126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</row>
    <row r="1195">
      <c r="A1195" s="2"/>
      <c r="B1195" s="2"/>
      <c r="C1195" s="2"/>
      <c r="D1195" s="2"/>
      <c r="E1195" s="13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126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</row>
    <row r="1196">
      <c r="A1196" s="2"/>
      <c r="B1196" s="2"/>
      <c r="C1196" s="2"/>
      <c r="D1196" s="2"/>
      <c r="E1196" s="13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126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</row>
    <row r="1197">
      <c r="A1197" s="2"/>
      <c r="B1197" s="2"/>
      <c r="C1197" s="2"/>
      <c r="D1197" s="2"/>
      <c r="E1197" s="13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126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</row>
    <row r="1198">
      <c r="A1198" s="2"/>
      <c r="B1198" s="2"/>
      <c r="C1198" s="2"/>
      <c r="D1198" s="2"/>
      <c r="E1198" s="13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126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</row>
    <row r="1199">
      <c r="A1199" s="2"/>
      <c r="B1199" s="2"/>
      <c r="C1199" s="2"/>
      <c r="D1199" s="2"/>
      <c r="E1199" s="13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126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</row>
    <row r="1200">
      <c r="A1200" s="2"/>
      <c r="B1200" s="2"/>
      <c r="C1200" s="2"/>
      <c r="D1200" s="2"/>
      <c r="E1200" s="13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126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</row>
    <row r="1201">
      <c r="A1201" s="2"/>
      <c r="B1201" s="2"/>
      <c r="C1201" s="2"/>
      <c r="D1201" s="2"/>
      <c r="E1201" s="13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126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</row>
    <row r="1202">
      <c r="A1202" s="2"/>
      <c r="B1202" s="2"/>
      <c r="C1202" s="2"/>
      <c r="D1202" s="2"/>
      <c r="E1202" s="13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126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</row>
    <row r="1203">
      <c r="A1203" s="2"/>
      <c r="B1203" s="2"/>
      <c r="C1203" s="2"/>
      <c r="D1203" s="2"/>
      <c r="E1203" s="13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126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</row>
    <row r="1204">
      <c r="A1204" s="2"/>
      <c r="B1204" s="2"/>
      <c r="C1204" s="2"/>
      <c r="D1204" s="2"/>
      <c r="E1204" s="13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126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</row>
    <row r="1205">
      <c r="A1205" s="2"/>
      <c r="B1205" s="2"/>
      <c r="C1205" s="2"/>
      <c r="D1205" s="2"/>
      <c r="E1205" s="13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126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</row>
    <row r="1206">
      <c r="A1206" s="2"/>
      <c r="B1206" s="2"/>
      <c r="C1206" s="2"/>
      <c r="D1206" s="2"/>
      <c r="E1206" s="13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126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</row>
    <row r="1207">
      <c r="A1207" s="2"/>
      <c r="B1207" s="2"/>
      <c r="C1207" s="2"/>
      <c r="D1207" s="2"/>
      <c r="E1207" s="13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126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</row>
    <row r="1208">
      <c r="A1208" s="2"/>
      <c r="B1208" s="2"/>
      <c r="C1208" s="2"/>
      <c r="D1208" s="2"/>
      <c r="E1208" s="13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126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</row>
    <row r="1209">
      <c r="A1209" s="2"/>
      <c r="B1209" s="2"/>
      <c r="C1209" s="2"/>
      <c r="D1209" s="2"/>
      <c r="E1209" s="13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126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</row>
    <row r="1210">
      <c r="A1210" s="2"/>
      <c r="B1210" s="2"/>
      <c r="C1210" s="2"/>
      <c r="D1210" s="2"/>
      <c r="E1210" s="13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126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</row>
    <row r="1211">
      <c r="A1211" s="2"/>
      <c r="B1211" s="2"/>
      <c r="C1211" s="2"/>
      <c r="D1211" s="2"/>
      <c r="E1211" s="13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126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</row>
    <row r="1212">
      <c r="A1212" s="2"/>
      <c r="B1212" s="2"/>
      <c r="C1212" s="2"/>
      <c r="D1212" s="2"/>
      <c r="E1212" s="13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126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</row>
    <row r="1213">
      <c r="A1213" s="2"/>
      <c r="B1213" s="2"/>
      <c r="C1213" s="2"/>
      <c r="D1213" s="2"/>
      <c r="E1213" s="13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126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</row>
    <row r="1214">
      <c r="A1214" s="2"/>
      <c r="B1214" s="2"/>
      <c r="C1214" s="2"/>
      <c r="D1214" s="2"/>
      <c r="E1214" s="13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126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</row>
    <row r="1215">
      <c r="A1215" s="2"/>
      <c r="B1215" s="2"/>
      <c r="C1215" s="2"/>
      <c r="D1215" s="2"/>
      <c r="E1215" s="13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126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</row>
    <row r="1216">
      <c r="A1216" s="2"/>
      <c r="B1216" s="2"/>
      <c r="C1216" s="2"/>
      <c r="D1216" s="2"/>
      <c r="E1216" s="13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126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</row>
    <row r="1217">
      <c r="A1217" s="2"/>
      <c r="B1217" s="2"/>
      <c r="C1217" s="2"/>
      <c r="D1217" s="2"/>
      <c r="E1217" s="13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126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</row>
    <row r="1218">
      <c r="A1218" s="2"/>
      <c r="B1218" s="2"/>
      <c r="C1218" s="2"/>
      <c r="D1218" s="2"/>
      <c r="E1218" s="13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126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</row>
    <row r="1219">
      <c r="A1219" s="2"/>
      <c r="B1219" s="2"/>
      <c r="C1219" s="2"/>
      <c r="D1219" s="2"/>
      <c r="E1219" s="13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126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</row>
    <row r="1220">
      <c r="A1220" s="2"/>
      <c r="B1220" s="2"/>
      <c r="C1220" s="2"/>
      <c r="D1220" s="2"/>
      <c r="E1220" s="13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126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</row>
    <row r="1221">
      <c r="A1221" s="2"/>
      <c r="B1221" s="2"/>
      <c r="C1221" s="2"/>
      <c r="D1221" s="2"/>
      <c r="E1221" s="13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126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</row>
    <row r="1222">
      <c r="A1222" s="2"/>
      <c r="B1222" s="2"/>
      <c r="C1222" s="2"/>
      <c r="D1222" s="2"/>
      <c r="E1222" s="13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126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</row>
    <row r="1223">
      <c r="A1223" s="2"/>
      <c r="B1223" s="2"/>
      <c r="C1223" s="2"/>
      <c r="D1223" s="2"/>
      <c r="E1223" s="13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126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</row>
    <row r="1224">
      <c r="A1224" s="2"/>
      <c r="B1224" s="2"/>
      <c r="C1224" s="2"/>
      <c r="D1224" s="2"/>
      <c r="E1224" s="13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126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</row>
    <row r="1225">
      <c r="A1225" s="2"/>
      <c r="B1225" s="2"/>
      <c r="C1225" s="2"/>
      <c r="D1225" s="2"/>
      <c r="E1225" s="13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126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</row>
    <row r="1226">
      <c r="A1226" s="2"/>
      <c r="B1226" s="2"/>
      <c r="C1226" s="2"/>
      <c r="D1226" s="2"/>
      <c r="E1226" s="13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126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</row>
    <row r="1227">
      <c r="A1227" s="2"/>
      <c r="B1227" s="2"/>
      <c r="C1227" s="2"/>
      <c r="D1227" s="2"/>
      <c r="E1227" s="13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126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</row>
    <row r="1228">
      <c r="A1228" s="2"/>
      <c r="B1228" s="2"/>
      <c r="C1228" s="2"/>
      <c r="D1228" s="2"/>
      <c r="E1228" s="13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126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</row>
    <row r="1229">
      <c r="A1229" s="2"/>
      <c r="B1229" s="2"/>
      <c r="C1229" s="2"/>
      <c r="D1229" s="2"/>
      <c r="E1229" s="13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126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</row>
    <row r="1230">
      <c r="A1230" s="2"/>
      <c r="B1230" s="2"/>
      <c r="C1230" s="2"/>
      <c r="D1230" s="2"/>
      <c r="E1230" s="13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126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</row>
    <row r="1231">
      <c r="A1231" s="2"/>
      <c r="B1231" s="2"/>
      <c r="C1231" s="2"/>
      <c r="D1231" s="2"/>
      <c r="E1231" s="13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126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</row>
    <row r="1232">
      <c r="A1232" s="2"/>
      <c r="B1232" s="2"/>
      <c r="C1232" s="2"/>
      <c r="D1232" s="2"/>
      <c r="E1232" s="13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126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</row>
    <row r="1233">
      <c r="A1233" s="2"/>
      <c r="B1233" s="2"/>
      <c r="C1233" s="2"/>
      <c r="D1233" s="2"/>
      <c r="E1233" s="13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126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</row>
    <row r="1234">
      <c r="A1234" s="2"/>
      <c r="B1234" s="2"/>
      <c r="C1234" s="2"/>
      <c r="D1234" s="2"/>
      <c r="E1234" s="13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126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</row>
    <row r="1235">
      <c r="A1235" s="2"/>
      <c r="B1235" s="2"/>
      <c r="C1235" s="2"/>
      <c r="D1235" s="2"/>
      <c r="E1235" s="13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126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</row>
    <row r="1236">
      <c r="A1236" s="2"/>
      <c r="B1236" s="2"/>
      <c r="C1236" s="2"/>
      <c r="D1236" s="2"/>
      <c r="E1236" s="13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126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</row>
    <row r="1237">
      <c r="A1237" s="2"/>
      <c r="B1237" s="2"/>
      <c r="C1237" s="2"/>
      <c r="D1237" s="2"/>
      <c r="E1237" s="13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126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</row>
    <row r="1238">
      <c r="A1238" s="2"/>
      <c r="B1238" s="2"/>
      <c r="C1238" s="2"/>
      <c r="D1238" s="2"/>
      <c r="E1238" s="13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126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</row>
    <row r="1239">
      <c r="A1239" s="2"/>
      <c r="B1239" s="2"/>
      <c r="C1239" s="2"/>
      <c r="D1239" s="2"/>
      <c r="E1239" s="13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126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</row>
    <row r="1240">
      <c r="A1240" s="2"/>
      <c r="B1240" s="2"/>
      <c r="C1240" s="2"/>
      <c r="D1240" s="2"/>
      <c r="E1240" s="13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126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</row>
    <row r="1241">
      <c r="A1241" s="2"/>
      <c r="B1241" s="2"/>
      <c r="C1241" s="2"/>
      <c r="D1241" s="2"/>
      <c r="E1241" s="13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126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</row>
    <row r="1242">
      <c r="A1242" s="2"/>
      <c r="B1242" s="2"/>
      <c r="C1242" s="2"/>
      <c r="D1242" s="2"/>
      <c r="E1242" s="13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126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</row>
    <row r="1243">
      <c r="A1243" s="2"/>
      <c r="B1243" s="2"/>
      <c r="C1243" s="2"/>
      <c r="D1243" s="2"/>
      <c r="E1243" s="13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126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</row>
    <row r="1244">
      <c r="A1244" s="2"/>
      <c r="B1244" s="2"/>
      <c r="C1244" s="2"/>
      <c r="D1244" s="2"/>
      <c r="E1244" s="13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126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</row>
    <row r="1245">
      <c r="A1245" s="2"/>
      <c r="B1245" s="2"/>
      <c r="C1245" s="2"/>
      <c r="D1245" s="2"/>
      <c r="E1245" s="13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126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</row>
    <row r="1246">
      <c r="A1246" s="2"/>
      <c r="B1246" s="2"/>
      <c r="C1246" s="2"/>
      <c r="D1246" s="2"/>
      <c r="E1246" s="13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126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</row>
    <row r="1247">
      <c r="A1247" s="2"/>
      <c r="B1247" s="2"/>
      <c r="C1247" s="2"/>
      <c r="D1247" s="2"/>
      <c r="E1247" s="13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126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</row>
    <row r="1248">
      <c r="A1248" s="2"/>
      <c r="B1248" s="2"/>
      <c r="C1248" s="2"/>
      <c r="D1248" s="2"/>
      <c r="E1248" s="13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126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</row>
    <row r="1249">
      <c r="A1249" s="2"/>
      <c r="B1249" s="2"/>
      <c r="C1249" s="2"/>
      <c r="D1249" s="2"/>
      <c r="E1249" s="13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126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</row>
    <row r="1250">
      <c r="A1250" s="2"/>
      <c r="B1250" s="2"/>
      <c r="C1250" s="2"/>
      <c r="D1250" s="2"/>
      <c r="E1250" s="13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126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</row>
    <row r="1251">
      <c r="A1251" s="2"/>
      <c r="B1251" s="2"/>
      <c r="C1251" s="2"/>
      <c r="D1251" s="2"/>
      <c r="E1251" s="13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126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</row>
    <row r="1252">
      <c r="A1252" s="2"/>
      <c r="B1252" s="2"/>
      <c r="C1252" s="2"/>
      <c r="D1252" s="2"/>
      <c r="E1252" s="13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126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</row>
    <row r="1253">
      <c r="A1253" s="2"/>
      <c r="B1253" s="2"/>
      <c r="C1253" s="2"/>
      <c r="D1253" s="2"/>
      <c r="E1253" s="13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126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</row>
    <row r="1254">
      <c r="A1254" s="2"/>
      <c r="B1254" s="2"/>
      <c r="C1254" s="2"/>
      <c r="D1254" s="2"/>
      <c r="E1254" s="13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126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</row>
    <row r="1255">
      <c r="A1255" s="2"/>
      <c r="B1255" s="2"/>
      <c r="C1255" s="2"/>
      <c r="D1255" s="2"/>
      <c r="E1255" s="13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126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</row>
    <row r="1256">
      <c r="A1256" s="2"/>
      <c r="B1256" s="2"/>
      <c r="C1256" s="2"/>
      <c r="D1256" s="2"/>
      <c r="E1256" s="13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126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</row>
    <row r="1257">
      <c r="A1257" s="2"/>
      <c r="B1257" s="2"/>
      <c r="C1257" s="2"/>
      <c r="D1257" s="2"/>
      <c r="E1257" s="13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126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</row>
    <row r="1258">
      <c r="A1258" s="2"/>
      <c r="B1258" s="2"/>
      <c r="C1258" s="2"/>
      <c r="D1258" s="2"/>
      <c r="E1258" s="13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126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</row>
    <row r="1259">
      <c r="A1259" s="2"/>
      <c r="B1259" s="2"/>
      <c r="C1259" s="2"/>
      <c r="D1259" s="2"/>
      <c r="E1259" s="13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126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</row>
    <row r="1260">
      <c r="A1260" s="2"/>
      <c r="B1260" s="2"/>
      <c r="C1260" s="2"/>
      <c r="D1260" s="2"/>
      <c r="E1260" s="13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126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</row>
    <row r="1261">
      <c r="A1261" s="2"/>
      <c r="B1261" s="2"/>
      <c r="C1261" s="2"/>
      <c r="D1261" s="2"/>
      <c r="E1261" s="13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126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</row>
    <row r="1262">
      <c r="A1262" s="2"/>
      <c r="B1262" s="2"/>
      <c r="C1262" s="2"/>
      <c r="D1262" s="2"/>
      <c r="E1262" s="13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126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</row>
    <row r="1263">
      <c r="A1263" s="2"/>
      <c r="B1263" s="2"/>
      <c r="C1263" s="2"/>
      <c r="D1263" s="2"/>
      <c r="E1263" s="13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126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</row>
    <row r="1264">
      <c r="A1264" s="2"/>
      <c r="B1264" s="2"/>
      <c r="C1264" s="2"/>
      <c r="D1264" s="2"/>
      <c r="E1264" s="13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126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</row>
    <row r="1265">
      <c r="A1265" s="2"/>
      <c r="B1265" s="2"/>
      <c r="C1265" s="2"/>
      <c r="D1265" s="2"/>
      <c r="E1265" s="13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126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</row>
    <row r="1266">
      <c r="A1266" s="2"/>
      <c r="B1266" s="2"/>
      <c r="C1266" s="2"/>
      <c r="D1266" s="2"/>
      <c r="E1266" s="13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126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</row>
    <row r="1267">
      <c r="A1267" s="2"/>
      <c r="B1267" s="2"/>
      <c r="C1267" s="2"/>
      <c r="D1267" s="2"/>
      <c r="E1267" s="13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126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</row>
    <row r="1268">
      <c r="A1268" s="2"/>
      <c r="B1268" s="2"/>
      <c r="C1268" s="2"/>
      <c r="D1268" s="2"/>
      <c r="E1268" s="13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126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</row>
    <row r="1269">
      <c r="A1269" s="2"/>
      <c r="B1269" s="2"/>
      <c r="C1269" s="2"/>
      <c r="D1269" s="2"/>
      <c r="E1269" s="13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126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</row>
    <row r="1270">
      <c r="A1270" s="2"/>
      <c r="B1270" s="2"/>
      <c r="C1270" s="2"/>
      <c r="D1270" s="2"/>
      <c r="E1270" s="13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126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</row>
    <row r="1271">
      <c r="A1271" s="2"/>
      <c r="B1271" s="2"/>
      <c r="C1271" s="2"/>
      <c r="D1271" s="2"/>
      <c r="E1271" s="13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126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</row>
    <row r="1272">
      <c r="A1272" s="2"/>
      <c r="B1272" s="2"/>
      <c r="C1272" s="2"/>
      <c r="D1272" s="2"/>
      <c r="E1272" s="13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126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</row>
    <row r="1273">
      <c r="A1273" s="2"/>
      <c r="B1273" s="2"/>
      <c r="C1273" s="2"/>
      <c r="D1273" s="2"/>
      <c r="E1273" s="13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126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</row>
    <row r="1274">
      <c r="A1274" s="2"/>
      <c r="B1274" s="2"/>
      <c r="C1274" s="2"/>
      <c r="D1274" s="2"/>
      <c r="E1274" s="13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126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</row>
    <row r="1275">
      <c r="A1275" s="2"/>
      <c r="B1275" s="2"/>
      <c r="C1275" s="2"/>
      <c r="D1275" s="2"/>
      <c r="E1275" s="13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126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</row>
    <row r="1276">
      <c r="A1276" s="2"/>
      <c r="B1276" s="2"/>
      <c r="C1276" s="2"/>
      <c r="D1276" s="2"/>
      <c r="E1276" s="13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126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</row>
    <row r="1277">
      <c r="A1277" s="2"/>
      <c r="B1277" s="2"/>
      <c r="C1277" s="2"/>
      <c r="D1277" s="2"/>
      <c r="E1277" s="13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126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</row>
    <row r="1278">
      <c r="A1278" s="2"/>
      <c r="B1278" s="2"/>
      <c r="C1278" s="2"/>
      <c r="D1278" s="2"/>
      <c r="E1278" s="13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126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</row>
    <row r="1279">
      <c r="A1279" s="2"/>
      <c r="B1279" s="2"/>
      <c r="C1279" s="2"/>
      <c r="D1279" s="2"/>
      <c r="E1279" s="13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126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</row>
    <row r="1280">
      <c r="A1280" s="2"/>
      <c r="B1280" s="2"/>
      <c r="C1280" s="2"/>
      <c r="D1280" s="2"/>
      <c r="E1280" s="13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126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</row>
    <row r="1281">
      <c r="A1281" s="2"/>
      <c r="B1281" s="2"/>
      <c r="C1281" s="2"/>
      <c r="D1281" s="2"/>
      <c r="E1281" s="13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126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</row>
    <row r="1282">
      <c r="A1282" s="2"/>
      <c r="B1282" s="2"/>
      <c r="C1282" s="2"/>
      <c r="D1282" s="2"/>
      <c r="E1282" s="13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126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</row>
    <row r="1283">
      <c r="A1283" s="2"/>
      <c r="B1283" s="2"/>
      <c r="C1283" s="2"/>
      <c r="D1283" s="2"/>
      <c r="E1283" s="13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126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</row>
    <row r="1284">
      <c r="A1284" s="2"/>
      <c r="B1284" s="2"/>
      <c r="C1284" s="2"/>
      <c r="D1284" s="2"/>
      <c r="E1284" s="13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126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</row>
    <row r="1285">
      <c r="A1285" s="2"/>
      <c r="B1285" s="2"/>
      <c r="C1285" s="2"/>
      <c r="D1285" s="2"/>
      <c r="E1285" s="13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126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</row>
    <row r="1286">
      <c r="A1286" s="2"/>
      <c r="B1286" s="2"/>
      <c r="C1286" s="2"/>
      <c r="D1286" s="2"/>
      <c r="E1286" s="13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126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</row>
    <row r="1287">
      <c r="A1287" s="2"/>
      <c r="B1287" s="2"/>
      <c r="C1287" s="2"/>
      <c r="D1287" s="2"/>
      <c r="E1287" s="13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126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</row>
    <row r="1288">
      <c r="A1288" s="2"/>
      <c r="B1288" s="2"/>
      <c r="C1288" s="2"/>
      <c r="D1288" s="2"/>
      <c r="E1288" s="13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126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</row>
    <row r="1289">
      <c r="A1289" s="2"/>
      <c r="B1289" s="2"/>
      <c r="C1289" s="2"/>
      <c r="D1289" s="2"/>
      <c r="E1289" s="13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126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</row>
    <row r="1290">
      <c r="A1290" s="2"/>
      <c r="B1290" s="2"/>
      <c r="C1290" s="2"/>
      <c r="D1290" s="2"/>
      <c r="E1290" s="13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126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</row>
    <row r="1291">
      <c r="A1291" s="2"/>
      <c r="B1291" s="2"/>
      <c r="C1291" s="2"/>
      <c r="D1291" s="2"/>
      <c r="E1291" s="13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126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</row>
    <row r="1292">
      <c r="A1292" s="2"/>
      <c r="B1292" s="2"/>
      <c r="C1292" s="2"/>
      <c r="D1292" s="2"/>
      <c r="E1292" s="13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126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</row>
    <row r="1293">
      <c r="A1293" s="2"/>
      <c r="B1293" s="2"/>
      <c r="C1293" s="2"/>
      <c r="D1293" s="2"/>
      <c r="E1293" s="13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126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</row>
    <row r="1294">
      <c r="A1294" s="2"/>
      <c r="B1294" s="2"/>
      <c r="C1294" s="2"/>
      <c r="D1294" s="2"/>
      <c r="E1294" s="13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126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</row>
    <row r="1295">
      <c r="A1295" s="2"/>
      <c r="B1295" s="2"/>
      <c r="C1295" s="2"/>
      <c r="D1295" s="2"/>
      <c r="E1295" s="13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126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</row>
    <row r="1296">
      <c r="A1296" s="2"/>
      <c r="B1296" s="2"/>
      <c r="C1296" s="2"/>
      <c r="D1296" s="2"/>
      <c r="E1296" s="13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126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</row>
    <row r="1297">
      <c r="A1297" s="2"/>
      <c r="B1297" s="2"/>
      <c r="C1297" s="2"/>
      <c r="D1297" s="2"/>
      <c r="E1297" s="13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126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</row>
    <row r="1298">
      <c r="A1298" s="2"/>
      <c r="B1298" s="2"/>
      <c r="C1298" s="2"/>
      <c r="D1298" s="2"/>
      <c r="E1298" s="13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126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</row>
    <row r="1299">
      <c r="A1299" s="2"/>
      <c r="B1299" s="2"/>
      <c r="C1299" s="2"/>
      <c r="D1299" s="2"/>
      <c r="E1299" s="13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126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</row>
    <row r="1300">
      <c r="A1300" s="2"/>
      <c r="B1300" s="2"/>
      <c r="C1300" s="2"/>
      <c r="D1300" s="2"/>
      <c r="E1300" s="13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126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</row>
    <row r="1301">
      <c r="A1301" s="2"/>
      <c r="B1301" s="2"/>
      <c r="C1301" s="2"/>
      <c r="D1301" s="2"/>
      <c r="E1301" s="13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126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</row>
    <row r="1302">
      <c r="A1302" s="2"/>
      <c r="B1302" s="2"/>
      <c r="C1302" s="2"/>
      <c r="D1302" s="2"/>
      <c r="E1302" s="13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126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</row>
    <row r="1303">
      <c r="A1303" s="2"/>
      <c r="B1303" s="2"/>
      <c r="C1303" s="2"/>
      <c r="D1303" s="2"/>
      <c r="E1303" s="13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126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</row>
    <row r="1304">
      <c r="A1304" s="2"/>
      <c r="B1304" s="2"/>
      <c r="C1304" s="2"/>
      <c r="D1304" s="2"/>
      <c r="E1304" s="13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126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</row>
    <row r="1305">
      <c r="A1305" s="2"/>
      <c r="B1305" s="2"/>
      <c r="C1305" s="2"/>
      <c r="D1305" s="2"/>
      <c r="E1305" s="13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126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</row>
    <row r="1306">
      <c r="A1306" s="2"/>
      <c r="B1306" s="2"/>
      <c r="C1306" s="2"/>
      <c r="D1306" s="2"/>
      <c r="E1306" s="13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126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</row>
    <row r="1307">
      <c r="A1307" s="2"/>
      <c r="B1307" s="2"/>
      <c r="C1307" s="2"/>
      <c r="D1307" s="2"/>
      <c r="E1307" s="13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126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</row>
    <row r="1308">
      <c r="A1308" s="2"/>
      <c r="B1308" s="2"/>
      <c r="C1308" s="2"/>
      <c r="D1308" s="2"/>
      <c r="E1308" s="13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126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</row>
    <row r="1309">
      <c r="A1309" s="2"/>
      <c r="B1309" s="2"/>
      <c r="C1309" s="2"/>
      <c r="D1309" s="2"/>
      <c r="E1309" s="13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126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</row>
    <row r="1310">
      <c r="A1310" s="2"/>
      <c r="B1310" s="2"/>
      <c r="C1310" s="2"/>
      <c r="D1310" s="2"/>
      <c r="E1310" s="13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126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</row>
    <row r="1311">
      <c r="A1311" s="2"/>
      <c r="B1311" s="2"/>
      <c r="C1311" s="2"/>
      <c r="D1311" s="2"/>
      <c r="E1311" s="13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126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</row>
    <row r="1312">
      <c r="A1312" s="2"/>
      <c r="B1312" s="2"/>
      <c r="C1312" s="2"/>
      <c r="D1312" s="2"/>
      <c r="E1312" s="13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126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</row>
  </sheetData>
  <autoFilter ref="$B$2:$B$1312"/>
  <mergeCells count="45">
    <mergeCell ref="B3:B22"/>
    <mergeCell ref="B24:B52"/>
    <mergeCell ref="B56:B74"/>
    <mergeCell ref="B75:B94"/>
    <mergeCell ref="B95:B114"/>
    <mergeCell ref="B115:B136"/>
    <mergeCell ref="B137:B158"/>
    <mergeCell ref="B159:B180"/>
    <mergeCell ref="B181:B202"/>
    <mergeCell ref="B203:B225"/>
    <mergeCell ref="B226:B248"/>
    <mergeCell ref="B249:B272"/>
    <mergeCell ref="B273:B296"/>
    <mergeCell ref="B297:B321"/>
    <mergeCell ref="B322:B344"/>
    <mergeCell ref="B345:B370"/>
    <mergeCell ref="B371:B396"/>
    <mergeCell ref="B397:B423"/>
    <mergeCell ref="B424:B450"/>
    <mergeCell ref="B451:B477"/>
    <mergeCell ref="B478:B504"/>
    <mergeCell ref="B505:B531"/>
    <mergeCell ref="B532:B558"/>
    <mergeCell ref="B559:B585"/>
    <mergeCell ref="B586:B612"/>
    <mergeCell ref="B613:B639"/>
    <mergeCell ref="B640:B666"/>
    <mergeCell ref="B667:B693"/>
    <mergeCell ref="B694:B720"/>
    <mergeCell ref="B721:B747"/>
    <mergeCell ref="B748:B773"/>
    <mergeCell ref="B774:B799"/>
    <mergeCell ref="B800:B826"/>
    <mergeCell ref="B827:B853"/>
    <mergeCell ref="B854:B880"/>
    <mergeCell ref="B1070:B1096"/>
    <mergeCell ref="B1097:B1123"/>
    <mergeCell ref="B1124:B1150"/>
    <mergeCell ref="B881:B907"/>
    <mergeCell ref="B908:B934"/>
    <mergeCell ref="B935:B961"/>
    <mergeCell ref="B962:B988"/>
    <mergeCell ref="B989:B1015"/>
    <mergeCell ref="B1016:B1042"/>
    <mergeCell ref="B1043:B106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1" max="1" width="1.38"/>
    <col customWidth="1" min="2" max="2" width="13.88"/>
    <col customWidth="1" min="3" max="3" width="12.63"/>
    <col customWidth="1" min="4" max="4" width="18.88"/>
    <col customWidth="1" min="5" max="5" width="81.38"/>
    <col customWidth="1" min="6" max="6" width="13.25"/>
    <col customWidth="1" min="7" max="7" width="6.38"/>
  </cols>
  <sheetData>
    <row r="1">
      <c r="A1" s="1"/>
      <c r="B1" s="2"/>
      <c r="C1" s="2"/>
      <c r="D1" s="167"/>
      <c r="E1" s="3"/>
      <c r="F1" s="168"/>
      <c r="G1" s="169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70"/>
      <c r="W1" s="170"/>
      <c r="X1" s="170"/>
    </row>
    <row r="2">
      <c r="A2" s="2"/>
      <c r="B2" s="6" t="s">
        <v>0</v>
      </c>
      <c r="C2" s="6" t="s">
        <v>2</v>
      </c>
      <c r="D2" s="171" t="s">
        <v>1</v>
      </c>
      <c r="E2" s="7" t="s">
        <v>3</v>
      </c>
      <c r="F2" s="6" t="s">
        <v>382</v>
      </c>
      <c r="G2" s="17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70"/>
      <c r="W2" s="170"/>
      <c r="X2" s="170"/>
    </row>
    <row r="3">
      <c r="A3" s="2"/>
      <c r="B3" s="10" t="s">
        <v>6</v>
      </c>
      <c r="C3" s="11">
        <v>0.0</v>
      </c>
      <c r="D3" s="173" t="s">
        <v>3820</v>
      </c>
      <c r="E3" s="12" t="s">
        <v>7</v>
      </c>
      <c r="F3" s="174">
        <f>'ПРАЙС_ЛИСТ'!F3</f>
        <v>1600</v>
      </c>
      <c r="G3" s="169"/>
      <c r="H3" s="16" t="s">
        <v>3821</v>
      </c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70"/>
      <c r="W3" s="170"/>
      <c r="X3" s="170"/>
    </row>
    <row r="4">
      <c r="A4" s="2"/>
      <c r="B4" s="18"/>
      <c r="C4" s="11">
        <v>0.0</v>
      </c>
      <c r="D4" s="173"/>
      <c r="E4" s="12" t="s">
        <v>3822</v>
      </c>
      <c r="F4" s="174">
        <f>'ПРАЙС_ЛИСТ'!F4</f>
        <v>2200</v>
      </c>
      <c r="G4" s="169"/>
      <c r="H4" s="20" t="s">
        <v>10</v>
      </c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70"/>
      <c r="W4" s="170"/>
      <c r="X4" s="170"/>
    </row>
    <row r="5">
      <c r="A5" s="2"/>
      <c r="B5" s="18"/>
      <c r="C5" s="11">
        <v>0.0</v>
      </c>
      <c r="D5" s="173"/>
      <c r="E5" s="12" t="s">
        <v>3823</v>
      </c>
      <c r="F5" s="174">
        <f>'ПРАЙС_ЛИСТ'!F5</f>
        <v>4100</v>
      </c>
      <c r="G5" s="169"/>
      <c r="H5" s="22" t="s">
        <v>3824</v>
      </c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170"/>
      <c r="W5" s="170"/>
      <c r="X5" s="170"/>
    </row>
    <row r="6">
      <c r="A6" s="2"/>
      <c r="B6" s="18"/>
      <c r="C6" s="11">
        <v>0.0</v>
      </c>
      <c r="D6" s="173"/>
      <c r="E6" s="12" t="s">
        <v>3825</v>
      </c>
      <c r="F6" s="174">
        <f>'ПРАЙС_ЛИСТ'!F6</f>
        <v>5100</v>
      </c>
      <c r="G6" s="169"/>
      <c r="H6" s="175" t="s">
        <v>14</v>
      </c>
      <c r="I6" s="26"/>
      <c r="J6" s="176"/>
      <c r="K6" s="26"/>
      <c r="L6" s="26"/>
      <c r="M6" s="2"/>
      <c r="N6" s="2"/>
      <c r="O6" s="2"/>
      <c r="P6" s="2"/>
      <c r="Q6" s="2"/>
      <c r="R6" s="2"/>
      <c r="S6" s="2"/>
      <c r="T6" s="2"/>
      <c r="U6" s="2"/>
      <c r="V6" s="170"/>
      <c r="W6" s="170"/>
      <c r="X6" s="170"/>
    </row>
    <row r="7">
      <c r="A7" s="2"/>
      <c r="B7" s="18"/>
      <c r="C7" s="11">
        <v>0.0</v>
      </c>
      <c r="D7" s="173"/>
      <c r="E7" s="12" t="s">
        <v>3826</v>
      </c>
      <c r="F7" s="174" t="str">
        <f>'ПРАЙС_ЛИСТ'!F7</f>
        <v>?</v>
      </c>
      <c r="G7" s="169"/>
      <c r="H7" s="30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170"/>
      <c r="W7" s="170"/>
      <c r="X7" s="170"/>
    </row>
    <row r="8">
      <c r="A8" s="2"/>
      <c r="B8" s="18"/>
      <c r="C8" s="11">
        <v>0.0</v>
      </c>
      <c r="D8" s="173" t="s">
        <v>3827</v>
      </c>
      <c r="E8" s="12" t="s">
        <v>3828</v>
      </c>
      <c r="F8" s="174">
        <f>'ПРАЙС_ЛИСТ'!F8</f>
        <v>500</v>
      </c>
      <c r="G8" s="169"/>
      <c r="H8" s="30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170"/>
      <c r="W8" s="170"/>
      <c r="X8" s="170"/>
    </row>
    <row r="9">
      <c r="A9" s="2"/>
      <c r="B9" s="18"/>
      <c r="C9" s="31">
        <v>0.0</v>
      </c>
      <c r="D9" s="177" t="s">
        <v>462</v>
      </c>
      <c r="E9" s="34" t="s">
        <v>3829</v>
      </c>
      <c r="F9" s="174">
        <f>'ПРАЙС_ЛИСТ'!F9</f>
        <v>1100</v>
      </c>
      <c r="G9" s="169"/>
      <c r="H9" s="30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170"/>
      <c r="W9" s="170"/>
      <c r="X9" s="170"/>
    </row>
    <row r="10">
      <c r="A10" s="2"/>
      <c r="B10" s="18"/>
      <c r="C10" s="31">
        <v>0.0</v>
      </c>
      <c r="D10" s="177"/>
      <c r="E10" s="34" t="s">
        <v>18</v>
      </c>
      <c r="F10" s="174">
        <f>'ПРАЙС_ЛИСТ'!F10</f>
        <v>0</v>
      </c>
      <c r="G10" s="169"/>
      <c r="H10" s="3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170"/>
      <c r="W10" s="170"/>
      <c r="X10" s="170"/>
    </row>
    <row r="11">
      <c r="A11" s="2"/>
      <c r="B11" s="35"/>
      <c r="C11" s="36">
        <v>0.0</v>
      </c>
      <c r="D11" s="178"/>
      <c r="E11" s="37" t="s">
        <v>19</v>
      </c>
      <c r="F11" s="179">
        <f>'ПРАЙС_ЛИСТ'!F11</f>
        <v>1000</v>
      </c>
      <c r="G11" s="169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170"/>
      <c r="W11" s="170"/>
      <c r="X11" s="170"/>
    </row>
    <row r="12">
      <c r="A12" s="2"/>
      <c r="B12" s="1"/>
      <c r="C12" s="1"/>
      <c r="D12" s="180"/>
      <c r="E12" s="30"/>
      <c r="F12" s="168"/>
      <c r="G12" s="169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170"/>
      <c r="W12" s="170"/>
      <c r="X12" s="170"/>
    </row>
    <row r="13">
      <c r="A13" s="2"/>
      <c r="B13" s="41" t="s">
        <v>23</v>
      </c>
      <c r="C13" s="42">
        <v>0.0</v>
      </c>
      <c r="D13" s="181"/>
      <c r="E13" s="43" t="s">
        <v>3830</v>
      </c>
      <c r="F13" s="182" t="s">
        <v>25</v>
      </c>
      <c r="G13" s="169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170"/>
      <c r="W13" s="170"/>
      <c r="X13" s="170"/>
    </row>
    <row r="14">
      <c r="A14" s="2"/>
      <c r="B14" s="46" t="s">
        <v>23</v>
      </c>
      <c r="C14" s="11">
        <v>0.0</v>
      </c>
      <c r="D14" s="173"/>
      <c r="E14" s="32" t="s">
        <v>3831</v>
      </c>
      <c r="F14" s="183" t="s">
        <v>25</v>
      </c>
      <c r="G14" s="169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170"/>
      <c r="W14" s="170"/>
      <c r="X14" s="170"/>
    </row>
    <row r="15">
      <c r="A15" s="2"/>
      <c r="B15" s="46" t="s">
        <v>23</v>
      </c>
      <c r="C15" s="11">
        <v>0.0</v>
      </c>
      <c r="D15" s="173"/>
      <c r="E15" s="32" t="s">
        <v>3832</v>
      </c>
      <c r="F15" s="183" t="s">
        <v>25</v>
      </c>
      <c r="G15" s="169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170"/>
      <c r="W15" s="170"/>
      <c r="X15" s="170"/>
    </row>
    <row r="16">
      <c r="A16" s="2"/>
      <c r="B16" s="46" t="s">
        <v>23</v>
      </c>
      <c r="C16" s="11">
        <v>180.0</v>
      </c>
      <c r="D16" s="173"/>
      <c r="E16" s="32" t="s">
        <v>3833</v>
      </c>
      <c r="F16" s="183" t="s">
        <v>25</v>
      </c>
      <c r="G16" s="169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70"/>
      <c r="W16" s="170"/>
      <c r="X16" s="170"/>
    </row>
    <row r="17">
      <c r="A17" s="2"/>
      <c r="B17" s="46" t="s">
        <v>23</v>
      </c>
      <c r="C17" s="11">
        <v>180.0</v>
      </c>
      <c r="D17" s="173"/>
      <c r="E17" s="32" t="s">
        <v>3834</v>
      </c>
      <c r="F17" s="183" t="s">
        <v>25</v>
      </c>
      <c r="G17" s="169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170"/>
      <c r="W17" s="170"/>
      <c r="X17" s="170"/>
    </row>
    <row r="18">
      <c r="A18" s="2"/>
      <c r="B18" s="46" t="s">
        <v>23</v>
      </c>
      <c r="C18" s="11">
        <v>90.0</v>
      </c>
      <c r="D18" s="173"/>
      <c r="E18" s="32" t="s">
        <v>3835</v>
      </c>
      <c r="F18" s="183" t="s">
        <v>25</v>
      </c>
      <c r="G18" s="169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170"/>
      <c r="W18" s="170"/>
      <c r="X18" s="170"/>
    </row>
    <row r="19">
      <c r="A19" s="2"/>
      <c r="B19" s="46" t="s">
        <v>23</v>
      </c>
      <c r="C19" s="11">
        <v>90.0</v>
      </c>
      <c r="D19" s="173"/>
      <c r="E19" s="32" t="s">
        <v>3836</v>
      </c>
      <c r="F19" s="183" t="s">
        <v>25</v>
      </c>
      <c r="G19" s="169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170"/>
      <c r="W19" s="170"/>
      <c r="X19" s="170"/>
    </row>
    <row r="20">
      <c r="A20" s="2"/>
      <c r="B20" s="46" t="s">
        <v>23</v>
      </c>
      <c r="C20" s="11">
        <v>90.0</v>
      </c>
      <c r="D20" s="173"/>
      <c r="E20" s="32" t="s">
        <v>3837</v>
      </c>
      <c r="F20" s="183" t="s">
        <v>25</v>
      </c>
      <c r="G20" s="169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170"/>
      <c r="W20" s="170"/>
      <c r="X20" s="170"/>
    </row>
    <row r="21">
      <c r="A21" s="2"/>
      <c r="B21" s="46" t="s">
        <v>23</v>
      </c>
      <c r="C21" s="11">
        <v>90.0</v>
      </c>
      <c r="D21" s="173"/>
      <c r="E21" s="32" t="s">
        <v>3838</v>
      </c>
      <c r="F21" s="183" t="s">
        <v>25</v>
      </c>
      <c r="G21" s="169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170"/>
      <c r="W21" s="170"/>
      <c r="X21" s="170"/>
    </row>
    <row r="22">
      <c r="A22" s="2"/>
      <c r="B22" s="46" t="s">
        <v>23</v>
      </c>
      <c r="C22" s="11">
        <v>90.0</v>
      </c>
      <c r="D22" s="173"/>
      <c r="E22" s="32" t="s">
        <v>3839</v>
      </c>
      <c r="F22" s="183" t="s">
        <v>25</v>
      </c>
      <c r="G22" s="169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170"/>
      <c r="W22" s="170"/>
      <c r="X22" s="170"/>
    </row>
    <row r="23">
      <c r="A23" s="2"/>
      <c r="B23" s="46" t="s">
        <v>23</v>
      </c>
      <c r="C23" s="11">
        <v>90.0</v>
      </c>
      <c r="D23" s="173"/>
      <c r="E23" s="32" t="s">
        <v>3840</v>
      </c>
      <c r="F23" s="183" t="s">
        <v>25</v>
      </c>
      <c r="G23" s="169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170"/>
      <c r="W23" s="170"/>
      <c r="X23" s="170"/>
    </row>
    <row r="24">
      <c r="A24" s="2"/>
      <c r="B24" s="46" t="s">
        <v>23</v>
      </c>
      <c r="C24" s="11">
        <v>90.0</v>
      </c>
      <c r="D24" s="173"/>
      <c r="E24" s="32" t="s">
        <v>3841</v>
      </c>
      <c r="F24" s="183" t="s">
        <v>25</v>
      </c>
      <c r="G24" s="169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170"/>
      <c r="W24" s="170"/>
      <c r="X24" s="170"/>
    </row>
    <row r="25">
      <c r="A25" s="2"/>
      <c r="B25" s="46" t="s">
        <v>23</v>
      </c>
      <c r="C25" s="11">
        <v>90.0</v>
      </c>
      <c r="D25" s="173"/>
      <c r="E25" s="32" t="s">
        <v>3842</v>
      </c>
      <c r="F25" s="183" t="s">
        <v>25</v>
      </c>
      <c r="G25" s="169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170"/>
      <c r="W25" s="170"/>
      <c r="X25" s="170"/>
    </row>
    <row r="26">
      <c r="A26" s="2"/>
      <c r="B26" s="46" t="s">
        <v>23</v>
      </c>
      <c r="C26" s="11">
        <v>90.0</v>
      </c>
      <c r="D26" s="173"/>
      <c r="E26" s="32" t="s">
        <v>3843</v>
      </c>
      <c r="F26" s="183" t="s">
        <v>25</v>
      </c>
      <c r="G26" s="169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170"/>
      <c r="W26" s="170"/>
      <c r="X26" s="170"/>
    </row>
    <row r="27">
      <c r="A27" s="2"/>
      <c r="B27" s="46" t="s">
        <v>23</v>
      </c>
      <c r="C27" s="11">
        <v>180.0</v>
      </c>
      <c r="D27" s="173"/>
      <c r="E27" s="32" t="s">
        <v>3844</v>
      </c>
      <c r="F27" s="183" t="s">
        <v>25</v>
      </c>
      <c r="G27" s="169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170"/>
      <c r="W27" s="170"/>
      <c r="X27" s="170"/>
    </row>
    <row r="28">
      <c r="A28" s="2"/>
      <c r="B28" s="46" t="s">
        <v>23</v>
      </c>
      <c r="C28" s="11">
        <v>180.0</v>
      </c>
      <c r="D28" s="173"/>
      <c r="E28" s="32" t="s">
        <v>3845</v>
      </c>
      <c r="F28" s="183" t="s">
        <v>25</v>
      </c>
      <c r="G28" s="169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170"/>
      <c r="W28" s="170"/>
      <c r="X28" s="170"/>
    </row>
    <row r="29">
      <c r="A29" s="2"/>
      <c r="B29" s="46" t="s">
        <v>23</v>
      </c>
      <c r="C29" s="11">
        <v>180.0</v>
      </c>
      <c r="D29" s="173"/>
      <c r="E29" s="32" t="s">
        <v>3846</v>
      </c>
      <c r="F29" s="183" t="s">
        <v>25</v>
      </c>
      <c r="G29" s="169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170"/>
      <c r="W29" s="170"/>
      <c r="X29" s="170"/>
    </row>
    <row r="30">
      <c r="A30" s="2"/>
      <c r="B30" s="46" t="s">
        <v>23</v>
      </c>
      <c r="C30" s="11">
        <v>180.0</v>
      </c>
      <c r="D30" s="173"/>
      <c r="E30" s="32" t="s">
        <v>3847</v>
      </c>
      <c r="F30" s="183" t="s">
        <v>25</v>
      </c>
      <c r="G30" s="169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170"/>
      <c r="W30" s="170"/>
      <c r="X30" s="170"/>
    </row>
    <row r="31">
      <c r="A31" s="2"/>
      <c r="B31" s="46" t="s">
        <v>23</v>
      </c>
      <c r="C31" s="11">
        <v>90.0</v>
      </c>
      <c r="D31" s="173"/>
      <c r="E31" s="32" t="s">
        <v>3848</v>
      </c>
      <c r="F31" s="183" t="s">
        <v>25</v>
      </c>
      <c r="G31" s="169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170"/>
      <c r="W31" s="170"/>
      <c r="X31" s="170"/>
    </row>
    <row r="32">
      <c r="A32" s="2"/>
      <c r="B32" s="46" t="s">
        <v>23</v>
      </c>
      <c r="C32" s="11">
        <v>90.0</v>
      </c>
      <c r="D32" s="173"/>
      <c r="E32" s="32" t="s">
        <v>3849</v>
      </c>
      <c r="F32" s="183" t="s">
        <v>25</v>
      </c>
      <c r="G32" s="169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170"/>
      <c r="W32" s="170"/>
      <c r="X32" s="170"/>
    </row>
    <row r="33">
      <c r="A33" s="2"/>
      <c r="B33" s="46" t="s">
        <v>23</v>
      </c>
      <c r="C33" s="11">
        <v>90.0</v>
      </c>
      <c r="D33" s="173"/>
      <c r="E33" s="32" t="s">
        <v>3850</v>
      </c>
      <c r="F33" s="183" t="s">
        <v>25</v>
      </c>
      <c r="G33" s="169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170"/>
      <c r="W33" s="170"/>
      <c r="X33" s="170"/>
    </row>
    <row r="34">
      <c r="A34" s="2"/>
      <c r="B34" s="46" t="s">
        <v>23</v>
      </c>
      <c r="C34" s="11">
        <v>90.0</v>
      </c>
      <c r="D34" s="173"/>
      <c r="E34" s="32" t="s">
        <v>3851</v>
      </c>
      <c r="F34" s="183" t="s">
        <v>25</v>
      </c>
      <c r="G34" s="169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170"/>
      <c r="W34" s="170"/>
      <c r="X34" s="170"/>
    </row>
    <row r="35">
      <c r="A35" s="2"/>
      <c r="B35" s="46" t="s">
        <v>23</v>
      </c>
      <c r="C35" s="11">
        <v>90.0</v>
      </c>
      <c r="D35" s="173"/>
      <c r="E35" s="32" t="s">
        <v>3852</v>
      </c>
      <c r="F35" s="183" t="s">
        <v>25</v>
      </c>
      <c r="G35" s="169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170"/>
      <c r="W35" s="170"/>
      <c r="X35" s="170"/>
    </row>
    <row r="36">
      <c r="A36" s="2"/>
      <c r="B36" s="46" t="s">
        <v>23</v>
      </c>
      <c r="C36" s="11">
        <v>90.0</v>
      </c>
      <c r="D36" s="173"/>
      <c r="E36" s="32" t="s">
        <v>3853</v>
      </c>
      <c r="F36" s="183" t="s">
        <v>25</v>
      </c>
      <c r="G36" s="169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170"/>
      <c r="W36" s="170"/>
      <c r="X36" s="170"/>
    </row>
    <row r="37">
      <c r="A37" s="2"/>
      <c r="B37" s="46" t="s">
        <v>23</v>
      </c>
      <c r="C37" s="11">
        <v>90.0</v>
      </c>
      <c r="D37" s="173"/>
      <c r="E37" s="32" t="s">
        <v>3854</v>
      </c>
      <c r="F37" s="183" t="s">
        <v>25</v>
      </c>
      <c r="G37" s="169"/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170"/>
      <c r="W37" s="170"/>
      <c r="X37" s="170"/>
    </row>
    <row r="38">
      <c r="A38" s="2"/>
      <c r="B38" s="46" t="s">
        <v>23</v>
      </c>
      <c r="C38" s="11">
        <v>90.0</v>
      </c>
      <c r="D38" s="173"/>
      <c r="E38" s="32" t="s">
        <v>3855</v>
      </c>
      <c r="F38" s="183" t="s">
        <v>25</v>
      </c>
      <c r="G38" s="169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170"/>
      <c r="W38" s="170"/>
      <c r="X38" s="170"/>
    </row>
    <row r="39">
      <c r="A39" s="2"/>
      <c r="B39" s="48" t="s">
        <v>23</v>
      </c>
      <c r="C39" s="36">
        <v>90.0</v>
      </c>
      <c r="D39" s="178"/>
      <c r="E39" s="49" t="s">
        <v>3856</v>
      </c>
      <c r="F39" s="184" t="s">
        <v>25</v>
      </c>
      <c r="G39" s="169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170"/>
      <c r="W39" s="170"/>
      <c r="X39" s="170"/>
    </row>
    <row r="40">
      <c r="A40" s="2"/>
      <c r="B40" s="1"/>
      <c r="C40" s="1"/>
      <c r="D40" s="180"/>
      <c r="E40" s="30"/>
      <c r="F40" s="168"/>
      <c r="G40" s="169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170"/>
      <c r="W40" s="170"/>
      <c r="X40" s="170"/>
    </row>
    <row r="41">
      <c r="A41" s="2"/>
      <c r="B41" s="41" t="s">
        <v>67</v>
      </c>
      <c r="C41" s="42">
        <v>0.0</v>
      </c>
      <c r="D41" s="181"/>
      <c r="E41" s="43" t="s">
        <v>3857</v>
      </c>
      <c r="F41" s="182">
        <v>0.0</v>
      </c>
      <c r="G41" s="169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170"/>
      <c r="W41" s="170"/>
      <c r="X41" s="170"/>
    </row>
    <row r="42">
      <c r="A42" s="2"/>
      <c r="B42" s="46" t="s">
        <v>67</v>
      </c>
      <c r="C42" s="11">
        <v>0.0</v>
      </c>
      <c r="D42" s="173" t="s">
        <v>3858</v>
      </c>
      <c r="E42" s="32" t="s">
        <v>3859</v>
      </c>
      <c r="F42" s="174">
        <f>'ПРАЙС_ЛИСТ'!F57</f>
        <v>400</v>
      </c>
      <c r="G42" s="169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70"/>
      <c r="W42" s="170"/>
      <c r="X42" s="170"/>
    </row>
    <row r="43">
      <c r="A43" s="2"/>
      <c r="B43" s="46" t="s">
        <v>67</v>
      </c>
      <c r="C43" s="11">
        <v>0.0</v>
      </c>
      <c r="D43" s="173"/>
      <c r="E43" s="32" t="s">
        <v>3860</v>
      </c>
      <c r="F43" s="174">
        <f>'ПРАЙС_ЛИСТ'!F58</f>
        <v>900</v>
      </c>
      <c r="G43" s="169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170"/>
      <c r="W43" s="170"/>
      <c r="X43" s="170"/>
    </row>
    <row r="44">
      <c r="A44" s="2"/>
      <c r="B44" s="46" t="s">
        <v>67</v>
      </c>
      <c r="C44" s="11">
        <v>180.0</v>
      </c>
      <c r="D44" s="173" t="s">
        <v>3861</v>
      </c>
      <c r="E44" s="32" t="s">
        <v>3862</v>
      </c>
      <c r="F44" s="174">
        <f>'ПРАЙС_ЛИСТ'!F59</f>
        <v>1200</v>
      </c>
      <c r="G44" s="169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170"/>
      <c r="W44" s="170"/>
      <c r="X44" s="170"/>
    </row>
    <row r="45">
      <c r="A45" s="2"/>
      <c r="B45" s="46" t="s">
        <v>67</v>
      </c>
      <c r="C45" s="11">
        <v>90.0</v>
      </c>
      <c r="D45" s="173" t="s">
        <v>3863</v>
      </c>
      <c r="E45" s="32" t="s">
        <v>3864</v>
      </c>
      <c r="F45" s="174">
        <f>'ПРАЙС_ЛИСТ'!F60</f>
        <v>750</v>
      </c>
      <c r="G45" s="169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170"/>
      <c r="W45" s="170"/>
      <c r="X45" s="170"/>
    </row>
    <row r="46">
      <c r="A46" s="2"/>
      <c r="B46" s="46" t="s">
        <v>67</v>
      </c>
      <c r="C46" s="11">
        <v>90.0</v>
      </c>
      <c r="D46" s="173" t="s">
        <v>3865</v>
      </c>
      <c r="E46" s="32" t="s">
        <v>3866</v>
      </c>
      <c r="F46" s="174">
        <f>'ПРАЙС_ЛИСТ'!F63</f>
        <v>800</v>
      </c>
      <c r="G46" s="169"/>
      <c r="H46" s="30" t="s">
        <v>3867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170"/>
      <c r="W46" s="170"/>
      <c r="X46" s="170"/>
    </row>
    <row r="47">
      <c r="A47" s="2"/>
      <c r="B47" s="46" t="s">
        <v>67</v>
      </c>
      <c r="C47" s="11">
        <v>90.0</v>
      </c>
      <c r="D47" s="173" t="s">
        <v>3868</v>
      </c>
      <c r="E47" s="32" t="s">
        <v>3869</v>
      </c>
      <c r="F47" s="174">
        <f>'ПРАЙС_ЛИСТ'!F64</f>
        <v>750</v>
      </c>
      <c r="G47" s="169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170"/>
      <c r="W47" s="170"/>
      <c r="X47" s="170"/>
    </row>
    <row r="48">
      <c r="A48" s="2"/>
      <c r="B48" s="46" t="s">
        <v>67</v>
      </c>
      <c r="C48" s="11">
        <v>90.0</v>
      </c>
      <c r="D48" s="173" t="s">
        <v>3870</v>
      </c>
      <c r="E48" s="32" t="s">
        <v>3871</v>
      </c>
      <c r="F48" s="174">
        <f>'ПРАЙС_ЛИСТ'!F65</f>
        <v>750</v>
      </c>
      <c r="G48" s="169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170"/>
      <c r="W48" s="170"/>
      <c r="X48" s="170"/>
    </row>
    <row r="49">
      <c r="A49" s="2"/>
      <c r="B49" s="46" t="s">
        <v>67</v>
      </c>
      <c r="C49" s="11">
        <v>90.0</v>
      </c>
      <c r="D49" s="173" t="s">
        <v>3872</v>
      </c>
      <c r="E49" s="32" t="s">
        <v>3873</v>
      </c>
      <c r="F49" s="185">
        <f>IF('ПРАЙС_ЛИСТ'!F66 = G49, 0, 'ПРАЙС_ЛИСТ'!F66)</f>
        <v>0</v>
      </c>
      <c r="G49" s="186">
        <f>'БД_УСЛУГИ_РО'!P64</f>
        <v>500</v>
      </c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170"/>
      <c r="W49" s="170"/>
      <c r="X49" s="170"/>
    </row>
    <row r="50">
      <c r="A50" s="2"/>
      <c r="B50" s="46" t="s">
        <v>67</v>
      </c>
      <c r="C50" s="11">
        <v>180.0</v>
      </c>
      <c r="D50" s="173" t="s">
        <v>3874</v>
      </c>
      <c r="E50" s="32" t="s">
        <v>3875</v>
      </c>
      <c r="F50" s="185">
        <f>IF('ПРАЙС_ЛИСТ'!F67 = G50, 0, 'ПРАЙС_ЛИСТ'!F67)</f>
        <v>0</v>
      </c>
      <c r="G50" s="187">
        <f>'БД_УСЛУГИ_РО'!P65</f>
        <v>800</v>
      </c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170"/>
      <c r="W50" s="170"/>
      <c r="X50" s="170"/>
    </row>
    <row r="51">
      <c r="A51" s="2"/>
      <c r="B51" s="46" t="s">
        <v>67</v>
      </c>
      <c r="C51" s="11">
        <v>90.0</v>
      </c>
      <c r="D51" s="173" t="s">
        <v>3876</v>
      </c>
      <c r="E51" s="32" t="s">
        <v>3877</v>
      </c>
      <c r="F51" s="185">
        <f>IF('ПРАЙС_ЛИСТ'!F68 = G51, 0, 'ПРАЙС_ЛИСТ'!F68)</f>
        <v>0</v>
      </c>
      <c r="G51" s="187">
        <f>'БД_УСЛУГИ_РО'!P66</f>
        <v>700</v>
      </c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170"/>
      <c r="W51" s="170"/>
      <c r="X51" s="170"/>
    </row>
    <row r="52">
      <c r="A52" s="2"/>
      <c r="B52" s="46" t="s">
        <v>67</v>
      </c>
      <c r="C52" s="11">
        <v>90.0</v>
      </c>
      <c r="D52" s="173" t="s">
        <v>3878</v>
      </c>
      <c r="E52" s="32" t="s">
        <v>3879</v>
      </c>
      <c r="F52" s="174">
        <f>'ПРАЙС_ЛИСТ'!F69</f>
        <v>700</v>
      </c>
      <c r="G52" s="169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170"/>
      <c r="W52" s="170"/>
      <c r="X52" s="170"/>
    </row>
    <row r="53">
      <c r="A53" s="2"/>
      <c r="B53" s="46" t="s">
        <v>67</v>
      </c>
      <c r="C53" s="11">
        <v>90.0</v>
      </c>
      <c r="D53" s="173" t="s">
        <v>3880</v>
      </c>
      <c r="E53" s="32" t="s">
        <v>3881</v>
      </c>
      <c r="F53" s="174">
        <f>'ПРАЙС_ЛИСТ'!F70</f>
        <v>850</v>
      </c>
      <c r="G53" s="169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170"/>
      <c r="W53" s="170"/>
      <c r="X53" s="170"/>
    </row>
    <row r="54">
      <c r="A54" s="2"/>
      <c r="B54" s="46" t="s">
        <v>67</v>
      </c>
      <c r="C54" s="11">
        <v>90.0</v>
      </c>
      <c r="D54" s="173" t="s">
        <v>3882</v>
      </c>
      <c r="E54" s="32" t="s">
        <v>3883</v>
      </c>
      <c r="F54" s="174">
        <f>'ПРАЙС_ЛИСТ'!F71</f>
        <v>850</v>
      </c>
      <c r="G54" s="169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170"/>
      <c r="W54" s="170"/>
      <c r="X54" s="170"/>
    </row>
    <row r="55">
      <c r="A55" s="2"/>
      <c r="B55" s="46" t="s">
        <v>67</v>
      </c>
      <c r="C55" s="11">
        <v>90.0</v>
      </c>
      <c r="D55" s="173" t="s">
        <v>3884</v>
      </c>
      <c r="E55" s="32" t="s">
        <v>3885</v>
      </c>
      <c r="F55" s="174">
        <f>'ПРАЙС_ЛИСТ'!F72</f>
        <v>1050</v>
      </c>
      <c r="G55" s="169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170"/>
      <c r="W55" s="170"/>
      <c r="X55" s="170"/>
    </row>
    <row r="56">
      <c r="A56" s="2"/>
      <c r="B56" s="46" t="s">
        <v>67</v>
      </c>
      <c r="C56" s="11">
        <v>90.0</v>
      </c>
      <c r="D56" s="173" t="s">
        <v>1523</v>
      </c>
      <c r="E56" s="32" t="s">
        <v>3886</v>
      </c>
      <c r="F56" s="174">
        <f>'ПРАЙС_ЛИСТ'!F73</f>
        <v>1600</v>
      </c>
      <c r="G56" s="169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170"/>
      <c r="W56" s="170"/>
      <c r="X56" s="170"/>
    </row>
    <row r="57">
      <c r="A57" s="2"/>
      <c r="B57" s="46" t="s">
        <v>67</v>
      </c>
      <c r="C57" s="11">
        <v>90.0</v>
      </c>
      <c r="D57" s="173" t="s">
        <v>3887</v>
      </c>
      <c r="E57" s="32" t="s">
        <v>3888</v>
      </c>
      <c r="F57" s="174">
        <f>'ПРАЙС_ЛИСТ'!F74</f>
        <v>2000</v>
      </c>
      <c r="G57" s="169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170"/>
      <c r="W57" s="170"/>
      <c r="X57" s="170"/>
    </row>
    <row r="58">
      <c r="A58" s="2"/>
      <c r="B58" s="46" t="s">
        <v>67</v>
      </c>
      <c r="C58" s="11">
        <v>90.0</v>
      </c>
      <c r="D58" s="173" t="s">
        <v>3889</v>
      </c>
      <c r="E58" s="32" t="s">
        <v>3890</v>
      </c>
      <c r="F58" s="174">
        <f>'ПРАЙС_ЛИСТ'!F75</f>
        <v>2000</v>
      </c>
      <c r="G58" s="169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170"/>
      <c r="W58" s="170"/>
      <c r="X58" s="170"/>
    </row>
    <row r="59">
      <c r="A59" s="2"/>
      <c r="B59" s="48" t="s">
        <v>67</v>
      </c>
      <c r="C59" s="36">
        <v>90.0</v>
      </c>
      <c r="D59" s="178" t="s">
        <v>3891</v>
      </c>
      <c r="E59" s="49" t="s">
        <v>3892</v>
      </c>
      <c r="F59" s="179">
        <f>'ПРАЙС_ЛИСТ'!F76</f>
        <v>900</v>
      </c>
      <c r="G59" s="169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170"/>
      <c r="W59" s="170"/>
      <c r="X59" s="170"/>
    </row>
    <row r="60">
      <c r="A60" s="2"/>
      <c r="B60" s="1"/>
      <c r="C60" s="1"/>
      <c r="D60" s="180"/>
      <c r="E60" s="30"/>
      <c r="F60" s="21"/>
      <c r="G60" s="169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170"/>
      <c r="W60" s="170"/>
      <c r="X60" s="170"/>
    </row>
    <row r="61">
      <c r="A61" s="2"/>
      <c r="B61" s="41" t="s">
        <v>1481</v>
      </c>
      <c r="C61" s="42">
        <v>0.0</v>
      </c>
      <c r="D61" s="181"/>
      <c r="E61" s="43" t="s">
        <v>3893</v>
      </c>
      <c r="F61" s="182">
        <v>0.0</v>
      </c>
      <c r="G61" s="169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170"/>
      <c r="W61" s="170"/>
      <c r="X61" s="170"/>
    </row>
    <row r="62">
      <c r="A62" s="2"/>
      <c r="B62" s="46" t="s">
        <v>1481</v>
      </c>
      <c r="C62" s="11">
        <v>0.0</v>
      </c>
      <c r="D62" s="173" t="s">
        <v>3894</v>
      </c>
      <c r="E62" s="32" t="s">
        <v>3895</v>
      </c>
      <c r="F62" s="174">
        <f>'ПРАЙС_ЛИСТ'!F79</f>
        <v>400</v>
      </c>
      <c r="G62" s="169"/>
      <c r="H62" s="3"/>
      <c r="I62" s="2"/>
      <c r="J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170"/>
      <c r="W62" s="170"/>
      <c r="X62" s="170"/>
    </row>
    <row r="63">
      <c r="A63" s="2"/>
      <c r="B63" s="46" t="s">
        <v>1481</v>
      </c>
      <c r="C63" s="11">
        <v>0.0</v>
      </c>
      <c r="D63" s="173"/>
      <c r="E63" s="32" t="s">
        <v>3896</v>
      </c>
      <c r="F63" s="183" t="s">
        <v>3897</v>
      </c>
      <c r="G63" s="169"/>
      <c r="H63" s="3"/>
      <c r="I63" s="2"/>
      <c r="J63" s="2"/>
      <c r="K63" s="1" t="s">
        <v>3898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170"/>
      <c r="W63" s="170"/>
      <c r="X63" s="170"/>
    </row>
    <row r="64">
      <c r="A64" s="2"/>
      <c r="B64" s="46" t="s">
        <v>1481</v>
      </c>
      <c r="C64" s="11">
        <v>180.0</v>
      </c>
      <c r="D64" s="173" t="s">
        <v>1488</v>
      </c>
      <c r="E64" s="32" t="s">
        <v>3899</v>
      </c>
      <c r="F64" s="174">
        <f>'ПРАЙС_ЛИСТ'!F81</f>
        <v>1200</v>
      </c>
      <c r="G64" s="169"/>
      <c r="H64" s="3"/>
      <c r="I64" s="2"/>
      <c r="J64" s="2"/>
      <c r="K64" s="1" t="s">
        <v>3900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170"/>
      <c r="W64" s="170"/>
      <c r="X64" s="170"/>
    </row>
    <row r="65">
      <c r="A65" s="2"/>
      <c r="B65" s="46" t="s">
        <v>1481</v>
      </c>
      <c r="C65" s="11">
        <v>90.0</v>
      </c>
      <c r="D65" s="173" t="s">
        <v>1490</v>
      </c>
      <c r="E65" s="32" t="s">
        <v>3901</v>
      </c>
      <c r="F65" s="174">
        <f>'ПРАЙС_ЛИСТ'!F82</f>
        <v>750</v>
      </c>
      <c r="G65" s="169"/>
      <c r="H65" s="3"/>
      <c r="I65" s="2"/>
      <c r="J65" s="2"/>
      <c r="K65" s="1" t="s">
        <v>3902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170"/>
      <c r="W65" s="170"/>
      <c r="X65" s="170"/>
    </row>
    <row r="66">
      <c r="A66" s="2"/>
      <c r="B66" s="46" t="s">
        <v>1481</v>
      </c>
      <c r="C66" s="11">
        <v>90.0</v>
      </c>
      <c r="D66" s="173" t="s">
        <v>1484</v>
      </c>
      <c r="E66" s="32" t="s">
        <v>3903</v>
      </c>
      <c r="F66" s="174">
        <f>'ПРАЙС_ЛИСТ'!F84</f>
        <v>850</v>
      </c>
      <c r="G66" s="169"/>
      <c r="H66" s="30" t="s">
        <v>3904</v>
      </c>
      <c r="I66" s="2"/>
      <c r="J66" s="2"/>
      <c r="K66" s="1" t="s">
        <v>3905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170"/>
      <c r="W66" s="170"/>
      <c r="X66" s="170"/>
    </row>
    <row r="67">
      <c r="A67" s="2"/>
      <c r="B67" s="46" t="s">
        <v>1481</v>
      </c>
      <c r="C67" s="11">
        <v>90.0</v>
      </c>
      <c r="D67" s="173" t="s">
        <v>1498</v>
      </c>
      <c r="E67" s="32" t="s">
        <v>3906</v>
      </c>
      <c r="F67" s="174">
        <f>'ПРАЙС_ЛИСТ'!F86</f>
        <v>750</v>
      </c>
      <c r="G67" s="169"/>
      <c r="H67" s="3"/>
      <c r="I67" s="2"/>
      <c r="J67" s="2"/>
      <c r="K67" s="1" t="s">
        <v>3907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170"/>
      <c r="W67" s="170"/>
      <c r="X67" s="170"/>
    </row>
    <row r="68">
      <c r="A68" s="2"/>
      <c r="B68" s="46" t="s">
        <v>1481</v>
      </c>
      <c r="C68" s="11">
        <v>90.0</v>
      </c>
      <c r="D68" s="173" t="s">
        <v>1500</v>
      </c>
      <c r="E68" s="32" t="s">
        <v>3908</v>
      </c>
      <c r="F68" s="174">
        <f>'ПРАЙС_ЛИСТ'!F87</f>
        <v>750</v>
      </c>
      <c r="G68" s="169"/>
      <c r="H68" s="3"/>
      <c r="I68" s="2"/>
      <c r="J68" s="2"/>
      <c r="K68" s="1" t="s">
        <v>3909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170"/>
      <c r="W68" s="170"/>
      <c r="X68" s="170"/>
    </row>
    <row r="69">
      <c r="A69" s="2"/>
      <c r="B69" s="46" t="s">
        <v>1481</v>
      </c>
      <c r="C69" s="11">
        <v>90.0</v>
      </c>
      <c r="D69" s="173" t="s">
        <v>1502</v>
      </c>
      <c r="E69" s="32" t="s">
        <v>3910</v>
      </c>
      <c r="F69" s="185">
        <f>IF('ПРАЙС_ЛИСТ'!F88 = G69, 0, 'ПРАЙС_ЛИСТ'!F88)</f>
        <v>0</v>
      </c>
      <c r="G69" s="186">
        <f>'БД_УСЛУГИ_РО'!P64</f>
        <v>500</v>
      </c>
      <c r="H69" s="3"/>
      <c r="I69" s="2"/>
      <c r="J69" s="2"/>
      <c r="K69" s="1" t="s">
        <v>3911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170"/>
      <c r="W69" s="170"/>
      <c r="X69" s="170"/>
    </row>
    <row r="70">
      <c r="A70" s="2"/>
      <c r="B70" s="46" t="s">
        <v>1481</v>
      </c>
      <c r="C70" s="11">
        <v>180.0</v>
      </c>
      <c r="D70" s="173" t="s">
        <v>1504</v>
      </c>
      <c r="E70" s="32" t="s">
        <v>3912</v>
      </c>
      <c r="F70" s="185">
        <f>IF('ПРАЙС_ЛИСТ'!F89 = G70, 0, 'ПРАЙС_ЛИСТ'!F89)</f>
        <v>0</v>
      </c>
      <c r="G70" s="186">
        <f>'БД_УСЛУГИ_РО'!P65</f>
        <v>800</v>
      </c>
      <c r="H70" s="3"/>
      <c r="I70" s="2"/>
      <c r="J70" s="2"/>
      <c r="K70" s="1" t="s">
        <v>3913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170"/>
      <c r="W70" s="170"/>
      <c r="X70" s="170"/>
    </row>
    <row r="71">
      <c r="A71" s="2"/>
      <c r="B71" s="46" t="s">
        <v>1481</v>
      </c>
      <c r="C71" s="11">
        <v>90.0</v>
      </c>
      <c r="D71" s="173" t="s">
        <v>3914</v>
      </c>
      <c r="E71" s="32" t="s">
        <v>3915</v>
      </c>
      <c r="F71" s="185">
        <f>IF('ПРАЙС_ЛИСТ'!F90 = G71, 0, 'ПРАЙС_ЛИСТ'!F90)</f>
        <v>0</v>
      </c>
      <c r="G71" s="186">
        <f>'БД_УСЛУГИ_РО'!P66</f>
        <v>700</v>
      </c>
      <c r="H71" s="3"/>
      <c r="I71" s="2"/>
      <c r="J71" s="2"/>
      <c r="K71" s="1" t="s">
        <v>3916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170"/>
      <c r="W71" s="170"/>
      <c r="X71" s="170"/>
    </row>
    <row r="72">
      <c r="A72" s="2"/>
      <c r="B72" s="46" t="s">
        <v>1481</v>
      </c>
      <c r="C72" s="11">
        <v>90.0</v>
      </c>
      <c r="D72" s="173" t="s">
        <v>1506</v>
      </c>
      <c r="E72" s="32" t="s">
        <v>3917</v>
      </c>
      <c r="F72" s="174">
        <f>'ПРАЙС_ЛИСТ'!F91</f>
        <v>700</v>
      </c>
      <c r="G72" s="169"/>
      <c r="H72" s="3"/>
      <c r="I72" s="2"/>
      <c r="J72" s="2"/>
      <c r="K72" s="1" t="s">
        <v>3918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170"/>
      <c r="W72" s="170"/>
      <c r="X72" s="170"/>
    </row>
    <row r="73">
      <c r="A73" s="2"/>
      <c r="B73" s="46" t="s">
        <v>1481</v>
      </c>
      <c r="C73" s="11">
        <v>90.0</v>
      </c>
      <c r="D73" s="173" t="s">
        <v>1494</v>
      </c>
      <c r="E73" s="32" t="s">
        <v>3919</v>
      </c>
      <c r="F73" s="185">
        <f>IF('ПРАЙС_ЛИСТ'!F92 = G73, 0, 'ПРАЙС_ЛИСТ'!F92)</f>
        <v>0</v>
      </c>
      <c r="G73" s="186">
        <f>'БД_УСЛУГИ_РО'!P68</f>
        <v>800</v>
      </c>
      <c r="H73" s="3"/>
      <c r="I73" s="2"/>
      <c r="J73" s="2"/>
      <c r="K73" s="1" t="s">
        <v>3920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170"/>
      <c r="W73" s="170"/>
      <c r="X73" s="170"/>
    </row>
    <row r="74">
      <c r="A74" s="2"/>
      <c r="B74" s="46" t="s">
        <v>1481</v>
      </c>
      <c r="C74" s="11">
        <v>90.0</v>
      </c>
      <c r="D74" s="173" t="s">
        <v>1496</v>
      </c>
      <c r="E74" s="32" t="s">
        <v>3921</v>
      </c>
      <c r="F74" s="174">
        <f>'ПРАЙС_ЛИСТ'!F93</f>
        <v>850</v>
      </c>
      <c r="G74" s="169"/>
      <c r="H74" s="3"/>
      <c r="I74" s="2"/>
      <c r="J74" s="2"/>
      <c r="K74" s="1" t="s">
        <v>3922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170"/>
      <c r="W74" s="170"/>
      <c r="X74" s="170"/>
    </row>
    <row r="75">
      <c r="A75" s="2"/>
      <c r="B75" s="46" t="s">
        <v>1481</v>
      </c>
      <c r="C75" s="11">
        <v>90.0</v>
      </c>
      <c r="D75" s="173" t="s">
        <v>1492</v>
      </c>
      <c r="E75" s="32" t="s">
        <v>3923</v>
      </c>
      <c r="F75" s="174">
        <f>'ПРАЙС_ЛИСТ'!F94</f>
        <v>1050</v>
      </c>
      <c r="G75" s="169"/>
      <c r="H75" s="3"/>
      <c r="I75" s="2"/>
      <c r="J75" s="2"/>
      <c r="K75" s="1" t="s">
        <v>3924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170"/>
      <c r="W75" s="170"/>
      <c r="X75" s="170"/>
    </row>
    <row r="76">
      <c r="A76" s="2"/>
      <c r="B76" s="46" t="s">
        <v>1481</v>
      </c>
      <c r="C76" s="11">
        <v>90.0</v>
      </c>
      <c r="D76" s="173" t="s">
        <v>1508</v>
      </c>
      <c r="E76" s="32" t="s">
        <v>3925</v>
      </c>
      <c r="F76" s="174">
        <f>'ПРАЙС_ЛИСТ'!F95</f>
        <v>1600</v>
      </c>
      <c r="G76" s="169"/>
      <c r="H76" s="3"/>
      <c r="I76" s="2"/>
      <c r="J76" s="2"/>
      <c r="K76" s="1" t="s">
        <v>3926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170"/>
      <c r="W76" s="170"/>
      <c r="X76" s="170"/>
    </row>
    <row r="77">
      <c r="A77" s="2"/>
      <c r="B77" s="46" t="s">
        <v>1481</v>
      </c>
      <c r="C77" s="11">
        <v>90.0</v>
      </c>
      <c r="D77" s="173" t="s">
        <v>1486</v>
      </c>
      <c r="E77" s="32" t="s">
        <v>3927</v>
      </c>
      <c r="F77" s="174">
        <f>'ПРАЙС_ЛИСТ'!F96</f>
        <v>2000</v>
      </c>
      <c r="G77" s="169"/>
      <c r="H77" s="3"/>
      <c r="I77" s="2"/>
      <c r="J77" s="2"/>
      <c r="K77" s="1" t="s">
        <v>3928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170"/>
      <c r="W77" s="170"/>
      <c r="X77" s="170"/>
    </row>
    <row r="78">
      <c r="A78" s="2"/>
      <c r="B78" s="46" t="s">
        <v>1481</v>
      </c>
      <c r="C78" s="11">
        <v>90.0</v>
      </c>
      <c r="D78" s="173" t="s">
        <v>3929</v>
      </c>
      <c r="E78" s="32" t="s">
        <v>3930</v>
      </c>
      <c r="F78" s="174">
        <f>'ПРАЙС_ЛИСТ'!F97</f>
        <v>2000</v>
      </c>
      <c r="G78" s="169"/>
      <c r="H78" s="3"/>
      <c r="I78" s="2"/>
      <c r="J78" s="2"/>
      <c r="K78" s="1" t="s">
        <v>3931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170"/>
      <c r="W78" s="170"/>
      <c r="X78" s="170"/>
    </row>
    <row r="79">
      <c r="A79" s="2"/>
      <c r="B79" s="48" t="s">
        <v>1481</v>
      </c>
      <c r="C79" s="36">
        <v>90.0</v>
      </c>
      <c r="D79" s="178" t="s">
        <v>3932</v>
      </c>
      <c r="E79" s="49" t="s">
        <v>3933</v>
      </c>
      <c r="F79" s="179">
        <f>'ПРАЙС_ЛИСТ'!F98</f>
        <v>900</v>
      </c>
      <c r="G79" s="169"/>
      <c r="H79" s="3"/>
      <c r="I79" s="2"/>
      <c r="J79" s="2"/>
      <c r="K79" s="1" t="s">
        <v>3934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170"/>
      <c r="W79" s="170"/>
      <c r="X79" s="170"/>
    </row>
    <row r="80">
      <c r="A80" s="2"/>
      <c r="B80" s="1"/>
      <c r="C80" s="1"/>
      <c r="D80" s="180"/>
      <c r="E80" s="30"/>
      <c r="F80" s="21"/>
      <c r="G80" s="169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170"/>
      <c r="W80" s="170"/>
      <c r="X80" s="170"/>
    </row>
    <row r="81">
      <c r="A81" s="2"/>
      <c r="B81" s="41" t="s">
        <v>71</v>
      </c>
      <c r="C81" s="42">
        <v>0.0</v>
      </c>
      <c r="D81" s="181"/>
      <c r="E81" s="43" t="s">
        <v>3935</v>
      </c>
      <c r="F81" s="182">
        <v>0.0</v>
      </c>
      <c r="G81" s="169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170"/>
      <c r="W81" s="170"/>
      <c r="X81" s="170"/>
    </row>
    <row r="82">
      <c r="A82" s="2"/>
      <c r="B82" s="46" t="s">
        <v>71</v>
      </c>
      <c r="C82" s="11">
        <v>0.0</v>
      </c>
      <c r="D82" s="173"/>
      <c r="E82" s="32" t="s">
        <v>3936</v>
      </c>
      <c r="F82" s="174">
        <f>'ПРАЙС_ЛИСТ'!F101</f>
        <v>400</v>
      </c>
      <c r="G82" s="169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170"/>
      <c r="W82" s="170"/>
      <c r="X82" s="170"/>
    </row>
    <row r="83">
      <c r="A83" s="2"/>
      <c r="B83" s="46" t="s">
        <v>71</v>
      </c>
      <c r="C83" s="11">
        <v>0.0</v>
      </c>
      <c r="D83" s="173"/>
      <c r="E83" s="32" t="s">
        <v>3937</v>
      </c>
      <c r="F83" s="174">
        <f>'ПРАЙС_ЛИСТ'!F102</f>
        <v>900</v>
      </c>
      <c r="G83" s="169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170"/>
      <c r="W83" s="170"/>
      <c r="X83" s="170"/>
    </row>
    <row r="84">
      <c r="A84" s="2"/>
      <c r="B84" s="46" t="s">
        <v>71</v>
      </c>
      <c r="C84" s="11">
        <v>180.0</v>
      </c>
      <c r="D84" s="173"/>
      <c r="E84" s="32" t="s">
        <v>3938</v>
      </c>
      <c r="F84" s="174">
        <f>'ПРАЙС_ЛИСТ'!F103</f>
        <v>1200</v>
      </c>
      <c r="G84" s="169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170"/>
      <c r="W84" s="170"/>
      <c r="X84" s="170"/>
    </row>
    <row r="85">
      <c r="A85" s="2"/>
      <c r="B85" s="46" t="s">
        <v>71</v>
      </c>
      <c r="C85" s="11">
        <v>90.0</v>
      </c>
      <c r="D85" s="173"/>
      <c r="E85" s="32" t="s">
        <v>3939</v>
      </c>
      <c r="F85" s="174">
        <f>'ПРАЙС_ЛИСТ'!F104</f>
        <v>750</v>
      </c>
      <c r="G85" s="169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170"/>
      <c r="W85" s="170"/>
      <c r="X85" s="170"/>
    </row>
    <row r="86">
      <c r="A86" s="2"/>
      <c r="B86" s="46" t="s">
        <v>71</v>
      </c>
      <c r="C86" s="11">
        <v>90.0</v>
      </c>
      <c r="D86" s="173"/>
      <c r="E86" s="32" t="s">
        <v>3940</v>
      </c>
      <c r="F86" s="174">
        <f>IFERROR(__xludf.DUMMYFUNCTION("MIN(FILTER('ПРАЙС_ЛИСТ'!F105:F107, 'ПРАЙС_ЛИСТ'!F105:F107 &lt;&gt; 'ПРАЙС_ЛИСТ'!H105:H107))"),1850.0)</f>
        <v>1850</v>
      </c>
      <c r="G86" s="169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170"/>
      <c r="W86" s="170"/>
      <c r="X86" s="170"/>
    </row>
    <row r="87">
      <c r="A87" s="2"/>
      <c r="B87" s="46" t="s">
        <v>71</v>
      </c>
      <c r="C87" s="11">
        <v>90.0</v>
      </c>
      <c r="D87" s="173"/>
      <c r="E87" s="32" t="s">
        <v>3941</v>
      </c>
      <c r="F87" s="174">
        <f>IFERROR(__xludf.DUMMYFUNCTION("MAX(FILTER('ПРАЙС_ЛИСТ'!F105:F107, 'ПРАЙС_ЛИСТ'!F105:F107 &lt;&gt; 'ПРАЙС_ЛИСТ'!H105:H107))"),2000.0)</f>
        <v>2000</v>
      </c>
      <c r="G87" s="169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170"/>
      <c r="W87" s="170"/>
      <c r="X87" s="170"/>
    </row>
    <row r="88">
      <c r="A88" s="2"/>
      <c r="B88" s="46" t="s">
        <v>71</v>
      </c>
      <c r="C88" s="11">
        <v>90.0</v>
      </c>
      <c r="D88" s="173"/>
      <c r="E88" s="32" t="s">
        <v>3942</v>
      </c>
      <c r="F88" s="174">
        <f>'ПРАЙС_ЛИСТ'!F108</f>
        <v>750</v>
      </c>
      <c r="G88" s="169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170"/>
      <c r="W88" s="170"/>
      <c r="X88" s="170"/>
    </row>
    <row r="89">
      <c r="A89" s="2"/>
      <c r="B89" s="46" t="s">
        <v>71</v>
      </c>
      <c r="C89" s="11">
        <v>90.0</v>
      </c>
      <c r="D89" s="173"/>
      <c r="E89" s="32" t="s">
        <v>3943</v>
      </c>
      <c r="F89" s="174">
        <f>'ПРАЙС_ЛИСТ'!F109</f>
        <v>750</v>
      </c>
      <c r="G89" s="169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170"/>
      <c r="W89" s="170"/>
      <c r="X89" s="170"/>
    </row>
    <row r="90">
      <c r="A90" s="2"/>
      <c r="B90" s="46" t="s">
        <v>71</v>
      </c>
      <c r="C90" s="11">
        <v>90.0</v>
      </c>
      <c r="D90" s="173"/>
      <c r="E90" s="32" t="s">
        <v>3944</v>
      </c>
      <c r="F90" s="185">
        <f>IF('ПРАЙС_ЛИСТ'!F110 = G90, 0, 'ПРАЙС_ЛИСТ'!F110)</f>
        <v>0</v>
      </c>
      <c r="G90" s="186">
        <f>'БД_УСЛУГИ_РО'!P64</f>
        <v>500</v>
      </c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170"/>
      <c r="W90" s="170"/>
      <c r="X90" s="170"/>
    </row>
    <row r="91">
      <c r="A91" s="2"/>
      <c r="B91" s="46" t="s">
        <v>71</v>
      </c>
      <c r="C91" s="11">
        <v>180.0</v>
      </c>
      <c r="D91" s="173"/>
      <c r="E91" s="32" t="s">
        <v>3945</v>
      </c>
      <c r="F91" s="185">
        <f>IF('ПРАЙС_ЛИСТ'!F111 = G91, 0, 'ПРАЙС_ЛИСТ'!F111)</f>
        <v>0</v>
      </c>
      <c r="G91" s="186">
        <f>'БД_УСЛУГИ_РО'!P65</f>
        <v>800</v>
      </c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170"/>
      <c r="W91" s="170"/>
      <c r="X91" s="170"/>
    </row>
    <row r="92">
      <c r="A92" s="2"/>
      <c r="B92" s="46" t="s">
        <v>71</v>
      </c>
      <c r="C92" s="11">
        <v>90.0</v>
      </c>
      <c r="D92" s="173"/>
      <c r="E92" s="32" t="s">
        <v>3946</v>
      </c>
      <c r="F92" s="185">
        <f>IF('ПРАЙС_ЛИСТ'!F112 = G92, 0, 'ПРАЙС_ЛИСТ'!F112)</f>
        <v>0</v>
      </c>
      <c r="G92" s="186">
        <f>'БД_УСЛУГИ_РО'!P66</f>
        <v>700</v>
      </c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170"/>
      <c r="W92" s="170"/>
      <c r="X92" s="170"/>
    </row>
    <row r="93">
      <c r="A93" s="2"/>
      <c r="B93" s="46" t="s">
        <v>71</v>
      </c>
      <c r="C93" s="11">
        <v>90.0</v>
      </c>
      <c r="D93" s="173"/>
      <c r="E93" s="32" t="s">
        <v>3947</v>
      </c>
      <c r="F93" s="174">
        <f>'ПРАЙС_ЛИСТ'!F113</f>
        <v>700</v>
      </c>
      <c r="G93" s="169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170"/>
      <c r="W93" s="170"/>
      <c r="X93" s="170"/>
    </row>
    <row r="94">
      <c r="A94" s="2"/>
      <c r="B94" s="46" t="s">
        <v>71</v>
      </c>
      <c r="C94" s="11">
        <v>90.0</v>
      </c>
      <c r="D94" s="173"/>
      <c r="E94" s="32" t="s">
        <v>3948</v>
      </c>
      <c r="F94" s="185">
        <f>IF('ПРАЙС_ЛИСТ'!F114 = G94, 0, 'ПРАЙС_ЛИСТ'!F114)</f>
        <v>0</v>
      </c>
      <c r="G94" s="186">
        <f>'БД_УСЛУГИ_РО'!P68</f>
        <v>800</v>
      </c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170"/>
      <c r="W94" s="170"/>
      <c r="X94" s="170"/>
    </row>
    <row r="95">
      <c r="A95" s="2"/>
      <c r="B95" s="46" t="s">
        <v>71</v>
      </c>
      <c r="C95" s="11">
        <v>90.0</v>
      </c>
      <c r="D95" s="173"/>
      <c r="E95" s="32" t="s">
        <v>3949</v>
      </c>
      <c r="F95" s="174">
        <f>'ПРАЙС_ЛИСТ'!F115</f>
        <v>850</v>
      </c>
      <c r="G95" s="169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170"/>
      <c r="W95" s="170"/>
      <c r="X95" s="170"/>
    </row>
    <row r="96">
      <c r="A96" s="2"/>
      <c r="B96" s="46" t="s">
        <v>71</v>
      </c>
      <c r="C96" s="11">
        <v>90.0</v>
      </c>
      <c r="D96" s="173"/>
      <c r="E96" s="32" t="s">
        <v>3950</v>
      </c>
      <c r="F96" s="174">
        <f>'ПРАЙС_ЛИСТ'!F116</f>
        <v>1050</v>
      </c>
      <c r="G96" s="169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170"/>
      <c r="W96" s="170"/>
      <c r="X96" s="170"/>
    </row>
    <row r="97">
      <c r="A97" s="2"/>
      <c r="B97" s="46" t="s">
        <v>71</v>
      </c>
      <c r="C97" s="11">
        <v>90.0</v>
      </c>
      <c r="D97" s="173"/>
      <c r="E97" s="32" t="s">
        <v>3951</v>
      </c>
      <c r="F97" s="174">
        <f>'ПРАЙС_ЛИСТ'!F117</f>
        <v>1600</v>
      </c>
      <c r="G97" s="169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170"/>
      <c r="W97" s="170"/>
      <c r="X97" s="170"/>
    </row>
    <row r="98">
      <c r="A98" s="2"/>
      <c r="B98" s="46" t="s">
        <v>71</v>
      </c>
      <c r="C98" s="11">
        <v>90.0</v>
      </c>
      <c r="D98" s="173"/>
      <c r="E98" s="32" t="s">
        <v>3952</v>
      </c>
      <c r="F98" s="174">
        <f>'ПРАЙС_ЛИСТ'!F118</f>
        <v>2000</v>
      </c>
      <c r="G98" s="169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170"/>
      <c r="W98" s="170"/>
      <c r="X98" s="170"/>
    </row>
    <row r="99">
      <c r="A99" s="2"/>
      <c r="B99" s="46" t="s">
        <v>71</v>
      </c>
      <c r="C99" s="11">
        <v>90.0</v>
      </c>
      <c r="D99" s="173"/>
      <c r="E99" s="32" t="s">
        <v>3953</v>
      </c>
      <c r="F99" s="174">
        <f>'ПРАЙС_ЛИСТ'!F119</f>
        <v>2000</v>
      </c>
      <c r="G99" s="169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170"/>
      <c r="W99" s="170"/>
      <c r="X99" s="170"/>
    </row>
    <row r="100">
      <c r="A100" s="2"/>
      <c r="B100" s="48" t="s">
        <v>71</v>
      </c>
      <c r="C100" s="36">
        <v>90.0</v>
      </c>
      <c r="D100" s="178"/>
      <c r="E100" s="49" t="s">
        <v>3954</v>
      </c>
      <c r="F100" s="179">
        <f>'ПРАЙС_ЛИСТ'!F120</f>
        <v>900</v>
      </c>
      <c r="G100" s="169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170"/>
      <c r="W100" s="170"/>
      <c r="X100" s="170"/>
    </row>
    <row r="101">
      <c r="A101" s="2"/>
      <c r="B101" s="1"/>
      <c r="C101" s="1"/>
      <c r="D101" s="180"/>
      <c r="E101" s="30"/>
      <c r="F101" s="21"/>
      <c r="G101" s="169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170"/>
      <c r="W101" s="170"/>
      <c r="X101" s="170"/>
    </row>
    <row r="102">
      <c r="A102" s="2"/>
      <c r="B102" s="41" t="s">
        <v>77</v>
      </c>
      <c r="C102" s="42">
        <v>0.0</v>
      </c>
      <c r="D102" s="181"/>
      <c r="E102" s="43" t="s">
        <v>3955</v>
      </c>
      <c r="F102" s="182">
        <v>0.0</v>
      </c>
      <c r="G102" s="169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170"/>
      <c r="W102" s="170"/>
      <c r="X102" s="170"/>
    </row>
    <row r="103">
      <c r="A103" s="2"/>
      <c r="B103" s="46" t="s">
        <v>77</v>
      </c>
      <c r="C103" s="11">
        <v>0.0</v>
      </c>
      <c r="D103" s="173"/>
      <c r="E103" s="32" t="s">
        <v>3956</v>
      </c>
      <c r="F103" s="174">
        <f>'ПРАЙС_ЛИСТ'!F123</f>
        <v>400</v>
      </c>
      <c r="G103" s="169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170"/>
      <c r="W103" s="170"/>
      <c r="X103" s="170"/>
    </row>
    <row r="104">
      <c r="A104" s="2"/>
      <c r="B104" s="46" t="s">
        <v>77</v>
      </c>
      <c r="C104" s="11">
        <v>0.0</v>
      </c>
      <c r="D104" s="173"/>
      <c r="E104" s="32" t="s">
        <v>3957</v>
      </c>
      <c r="F104" s="174">
        <f>'ПРАЙС_ЛИСТ'!F124</f>
        <v>900</v>
      </c>
      <c r="G104" s="169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170"/>
      <c r="W104" s="170"/>
      <c r="X104" s="170"/>
    </row>
    <row r="105">
      <c r="A105" s="2"/>
      <c r="B105" s="46" t="s">
        <v>77</v>
      </c>
      <c r="C105" s="11">
        <v>180.0</v>
      </c>
      <c r="D105" s="173"/>
      <c r="E105" s="32" t="s">
        <v>3958</v>
      </c>
      <c r="F105" s="174">
        <f>'ПРАЙС_ЛИСТ'!F125</f>
        <v>1400</v>
      </c>
      <c r="G105" s="169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170"/>
      <c r="W105" s="170"/>
      <c r="X105" s="170"/>
    </row>
    <row r="106">
      <c r="A106" s="2"/>
      <c r="B106" s="46" t="s">
        <v>77</v>
      </c>
      <c r="C106" s="11">
        <v>90.0</v>
      </c>
      <c r="D106" s="173"/>
      <c r="E106" s="32" t="s">
        <v>3959</v>
      </c>
      <c r="F106" s="174">
        <f>'ПРАЙС_ЛИСТ'!F126</f>
        <v>1500</v>
      </c>
      <c r="G106" s="169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170"/>
      <c r="W106" s="170"/>
      <c r="X106" s="170"/>
    </row>
    <row r="107">
      <c r="A107" s="2"/>
      <c r="B107" s="46" t="s">
        <v>77</v>
      </c>
      <c r="C107" s="11">
        <v>90.0</v>
      </c>
      <c r="D107" s="173"/>
      <c r="E107" s="32" t="s">
        <v>3960</v>
      </c>
      <c r="F107" s="174">
        <f>IFERROR(__xludf.DUMMYFUNCTION("MIN(FILTER('ПРАЙС_ЛИСТ'!F127:F129, 'ПРАЙС_ЛИСТ'!F127:F129 &lt;&gt; 'ПРАЙС_ЛИСТ'!H127:H129))"),1850.0)</f>
        <v>1850</v>
      </c>
      <c r="G107" s="169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170"/>
      <c r="W107" s="170"/>
      <c r="X107" s="170"/>
    </row>
    <row r="108">
      <c r="A108" s="2"/>
      <c r="B108" s="46" t="s">
        <v>77</v>
      </c>
      <c r="C108" s="11">
        <v>90.0</v>
      </c>
      <c r="D108" s="173"/>
      <c r="E108" s="32" t="s">
        <v>3961</v>
      </c>
      <c r="F108" s="174">
        <f>IFERROR(__xludf.DUMMYFUNCTION("MAX(FILTER('ПРАЙС_ЛИСТ'!F127:F129, 'ПРАЙС_ЛИСТ'!F127:F129 &lt;&gt; 'ПРАЙС_ЛИСТ'!H127:H129))"),2000.0)</f>
        <v>2000</v>
      </c>
      <c r="G108" s="169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170"/>
      <c r="W108" s="170"/>
      <c r="X108" s="170"/>
    </row>
    <row r="109">
      <c r="A109" s="2"/>
      <c r="B109" s="46" t="s">
        <v>77</v>
      </c>
      <c r="C109" s="11">
        <v>90.0</v>
      </c>
      <c r="D109" s="173"/>
      <c r="E109" s="32" t="s">
        <v>3962</v>
      </c>
      <c r="F109" s="174">
        <f>'ПРАЙС_ЛИСТ'!F130</f>
        <v>750</v>
      </c>
      <c r="G109" s="169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170"/>
      <c r="W109" s="170"/>
      <c r="X109" s="170"/>
    </row>
    <row r="110">
      <c r="A110" s="2"/>
      <c r="B110" s="46" t="s">
        <v>77</v>
      </c>
      <c r="C110" s="11">
        <v>90.0</v>
      </c>
      <c r="D110" s="173"/>
      <c r="E110" s="32" t="s">
        <v>3963</v>
      </c>
      <c r="F110" s="174">
        <f>'ПРАЙС_ЛИСТ'!F131</f>
        <v>750</v>
      </c>
      <c r="G110" s="169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170"/>
      <c r="W110" s="170"/>
      <c r="X110" s="170"/>
    </row>
    <row r="111">
      <c r="A111" s="2"/>
      <c r="B111" s="46" t="s">
        <v>77</v>
      </c>
      <c r="C111" s="11">
        <v>90.0</v>
      </c>
      <c r="D111" s="173"/>
      <c r="E111" s="32" t="s">
        <v>3964</v>
      </c>
      <c r="F111" s="185">
        <f>IF('ПРАЙС_ЛИСТ'!F132 = G111, 0, 'ПРАЙС_ЛИСТ'!F132)</f>
        <v>0</v>
      </c>
      <c r="G111" s="186">
        <f>'БД_УСЛУГИ_РО'!P64</f>
        <v>500</v>
      </c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170"/>
      <c r="W111" s="170"/>
      <c r="X111" s="170"/>
    </row>
    <row r="112">
      <c r="A112" s="2"/>
      <c r="B112" s="46" t="s">
        <v>77</v>
      </c>
      <c r="C112" s="11">
        <v>180.0</v>
      </c>
      <c r="D112" s="173"/>
      <c r="E112" s="32" t="s">
        <v>3965</v>
      </c>
      <c r="F112" s="185">
        <f>IF('ПРАЙС_ЛИСТ'!F133 = G112, 0, 'ПРАЙС_ЛИСТ'!F133)</f>
        <v>0</v>
      </c>
      <c r="G112" s="186">
        <f>'БД_УСЛУГИ_РО'!P65</f>
        <v>800</v>
      </c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170"/>
      <c r="W112" s="170"/>
      <c r="X112" s="170"/>
    </row>
    <row r="113">
      <c r="A113" s="2"/>
      <c r="B113" s="46" t="s">
        <v>77</v>
      </c>
      <c r="C113" s="11">
        <v>90.0</v>
      </c>
      <c r="D113" s="173"/>
      <c r="E113" s="32" t="s">
        <v>3966</v>
      </c>
      <c r="F113" s="185">
        <f>IF('ПРАЙС_ЛИСТ'!F134 = G113, 0, 'ПРАЙС_ЛИСТ'!F134)</f>
        <v>0</v>
      </c>
      <c r="G113" s="186">
        <f>'БД_УСЛУГИ_РО'!P66</f>
        <v>700</v>
      </c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170"/>
      <c r="W113" s="170"/>
      <c r="X113" s="170"/>
    </row>
    <row r="114">
      <c r="A114" s="2"/>
      <c r="B114" s="46" t="s">
        <v>77</v>
      </c>
      <c r="C114" s="11">
        <v>90.0</v>
      </c>
      <c r="D114" s="173"/>
      <c r="E114" s="32" t="s">
        <v>3967</v>
      </c>
      <c r="F114" s="174">
        <f>'ПРАЙС_ЛИСТ'!F135</f>
        <v>700</v>
      </c>
      <c r="G114" s="169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170"/>
      <c r="W114" s="170"/>
      <c r="X114" s="170"/>
    </row>
    <row r="115">
      <c r="A115" s="2"/>
      <c r="B115" s="46" t="s">
        <v>77</v>
      </c>
      <c r="C115" s="11">
        <v>90.0</v>
      </c>
      <c r="D115" s="173"/>
      <c r="E115" s="32" t="s">
        <v>3968</v>
      </c>
      <c r="F115" s="185">
        <f>IF('ПРАЙС_ЛИСТ'!F136 = G115, 0, 'ПРАЙС_ЛИСТ'!F136)</f>
        <v>0</v>
      </c>
      <c r="G115" s="186">
        <f>'БД_УСЛУГИ_РО'!P68</f>
        <v>800</v>
      </c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170"/>
      <c r="W115" s="170"/>
      <c r="X115" s="170"/>
    </row>
    <row r="116">
      <c r="A116" s="2"/>
      <c r="B116" s="46" t="s">
        <v>77</v>
      </c>
      <c r="C116" s="11">
        <v>90.0</v>
      </c>
      <c r="D116" s="173"/>
      <c r="E116" s="32" t="s">
        <v>3969</v>
      </c>
      <c r="F116" s="174">
        <f>'ПРАЙС_ЛИСТ'!F137</f>
        <v>850</v>
      </c>
      <c r="G116" s="169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170"/>
      <c r="W116" s="170"/>
      <c r="X116" s="170"/>
    </row>
    <row r="117">
      <c r="A117" s="2"/>
      <c r="B117" s="46" t="s">
        <v>77</v>
      </c>
      <c r="C117" s="11">
        <v>90.0</v>
      </c>
      <c r="D117" s="173"/>
      <c r="E117" s="32" t="s">
        <v>3970</v>
      </c>
      <c r="F117" s="174">
        <f>'ПРАЙС_ЛИСТ'!F138</f>
        <v>1800</v>
      </c>
      <c r="G117" s="169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170"/>
      <c r="W117" s="170"/>
      <c r="X117" s="170"/>
    </row>
    <row r="118">
      <c r="A118" s="2"/>
      <c r="B118" s="46" t="s">
        <v>77</v>
      </c>
      <c r="C118" s="11">
        <v>90.0</v>
      </c>
      <c r="D118" s="173"/>
      <c r="E118" s="32" t="s">
        <v>3971</v>
      </c>
      <c r="F118" s="174">
        <f>'ПРАЙС_ЛИСТ'!F139</f>
        <v>1600</v>
      </c>
      <c r="G118" s="169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170"/>
      <c r="W118" s="170"/>
      <c r="X118" s="170"/>
    </row>
    <row r="119">
      <c r="A119" s="2"/>
      <c r="B119" s="46" t="s">
        <v>77</v>
      </c>
      <c r="C119" s="11">
        <v>90.0</v>
      </c>
      <c r="D119" s="173"/>
      <c r="E119" s="32" t="s">
        <v>3972</v>
      </c>
      <c r="F119" s="174">
        <f>'ПРАЙС_ЛИСТ'!F140</f>
        <v>2000</v>
      </c>
      <c r="G119" s="169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170"/>
      <c r="W119" s="170"/>
      <c r="X119" s="170"/>
    </row>
    <row r="120">
      <c r="A120" s="2"/>
      <c r="B120" s="46" t="s">
        <v>77</v>
      </c>
      <c r="C120" s="11">
        <v>90.0</v>
      </c>
      <c r="D120" s="173"/>
      <c r="E120" s="32" t="s">
        <v>3973</v>
      </c>
      <c r="F120" s="174">
        <f>'ПРАЙС_ЛИСТ'!F141</f>
        <v>2000</v>
      </c>
      <c r="G120" s="169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170"/>
      <c r="W120" s="170"/>
      <c r="X120" s="170"/>
    </row>
    <row r="121">
      <c r="A121" s="2"/>
      <c r="B121" s="48" t="s">
        <v>77</v>
      </c>
      <c r="C121" s="36">
        <v>90.0</v>
      </c>
      <c r="D121" s="178"/>
      <c r="E121" s="49" t="s">
        <v>3974</v>
      </c>
      <c r="F121" s="179">
        <f>'ПРАЙС_ЛИСТ'!F142</f>
        <v>900</v>
      </c>
      <c r="G121" s="169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170"/>
      <c r="W121" s="170"/>
      <c r="X121" s="170"/>
    </row>
    <row r="122">
      <c r="A122" s="2"/>
      <c r="B122" s="1"/>
      <c r="C122" s="1"/>
      <c r="D122" s="180"/>
      <c r="E122" s="30"/>
      <c r="F122" s="21"/>
      <c r="G122" s="169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170"/>
      <c r="W122" s="170"/>
      <c r="X122" s="170"/>
    </row>
    <row r="123">
      <c r="A123" s="2"/>
      <c r="B123" s="41" t="s">
        <v>83</v>
      </c>
      <c r="C123" s="42">
        <v>0.0</v>
      </c>
      <c r="D123" s="181"/>
      <c r="E123" s="43" t="s">
        <v>3975</v>
      </c>
      <c r="F123" s="182">
        <v>0.0</v>
      </c>
      <c r="G123" s="169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170"/>
      <c r="W123" s="170"/>
      <c r="X123" s="170"/>
    </row>
    <row r="124">
      <c r="A124" s="2"/>
      <c r="B124" s="46" t="s">
        <v>83</v>
      </c>
      <c r="C124" s="11">
        <v>0.0</v>
      </c>
      <c r="D124" s="173"/>
      <c r="E124" s="32" t="s">
        <v>3976</v>
      </c>
      <c r="F124" s="174">
        <f>'ПРАЙС_ЛИСТ'!F145</f>
        <v>400</v>
      </c>
      <c r="G124" s="169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170"/>
      <c r="W124" s="170"/>
      <c r="X124" s="170"/>
    </row>
    <row r="125">
      <c r="A125" s="2"/>
      <c r="B125" s="46" t="s">
        <v>83</v>
      </c>
      <c r="C125" s="11">
        <v>0.0</v>
      </c>
      <c r="D125" s="173"/>
      <c r="E125" s="32" t="s">
        <v>3977</v>
      </c>
      <c r="F125" s="174">
        <f>'ПРАЙС_ЛИСТ'!F146</f>
        <v>1000</v>
      </c>
      <c r="G125" s="169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170"/>
      <c r="W125" s="170"/>
      <c r="X125" s="170"/>
    </row>
    <row r="126">
      <c r="A126" s="2"/>
      <c r="B126" s="46" t="s">
        <v>83</v>
      </c>
      <c r="C126" s="11">
        <v>180.0</v>
      </c>
      <c r="D126" s="173"/>
      <c r="E126" s="32" t="s">
        <v>3978</v>
      </c>
      <c r="F126" s="174">
        <f>'ПРАЙС_ЛИСТ'!F147</f>
        <v>1400</v>
      </c>
      <c r="G126" s="169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170"/>
      <c r="W126" s="170"/>
      <c r="X126" s="170"/>
    </row>
    <row r="127">
      <c r="A127" s="2"/>
      <c r="B127" s="46" t="s">
        <v>83</v>
      </c>
      <c r="C127" s="11">
        <v>90.0</v>
      </c>
      <c r="D127" s="173"/>
      <c r="E127" s="32" t="s">
        <v>3979</v>
      </c>
      <c r="F127" s="174">
        <f>'ПРАЙС_ЛИСТ'!F148</f>
        <v>1400</v>
      </c>
      <c r="G127" s="169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170"/>
      <c r="W127" s="170"/>
      <c r="X127" s="170"/>
    </row>
    <row r="128">
      <c r="A128" s="2"/>
      <c r="B128" s="46" t="s">
        <v>83</v>
      </c>
      <c r="C128" s="11">
        <v>90.0</v>
      </c>
      <c r="D128" s="173"/>
      <c r="E128" s="32" t="s">
        <v>3980</v>
      </c>
      <c r="F128" s="174">
        <f>IFERROR(__xludf.DUMMYFUNCTION("MIN(FILTER('ПРАЙС_ЛИСТ'!F149:F151, 'ПРАЙС_ЛИСТ'!F149:F151 &lt;&gt; 'ПРАЙС_ЛИСТ'!H149:H151))"),2500.0)</f>
        <v>2500</v>
      </c>
      <c r="G128" s="169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170"/>
      <c r="W128" s="170"/>
      <c r="X128" s="170"/>
    </row>
    <row r="129">
      <c r="A129" s="2"/>
      <c r="B129" s="46" t="s">
        <v>83</v>
      </c>
      <c r="C129" s="11">
        <v>90.0</v>
      </c>
      <c r="D129" s="173"/>
      <c r="E129" s="32" t="s">
        <v>3981</v>
      </c>
      <c r="F129" s="174">
        <f>IFERROR(__xludf.DUMMYFUNCTION("MAX(FILTER('ПРАЙС_ЛИСТ'!F149:F151, 'ПРАЙС_ЛИСТ'!F149:F151 &lt;&gt; 'ПРАЙС_ЛИСТ'!H149:H151))"),2800.0)</f>
        <v>2800</v>
      </c>
      <c r="G129" s="169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170"/>
      <c r="W129" s="170"/>
      <c r="X129" s="170"/>
    </row>
    <row r="130">
      <c r="A130" s="2"/>
      <c r="B130" s="46" t="s">
        <v>83</v>
      </c>
      <c r="C130" s="11">
        <v>90.0</v>
      </c>
      <c r="D130" s="173"/>
      <c r="E130" s="32" t="s">
        <v>3982</v>
      </c>
      <c r="F130" s="174">
        <f>'ПРАЙС_ЛИСТ'!F152</f>
        <v>2000</v>
      </c>
      <c r="G130" s="169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170"/>
      <c r="W130" s="170"/>
      <c r="X130" s="170"/>
    </row>
    <row r="131">
      <c r="A131" s="2"/>
      <c r="B131" s="46" t="s">
        <v>83</v>
      </c>
      <c r="C131" s="11">
        <v>90.0</v>
      </c>
      <c r="D131" s="173"/>
      <c r="E131" s="32" t="s">
        <v>3983</v>
      </c>
      <c r="F131" s="174">
        <f>'ПРАЙС_ЛИСТ'!F153</f>
        <v>1400</v>
      </c>
      <c r="G131" s="169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170"/>
      <c r="W131" s="170"/>
      <c r="X131" s="170"/>
    </row>
    <row r="132">
      <c r="A132" s="2"/>
      <c r="B132" s="46" t="s">
        <v>83</v>
      </c>
      <c r="C132" s="11">
        <v>90.0</v>
      </c>
      <c r="D132" s="173"/>
      <c r="E132" s="32" t="s">
        <v>3984</v>
      </c>
      <c r="F132" s="174">
        <f>'ПРАЙС_ЛИСТ'!F154</f>
        <v>1200</v>
      </c>
      <c r="G132" s="169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170"/>
      <c r="W132" s="170"/>
      <c r="X132" s="170"/>
    </row>
    <row r="133">
      <c r="A133" s="2"/>
      <c r="B133" s="46" t="s">
        <v>83</v>
      </c>
      <c r="C133" s="11">
        <v>90.0</v>
      </c>
      <c r="D133" s="173"/>
      <c r="E133" s="32" t="s">
        <v>3985</v>
      </c>
      <c r="F133" s="174">
        <f>'ПРАЙС_ЛИСТ'!F155</f>
        <v>1000</v>
      </c>
      <c r="G133" s="169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170"/>
      <c r="W133" s="170"/>
      <c r="X133" s="170"/>
    </row>
    <row r="134">
      <c r="A134" s="2"/>
      <c r="B134" s="46" t="s">
        <v>83</v>
      </c>
      <c r="C134" s="11">
        <v>180.0</v>
      </c>
      <c r="D134" s="173"/>
      <c r="E134" s="32" t="s">
        <v>3986</v>
      </c>
      <c r="F134" s="185">
        <f>IF('ПРАЙС_ЛИСТ'!F156 = G134, 0, 'ПРАЙС_ЛИСТ'!F156)</f>
        <v>0</v>
      </c>
      <c r="G134" s="186">
        <f>'БД_УСЛУГИ_РО'!P85</f>
        <v>800</v>
      </c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170"/>
      <c r="W134" s="170"/>
      <c r="X134" s="170"/>
    </row>
    <row r="135">
      <c r="A135" s="2"/>
      <c r="B135" s="46" t="s">
        <v>83</v>
      </c>
      <c r="C135" s="11">
        <v>90.0</v>
      </c>
      <c r="D135" s="173"/>
      <c r="E135" s="32" t="s">
        <v>3987</v>
      </c>
      <c r="F135" s="185">
        <f>IF('ПРАЙС_ЛИСТ'!F157 = G135, 0, 'ПРАЙС_ЛИСТ'!F157)</f>
        <v>0</v>
      </c>
      <c r="G135" s="186">
        <f>'БД_УСЛУГИ_РО'!P86</f>
        <v>900</v>
      </c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170"/>
      <c r="W135" s="170"/>
      <c r="X135" s="170"/>
    </row>
    <row r="136">
      <c r="A136" s="2"/>
      <c r="B136" s="46" t="s">
        <v>83</v>
      </c>
      <c r="C136" s="11">
        <v>90.0</v>
      </c>
      <c r="D136" s="173"/>
      <c r="E136" s="32" t="s">
        <v>3988</v>
      </c>
      <c r="F136" s="174">
        <f>'ПРАЙС_ЛИСТ'!F158</f>
        <v>900</v>
      </c>
      <c r="G136" s="169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170"/>
      <c r="W136" s="170"/>
      <c r="X136" s="170"/>
    </row>
    <row r="137">
      <c r="A137" s="2"/>
      <c r="B137" s="46" t="s">
        <v>83</v>
      </c>
      <c r="C137" s="11">
        <v>90.0</v>
      </c>
      <c r="D137" s="173"/>
      <c r="E137" s="32" t="s">
        <v>3989</v>
      </c>
      <c r="F137" s="174">
        <f>'ПРАЙС_ЛИСТ'!F159</f>
        <v>1050</v>
      </c>
      <c r="G137" s="169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170"/>
      <c r="W137" s="170"/>
      <c r="X137" s="170"/>
    </row>
    <row r="138">
      <c r="A138" s="2"/>
      <c r="B138" s="46" t="s">
        <v>83</v>
      </c>
      <c r="C138" s="11">
        <v>90.0</v>
      </c>
      <c r="D138" s="173"/>
      <c r="E138" s="32" t="s">
        <v>3990</v>
      </c>
      <c r="F138" s="174">
        <f>'ПРАЙС_ЛИСТ'!F160</f>
        <v>1050</v>
      </c>
      <c r="G138" s="169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170"/>
      <c r="W138" s="170"/>
      <c r="X138" s="170"/>
    </row>
    <row r="139">
      <c r="A139" s="2"/>
      <c r="B139" s="46" t="s">
        <v>83</v>
      </c>
      <c r="C139" s="11">
        <v>90.0</v>
      </c>
      <c r="D139" s="173"/>
      <c r="E139" s="32" t="s">
        <v>3991</v>
      </c>
      <c r="F139" s="174">
        <f>'ПРАЙС_ЛИСТ'!F161</f>
        <v>1700</v>
      </c>
      <c r="G139" s="169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170"/>
      <c r="W139" s="170"/>
      <c r="X139" s="170"/>
    </row>
    <row r="140">
      <c r="A140" s="2"/>
      <c r="B140" s="46" t="s">
        <v>83</v>
      </c>
      <c r="C140" s="11">
        <v>90.0</v>
      </c>
      <c r="D140" s="173"/>
      <c r="E140" s="32" t="s">
        <v>3992</v>
      </c>
      <c r="F140" s="174">
        <f>'ПРАЙС_ЛИСТ'!F162</f>
        <v>1800</v>
      </c>
      <c r="G140" s="169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170"/>
      <c r="W140" s="170"/>
      <c r="X140" s="170"/>
    </row>
    <row r="141">
      <c r="A141" s="2"/>
      <c r="B141" s="46" t="s">
        <v>83</v>
      </c>
      <c r="C141" s="11">
        <v>90.0</v>
      </c>
      <c r="D141" s="173"/>
      <c r="E141" s="32" t="s">
        <v>3993</v>
      </c>
      <c r="F141" s="174">
        <f>'ПРАЙС_ЛИСТ'!F163</f>
        <v>2000</v>
      </c>
      <c r="G141" s="169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170"/>
      <c r="W141" s="170"/>
      <c r="X141" s="170"/>
    </row>
    <row r="142">
      <c r="A142" s="2"/>
      <c r="B142" s="46" t="s">
        <v>83</v>
      </c>
      <c r="C142" s="11">
        <v>90.0</v>
      </c>
      <c r="D142" s="173"/>
      <c r="E142" s="32" t="s">
        <v>3994</v>
      </c>
      <c r="F142" s="174">
        <f>'ПРАЙС_ЛИСТ'!F164</f>
        <v>2000</v>
      </c>
      <c r="G142" s="169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170"/>
      <c r="W142" s="170"/>
      <c r="X142" s="170"/>
    </row>
    <row r="143">
      <c r="A143" s="2"/>
      <c r="B143" s="48" t="s">
        <v>83</v>
      </c>
      <c r="C143" s="36">
        <v>90.0</v>
      </c>
      <c r="D143" s="178"/>
      <c r="E143" s="49" t="s">
        <v>3995</v>
      </c>
      <c r="F143" s="179">
        <f>'ПРАЙС_ЛИСТ'!F165</f>
        <v>1000</v>
      </c>
      <c r="G143" s="169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170"/>
      <c r="W143" s="170"/>
      <c r="X143" s="170"/>
    </row>
    <row r="144">
      <c r="A144" s="2"/>
      <c r="B144" s="1"/>
      <c r="C144" s="1"/>
      <c r="D144" s="180"/>
      <c r="E144" s="30"/>
      <c r="F144" s="21"/>
      <c r="G144" s="169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170"/>
      <c r="W144" s="170"/>
      <c r="X144" s="170"/>
    </row>
    <row r="145">
      <c r="A145" s="2"/>
      <c r="B145" s="41" t="s">
        <v>90</v>
      </c>
      <c r="C145" s="42">
        <v>0.0</v>
      </c>
      <c r="D145" s="181"/>
      <c r="E145" s="43" t="s">
        <v>3996</v>
      </c>
      <c r="F145" s="182">
        <v>0.0</v>
      </c>
      <c r="G145" s="169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170"/>
      <c r="W145" s="170"/>
      <c r="X145" s="170"/>
    </row>
    <row r="146">
      <c r="A146" s="2"/>
      <c r="B146" s="46" t="s">
        <v>90</v>
      </c>
      <c r="C146" s="11">
        <v>0.0</v>
      </c>
      <c r="D146" s="173"/>
      <c r="E146" s="32" t="s">
        <v>3997</v>
      </c>
      <c r="F146" s="174">
        <f>'ПРАЙС_ЛИСТ'!F168</f>
        <v>400</v>
      </c>
      <c r="G146" s="169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170"/>
      <c r="W146" s="170"/>
      <c r="X146" s="170"/>
    </row>
    <row r="147">
      <c r="A147" s="2"/>
      <c r="B147" s="46" t="s">
        <v>90</v>
      </c>
      <c r="C147" s="11">
        <v>0.0</v>
      </c>
      <c r="D147" s="173"/>
      <c r="E147" s="32" t="s">
        <v>3998</v>
      </c>
      <c r="F147" s="174">
        <f>'ПРАЙС_ЛИСТ'!F169</f>
        <v>1000</v>
      </c>
      <c r="G147" s="169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170"/>
      <c r="W147" s="170"/>
      <c r="X147" s="170"/>
    </row>
    <row r="148">
      <c r="A148" s="2"/>
      <c r="B148" s="46" t="s">
        <v>90</v>
      </c>
      <c r="C148" s="11">
        <v>180.0</v>
      </c>
      <c r="D148" s="173"/>
      <c r="E148" s="32" t="s">
        <v>3999</v>
      </c>
      <c r="F148" s="174">
        <f>'ПРАЙС_ЛИСТ'!F170</f>
        <v>1600</v>
      </c>
      <c r="G148" s="169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170"/>
      <c r="W148" s="170"/>
      <c r="X148" s="170"/>
    </row>
    <row r="149">
      <c r="A149" s="2"/>
      <c r="B149" s="46" t="s">
        <v>90</v>
      </c>
      <c r="C149" s="11">
        <v>90.0</v>
      </c>
      <c r="D149" s="173"/>
      <c r="E149" s="32" t="s">
        <v>4000</v>
      </c>
      <c r="F149" s="174">
        <f>'ПРАЙС_ЛИСТ'!F171</f>
        <v>1600</v>
      </c>
      <c r="G149" s="169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170"/>
      <c r="W149" s="170"/>
      <c r="X149" s="170"/>
    </row>
    <row r="150">
      <c r="A150" s="2"/>
      <c r="B150" s="46" t="s">
        <v>90</v>
      </c>
      <c r="C150" s="11">
        <v>90.0</v>
      </c>
      <c r="D150" s="173"/>
      <c r="E150" s="32" t="s">
        <v>4001</v>
      </c>
      <c r="F150" s="174">
        <f>IFERROR(__xludf.DUMMYFUNCTION("MIN(FILTER('ПРАЙС_ЛИСТ'!F172:F174, 'ПРАЙС_ЛИСТ'!F172:F174 &lt;&gt; 'ПРАЙС_ЛИСТ'!H172:H174))"),2500.0)</f>
        <v>2500</v>
      </c>
      <c r="G150" s="169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170"/>
      <c r="W150" s="170"/>
      <c r="X150" s="170"/>
    </row>
    <row r="151">
      <c r="A151" s="2"/>
      <c r="B151" s="46" t="s">
        <v>90</v>
      </c>
      <c r="C151" s="11">
        <v>90.0</v>
      </c>
      <c r="D151" s="173"/>
      <c r="E151" s="32" t="s">
        <v>4002</v>
      </c>
      <c r="F151" s="174">
        <f>IFERROR(__xludf.DUMMYFUNCTION("MAX(FILTER('ПРАЙС_ЛИСТ'!F172:F174, 'ПРАЙС_ЛИСТ'!F172:F174 &lt;&gt; 'ПРАЙС_ЛИСТ'!H172:H174))"),2850.0)</f>
        <v>2850</v>
      </c>
      <c r="G151" s="169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170"/>
      <c r="W151" s="170"/>
      <c r="X151" s="170"/>
    </row>
    <row r="152">
      <c r="A152" s="2"/>
      <c r="B152" s="46" t="s">
        <v>90</v>
      </c>
      <c r="C152" s="11">
        <v>90.0</v>
      </c>
      <c r="D152" s="173"/>
      <c r="E152" s="32" t="s">
        <v>4003</v>
      </c>
      <c r="F152" s="174">
        <f>'ПРАЙС_ЛИСТ'!F175</f>
        <v>2000</v>
      </c>
      <c r="G152" s="169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170"/>
      <c r="W152" s="170"/>
      <c r="X152" s="170"/>
    </row>
    <row r="153">
      <c r="A153" s="2"/>
      <c r="B153" s="46" t="s">
        <v>90</v>
      </c>
      <c r="C153" s="11">
        <v>90.0</v>
      </c>
      <c r="D153" s="173"/>
      <c r="E153" s="32" t="s">
        <v>4004</v>
      </c>
      <c r="F153" s="174">
        <f>'ПРАЙС_ЛИСТ'!F176</f>
        <v>1800</v>
      </c>
      <c r="G153" s="169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170"/>
      <c r="W153" s="170"/>
      <c r="X153" s="170"/>
    </row>
    <row r="154">
      <c r="A154" s="2"/>
      <c r="B154" s="46" t="s">
        <v>90</v>
      </c>
      <c r="C154" s="11">
        <v>90.0</v>
      </c>
      <c r="D154" s="173"/>
      <c r="E154" s="32" t="s">
        <v>4005</v>
      </c>
      <c r="F154" s="174">
        <f>'ПРАЙС_ЛИСТ'!F177</f>
        <v>1600</v>
      </c>
      <c r="G154" s="169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170"/>
      <c r="W154" s="170"/>
      <c r="X154" s="170"/>
    </row>
    <row r="155">
      <c r="A155" s="2"/>
      <c r="B155" s="46" t="s">
        <v>90</v>
      </c>
      <c r="C155" s="11">
        <v>90.0</v>
      </c>
      <c r="D155" s="173"/>
      <c r="E155" s="32" t="s">
        <v>4006</v>
      </c>
      <c r="F155" s="174">
        <f>'ПРАЙС_ЛИСТ'!F178</f>
        <v>1000</v>
      </c>
      <c r="G155" s="169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170"/>
      <c r="W155" s="170"/>
      <c r="X155" s="170"/>
    </row>
    <row r="156">
      <c r="A156" s="2"/>
      <c r="B156" s="46" t="s">
        <v>90</v>
      </c>
      <c r="C156" s="11">
        <v>180.0</v>
      </c>
      <c r="D156" s="173"/>
      <c r="E156" s="32" t="s">
        <v>4007</v>
      </c>
      <c r="F156" s="185">
        <f>IF('ПРАЙС_ЛИСТ'!F179 = G156, 0, 'ПРАЙС_ЛИСТ'!F179)</f>
        <v>0</v>
      </c>
      <c r="G156" s="186">
        <f>'БД_УСЛУГИ_РО'!P105</f>
        <v>800</v>
      </c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170"/>
      <c r="W156" s="170"/>
      <c r="X156" s="170"/>
    </row>
    <row r="157">
      <c r="A157" s="2"/>
      <c r="B157" s="46" t="s">
        <v>90</v>
      </c>
      <c r="C157" s="11">
        <v>90.0</v>
      </c>
      <c r="D157" s="173"/>
      <c r="E157" s="32" t="s">
        <v>4008</v>
      </c>
      <c r="F157" s="185">
        <f>IF('ПРАЙС_ЛИСТ'!F180 = G157, 0, 'ПРАЙС_ЛИСТ'!F180)</f>
        <v>0</v>
      </c>
      <c r="G157" s="186">
        <f>'БД_УСЛУГИ_РО'!P106</f>
        <v>900</v>
      </c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170"/>
      <c r="W157" s="170"/>
      <c r="X157" s="170"/>
    </row>
    <row r="158">
      <c r="A158" s="2"/>
      <c r="B158" s="46" t="s">
        <v>90</v>
      </c>
      <c r="C158" s="11">
        <v>90.0</v>
      </c>
      <c r="D158" s="173"/>
      <c r="E158" s="32" t="s">
        <v>4009</v>
      </c>
      <c r="F158" s="174">
        <f>'ПРАЙС_ЛИСТ'!F181</f>
        <v>900</v>
      </c>
      <c r="G158" s="169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170"/>
      <c r="W158" s="170"/>
      <c r="X158" s="170"/>
    </row>
    <row r="159">
      <c r="A159" s="2"/>
      <c r="B159" s="46" t="s">
        <v>90</v>
      </c>
      <c r="C159" s="11">
        <v>90.0</v>
      </c>
      <c r="D159" s="173"/>
      <c r="E159" s="32" t="s">
        <v>4010</v>
      </c>
      <c r="F159" s="174">
        <f>'ПРАЙС_ЛИСТ'!F182</f>
        <v>1200</v>
      </c>
      <c r="G159" s="169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170"/>
      <c r="W159" s="170"/>
      <c r="X159" s="170"/>
    </row>
    <row r="160">
      <c r="A160" s="2"/>
      <c r="B160" s="46" t="s">
        <v>90</v>
      </c>
      <c r="C160" s="11">
        <v>90.0</v>
      </c>
      <c r="D160" s="173"/>
      <c r="E160" s="32" t="s">
        <v>4011</v>
      </c>
      <c r="F160" s="174">
        <f>'ПРАЙС_ЛИСТ'!F183</f>
        <v>1200</v>
      </c>
      <c r="G160" s="169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170"/>
      <c r="W160" s="170"/>
      <c r="X160" s="170"/>
    </row>
    <row r="161">
      <c r="A161" s="2"/>
      <c r="B161" s="46" t="s">
        <v>90</v>
      </c>
      <c r="C161" s="11">
        <v>90.0</v>
      </c>
      <c r="D161" s="173"/>
      <c r="E161" s="32" t="s">
        <v>4012</v>
      </c>
      <c r="F161" s="174">
        <f>'ПРАЙС_ЛИСТ'!F184</f>
        <v>1900</v>
      </c>
      <c r="G161" s="169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170"/>
      <c r="W161" s="170"/>
      <c r="X161" s="170"/>
    </row>
    <row r="162">
      <c r="A162" s="2"/>
      <c r="B162" s="46" t="s">
        <v>90</v>
      </c>
      <c r="C162" s="11">
        <v>90.0</v>
      </c>
      <c r="D162" s="173"/>
      <c r="E162" s="32" t="s">
        <v>4013</v>
      </c>
      <c r="F162" s="174">
        <f>'ПРАЙС_ЛИСТ'!F185</f>
        <v>1800</v>
      </c>
      <c r="G162" s="169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170"/>
      <c r="W162" s="170"/>
      <c r="X162" s="170"/>
    </row>
    <row r="163">
      <c r="A163" s="2"/>
      <c r="B163" s="46" t="s">
        <v>90</v>
      </c>
      <c r="C163" s="11">
        <v>90.0</v>
      </c>
      <c r="D163" s="173"/>
      <c r="E163" s="32" t="s">
        <v>4014</v>
      </c>
      <c r="F163" s="174">
        <f>'ПРАЙС_ЛИСТ'!F186</f>
        <v>2000</v>
      </c>
      <c r="G163" s="169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170"/>
      <c r="W163" s="170"/>
      <c r="X163" s="170"/>
    </row>
    <row r="164">
      <c r="A164" s="2"/>
      <c r="B164" s="46" t="s">
        <v>90</v>
      </c>
      <c r="C164" s="11">
        <v>90.0</v>
      </c>
      <c r="D164" s="173"/>
      <c r="E164" s="32" t="s">
        <v>4015</v>
      </c>
      <c r="F164" s="174">
        <f>'ПРАЙС_ЛИСТ'!F187</f>
        <v>2000</v>
      </c>
      <c r="G164" s="169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170"/>
      <c r="W164" s="170"/>
      <c r="X164" s="170"/>
    </row>
    <row r="165">
      <c r="A165" s="2"/>
      <c r="B165" s="48" t="s">
        <v>90</v>
      </c>
      <c r="C165" s="36">
        <v>90.0</v>
      </c>
      <c r="D165" s="178"/>
      <c r="E165" s="49" t="s">
        <v>4016</v>
      </c>
      <c r="F165" s="179">
        <f>'ПРАЙС_ЛИСТ'!F188</f>
        <v>1000</v>
      </c>
      <c r="G165" s="169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170"/>
      <c r="W165" s="170"/>
      <c r="X165" s="170"/>
    </row>
    <row r="166">
      <c r="A166" s="2"/>
      <c r="B166" s="1"/>
      <c r="C166" s="1"/>
      <c r="D166" s="180"/>
      <c r="E166" s="30"/>
      <c r="F166" s="21"/>
      <c r="G166" s="169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170"/>
      <c r="W166" s="170"/>
      <c r="X166" s="170"/>
    </row>
    <row r="167">
      <c r="A167" s="2"/>
      <c r="B167" s="41" t="s">
        <v>97</v>
      </c>
      <c r="C167" s="42">
        <v>0.0</v>
      </c>
      <c r="D167" s="181"/>
      <c r="E167" s="43" t="s">
        <v>4017</v>
      </c>
      <c r="F167" s="182">
        <v>0.0</v>
      </c>
      <c r="G167" s="169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170"/>
      <c r="W167" s="170"/>
      <c r="X167" s="170"/>
    </row>
    <row r="168">
      <c r="A168" s="2"/>
      <c r="B168" s="46" t="s">
        <v>97</v>
      </c>
      <c r="C168" s="11">
        <v>0.0</v>
      </c>
      <c r="D168" s="173"/>
      <c r="E168" s="32" t="s">
        <v>4018</v>
      </c>
      <c r="F168" s="174">
        <f>'ПРАЙС_ЛИСТ'!F192</f>
        <v>400</v>
      </c>
      <c r="G168" s="169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170"/>
      <c r="W168" s="170"/>
      <c r="X168" s="170"/>
    </row>
    <row r="169">
      <c r="A169" s="2"/>
      <c r="B169" s="46" t="s">
        <v>97</v>
      </c>
      <c r="C169" s="11">
        <v>0.0</v>
      </c>
      <c r="D169" s="173"/>
      <c r="E169" s="32" t="s">
        <v>4019</v>
      </c>
      <c r="F169" s="174">
        <f>'ПРАЙС_ЛИСТ'!F193</f>
        <v>1000</v>
      </c>
      <c r="G169" s="169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170"/>
      <c r="W169" s="170"/>
      <c r="X169" s="170"/>
    </row>
    <row r="170">
      <c r="A170" s="2"/>
      <c r="B170" s="46" t="s">
        <v>97</v>
      </c>
      <c r="C170" s="11">
        <v>180.0</v>
      </c>
      <c r="D170" s="173"/>
      <c r="E170" s="32" t="s">
        <v>4020</v>
      </c>
      <c r="F170" s="174">
        <f>'ПРАЙС_ЛИСТ'!F194</f>
        <v>1600</v>
      </c>
      <c r="G170" s="169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170"/>
      <c r="W170" s="170"/>
      <c r="X170" s="170"/>
    </row>
    <row r="171">
      <c r="A171" s="2"/>
      <c r="B171" s="46" t="s">
        <v>97</v>
      </c>
      <c r="C171" s="11">
        <v>90.0</v>
      </c>
      <c r="D171" s="173"/>
      <c r="E171" s="32" t="s">
        <v>4021</v>
      </c>
      <c r="F171" s="174">
        <f>'ПРАЙС_ЛИСТ'!F195</f>
        <v>1600</v>
      </c>
      <c r="G171" s="169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170"/>
      <c r="W171" s="170"/>
      <c r="X171" s="170"/>
    </row>
    <row r="172">
      <c r="A172" s="2"/>
      <c r="B172" s="46" t="s">
        <v>97</v>
      </c>
      <c r="C172" s="11">
        <v>90.0</v>
      </c>
      <c r="D172" s="173"/>
      <c r="E172" s="32" t="s">
        <v>4022</v>
      </c>
      <c r="F172" s="174">
        <f>IFERROR(__xludf.DUMMYFUNCTION("MIN(FILTER('ПРАЙС_ЛИСТ'!F196:F198, 'ПРАЙС_ЛИСТ'!F196:F198 &lt;&gt; 'ПРАЙС_ЛИСТ'!H196:H198))"),2500.0)</f>
        <v>2500</v>
      </c>
      <c r="G172" s="169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170"/>
      <c r="W172" s="170"/>
      <c r="X172" s="170"/>
    </row>
    <row r="173">
      <c r="A173" s="2"/>
      <c r="B173" s="46" t="s">
        <v>97</v>
      </c>
      <c r="C173" s="11">
        <v>90.0</v>
      </c>
      <c r="D173" s="173"/>
      <c r="E173" s="32" t="s">
        <v>4023</v>
      </c>
      <c r="F173" s="174">
        <f>IFERROR(__xludf.DUMMYFUNCTION("MAX(FILTER('ПРАЙС_ЛИСТ'!F196:F198, 'ПРАЙС_ЛИСТ'!F196:F198 &lt;&gt; 'ПРАЙС_ЛИСТ'!H196:H198))"),3150.0)</f>
        <v>3150</v>
      </c>
      <c r="G173" s="169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170"/>
      <c r="W173" s="170"/>
      <c r="X173" s="170"/>
    </row>
    <row r="174">
      <c r="A174" s="2"/>
      <c r="B174" s="46" t="s">
        <v>97</v>
      </c>
      <c r="C174" s="11">
        <v>90.0</v>
      </c>
      <c r="D174" s="173"/>
      <c r="E174" s="32" t="s">
        <v>4024</v>
      </c>
      <c r="F174" s="174">
        <f>'ПРАЙС_ЛИСТ'!F199</f>
        <v>2000</v>
      </c>
      <c r="G174" s="169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170"/>
      <c r="W174" s="170"/>
      <c r="X174" s="170"/>
    </row>
    <row r="175">
      <c r="A175" s="2"/>
      <c r="B175" s="46" t="s">
        <v>97</v>
      </c>
      <c r="C175" s="11">
        <v>90.0</v>
      </c>
      <c r="D175" s="173"/>
      <c r="E175" s="32" t="s">
        <v>4025</v>
      </c>
      <c r="F175" s="174">
        <f>'ПРАЙС_ЛИСТ'!F200</f>
        <v>2000</v>
      </c>
      <c r="G175" s="169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170"/>
      <c r="W175" s="170"/>
      <c r="X175" s="170"/>
    </row>
    <row r="176">
      <c r="A176" s="2"/>
      <c r="B176" s="46" t="s">
        <v>97</v>
      </c>
      <c r="C176" s="11">
        <v>90.0</v>
      </c>
      <c r="D176" s="173"/>
      <c r="E176" s="32" t="s">
        <v>4026</v>
      </c>
      <c r="F176" s="174">
        <f>'ПРАЙС_ЛИСТ'!F201</f>
        <v>1800</v>
      </c>
      <c r="G176" s="169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170"/>
      <c r="W176" s="170"/>
      <c r="X176" s="170"/>
    </row>
    <row r="177">
      <c r="A177" s="2"/>
      <c r="B177" s="46" t="s">
        <v>97</v>
      </c>
      <c r="C177" s="11">
        <v>90.0</v>
      </c>
      <c r="D177" s="173"/>
      <c r="E177" s="32" t="s">
        <v>4027</v>
      </c>
      <c r="F177" s="174">
        <f>'ПРАЙС_ЛИСТ'!F202</f>
        <v>1100</v>
      </c>
      <c r="G177" s="169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170"/>
      <c r="W177" s="170"/>
      <c r="X177" s="170"/>
    </row>
    <row r="178">
      <c r="A178" s="2"/>
      <c r="B178" s="46" t="s">
        <v>97</v>
      </c>
      <c r="C178" s="11">
        <v>180.0</v>
      </c>
      <c r="D178" s="173"/>
      <c r="E178" s="32" t="s">
        <v>4028</v>
      </c>
      <c r="F178" s="185">
        <f>IF('ПРАЙС_ЛИСТ'!F203 = G178, 0, 'ПРАЙС_ЛИСТ'!F203)</f>
        <v>0</v>
      </c>
      <c r="G178" s="186">
        <f>'БД_УСЛУГИ_РО'!P127</f>
        <v>1000</v>
      </c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170"/>
      <c r="W178" s="170"/>
      <c r="X178" s="170"/>
    </row>
    <row r="179">
      <c r="A179" s="2"/>
      <c r="B179" s="46" t="s">
        <v>97</v>
      </c>
      <c r="C179" s="11">
        <v>90.0</v>
      </c>
      <c r="D179" s="173"/>
      <c r="E179" s="32" t="s">
        <v>4029</v>
      </c>
      <c r="F179" s="185">
        <f>IF('ПРАЙС_ЛИСТ'!F204 = G179, 0, 'ПРАЙС_ЛИСТ'!F204)</f>
        <v>0</v>
      </c>
      <c r="G179" s="186">
        <f>'БД_УСЛУГИ_РО'!P128</f>
        <v>900</v>
      </c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170"/>
      <c r="W179" s="170"/>
      <c r="X179" s="170"/>
    </row>
    <row r="180">
      <c r="A180" s="2"/>
      <c r="B180" s="46" t="s">
        <v>97</v>
      </c>
      <c r="C180" s="11">
        <v>90.0</v>
      </c>
      <c r="D180" s="173"/>
      <c r="E180" s="32" t="s">
        <v>4030</v>
      </c>
      <c r="F180" s="174">
        <f>'ПРАЙС_ЛИСТ'!F205</f>
        <v>900</v>
      </c>
      <c r="G180" s="169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170"/>
      <c r="W180" s="170"/>
      <c r="X180" s="170"/>
    </row>
    <row r="181">
      <c r="A181" s="2"/>
      <c r="B181" s="46" t="s">
        <v>97</v>
      </c>
      <c r="C181" s="11">
        <v>90.0</v>
      </c>
      <c r="D181" s="173"/>
      <c r="E181" s="32" t="s">
        <v>4031</v>
      </c>
      <c r="F181" s="174">
        <f>'ПРАЙС_ЛИСТ'!F206</f>
        <v>1200</v>
      </c>
      <c r="G181" s="169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170"/>
      <c r="W181" s="170"/>
      <c r="X181" s="170"/>
    </row>
    <row r="182">
      <c r="A182" s="2"/>
      <c r="B182" s="46" t="s">
        <v>97</v>
      </c>
      <c r="C182" s="11">
        <v>90.0</v>
      </c>
      <c r="D182" s="173"/>
      <c r="E182" s="32" t="s">
        <v>4032</v>
      </c>
      <c r="F182" s="174">
        <f>'ПРАЙС_ЛИСТ'!F207</f>
        <v>1200</v>
      </c>
      <c r="G182" s="169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70"/>
      <c r="W182" s="170"/>
      <c r="X182" s="170"/>
    </row>
    <row r="183">
      <c r="A183" s="2"/>
      <c r="B183" s="46" t="s">
        <v>97</v>
      </c>
      <c r="C183" s="11">
        <v>90.0</v>
      </c>
      <c r="D183" s="173"/>
      <c r="E183" s="32" t="s">
        <v>4033</v>
      </c>
      <c r="F183" s="174">
        <f>'ПРАЙС_ЛИСТ'!F208</f>
        <v>1900</v>
      </c>
      <c r="G183" s="169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170"/>
      <c r="W183" s="170"/>
      <c r="X183" s="170"/>
    </row>
    <row r="184">
      <c r="A184" s="2"/>
      <c r="B184" s="46" t="s">
        <v>97</v>
      </c>
      <c r="C184" s="11">
        <v>90.0</v>
      </c>
      <c r="D184" s="173"/>
      <c r="E184" s="32" t="s">
        <v>4034</v>
      </c>
      <c r="F184" s="174">
        <f>'ПРАЙС_ЛИСТ'!F209</f>
        <v>1800</v>
      </c>
      <c r="G184" s="169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170"/>
      <c r="W184" s="170"/>
      <c r="X184" s="170"/>
    </row>
    <row r="185">
      <c r="A185" s="2"/>
      <c r="B185" s="46" t="s">
        <v>97</v>
      </c>
      <c r="C185" s="11">
        <v>90.0</v>
      </c>
      <c r="D185" s="173"/>
      <c r="E185" s="32" t="s">
        <v>4035</v>
      </c>
      <c r="F185" s="174">
        <f>'ПРАЙС_ЛИСТ'!F210</f>
        <v>2500</v>
      </c>
      <c r="G185" s="169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170"/>
      <c r="W185" s="170"/>
      <c r="X185" s="170"/>
    </row>
    <row r="186">
      <c r="A186" s="2"/>
      <c r="B186" s="46" t="s">
        <v>97</v>
      </c>
      <c r="C186" s="11">
        <v>90.0</v>
      </c>
      <c r="D186" s="173"/>
      <c r="E186" s="32" t="s">
        <v>4036</v>
      </c>
      <c r="F186" s="174">
        <f>'ПРАЙС_ЛИСТ'!F211</f>
        <v>2500</v>
      </c>
      <c r="G186" s="169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170"/>
      <c r="W186" s="170"/>
      <c r="X186" s="170"/>
    </row>
    <row r="187">
      <c r="A187" s="2"/>
      <c r="B187" s="48" t="s">
        <v>97</v>
      </c>
      <c r="C187" s="36">
        <v>90.0</v>
      </c>
      <c r="D187" s="178"/>
      <c r="E187" s="49" t="s">
        <v>4037</v>
      </c>
      <c r="F187" s="179">
        <f>'ПРАЙС_ЛИСТ'!F212</f>
        <v>1000</v>
      </c>
      <c r="G187" s="169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170"/>
      <c r="W187" s="170"/>
      <c r="X187" s="170"/>
    </row>
    <row r="188">
      <c r="A188" s="2"/>
      <c r="B188" s="1"/>
      <c r="C188" s="1"/>
      <c r="D188" s="180"/>
      <c r="E188" s="30"/>
      <c r="F188" s="21"/>
      <c r="G188" s="169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170"/>
      <c r="W188" s="170"/>
      <c r="X188" s="170"/>
    </row>
    <row r="189">
      <c r="A189" s="2"/>
      <c r="B189" s="41" t="s">
        <v>104</v>
      </c>
      <c r="C189" s="42">
        <v>0.0</v>
      </c>
      <c r="D189" s="181"/>
      <c r="E189" s="43" t="s">
        <v>4038</v>
      </c>
      <c r="F189" s="182">
        <v>0.0</v>
      </c>
      <c r="G189" s="169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170"/>
      <c r="W189" s="170"/>
      <c r="X189" s="170"/>
    </row>
    <row r="190">
      <c r="A190" s="2"/>
      <c r="B190" s="46" t="s">
        <v>104</v>
      </c>
      <c r="C190" s="11">
        <v>0.0</v>
      </c>
      <c r="D190" s="173"/>
      <c r="E190" s="32" t="s">
        <v>4039</v>
      </c>
      <c r="F190" s="174">
        <f>'ПРАЙС_ЛИСТ'!F216</f>
        <v>400</v>
      </c>
      <c r="G190" s="169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170"/>
      <c r="W190" s="170"/>
      <c r="X190" s="170"/>
    </row>
    <row r="191">
      <c r="A191" s="2"/>
      <c r="B191" s="46" t="s">
        <v>104</v>
      </c>
      <c r="C191" s="11">
        <v>0.0</v>
      </c>
      <c r="D191" s="173"/>
      <c r="E191" s="32" t="s">
        <v>4040</v>
      </c>
      <c r="F191" s="174">
        <f>'ПРАЙС_ЛИСТ'!F217</f>
        <v>1000</v>
      </c>
      <c r="G191" s="169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170"/>
      <c r="W191" s="170"/>
      <c r="X191" s="170"/>
    </row>
    <row r="192">
      <c r="A192" s="2"/>
      <c r="B192" s="46" t="s">
        <v>104</v>
      </c>
      <c r="C192" s="11">
        <v>180.0</v>
      </c>
      <c r="D192" s="173"/>
      <c r="E192" s="32" t="s">
        <v>4041</v>
      </c>
      <c r="F192" s="174">
        <f>'ПРАЙС_ЛИСТ'!F218</f>
        <v>1800</v>
      </c>
      <c r="G192" s="169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170"/>
      <c r="W192" s="170"/>
      <c r="X192" s="170"/>
    </row>
    <row r="193">
      <c r="A193" s="2"/>
      <c r="B193" s="46" t="s">
        <v>104</v>
      </c>
      <c r="C193" s="11">
        <v>90.0</v>
      </c>
      <c r="D193" s="173"/>
      <c r="E193" s="32" t="s">
        <v>4042</v>
      </c>
      <c r="F193" s="174">
        <f>'ПРАЙС_ЛИСТ'!F219</f>
        <v>1800</v>
      </c>
      <c r="G193" s="169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70"/>
      <c r="W193" s="170"/>
      <c r="X193" s="170"/>
    </row>
    <row r="194">
      <c r="A194" s="2"/>
      <c r="B194" s="46" t="s">
        <v>104</v>
      </c>
      <c r="C194" s="11">
        <v>90.0</v>
      </c>
      <c r="D194" s="173"/>
      <c r="E194" s="32" t="s">
        <v>4043</v>
      </c>
      <c r="F194" s="174">
        <f>IFERROR(__xludf.DUMMYFUNCTION("MIN(FILTER('ПРАЙС_ЛИСТ'!F220:F222, 'ПРАЙС_ЛИСТ'!F220:F222 &lt;&gt; 'ПРАЙС_ЛИСТ'!H220:H222))"),3500.0)</f>
        <v>3500</v>
      </c>
      <c r="G194" s="169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170"/>
      <c r="W194" s="170"/>
      <c r="X194" s="170"/>
    </row>
    <row r="195">
      <c r="A195" s="2"/>
      <c r="B195" s="46" t="s">
        <v>104</v>
      </c>
      <c r="C195" s="11">
        <v>90.0</v>
      </c>
      <c r="D195" s="173"/>
      <c r="E195" s="32" t="s">
        <v>4044</v>
      </c>
      <c r="F195" s="174">
        <f>IFERROR(__xludf.DUMMYFUNCTION("MAX(FILTER('ПРАЙС_ЛИСТ'!F220:F222, 'ПРАЙС_ЛИСТ'!F220:F222 &lt;&gt; 'ПРАЙС_ЛИСТ'!H220:H222))"),4100.0)</f>
        <v>4100</v>
      </c>
      <c r="G195" s="169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170"/>
      <c r="W195" s="170"/>
      <c r="X195" s="170"/>
    </row>
    <row r="196">
      <c r="A196" s="2"/>
      <c r="B196" s="46" t="s">
        <v>104</v>
      </c>
      <c r="C196" s="11">
        <v>90.0</v>
      </c>
      <c r="D196" s="173"/>
      <c r="E196" s="32" t="s">
        <v>4045</v>
      </c>
      <c r="F196" s="174">
        <f>'ПРАЙС_ЛИСТ'!F223</f>
        <v>2500</v>
      </c>
      <c r="G196" s="169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170"/>
      <c r="W196" s="170"/>
      <c r="X196" s="170"/>
    </row>
    <row r="197">
      <c r="A197" s="2"/>
      <c r="B197" s="46" t="s">
        <v>104</v>
      </c>
      <c r="C197" s="11">
        <v>90.0</v>
      </c>
      <c r="D197" s="173"/>
      <c r="E197" s="32" t="s">
        <v>4046</v>
      </c>
      <c r="F197" s="174">
        <f>'ПРАЙС_ЛИСТ'!F224</f>
        <v>3500</v>
      </c>
      <c r="G197" s="169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170"/>
      <c r="W197" s="170"/>
      <c r="X197" s="170"/>
    </row>
    <row r="198">
      <c r="A198" s="2"/>
      <c r="B198" s="46" t="s">
        <v>104</v>
      </c>
      <c r="C198" s="11">
        <v>90.0</v>
      </c>
      <c r="D198" s="173"/>
      <c r="E198" s="32" t="s">
        <v>4047</v>
      </c>
      <c r="F198" s="174">
        <f>'ПРАЙС_ЛИСТ'!F225</f>
        <v>2200</v>
      </c>
      <c r="G198" s="169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170"/>
      <c r="W198" s="170"/>
      <c r="X198" s="170"/>
    </row>
    <row r="199">
      <c r="A199" s="2"/>
      <c r="B199" s="46" t="s">
        <v>104</v>
      </c>
      <c r="C199" s="11">
        <v>90.0</v>
      </c>
      <c r="D199" s="173"/>
      <c r="E199" s="32" t="s">
        <v>4048</v>
      </c>
      <c r="F199" s="174">
        <f>'ПРАЙС_ЛИСТ'!F226</f>
        <v>1100</v>
      </c>
      <c r="G199" s="169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170"/>
      <c r="W199" s="170"/>
      <c r="X199" s="170"/>
    </row>
    <row r="200">
      <c r="A200" s="2"/>
      <c r="B200" s="46" t="s">
        <v>104</v>
      </c>
      <c r="C200" s="11">
        <v>180.0</v>
      </c>
      <c r="D200" s="173"/>
      <c r="E200" s="32" t="s">
        <v>4049</v>
      </c>
      <c r="F200" s="185">
        <f>IF('ПРАЙС_ЛИСТ'!F227 = G200, 0, 'ПРАЙС_ЛИСТ'!F227)</f>
        <v>0</v>
      </c>
      <c r="G200" s="186">
        <f>'БД_УСЛУГИ_РО'!P149</f>
        <v>1000</v>
      </c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170"/>
      <c r="W200" s="170"/>
      <c r="X200" s="170"/>
    </row>
    <row r="201">
      <c r="A201" s="2"/>
      <c r="B201" s="46" t="s">
        <v>104</v>
      </c>
      <c r="C201" s="11">
        <v>90.0</v>
      </c>
      <c r="D201" s="173"/>
      <c r="E201" s="32" t="s">
        <v>4050</v>
      </c>
      <c r="F201" s="185">
        <f>IF('ПРАЙС_ЛИСТ'!F228 = G201, 0, 'ПРАЙС_ЛИСТ'!F228)</f>
        <v>0</v>
      </c>
      <c r="G201" s="186">
        <f>'БД_УСЛУГИ_РО'!P150</f>
        <v>900</v>
      </c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170"/>
      <c r="W201" s="170"/>
      <c r="X201" s="170"/>
    </row>
    <row r="202">
      <c r="A202" s="2"/>
      <c r="B202" s="46" t="s">
        <v>104</v>
      </c>
      <c r="C202" s="11">
        <v>90.0</v>
      </c>
      <c r="D202" s="173"/>
      <c r="E202" s="32" t="s">
        <v>4051</v>
      </c>
      <c r="F202" s="174">
        <f>'ПРАЙС_ЛИСТ'!F229</f>
        <v>900</v>
      </c>
      <c r="G202" s="169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170"/>
      <c r="W202" s="170"/>
      <c r="X202" s="170"/>
    </row>
    <row r="203">
      <c r="A203" s="2"/>
      <c r="B203" s="46" t="s">
        <v>104</v>
      </c>
      <c r="C203" s="11">
        <v>90.0</v>
      </c>
      <c r="D203" s="173"/>
      <c r="E203" s="32" t="s">
        <v>4052</v>
      </c>
      <c r="F203" s="174">
        <f>'ПРАЙС_ЛИСТ'!F230</f>
        <v>1400</v>
      </c>
      <c r="G203" s="169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170"/>
      <c r="W203" s="170"/>
      <c r="X203" s="170"/>
    </row>
    <row r="204">
      <c r="A204" s="2"/>
      <c r="B204" s="46" t="s">
        <v>104</v>
      </c>
      <c r="C204" s="11">
        <v>90.0</v>
      </c>
      <c r="D204" s="173"/>
      <c r="E204" s="32" t="s">
        <v>4053</v>
      </c>
      <c r="F204" s="174">
        <f>'ПРАЙС_ЛИСТ'!F231</f>
        <v>1400</v>
      </c>
      <c r="G204" s="169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170"/>
      <c r="W204" s="170"/>
      <c r="X204" s="170"/>
    </row>
    <row r="205">
      <c r="A205" s="2"/>
      <c r="B205" s="46" t="s">
        <v>104</v>
      </c>
      <c r="C205" s="11">
        <v>90.0</v>
      </c>
      <c r="D205" s="173"/>
      <c r="E205" s="32" t="s">
        <v>4054</v>
      </c>
      <c r="F205" s="174">
        <f>'ПРАЙС_ЛИСТ'!F232</f>
        <v>2100</v>
      </c>
      <c r="G205" s="169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170"/>
      <c r="W205" s="170"/>
      <c r="X205" s="170"/>
    </row>
    <row r="206">
      <c r="A206" s="2"/>
      <c r="B206" s="46" t="s">
        <v>104</v>
      </c>
      <c r="C206" s="11">
        <v>90.0</v>
      </c>
      <c r="D206" s="173"/>
      <c r="E206" s="32" t="s">
        <v>4055</v>
      </c>
      <c r="F206" s="174">
        <f>'ПРАЙС_ЛИСТ'!F233</f>
        <v>1800</v>
      </c>
      <c r="G206" s="169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170"/>
      <c r="W206" s="170"/>
      <c r="X206" s="170"/>
    </row>
    <row r="207">
      <c r="A207" s="2"/>
      <c r="B207" s="46" t="s">
        <v>104</v>
      </c>
      <c r="C207" s="11">
        <v>90.0</v>
      </c>
      <c r="D207" s="173"/>
      <c r="E207" s="32" t="s">
        <v>4056</v>
      </c>
      <c r="F207" s="174">
        <f>'ПРАЙС_ЛИСТ'!F234</f>
        <v>2500</v>
      </c>
      <c r="G207" s="169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170"/>
      <c r="W207" s="170"/>
      <c r="X207" s="170"/>
    </row>
    <row r="208">
      <c r="A208" s="2"/>
      <c r="B208" s="46" t="s">
        <v>104</v>
      </c>
      <c r="C208" s="11">
        <v>90.0</v>
      </c>
      <c r="D208" s="173"/>
      <c r="E208" s="32" t="s">
        <v>4057</v>
      </c>
      <c r="F208" s="174">
        <f>'ПРАЙС_ЛИСТ'!F235</f>
        <v>2500</v>
      </c>
      <c r="G208" s="169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170"/>
      <c r="W208" s="170"/>
      <c r="X208" s="170"/>
    </row>
    <row r="209">
      <c r="A209" s="2"/>
      <c r="B209" s="48" t="s">
        <v>104</v>
      </c>
      <c r="C209" s="36">
        <v>90.0</v>
      </c>
      <c r="D209" s="178"/>
      <c r="E209" s="49" t="s">
        <v>4058</v>
      </c>
      <c r="F209" s="179">
        <f>'ПРАЙС_ЛИСТ'!F236</f>
        <v>1000</v>
      </c>
      <c r="G209" s="169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170"/>
      <c r="W209" s="170"/>
      <c r="X209" s="170"/>
    </row>
    <row r="210">
      <c r="A210" s="2"/>
      <c r="B210" s="1"/>
      <c r="C210" s="1"/>
      <c r="D210" s="180"/>
      <c r="E210" s="30"/>
      <c r="F210" s="21"/>
      <c r="G210" s="169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170"/>
      <c r="W210" s="170"/>
      <c r="X210" s="170"/>
    </row>
    <row r="211">
      <c r="A211" s="2"/>
      <c r="B211" s="41" t="s">
        <v>111</v>
      </c>
      <c r="C211" s="42">
        <v>0.0</v>
      </c>
      <c r="D211" s="181"/>
      <c r="E211" s="43" t="s">
        <v>4059</v>
      </c>
      <c r="F211" s="182">
        <v>0.0</v>
      </c>
      <c r="G211" s="169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170"/>
      <c r="W211" s="170"/>
      <c r="X211" s="170"/>
    </row>
    <row r="212">
      <c r="A212" s="2"/>
      <c r="B212" s="46" t="s">
        <v>111</v>
      </c>
      <c r="C212" s="11">
        <v>0.0</v>
      </c>
      <c r="D212" s="173"/>
      <c r="E212" s="32" t="s">
        <v>4060</v>
      </c>
      <c r="F212" s="174">
        <f>'ПРАЙС_ЛИСТ'!F240</f>
        <v>400</v>
      </c>
      <c r="G212" s="169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170"/>
      <c r="W212" s="170"/>
      <c r="X212" s="170"/>
    </row>
    <row r="213">
      <c r="A213" s="2"/>
      <c r="B213" s="46" t="s">
        <v>111</v>
      </c>
      <c r="C213" s="11">
        <v>0.0</v>
      </c>
      <c r="D213" s="173"/>
      <c r="E213" s="32" t="s">
        <v>4061</v>
      </c>
      <c r="F213" s="174">
        <f>'ПРАЙС_ЛИСТ'!F241</f>
        <v>1100</v>
      </c>
      <c r="G213" s="169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170"/>
      <c r="W213" s="170"/>
      <c r="X213" s="170"/>
    </row>
    <row r="214">
      <c r="A214" s="2"/>
      <c r="B214" s="46" t="s">
        <v>111</v>
      </c>
      <c r="C214" s="11">
        <v>180.0</v>
      </c>
      <c r="D214" s="173"/>
      <c r="E214" s="32" t="s">
        <v>4062</v>
      </c>
      <c r="F214" s="174">
        <f>'ПРАЙС_ЛИСТ'!F242</f>
        <v>1800</v>
      </c>
      <c r="G214" s="169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170"/>
      <c r="W214" s="170"/>
      <c r="X214" s="170"/>
    </row>
    <row r="215">
      <c r="A215" s="2"/>
      <c r="B215" s="46" t="s">
        <v>111</v>
      </c>
      <c r="C215" s="11">
        <v>90.0</v>
      </c>
      <c r="D215" s="173"/>
      <c r="E215" s="32" t="s">
        <v>4063</v>
      </c>
      <c r="F215" s="174">
        <f>'ПРАЙС_ЛИСТ'!F243</f>
        <v>2200</v>
      </c>
      <c r="G215" s="169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170"/>
      <c r="W215" s="170"/>
      <c r="X215" s="170"/>
    </row>
    <row r="216">
      <c r="A216" s="2"/>
      <c r="B216" s="46" t="s">
        <v>111</v>
      </c>
      <c r="C216" s="11">
        <v>90.0</v>
      </c>
      <c r="D216" s="173"/>
      <c r="E216" s="32" t="s">
        <v>4064</v>
      </c>
      <c r="F216" s="174">
        <f>IFERROR(__xludf.DUMMYFUNCTION("MIN(FILTER('ПРАЙС_ЛИСТ'!F244:F246, 'ПРАЙС_ЛИСТ'!F244:F246 &lt;&gt; 'ПРАЙС_ЛИСТ'!H244:H246))"),2550.0)</f>
        <v>2550</v>
      </c>
      <c r="G216" s="169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170"/>
      <c r="W216" s="170"/>
      <c r="X216" s="170"/>
    </row>
    <row r="217">
      <c r="A217" s="2"/>
      <c r="B217" s="46" t="s">
        <v>111</v>
      </c>
      <c r="C217" s="11">
        <v>90.0</v>
      </c>
      <c r="D217" s="173"/>
      <c r="E217" s="32" t="s">
        <v>4065</v>
      </c>
      <c r="F217" s="174">
        <f>IFERROR(__xludf.DUMMYFUNCTION("MAX(FILTER('ПРАЙС_ЛИСТ'!F244:F246, 'ПРАЙС_ЛИСТ'!F244:F246 &lt;&gt; 'ПРАЙС_ЛИСТ'!H244:H246))"),3000.0)</f>
        <v>3000</v>
      </c>
      <c r="G217" s="169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170"/>
      <c r="W217" s="170"/>
      <c r="X217" s="170"/>
    </row>
    <row r="218">
      <c r="A218" s="2"/>
      <c r="B218" s="46" t="s">
        <v>111</v>
      </c>
      <c r="C218" s="11">
        <v>90.0</v>
      </c>
      <c r="D218" s="173"/>
      <c r="E218" s="32" t="s">
        <v>4066</v>
      </c>
      <c r="F218" s="174">
        <f>'ПРАЙС_ЛИСТ'!F247</f>
        <v>2000</v>
      </c>
      <c r="G218" s="169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170"/>
      <c r="W218" s="170"/>
      <c r="X218" s="170"/>
    </row>
    <row r="219">
      <c r="A219" s="2"/>
      <c r="B219" s="46" t="s">
        <v>111</v>
      </c>
      <c r="C219" s="11">
        <v>90.0</v>
      </c>
      <c r="D219" s="173"/>
      <c r="E219" s="32" t="s">
        <v>4067</v>
      </c>
      <c r="F219" s="174">
        <f>'ПРАЙС_ЛИСТ'!F248</f>
        <v>3500</v>
      </c>
      <c r="G219" s="169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170"/>
      <c r="W219" s="170"/>
      <c r="X219" s="170"/>
    </row>
    <row r="220">
      <c r="A220" s="2"/>
      <c r="B220" s="46" t="s">
        <v>111</v>
      </c>
      <c r="C220" s="11">
        <v>90.0</v>
      </c>
      <c r="D220" s="173"/>
      <c r="E220" s="32" t="s">
        <v>4068</v>
      </c>
      <c r="F220" s="174">
        <f>'ПРАЙС_ЛИСТ'!F249</f>
        <v>2500</v>
      </c>
      <c r="G220" s="169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170"/>
      <c r="W220" s="170"/>
      <c r="X220" s="170"/>
    </row>
    <row r="221">
      <c r="A221" s="2"/>
      <c r="B221" s="46" t="s">
        <v>111</v>
      </c>
      <c r="C221" s="11">
        <v>90.0</v>
      </c>
      <c r="D221" s="173"/>
      <c r="E221" s="32" t="s">
        <v>4069</v>
      </c>
      <c r="F221" s="174">
        <f>'ПРАЙС_ЛИСТ'!F250</f>
        <v>1500</v>
      </c>
      <c r="G221" s="169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170"/>
      <c r="W221" s="170"/>
      <c r="X221" s="170"/>
    </row>
    <row r="222">
      <c r="A222" s="2"/>
      <c r="B222" s="46" t="s">
        <v>111</v>
      </c>
      <c r="C222" s="11">
        <v>180.0</v>
      </c>
      <c r="D222" s="173"/>
      <c r="E222" s="32" t="s">
        <v>4070</v>
      </c>
      <c r="F222" s="185">
        <f>IF('ПРАЙС_ЛИСТ'!F251 = G222, 0, 'ПРАЙС_ЛИСТ'!F251)</f>
        <v>0</v>
      </c>
      <c r="G222" s="186">
        <f>'БД_УСЛУГИ_РО'!P171</f>
        <v>1500</v>
      </c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170"/>
      <c r="W222" s="170"/>
      <c r="X222" s="170"/>
    </row>
    <row r="223">
      <c r="A223" s="2"/>
      <c r="B223" s="46" t="s">
        <v>111</v>
      </c>
      <c r="C223" s="11">
        <v>90.0</v>
      </c>
      <c r="D223" s="173"/>
      <c r="E223" s="32" t="s">
        <v>4071</v>
      </c>
      <c r="F223" s="185">
        <f>IF('ПРАЙС_ЛИСТ'!F252 = G223, 0, 'ПРАЙС_ЛИСТ'!F252)</f>
        <v>0</v>
      </c>
      <c r="G223" s="186">
        <f>'БД_УСЛУГИ_РО'!P172</f>
        <v>2000</v>
      </c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170"/>
      <c r="W223" s="170"/>
      <c r="X223" s="170"/>
    </row>
    <row r="224">
      <c r="A224" s="2"/>
      <c r="B224" s="46" t="s">
        <v>111</v>
      </c>
      <c r="C224" s="11">
        <v>90.0</v>
      </c>
      <c r="D224" s="173"/>
      <c r="E224" s="32" t="s">
        <v>4072</v>
      </c>
      <c r="F224" s="174">
        <f>'ПРАЙС_ЛИСТ'!F253</f>
        <v>1200</v>
      </c>
      <c r="G224" s="169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170"/>
      <c r="W224" s="170"/>
      <c r="X224" s="170"/>
    </row>
    <row r="225">
      <c r="A225" s="2"/>
      <c r="B225" s="46" t="s">
        <v>111</v>
      </c>
      <c r="C225" s="11">
        <v>90.0</v>
      </c>
      <c r="D225" s="173"/>
      <c r="E225" s="32" t="s">
        <v>4073</v>
      </c>
      <c r="F225" s="174">
        <f>'ПРАЙС_ЛИСТ'!F254</f>
        <v>1600</v>
      </c>
      <c r="G225" s="169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170"/>
      <c r="W225" s="170"/>
      <c r="X225" s="170"/>
    </row>
    <row r="226">
      <c r="A226" s="2"/>
      <c r="B226" s="46" t="s">
        <v>111</v>
      </c>
      <c r="C226" s="11">
        <v>90.0</v>
      </c>
      <c r="D226" s="173"/>
      <c r="E226" s="32" t="s">
        <v>4074</v>
      </c>
      <c r="F226" s="174">
        <f>'ПРАЙС_ЛИСТ'!F255</f>
        <v>1550</v>
      </c>
      <c r="G226" s="169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170"/>
      <c r="W226" s="170"/>
      <c r="X226" s="170"/>
    </row>
    <row r="227">
      <c r="A227" s="2"/>
      <c r="B227" s="46" t="s">
        <v>111</v>
      </c>
      <c r="C227" s="11">
        <v>90.0</v>
      </c>
      <c r="D227" s="173"/>
      <c r="E227" s="32" t="s">
        <v>4075</v>
      </c>
      <c r="F227" s="174">
        <f>'ПРАЙС_ЛИСТ'!F256</f>
        <v>2700</v>
      </c>
      <c r="G227" s="169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170"/>
      <c r="W227" s="170"/>
      <c r="X227" s="170"/>
    </row>
    <row r="228">
      <c r="A228" s="2"/>
      <c r="B228" s="46" t="s">
        <v>111</v>
      </c>
      <c r="C228" s="11">
        <v>90.0</v>
      </c>
      <c r="D228" s="173"/>
      <c r="E228" s="32" t="s">
        <v>4076</v>
      </c>
      <c r="F228" s="174">
        <f>'ПРАЙС_ЛИСТ'!F257</f>
        <v>2000</v>
      </c>
      <c r="G228" s="169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170"/>
      <c r="W228" s="170"/>
      <c r="X228" s="170"/>
    </row>
    <row r="229">
      <c r="A229" s="2"/>
      <c r="B229" s="46" t="s">
        <v>111</v>
      </c>
      <c r="C229" s="11">
        <v>90.0</v>
      </c>
      <c r="D229" s="173"/>
      <c r="E229" s="32" t="s">
        <v>4077</v>
      </c>
      <c r="F229" s="174">
        <f>'ПРАЙС_ЛИСТ'!F258</f>
        <v>2500</v>
      </c>
      <c r="G229" s="169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170"/>
      <c r="W229" s="170"/>
      <c r="X229" s="170"/>
    </row>
    <row r="230">
      <c r="A230" s="2"/>
      <c r="B230" s="46" t="s">
        <v>111</v>
      </c>
      <c r="C230" s="11">
        <v>90.0</v>
      </c>
      <c r="D230" s="173"/>
      <c r="E230" s="32" t="s">
        <v>4078</v>
      </c>
      <c r="F230" s="174">
        <f>'ПРАЙС_ЛИСТ'!F259</f>
        <v>2500</v>
      </c>
      <c r="G230" s="169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170"/>
      <c r="W230" s="170"/>
      <c r="X230" s="170"/>
    </row>
    <row r="231">
      <c r="A231" s="2"/>
      <c r="B231" s="48" t="s">
        <v>111</v>
      </c>
      <c r="C231" s="36">
        <v>90.0</v>
      </c>
      <c r="D231" s="178"/>
      <c r="E231" s="49" t="s">
        <v>4079</v>
      </c>
      <c r="F231" s="179">
        <f>'ПРАЙС_ЛИСТ'!F260</f>
        <v>1000</v>
      </c>
      <c r="G231" s="169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170"/>
      <c r="W231" s="170"/>
      <c r="X231" s="170"/>
    </row>
    <row r="232">
      <c r="A232" s="2"/>
      <c r="B232" s="1"/>
      <c r="C232" s="1"/>
      <c r="D232" s="180"/>
      <c r="E232" s="30"/>
      <c r="F232" s="21"/>
      <c r="G232" s="169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170"/>
      <c r="W232" s="170"/>
      <c r="X232" s="170"/>
    </row>
    <row r="233">
      <c r="A233" s="2"/>
      <c r="B233" s="41" t="s">
        <v>118</v>
      </c>
      <c r="C233" s="42">
        <v>0.0</v>
      </c>
      <c r="D233" s="181"/>
      <c r="E233" s="43" t="s">
        <v>4080</v>
      </c>
      <c r="F233" s="182">
        <v>0.0</v>
      </c>
      <c r="G233" s="169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170"/>
      <c r="W233" s="170"/>
      <c r="X233" s="170"/>
    </row>
    <row r="234">
      <c r="A234" s="2"/>
      <c r="B234" s="46" t="s">
        <v>118</v>
      </c>
      <c r="C234" s="11">
        <v>0.0</v>
      </c>
      <c r="D234" s="173"/>
      <c r="E234" s="32" t="s">
        <v>4081</v>
      </c>
      <c r="F234" s="174">
        <f>'ПРАЙС_ЛИСТ'!F264</f>
        <v>400</v>
      </c>
      <c r="G234" s="169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170"/>
      <c r="W234" s="170"/>
      <c r="X234" s="170"/>
    </row>
    <row r="235">
      <c r="A235" s="2"/>
      <c r="B235" s="46" t="s">
        <v>118</v>
      </c>
      <c r="C235" s="11">
        <v>0.0</v>
      </c>
      <c r="D235" s="173"/>
      <c r="E235" s="32" t="s">
        <v>4082</v>
      </c>
      <c r="F235" s="174">
        <f>'ПРАЙС_ЛИСТ'!F265</f>
        <v>1100</v>
      </c>
      <c r="G235" s="169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170"/>
      <c r="W235" s="170"/>
      <c r="X235" s="170"/>
    </row>
    <row r="236">
      <c r="A236" s="2"/>
      <c r="B236" s="46" t="s">
        <v>118</v>
      </c>
      <c r="C236" s="11">
        <v>180.0</v>
      </c>
      <c r="D236" s="173"/>
      <c r="E236" s="32" t="s">
        <v>4083</v>
      </c>
      <c r="F236" s="174">
        <f>'ПРАЙС_ЛИСТ'!F266</f>
        <v>2000</v>
      </c>
      <c r="G236" s="169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170"/>
      <c r="W236" s="170"/>
      <c r="X236" s="170"/>
    </row>
    <row r="237">
      <c r="A237" s="2"/>
      <c r="B237" s="46" t="s">
        <v>118</v>
      </c>
      <c r="C237" s="11">
        <v>90.0</v>
      </c>
      <c r="D237" s="173"/>
      <c r="E237" s="32" t="s">
        <v>4084</v>
      </c>
      <c r="F237" s="174">
        <f>'ПРАЙС_ЛИСТ'!F267</f>
        <v>2400</v>
      </c>
      <c r="G237" s="169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170"/>
      <c r="W237" s="170"/>
      <c r="X237" s="170"/>
    </row>
    <row r="238">
      <c r="A238" s="2"/>
      <c r="B238" s="46" t="s">
        <v>118</v>
      </c>
      <c r="C238" s="11">
        <v>90.0</v>
      </c>
      <c r="D238" s="173"/>
      <c r="E238" s="32" t="s">
        <v>4085</v>
      </c>
      <c r="F238" s="174">
        <f>IFERROR(__xludf.DUMMYFUNCTION("MIN(FILTER('ПРАЙС_ЛИСТ'!F268:F270, 'ПРАЙС_ЛИСТ'!F268:F270 &lt;&gt; 'ПРАЙС_ЛИСТ'!H268:H270))"),4100.0)</f>
        <v>4100</v>
      </c>
      <c r="G238" s="169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170"/>
      <c r="W238" s="170"/>
      <c r="X238" s="170"/>
    </row>
    <row r="239">
      <c r="A239" s="2"/>
      <c r="B239" s="46" t="s">
        <v>118</v>
      </c>
      <c r="C239" s="11">
        <v>90.0</v>
      </c>
      <c r="D239" s="173"/>
      <c r="E239" s="32" t="s">
        <v>4086</v>
      </c>
      <c r="F239" s="174">
        <f>IFERROR(__xludf.DUMMYFUNCTION("MAX(FILTER('ПРАЙС_ЛИСТ'!F268:F270, 'ПРАЙС_ЛИСТ'!F268:F270 &lt;&gt; 'ПРАЙС_ЛИСТ'!H268:H270))"),4500.0)</f>
        <v>4500</v>
      </c>
      <c r="G239" s="169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170"/>
      <c r="W239" s="170"/>
      <c r="X239" s="170"/>
    </row>
    <row r="240">
      <c r="A240" s="2"/>
      <c r="B240" s="46" t="s">
        <v>118</v>
      </c>
      <c r="C240" s="11">
        <v>90.0</v>
      </c>
      <c r="D240" s="173"/>
      <c r="E240" s="32" t="s">
        <v>4087</v>
      </c>
      <c r="F240" s="174">
        <f>'ПРАЙС_ЛИСТ'!F271</f>
        <v>2500</v>
      </c>
      <c r="G240" s="169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170"/>
      <c r="W240" s="170"/>
      <c r="X240" s="170"/>
    </row>
    <row r="241">
      <c r="A241" s="2"/>
      <c r="B241" s="46" t="s">
        <v>118</v>
      </c>
      <c r="C241" s="11">
        <v>90.0</v>
      </c>
      <c r="D241" s="173"/>
      <c r="E241" s="32" t="s">
        <v>4088</v>
      </c>
      <c r="F241" s="174">
        <f>'ПРАЙС_ЛИСТ'!F272</f>
        <v>4500</v>
      </c>
      <c r="G241" s="169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170"/>
      <c r="W241" s="170"/>
      <c r="X241" s="170"/>
    </row>
    <row r="242">
      <c r="A242" s="2"/>
      <c r="B242" s="46" t="s">
        <v>118</v>
      </c>
      <c r="C242" s="11">
        <v>90.0</v>
      </c>
      <c r="D242" s="173"/>
      <c r="E242" s="32" t="s">
        <v>4089</v>
      </c>
      <c r="F242" s="174">
        <f>'ПРАЙС_ЛИСТ'!F273</f>
        <v>3450</v>
      </c>
      <c r="G242" s="169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170"/>
      <c r="W242" s="170"/>
      <c r="X242" s="170"/>
    </row>
    <row r="243">
      <c r="A243" s="2"/>
      <c r="B243" s="46" t="s">
        <v>118</v>
      </c>
      <c r="C243" s="11">
        <v>90.0</v>
      </c>
      <c r="D243" s="173"/>
      <c r="E243" s="32" t="s">
        <v>4090</v>
      </c>
      <c r="F243" s="174">
        <f>'ПРАЙС_ЛИСТ'!F274</f>
        <v>1500</v>
      </c>
      <c r="G243" s="169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170"/>
      <c r="W243" s="170"/>
      <c r="X243" s="170"/>
    </row>
    <row r="244">
      <c r="A244" s="2"/>
      <c r="B244" s="46" t="s">
        <v>118</v>
      </c>
      <c r="C244" s="11">
        <v>180.0</v>
      </c>
      <c r="D244" s="173"/>
      <c r="E244" s="32" t="s">
        <v>4091</v>
      </c>
      <c r="F244" s="185">
        <f>IF('ПРАЙС_ЛИСТ'!F275 = G244, 0, 'ПРАЙС_ЛИСТ'!F275)</f>
        <v>0</v>
      </c>
      <c r="G244" s="186">
        <f>'БД_УСЛУГИ_РО'!P191</f>
        <v>1500</v>
      </c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170"/>
      <c r="W244" s="170"/>
      <c r="X244" s="170"/>
    </row>
    <row r="245">
      <c r="A245" s="2"/>
      <c r="B245" s="46" t="s">
        <v>118</v>
      </c>
      <c r="C245" s="11">
        <v>90.0</v>
      </c>
      <c r="D245" s="173"/>
      <c r="E245" s="32" t="s">
        <v>4092</v>
      </c>
      <c r="F245" s="185">
        <f>IF('ПРАЙС_ЛИСТ'!F276 = G245, 0, 'ПРАЙС_ЛИСТ'!F276)</f>
        <v>0</v>
      </c>
      <c r="G245" s="186">
        <f>'БД_УСЛУГИ_РО'!P194</f>
        <v>2000</v>
      </c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170"/>
      <c r="W245" s="170"/>
      <c r="X245" s="170"/>
    </row>
    <row r="246">
      <c r="A246" s="2"/>
      <c r="B246" s="46" t="s">
        <v>118</v>
      </c>
      <c r="C246" s="11">
        <v>90.0</v>
      </c>
      <c r="D246" s="173"/>
      <c r="E246" s="32" t="s">
        <v>4093</v>
      </c>
      <c r="F246" s="174">
        <f>'ПРАЙС_ЛИСТ'!F277</f>
        <v>1200</v>
      </c>
      <c r="G246" s="169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170"/>
      <c r="W246" s="170"/>
      <c r="X246" s="170"/>
    </row>
    <row r="247">
      <c r="A247" s="2"/>
      <c r="B247" s="46" t="s">
        <v>118</v>
      </c>
      <c r="C247" s="11">
        <v>90.0</v>
      </c>
      <c r="D247" s="173"/>
      <c r="E247" s="32" t="s">
        <v>4094</v>
      </c>
      <c r="F247" s="174">
        <f>'ПРАЙС_ЛИСТ'!F278</f>
        <v>1700</v>
      </c>
      <c r="G247" s="169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170"/>
      <c r="W247" s="170"/>
      <c r="X247" s="170"/>
    </row>
    <row r="248">
      <c r="A248" s="2"/>
      <c r="B248" s="46" t="s">
        <v>118</v>
      </c>
      <c r="C248" s="11">
        <v>90.0</v>
      </c>
      <c r="D248" s="173"/>
      <c r="E248" s="32" t="s">
        <v>4095</v>
      </c>
      <c r="F248" s="174">
        <f>'ПРАЙС_ЛИСТ'!F279</f>
        <v>1550</v>
      </c>
      <c r="G248" s="169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170"/>
      <c r="W248" s="170"/>
      <c r="X248" s="170"/>
    </row>
    <row r="249">
      <c r="A249" s="2"/>
      <c r="B249" s="46" t="s">
        <v>118</v>
      </c>
      <c r="C249" s="11">
        <v>90.0</v>
      </c>
      <c r="D249" s="173"/>
      <c r="E249" s="32" t="s">
        <v>4096</v>
      </c>
      <c r="F249" s="174">
        <f>'ПРАЙС_ЛИСТ'!F280</f>
        <v>2900</v>
      </c>
      <c r="G249" s="169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170"/>
      <c r="W249" s="170"/>
      <c r="X249" s="170"/>
    </row>
    <row r="250">
      <c r="A250" s="2"/>
      <c r="B250" s="46" t="s">
        <v>118</v>
      </c>
      <c r="C250" s="11">
        <v>90.0</v>
      </c>
      <c r="D250" s="173"/>
      <c r="E250" s="32" t="s">
        <v>4097</v>
      </c>
      <c r="F250" s="174">
        <f>'ПРАЙС_ЛИСТ'!F281</f>
        <v>2000</v>
      </c>
      <c r="G250" s="169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170"/>
      <c r="W250" s="170"/>
      <c r="X250" s="170"/>
    </row>
    <row r="251">
      <c r="A251" s="2"/>
      <c r="B251" s="46" t="s">
        <v>118</v>
      </c>
      <c r="C251" s="11">
        <v>90.0</v>
      </c>
      <c r="D251" s="173"/>
      <c r="E251" s="32" t="s">
        <v>4098</v>
      </c>
      <c r="F251" s="174">
        <f>'ПРАЙС_ЛИСТ'!F282</f>
        <v>2500</v>
      </c>
      <c r="G251" s="169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170"/>
      <c r="W251" s="170"/>
      <c r="X251" s="170"/>
    </row>
    <row r="252">
      <c r="A252" s="2"/>
      <c r="B252" s="46" t="s">
        <v>118</v>
      </c>
      <c r="C252" s="11">
        <v>90.0</v>
      </c>
      <c r="D252" s="173"/>
      <c r="E252" s="32" t="s">
        <v>4099</v>
      </c>
      <c r="F252" s="174">
        <f>'ПРАЙС_ЛИСТ'!F283</f>
        <v>2500</v>
      </c>
      <c r="G252" s="169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170"/>
      <c r="W252" s="170"/>
      <c r="X252" s="170"/>
    </row>
    <row r="253">
      <c r="A253" s="2"/>
      <c r="B253" s="48" t="s">
        <v>118</v>
      </c>
      <c r="C253" s="36">
        <v>90.0</v>
      </c>
      <c r="D253" s="178"/>
      <c r="E253" s="49" t="s">
        <v>4100</v>
      </c>
      <c r="F253" s="179">
        <f>'ПРАЙС_ЛИСТ'!F284</f>
        <v>1000</v>
      </c>
      <c r="G253" s="169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170"/>
      <c r="W253" s="170"/>
      <c r="X253" s="170"/>
    </row>
    <row r="254">
      <c r="A254" s="2"/>
      <c r="B254" s="1"/>
      <c r="C254" s="1"/>
      <c r="D254" s="180"/>
      <c r="E254" s="30"/>
      <c r="F254" s="21"/>
      <c r="G254" s="169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170"/>
      <c r="W254" s="170"/>
      <c r="X254" s="170"/>
    </row>
    <row r="255">
      <c r="A255" s="2"/>
      <c r="B255" s="41" t="s">
        <v>125</v>
      </c>
      <c r="C255" s="42">
        <v>0.0</v>
      </c>
      <c r="D255" s="181"/>
      <c r="E255" s="43" t="s">
        <v>4101</v>
      </c>
      <c r="F255" s="182">
        <v>0.0</v>
      </c>
      <c r="G255" s="169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170"/>
      <c r="W255" s="170"/>
      <c r="X255" s="170"/>
    </row>
    <row r="256">
      <c r="A256" s="2"/>
      <c r="B256" s="46" t="s">
        <v>125</v>
      </c>
      <c r="C256" s="11">
        <v>0.0</v>
      </c>
      <c r="D256" s="173"/>
      <c r="E256" s="32" t="s">
        <v>4102</v>
      </c>
      <c r="F256" s="174">
        <f>'ПРАЙС_ЛИСТ'!F288</f>
        <v>400</v>
      </c>
      <c r="G256" s="169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170"/>
      <c r="W256" s="170"/>
      <c r="X256" s="170"/>
    </row>
    <row r="257">
      <c r="A257" s="2"/>
      <c r="B257" s="46" t="s">
        <v>125</v>
      </c>
      <c r="C257" s="11">
        <v>0.0</v>
      </c>
      <c r="D257" s="173"/>
      <c r="E257" s="32" t="s">
        <v>4103</v>
      </c>
      <c r="F257" s="174">
        <f>'ПРАЙС_ЛИСТ'!F289</f>
        <v>1200</v>
      </c>
      <c r="G257" s="169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170"/>
      <c r="W257" s="170"/>
      <c r="X257" s="170"/>
    </row>
    <row r="258">
      <c r="A258" s="2"/>
      <c r="B258" s="46" t="s">
        <v>125</v>
      </c>
      <c r="C258" s="11">
        <v>180.0</v>
      </c>
      <c r="D258" s="173"/>
      <c r="E258" s="32" t="s">
        <v>4104</v>
      </c>
      <c r="F258" s="174">
        <f>'ПРАЙС_ЛИСТ'!F290</f>
        <v>2000</v>
      </c>
      <c r="G258" s="169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170"/>
      <c r="W258" s="170"/>
      <c r="X258" s="170"/>
    </row>
    <row r="259">
      <c r="A259" s="2"/>
      <c r="B259" s="46" t="s">
        <v>125</v>
      </c>
      <c r="C259" s="11">
        <v>90.0</v>
      </c>
      <c r="D259" s="173"/>
      <c r="E259" s="32" t="s">
        <v>4105</v>
      </c>
      <c r="F259" s="174">
        <f>'ПРАЙС_ЛИСТ'!F291</f>
        <v>2400</v>
      </c>
      <c r="G259" s="169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170"/>
      <c r="W259" s="170"/>
      <c r="X259" s="170"/>
    </row>
    <row r="260">
      <c r="A260" s="2"/>
      <c r="B260" s="46" t="s">
        <v>125</v>
      </c>
      <c r="C260" s="11">
        <v>90.0</v>
      </c>
      <c r="D260" s="173"/>
      <c r="E260" s="32" t="s">
        <v>4106</v>
      </c>
      <c r="F260" s="174">
        <f>IFERROR(__xludf.DUMMYFUNCTION("MIN(FILTER('ПРАЙС_ЛИСТ'!F292:F294, 'ПРАЙС_ЛИСТ'!F292:F294 &lt;&gt; 'ПРАЙС_ЛИСТ'!H292:H294))"),3000.0)</f>
        <v>3000</v>
      </c>
      <c r="G260" s="169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170"/>
      <c r="W260" s="170"/>
      <c r="X260" s="170"/>
    </row>
    <row r="261">
      <c r="A261" s="2"/>
      <c r="B261" s="46" t="s">
        <v>125</v>
      </c>
      <c r="C261" s="11">
        <v>90.0</v>
      </c>
      <c r="D261" s="173"/>
      <c r="E261" s="32" t="s">
        <v>4107</v>
      </c>
      <c r="F261" s="174">
        <f>IFERROR(__xludf.DUMMYFUNCTION("MAX(FILTER('ПРАЙС_ЛИСТ'!F292:F294, 'ПРАЙС_ЛИСТ'!F292:F294 &lt;&gt; 'ПРАЙС_ЛИСТ'!H292:H294))"),3400.0)</f>
        <v>3400</v>
      </c>
      <c r="G261" s="169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170"/>
      <c r="W261" s="170"/>
      <c r="X261" s="170"/>
    </row>
    <row r="262">
      <c r="A262" s="2"/>
      <c r="B262" s="46" t="s">
        <v>125</v>
      </c>
      <c r="C262" s="11">
        <v>90.0</v>
      </c>
      <c r="D262" s="173"/>
      <c r="E262" s="32" t="s">
        <v>4108</v>
      </c>
      <c r="F262" s="174">
        <f>'ПРАЙС_ЛИСТ'!F295</f>
        <v>2500</v>
      </c>
      <c r="G262" s="169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170"/>
      <c r="W262" s="170"/>
      <c r="X262" s="170"/>
    </row>
    <row r="263">
      <c r="A263" s="2"/>
      <c r="B263" s="46" t="s">
        <v>125</v>
      </c>
      <c r="C263" s="11">
        <v>90.0</v>
      </c>
      <c r="D263" s="173"/>
      <c r="E263" s="32" t="s">
        <v>4109</v>
      </c>
      <c r="F263" s="174">
        <f>'ПРАЙС_ЛИСТ'!F296</f>
        <v>3500</v>
      </c>
      <c r="G263" s="169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170"/>
      <c r="W263" s="170"/>
      <c r="X263" s="170"/>
    </row>
    <row r="264">
      <c r="A264" s="2"/>
      <c r="B264" s="46" t="s">
        <v>125</v>
      </c>
      <c r="C264" s="11">
        <v>90.0</v>
      </c>
      <c r="D264" s="173"/>
      <c r="E264" s="32" t="s">
        <v>4110</v>
      </c>
      <c r="F264" s="174">
        <f>'ПРАЙС_ЛИСТ'!F297</f>
        <v>3500</v>
      </c>
      <c r="G264" s="169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170"/>
      <c r="W264" s="170"/>
      <c r="X264" s="170"/>
    </row>
    <row r="265">
      <c r="A265" s="2"/>
      <c r="B265" s="46" t="s">
        <v>125</v>
      </c>
      <c r="C265" s="11">
        <v>90.0</v>
      </c>
      <c r="D265" s="173"/>
      <c r="E265" s="32" t="s">
        <v>4111</v>
      </c>
      <c r="F265" s="174">
        <f>'ПРАЙС_ЛИСТ'!F298</f>
        <v>1500</v>
      </c>
      <c r="G265" s="169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170"/>
      <c r="W265" s="170"/>
      <c r="X265" s="170"/>
    </row>
    <row r="266">
      <c r="A266" s="2"/>
      <c r="B266" s="46" t="s">
        <v>125</v>
      </c>
      <c r="C266" s="11">
        <v>180.0</v>
      </c>
      <c r="D266" s="173"/>
      <c r="E266" s="32" t="s">
        <v>4112</v>
      </c>
      <c r="F266" s="174">
        <f>'ПРАЙС_ЛИСТ'!F299</f>
        <v>4000</v>
      </c>
      <c r="G266" s="169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170"/>
      <c r="W266" s="170"/>
      <c r="X266" s="170"/>
    </row>
    <row r="267">
      <c r="A267" s="2"/>
      <c r="B267" s="46" t="s">
        <v>125</v>
      </c>
      <c r="C267" s="11">
        <v>180.0</v>
      </c>
      <c r="D267" s="173"/>
      <c r="E267" s="32" t="s">
        <v>4113</v>
      </c>
      <c r="F267" s="185">
        <f>IF('ПРАЙС_ЛИСТ'!F300 = G267, 0, 'ПРАЙС_ЛИСТ'!F300)</f>
        <v>0</v>
      </c>
      <c r="G267" s="186">
        <f>'БД_УСЛУГИ_РО'!P216</f>
        <v>1500</v>
      </c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170"/>
      <c r="W267" s="170"/>
      <c r="X267" s="170"/>
    </row>
    <row r="268">
      <c r="A268" s="2"/>
      <c r="B268" s="46" t="s">
        <v>125</v>
      </c>
      <c r="C268" s="11">
        <v>90.0</v>
      </c>
      <c r="D268" s="173"/>
      <c r="E268" s="32" t="s">
        <v>4114</v>
      </c>
      <c r="F268" s="185">
        <f>IF('ПРАЙС_ЛИСТ'!F301 = G268, 0, 'ПРАЙС_ЛИСТ'!F301)</f>
        <v>0</v>
      </c>
      <c r="G268" s="186">
        <f>'БД_УСЛУГИ_РО'!P217</f>
        <v>2000</v>
      </c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170"/>
      <c r="W268" s="170"/>
      <c r="X268" s="170"/>
    </row>
    <row r="269">
      <c r="A269" s="2"/>
      <c r="B269" s="46" t="s">
        <v>125</v>
      </c>
      <c r="C269" s="11">
        <v>90.0</v>
      </c>
      <c r="D269" s="173"/>
      <c r="E269" s="32" t="s">
        <v>4115</v>
      </c>
      <c r="F269" s="174">
        <f>'ПРАЙС_ЛИСТ'!F302</f>
        <v>1200</v>
      </c>
      <c r="G269" s="169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170"/>
      <c r="W269" s="170"/>
      <c r="X269" s="170"/>
    </row>
    <row r="270">
      <c r="A270" s="2"/>
      <c r="B270" s="46" t="s">
        <v>125</v>
      </c>
      <c r="C270" s="11">
        <v>90.0</v>
      </c>
      <c r="D270" s="173"/>
      <c r="E270" s="32" t="s">
        <v>4116</v>
      </c>
      <c r="F270" s="174">
        <f>'ПРАЙС_ЛИСТ'!F303</f>
        <v>1850</v>
      </c>
      <c r="G270" s="169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170"/>
      <c r="W270" s="170"/>
      <c r="X270" s="170"/>
    </row>
    <row r="271">
      <c r="A271" s="2"/>
      <c r="B271" s="46" t="s">
        <v>125</v>
      </c>
      <c r="C271" s="11">
        <v>90.0</v>
      </c>
      <c r="D271" s="173"/>
      <c r="E271" s="32" t="s">
        <v>4117</v>
      </c>
      <c r="F271" s="174">
        <f>'ПРАЙС_ЛИСТ'!F304</f>
        <v>1800</v>
      </c>
      <c r="G271" s="169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170"/>
      <c r="W271" s="170"/>
      <c r="X271" s="170"/>
    </row>
    <row r="272">
      <c r="A272" s="2"/>
      <c r="B272" s="46" t="s">
        <v>125</v>
      </c>
      <c r="C272" s="11">
        <v>90.0</v>
      </c>
      <c r="D272" s="173"/>
      <c r="E272" s="32" t="s">
        <v>4118</v>
      </c>
      <c r="F272" s="174">
        <f>'ПРАЙС_ЛИСТ'!F305</f>
        <v>3100</v>
      </c>
      <c r="G272" s="169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170"/>
      <c r="W272" s="170"/>
      <c r="X272" s="170"/>
    </row>
    <row r="273">
      <c r="A273" s="2"/>
      <c r="B273" s="46" t="s">
        <v>125</v>
      </c>
      <c r="C273" s="11">
        <v>90.0</v>
      </c>
      <c r="D273" s="173"/>
      <c r="E273" s="32" t="s">
        <v>4119</v>
      </c>
      <c r="F273" s="174">
        <f>'ПРАЙС_ЛИСТ'!F306</f>
        <v>2000</v>
      </c>
      <c r="G273" s="169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170"/>
      <c r="W273" s="170"/>
      <c r="X273" s="170"/>
    </row>
    <row r="274">
      <c r="A274" s="2"/>
      <c r="B274" s="46" t="s">
        <v>125</v>
      </c>
      <c r="C274" s="11">
        <v>90.0</v>
      </c>
      <c r="D274" s="173"/>
      <c r="E274" s="32" t="s">
        <v>4120</v>
      </c>
      <c r="F274" s="174">
        <f>'ПРАЙС_ЛИСТ'!F307</f>
        <v>2500</v>
      </c>
      <c r="G274" s="169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170"/>
      <c r="W274" s="170"/>
      <c r="X274" s="170"/>
    </row>
    <row r="275">
      <c r="A275" s="2"/>
      <c r="B275" s="46" t="s">
        <v>125</v>
      </c>
      <c r="C275" s="11">
        <v>90.0</v>
      </c>
      <c r="D275" s="173"/>
      <c r="E275" s="32" t="s">
        <v>4121</v>
      </c>
      <c r="F275" s="174">
        <f>'ПРАЙС_ЛИСТ'!F308</f>
        <v>2500</v>
      </c>
      <c r="G275" s="169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170"/>
      <c r="W275" s="170"/>
      <c r="X275" s="170"/>
    </row>
    <row r="276">
      <c r="A276" s="2"/>
      <c r="B276" s="48" t="s">
        <v>125</v>
      </c>
      <c r="C276" s="36">
        <v>90.0</v>
      </c>
      <c r="D276" s="178"/>
      <c r="E276" s="49" t="s">
        <v>4122</v>
      </c>
      <c r="F276" s="179">
        <f>'ПРАЙС_ЛИСТ'!F309</f>
        <v>1000</v>
      </c>
      <c r="G276" s="169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170"/>
      <c r="W276" s="170"/>
      <c r="X276" s="170"/>
    </row>
    <row r="277">
      <c r="A277" s="2"/>
      <c r="B277" s="1"/>
      <c r="C277" s="1"/>
      <c r="D277" s="180"/>
      <c r="E277" s="30"/>
      <c r="F277" s="21"/>
      <c r="G277" s="169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170"/>
      <c r="W277" s="170"/>
      <c r="X277" s="170"/>
    </row>
    <row r="278">
      <c r="A278" s="2"/>
      <c r="B278" s="41" t="s">
        <v>132</v>
      </c>
      <c r="C278" s="42">
        <v>0.0</v>
      </c>
      <c r="D278" s="181"/>
      <c r="E278" s="43" t="s">
        <v>4123</v>
      </c>
      <c r="F278" s="182">
        <v>0.0</v>
      </c>
      <c r="G278" s="169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170"/>
      <c r="W278" s="170"/>
      <c r="X278" s="170"/>
    </row>
    <row r="279">
      <c r="A279" s="2"/>
      <c r="B279" s="46" t="s">
        <v>132</v>
      </c>
      <c r="C279" s="11">
        <v>0.0</v>
      </c>
      <c r="D279" s="173"/>
      <c r="E279" s="32" t="s">
        <v>4124</v>
      </c>
      <c r="F279" s="174">
        <f>'ПРАЙС_ЛИСТ'!F313</f>
        <v>400</v>
      </c>
      <c r="G279" s="169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170"/>
      <c r="W279" s="170"/>
      <c r="X279" s="170"/>
    </row>
    <row r="280">
      <c r="A280" s="2"/>
      <c r="B280" s="46" t="s">
        <v>132</v>
      </c>
      <c r="C280" s="11">
        <v>0.0</v>
      </c>
      <c r="D280" s="173"/>
      <c r="E280" s="32" t="s">
        <v>4125</v>
      </c>
      <c r="F280" s="174">
        <f>'ПРАЙС_ЛИСТ'!F314</f>
        <v>1200</v>
      </c>
      <c r="G280" s="169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170"/>
      <c r="W280" s="170"/>
      <c r="X280" s="170"/>
    </row>
    <row r="281">
      <c r="A281" s="2"/>
      <c r="B281" s="46" t="s">
        <v>132</v>
      </c>
      <c r="C281" s="11">
        <v>180.0</v>
      </c>
      <c r="D281" s="173"/>
      <c r="E281" s="32" t="s">
        <v>4126</v>
      </c>
      <c r="F281" s="174">
        <f>'ПРАЙС_ЛИСТ'!F315</f>
        <v>2200</v>
      </c>
      <c r="G281" s="169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170"/>
      <c r="W281" s="170"/>
      <c r="X281" s="170"/>
    </row>
    <row r="282">
      <c r="A282" s="2"/>
      <c r="B282" s="46" t="s">
        <v>132</v>
      </c>
      <c r="C282" s="11">
        <v>90.0</v>
      </c>
      <c r="D282" s="173"/>
      <c r="E282" s="32" t="s">
        <v>4127</v>
      </c>
      <c r="F282" s="174">
        <f>'ПРАЙС_ЛИСТ'!F316</f>
        <v>2550</v>
      </c>
      <c r="G282" s="169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170"/>
      <c r="W282" s="170"/>
      <c r="X282" s="170"/>
    </row>
    <row r="283">
      <c r="A283" s="2"/>
      <c r="B283" s="46" t="s">
        <v>132</v>
      </c>
      <c r="C283" s="11">
        <v>90.0</v>
      </c>
      <c r="D283" s="173"/>
      <c r="E283" s="32" t="s">
        <v>4128</v>
      </c>
      <c r="F283" s="174">
        <f>IFERROR(__xludf.DUMMYFUNCTION("MIN(FILTER('ПРАЙС_ЛИСТ'!F317:F319, 'ПРАЙС_ЛИСТ'!F317:F319 &lt;&gt; 'ПРАЙС_ЛИСТ'!H317:H319))"),4300.0)</f>
        <v>4300</v>
      </c>
      <c r="G283" s="169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170"/>
      <c r="W283" s="170"/>
      <c r="X283" s="170"/>
    </row>
    <row r="284">
      <c r="A284" s="2"/>
      <c r="B284" s="46" t="s">
        <v>132</v>
      </c>
      <c r="C284" s="11">
        <v>90.0</v>
      </c>
      <c r="D284" s="173"/>
      <c r="E284" s="32" t="s">
        <v>4129</v>
      </c>
      <c r="F284" s="174">
        <f>IFERROR(__xludf.DUMMYFUNCTION("MAX(FILTER('ПРАЙС_ЛИСТ'!F317:F319, 'ПРАЙС_ЛИСТ'!F317:F319 &lt;&gt; 'ПРАЙС_ЛИСТ'!H317:H319))"),4850.0)</f>
        <v>4850</v>
      </c>
      <c r="G284" s="169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170"/>
      <c r="W284" s="170"/>
      <c r="X284" s="170"/>
    </row>
    <row r="285">
      <c r="A285" s="2"/>
      <c r="B285" s="46" t="s">
        <v>132</v>
      </c>
      <c r="C285" s="11">
        <v>90.0</v>
      </c>
      <c r="D285" s="173"/>
      <c r="E285" s="32" t="s">
        <v>4130</v>
      </c>
      <c r="F285" s="174">
        <f>'ПРАЙС_ЛИСТ'!F320</f>
        <v>2500</v>
      </c>
      <c r="G285" s="169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170"/>
      <c r="W285" s="170"/>
      <c r="X285" s="170"/>
    </row>
    <row r="286">
      <c r="A286" s="2"/>
      <c r="B286" s="46" t="s">
        <v>132</v>
      </c>
      <c r="C286" s="11">
        <v>90.0</v>
      </c>
      <c r="D286" s="173"/>
      <c r="E286" s="32" t="s">
        <v>4131</v>
      </c>
      <c r="F286" s="174">
        <f>'ПРАЙС_ЛИСТ'!F321</f>
        <v>4500</v>
      </c>
      <c r="G286" s="169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170"/>
      <c r="W286" s="170"/>
      <c r="X286" s="170"/>
    </row>
    <row r="287">
      <c r="A287" s="2"/>
      <c r="B287" s="46" t="s">
        <v>132</v>
      </c>
      <c r="C287" s="11">
        <v>90.0</v>
      </c>
      <c r="D287" s="173"/>
      <c r="E287" s="32" t="s">
        <v>4132</v>
      </c>
      <c r="F287" s="174">
        <f>'ПРАЙС_ЛИСТ'!F322</f>
        <v>4500</v>
      </c>
      <c r="G287" s="169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170"/>
      <c r="W287" s="170"/>
      <c r="X287" s="170"/>
    </row>
    <row r="288">
      <c r="A288" s="2"/>
      <c r="B288" s="46" t="s">
        <v>132</v>
      </c>
      <c r="C288" s="11">
        <v>90.0</v>
      </c>
      <c r="D288" s="173"/>
      <c r="E288" s="32" t="s">
        <v>4133</v>
      </c>
      <c r="F288" s="174">
        <f>'ПРАЙС_ЛИСТ'!F323</f>
        <v>1500</v>
      </c>
      <c r="G288" s="169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170"/>
      <c r="W288" s="170"/>
      <c r="X288" s="170"/>
    </row>
    <row r="289">
      <c r="A289" s="2"/>
      <c r="B289" s="46" t="s">
        <v>132</v>
      </c>
      <c r="C289" s="11">
        <v>180.0</v>
      </c>
      <c r="D289" s="173"/>
      <c r="E289" s="32" t="s">
        <v>4134</v>
      </c>
      <c r="F289" s="174">
        <f>'ПРАЙС_ЛИСТ'!F324</f>
        <v>4500</v>
      </c>
      <c r="G289" s="169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170"/>
      <c r="W289" s="170"/>
      <c r="X289" s="170"/>
    </row>
    <row r="290">
      <c r="A290" s="2"/>
      <c r="B290" s="46" t="s">
        <v>132</v>
      </c>
      <c r="C290" s="11">
        <v>180.0</v>
      </c>
      <c r="D290" s="173"/>
      <c r="E290" s="32" t="s">
        <v>4135</v>
      </c>
      <c r="F290" s="185">
        <f>IF('ПРАЙС_ЛИСТ'!F325 = G290, 0, 'ПРАЙС_ЛИСТ'!F325)</f>
        <v>0</v>
      </c>
      <c r="G290" s="186">
        <f>'БД_УСЛУГИ_РО'!P239</f>
        <v>1500</v>
      </c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170"/>
      <c r="W290" s="170"/>
      <c r="X290" s="170"/>
    </row>
    <row r="291">
      <c r="A291" s="2"/>
      <c r="B291" s="46" t="s">
        <v>132</v>
      </c>
      <c r="C291" s="11">
        <v>90.0</v>
      </c>
      <c r="D291" s="173"/>
      <c r="E291" s="32" t="s">
        <v>4136</v>
      </c>
      <c r="F291" s="185">
        <f>IF('ПРАЙС_ЛИСТ'!F326 = G291, 0, 'ПРАЙС_ЛИСТ'!F326)</f>
        <v>0</v>
      </c>
      <c r="G291" s="186">
        <f>'БД_УСЛУГИ_РО'!P240</f>
        <v>2000</v>
      </c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170"/>
      <c r="W291" s="170"/>
      <c r="X291" s="170"/>
    </row>
    <row r="292">
      <c r="A292" s="2"/>
      <c r="B292" s="46" t="s">
        <v>132</v>
      </c>
      <c r="C292" s="11">
        <v>90.0</v>
      </c>
      <c r="D292" s="173"/>
      <c r="E292" s="32" t="s">
        <v>4137</v>
      </c>
      <c r="F292" s="174">
        <f>'ПРАЙС_ЛИСТ'!F327</f>
        <v>1200</v>
      </c>
      <c r="G292" s="169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170"/>
      <c r="W292" s="170"/>
      <c r="X292" s="170"/>
    </row>
    <row r="293">
      <c r="A293" s="2"/>
      <c r="B293" s="46" t="s">
        <v>132</v>
      </c>
      <c r="C293" s="11">
        <v>90.0</v>
      </c>
      <c r="D293" s="173"/>
      <c r="E293" s="32" t="s">
        <v>4138</v>
      </c>
      <c r="F293" s="174">
        <f>'ПРАЙС_ЛИСТ'!F328</f>
        <v>2000</v>
      </c>
      <c r="G293" s="169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170"/>
      <c r="W293" s="170"/>
      <c r="X293" s="170"/>
    </row>
    <row r="294">
      <c r="A294" s="2"/>
      <c r="B294" s="46" t="s">
        <v>132</v>
      </c>
      <c r="C294" s="11">
        <v>90.0</v>
      </c>
      <c r="D294" s="173"/>
      <c r="E294" s="32" t="s">
        <v>4139</v>
      </c>
      <c r="F294" s="174">
        <f>'ПРАЙС_ЛИСТ'!F329</f>
        <v>2000</v>
      </c>
      <c r="G294" s="169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170"/>
      <c r="W294" s="170"/>
      <c r="X294" s="170"/>
    </row>
    <row r="295">
      <c r="A295" s="2"/>
      <c r="B295" s="46" t="s">
        <v>132</v>
      </c>
      <c r="C295" s="11">
        <v>90.0</v>
      </c>
      <c r="D295" s="173"/>
      <c r="E295" s="32" t="s">
        <v>4140</v>
      </c>
      <c r="F295" s="174">
        <f>'ПРАЙС_ЛИСТ'!F330</f>
        <v>3250</v>
      </c>
      <c r="G295" s="169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170"/>
      <c r="W295" s="170"/>
      <c r="X295" s="170"/>
    </row>
    <row r="296">
      <c r="A296" s="2"/>
      <c r="B296" s="46" t="s">
        <v>132</v>
      </c>
      <c r="C296" s="11">
        <v>90.0</v>
      </c>
      <c r="D296" s="173"/>
      <c r="E296" s="32" t="s">
        <v>4141</v>
      </c>
      <c r="F296" s="174">
        <f>'ПРАЙС_ЛИСТ'!F331</f>
        <v>2000</v>
      </c>
      <c r="G296" s="169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170"/>
      <c r="W296" s="170"/>
      <c r="X296" s="170"/>
    </row>
    <row r="297">
      <c r="A297" s="2"/>
      <c r="B297" s="46" t="s">
        <v>132</v>
      </c>
      <c r="C297" s="11">
        <v>90.0</v>
      </c>
      <c r="D297" s="173"/>
      <c r="E297" s="32" t="s">
        <v>4142</v>
      </c>
      <c r="F297" s="174">
        <f>'ПРАЙС_ЛИСТ'!F332</f>
        <v>2500</v>
      </c>
      <c r="G297" s="169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170"/>
      <c r="W297" s="170"/>
      <c r="X297" s="170"/>
    </row>
    <row r="298">
      <c r="A298" s="2"/>
      <c r="B298" s="46" t="s">
        <v>132</v>
      </c>
      <c r="C298" s="11">
        <v>90.0</v>
      </c>
      <c r="D298" s="173"/>
      <c r="E298" s="32" t="s">
        <v>4143</v>
      </c>
      <c r="F298" s="174">
        <f>'ПРАЙС_ЛИСТ'!F333</f>
        <v>2500</v>
      </c>
      <c r="G298" s="169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170"/>
      <c r="W298" s="170"/>
      <c r="X298" s="170"/>
    </row>
    <row r="299">
      <c r="A299" s="2"/>
      <c r="B299" s="48" t="s">
        <v>132</v>
      </c>
      <c r="C299" s="36">
        <v>90.0</v>
      </c>
      <c r="D299" s="178"/>
      <c r="E299" s="49" t="s">
        <v>4144</v>
      </c>
      <c r="F299" s="179">
        <f>'ПРАЙС_ЛИСТ'!F334</f>
        <v>1000</v>
      </c>
      <c r="G299" s="169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170"/>
      <c r="W299" s="170"/>
      <c r="X299" s="170"/>
    </row>
    <row r="300">
      <c r="A300" s="2"/>
      <c r="B300" s="1"/>
      <c r="C300" s="1"/>
      <c r="D300" s="180"/>
      <c r="E300" s="30"/>
      <c r="F300" s="21"/>
      <c r="G300" s="169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170"/>
      <c r="W300" s="170"/>
      <c r="X300" s="170"/>
    </row>
    <row r="301">
      <c r="A301" s="2"/>
      <c r="B301" s="41" t="s">
        <v>139</v>
      </c>
      <c r="C301" s="42">
        <v>0.0</v>
      </c>
      <c r="D301" s="181"/>
      <c r="E301" s="43" t="s">
        <v>4145</v>
      </c>
      <c r="F301" s="182">
        <v>0.0</v>
      </c>
      <c r="G301" s="169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170"/>
      <c r="W301" s="170"/>
      <c r="X301" s="170"/>
    </row>
    <row r="302">
      <c r="A302" s="2"/>
      <c r="B302" s="46" t="s">
        <v>139</v>
      </c>
      <c r="C302" s="11">
        <v>0.0</v>
      </c>
      <c r="D302" s="173"/>
      <c r="E302" s="32" t="s">
        <v>4146</v>
      </c>
      <c r="F302" s="174">
        <f>'ПРАЙС_ЛИСТ'!F338</f>
        <v>400</v>
      </c>
      <c r="G302" s="169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170"/>
      <c r="W302" s="170"/>
      <c r="X302" s="170"/>
    </row>
    <row r="303">
      <c r="A303" s="2"/>
      <c r="B303" s="46" t="s">
        <v>139</v>
      </c>
      <c r="C303" s="11">
        <v>0.0</v>
      </c>
      <c r="D303" s="173"/>
      <c r="E303" s="32" t="s">
        <v>4147</v>
      </c>
      <c r="F303" s="174">
        <f>'ПРАЙС_ЛИСТ'!F339</f>
        <v>1200</v>
      </c>
      <c r="G303" s="169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170"/>
      <c r="W303" s="170"/>
      <c r="X303" s="170"/>
    </row>
    <row r="304">
      <c r="A304" s="2"/>
      <c r="B304" s="46" t="s">
        <v>139</v>
      </c>
      <c r="C304" s="11">
        <v>180.0</v>
      </c>
      <c r="D304" s="173"/>
      <c r="E304" s="32" t="s">
        <v>4148</v>
      </c>
      <c r="F304" s="174">
        <f>'ПРАЙС_ЛИСТ'!F340</f>
        <v>2400</v>
      </c>
      <c r="G304" s="169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170"/>
      <c r="W304" s="170"/>
      <c r="X304" s="170"/>
    </row>
    <row r="305">
      <c r="A305" s="2"/>
      <c r="B305" s="46" t="s">
        <v>139</v>
      </c>
      <c r="C305" s="11">
        <v>180.0</v>
      </c>
      <c r="D305" s="173"/>
      <c r="E305" s="32" t="s">
        <v>4149</v>
      </c>
      <c r="F305" s="174">
        <f>'ПРАЙС_ЛИСТ'!F341</f>
        <v>3900</v>
      </c>
      <c r="G305" s="169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170"/>
      <c r="W305" s="170"/>
      <c r="X305" s="170"/>
    </row>
    <row r="306">
      <c r="A306" s="2"/>
      <c r="B306" s="46" t="s">
        <v>139</v>
      </c>
      <c r="C306" s="11">
        <v>90.0</v>
      </c>
      <c r="D306" s="173"/>
      <c r="E306" s="32" t="s">
        <v>4150</v>
      </c>
      <c r="F306" s="174">
        <f>'ПРАЙС_ЛИСТ'!F342</f>
        <v>2800</v>
      </c>
      <c r="G306" s="169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170"/>
      <c r="W306" s="170"/>
      <c r="X306" s="170"/>
    </row>
    <row r="307">
      <c r="A307" s="2"/>
      <c r="B307" s="46" t="s">
        <v>139</v>
      </c>
      <c r="C307" s="11">
        <v>90.0</v>
      </c>
      <c r="D307" s="173"/>
      <c r="E307" s="32" t="s">
        <v>4151</v>
      </c>
      <c r="F307" s="174">
        <f>IFERROR(__xludf.DUMMYFUNCTION("MIN(FILTER('ПРАЙС_ЛИСТ'!F343:F345, 'ПРАЙС_ЛИСТ'!F343:F345 &lt;&gt; 'ПРАЙС_ЛИСТ'!H343:H345))"),3000.0)</f>
        <v>3000</v>
      </c>
      <c r="G307" s="169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170"/>
      <c r="W307" s="170"/>
      <c r="X307" s="170"/>
    </row>
    <row r="308">
      <c r="A308" s="2"/>
      <c r="B308" s="46" t="s">
        <v>139</v>
      </c>
      <c r="C308" s="11">
        <v>90.0</v>
      </c>
      <c r="D308" s="173"/>
      <c r="E308" s="32" t="s">
        <v>4152</v>
      </c>
      <c r="F308" s="174">
        <f>IFERROR(__xludf.DUMMYFUNCTION("MAX(FILTER('ПРАЙС_ЛИСТ'!F343:F345, 'ПРАЙС_ЛИСТ'!F343:F345 &lt;&gt; 'ПРАЙС_ЛИСТ'!H343:H345))"),3400.0)</f>
        <v>3400</v>
      </c>
      <c r="G308" s="169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170"/>
      <c r="W308" s="170"/>
      <c r="X308" s="170"/>
    </row>
    <row r="309">
      <c r="A309" s="2"/>
      <c r="B309" s="46" t="s">
        <v>139</v>
      </c>
      <c r="C309" s="11">
        <v>90.0</v>
      </c>
      <c r="D309" s="173"/>
      <c r="E309" s="32" t="s">
        <v>4153</v>
      </c>
      <c r="F309" s="174">
        <f>'ПРАЙС_ЛИСТ'!F346</f>
        <v>3500</v>
      </c>
      <c r="G309" s="169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170"/>
      <c r="W309" s="170"/>
      <c r="X309" s="170"/>
    </row>
    <row r="310">
      <c r="A310" s="2"/>
      <c r="B310" s="46" t="s">
        <v>139</v>
      </c>
      <c r="C310" s="11">
        <v>90.0</v>
      </c>
      <c r="D310" s="173"/>
      <c r="E310" s="32" t="s">
        <v>4154</v>
      </c>
      <c r="F310" s="174">
        <f>'ПРАЙС_ЛИСТ'!F347</f>
        <v>6000</v>
      </c>
      <c r="G310" s="169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170"/>
      <c r="W310" s="170"/>
      <c r="X310" s="170"/>
    </row>
    <row r="311">
      <c r="A311" s="2"/>
      <c r="B311" s="46" t="s">
        <v>139</v>
      </c>
      <c r="C311" s="11">
        <v>90.0</v>
      </c>
      <c r="D311" s="173"/>
      <c r="E311" s="32" t="s">
        <v>4155</v>
      </c>
      <c r="F311" s="174">
        <f>'ПРАЙС_ЛИСТ'!F348</f>
        <v>3550</v>
      </c>
      <c r="G311" s="169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170"/>
      <c r="W311" s="170"/>
      <c r="X311" s="170"/>
    </row>
    <row r="312">
      <c r="A312" s="2"/>
      <c r="B312" s="46" t="s">
        <v>139</v>
      </c>
      <c r="C312" s="11">
        <v>90.0</v>
      </c>
      <c r="D312" s="173"/>
      <c r="E312" s="32" t="s">
        <v>4156</v>
      </c>
      <c r="F312" s="174">
        <f>'ПРАЙС_ЛИСТ'!F349</f>
        <v>1500</v>
      </c>
      <c r="G312" s="169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170"/>
      <c r="W312" s="170"/>
      <c r="X312" s="170"/>
    </row>
    <row r="313">
      <c r="A313" s="2"/>
      <c r="B313" s="46" t="s">
        <v>139</v>
      </c>
      <c r="C313" s="11">
        <v>180.0</v>
      </c>
      <c r="D313" s="173"/>
      <c r="E313" s="32" t="s">
        <v>4157</v>
      </c>
      <c r="F313" s="174">
        <f>'ПРАЙС_ЛИСТ'!F350</f>
        <v>5000</v>
      </c>
      <c r="G313" s="169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170"/>
      <c r="W313" s="170"/>
      <c r="X313" s="170"/>
    </row>
    <row r="314">
      <c r="A314" s="2"/>
      <c r="B314" s="46" t="s">
        <v>139</v>
      </c>
      <c r="C314" s="11">
        <v>180.0</v>
      </c>
      <c r="D314" s="173"/>
      <c r="E314" s="32" t="s">
        <v>4158</v>
      </c>
      <c r="F314" s="185">
        <f>IF('ПРАЙС_ЛИСТ'!F351 = G314, 0, 'ПРАЙС_ЛИСТ'!F351)</f>
        <v>0</v>
      </c>
      <c r="G314" s="186">
        <f>'БД_УСЛУГИ_РО'!P263</f>
        <v>1500</v>
      </c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170"/>
      <c r="W314" s="170"/>
      <c r="X314" s="170"/>
    </row>
    <row r="315">
      <c r="A315" s="2"/>
      <c r="B315" s="46" t="s">
        <v>139</v>
      </c>
      <c r="C315" s="11">
        <v>90.0</v>
      </c>
      <c r="D315" s="173"/>
      <c r="E315" s="32" t="s">
        <v>4159</v>
      </c>
      <c r="F315" s="185">
        <f>IF('ПРАЙС_ЛИСТ'!F352 = G315, 0, 'ПРАЙС_ЛИСТ'!F352)</f>
        <v>0</v>
      </c>
      <c r="G315" s="186">
        <f>'БД_УСЛУГИ_РО'!P264</f>
        <v>2000</v>
      </c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170"/>
      <c r="W315" s="170"/>
      <c r="X315" s="170"/>
    </row>
    <row r="316">
      <c r="A316" s="2"/>
      <c r="B316" s="46" t="s">
        <v>139</v>
      </c>
      <c r="C316" s="11">
        <v>90.0</v>
      </c>
      <c r="D316" s="173"/>
      <c r="E316" s="32" t="s">
        <v>4160</v>
      </c>
      <c r="F316" s="174">
        <f>'ПРАЙС_ЛИСТ'!F353</f>
        <v>1200</v>
      </c>
      <c r="G316" s="169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170"/>
      <c r="W316" s="170"/>
      <c r="X316" s="170"/>
    </row>
    <row r="317">
      <c r="A317" s="2"/>
      <c r="B317" s="46" t="s">
        <v>139</v>
      </c>
      <c r="C317" s="11">
        <v>90.0</v>
      </c>
      <c r="D317" s="173"/>
      <c r="E317" s="32" t="s">
        <v>4161</v>
      </c>
      <c r="F317" s="174">
        <f>'ПРАЙС_ЛИСТ'!F354</f>
        <v>1850</v>
      </c>
      <c r="G317" s="169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170"/>
      <c r="W317" s="170"/>
      <c r="X317" s="170"/>
    </row>
    <row r="318">
      <c r="A318" s="2"/>
      <c r="B318" s="46" t="s">
        <v>139</v>
      </c>
      <c r="C318" s="11">
        <v>90.0</v>
      </c>
      <c r="D318" s="173"/>
      <c r="E318" s="32" t="s">
        <v>4162</v>
      </c>
      <c r="F318" s="174">
        <f>'ПРАЙС_ЛИСТ'!F355</f>
        <v>1800</v>
      </c>
      <c r="G318" s="169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170"/>
      <c r="W318" s="170"/>
      <c r="X318" s="170"/>
    </row>
    <row r="319">
      <c r="A319" s="2"/>
      <c r="B319" s="46" t="s">
        <v>139</v>
      </c>
      <c r="C319" s="11">
        <v>90.0</v>
      </c>
      <c r="D319" s="173"/>
      <c r="E319" s="32" t="s">
        <v>4163</v>
      </c>
      <c r="F319" s="174">
        <f>'ПРАЙС_ЛИСТ'!F356</f>
        <v>3500</v>
      </c>
      <c r="G319" s="169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170"/>
      <c r="W319" s="170"/>
      <c r="X319" s="170"/>
    </row>
    <row r="320">
      <c r="A320" s="2"/>
      <c r="B320" s="46" t="s">
        <v>139</v>
      </c>
      <c r="C320" s="11">
        <v>90.0</v>
      </c>
      <c r="D320" s="173"/>
      <c r="E320" s="32" t="s">
        <v>4164</v>
      </c>
      <c r="F320" s="174">
        <f>'ПРАЙС_ЛИСТ'!F357</f>
        <v>2000</v>
      </c>
      <c r="G320" s="169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170"/>
      <c r="W320" s="170"/>
      <c r="X320" s="170"/>
    </row>
    <row r="321">
      <c r="A321" s="2"/>
      <c r="B321" s="46" t="s">
        <v>139</v>
      </c>
      <c r="C321" s="11">
        <v>90.0</v>
      </c>
      <c r="D321" s="173"/>
      <c r="E321" s="32" t="s">
        <v>4165</v>
      </c>
      <c r="F321" s="174">
        <f>'ПРАЙС_ЛИСТ'!F358</f>
        <v>2500</v>
      </c>
      <c r="G321" s="169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170"/>
      <c r="W321" s="170"/>
      <c r="X321" s="170"/>
    </row>
    <row r="322">
      <c r="A322" s="2"/>
      <c r="B322" s="46" t="s">
        <v>139</v>
      </c>
      <c r="C322" s="11">
        <v>90.0</v>
      </c>
      <c r="D322" s="173"/>
      <c r="E322" s="32" t="s">
        <v>4166</v>
      </c>
      <c r="F322" s="174">
        <f>'ПРАЙС_ЛИСТ'!F359</f>
        <v>2500</v>
      </c>
      <c r="G322" s="169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170"/>
      <c r="W322" s="170"/>
      <c r="X322" s="170"/>
    </row>
    <row r="323">
      <c r="A323" s="2"/>
      <c r="B323" s="48" t="s">
        <v>139</v>
      </c>
      <c r="C323" s="36">
        <v>90.0</v>
      </c>
      <c r="D323" s="178"/>
      <c r="E323" s="49" t="s">
        <v>4167</v>
      </c>
      <c r="F323" s="179">
        <f>'ПРАЙС_ЛИСТ'!F360</f>
        <v>1000</v>
      </c>
      <c r="G323" s="169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170"/>
      <c r="W323" s="170"/>
      <c r="X323" s="170"/>
    </row>
    <row r="324">
      <c r="A324" s="2"/>
      <c r="B324" s="1"/>
      <c r="C324" s="1"/>
      <c r="D324" s="180"/>
      <c r="E324" s="30"/>
      <c r="F324" s="21"/>
      <c r="G324" s="169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170"/>
      <c r="W324" s="170"/>
      <c r="X324" s="170"/>
    </row>
    <row r="325">
      <c r="A325" s="2"/>
      <c r="B325" s="41" t="s">
        <v>146</v>
      </c>
      <c r="C325" s="42">
        <v>0.0</v>
      </c>
      <c r="D325" s="181"/>
      <c r="E325" s="43" t="s">
        <v>4168</v>
      </c>
      <c r="F325" s="182">
        <v>0.0</v>
      </c>
      <c r="G325" s="169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170"/>
      <c r="W325" s="170"/>
      <c r="X325" s="170"/>
    </row>
    <row r="326">
      <c r="A326" s="2"/>
      <c r="B326" s="46" t="s">
        <v>146</v>
      </c>
      <c r="C326" s="11">
        <v>0.0</v>
      </c>
      <c r="D326" s="173"/>
      <c r="E326" s="32" t="s">
        <v>4169</v>
      </c>
      <c r="F326" s="174">
        <f>'ПРАЙС_ЛИСТ'!F364</f>
        <v>400</v>
      </c>
      <c r="G326" s="169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170"/>
      <c r="W326" s="170"/>
      <c r="X326" s="170"/>
    </row>
    <row r="327">
      <c r="A327" s="2"/>
      <c r="B327" s="46" t="s">
        <v>146</v>
      </c>
      <c r="C327" s="11">
        <v>0.0</v>
      </c>
      <c r="D327" s="173"/>
      <c r="E327" s="32" t="s">
        <v>4170</v>
      </c>
      <c r="F327" s="174">
        <f>'ПРАЙС_ЛИСТ'!F365</f>
        <v>1200</v>
      </c>
      <c r="G327" s="169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170"/>
      <c r="W327" s="170"/>
      <c r="X327" s="170"/>
    </row>
    <row r="328">
      <c r="A328" s="2"/>
      <c r="B328" s="46" t="s">
        <v>146</v>
      </c>
      <c r="C328" s="11">
        <v>180.0</v>
      </c>
      <c r="D328" s="173"/>
      <c r="E328" s="32" t="s">
        <v>4171</v>
      </c>
      <c r="F328" s="174">
        <f>'ПРАЙС_ЛИСТ'!F366</f>
        <v>3100</v>
      </c>
      <c r="G328" s="169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170"/>
      <c r="W328" s="170"/>
      <c r="X328" s="170"/>
    </row>
    <row r="329">
      <c r="A329" s="2"/>
      <c r="B329" s="46" t="s">
        <v>146</v>
      </c>
      <c r="C329" s="11">
        <v>180.0</v>
      </c>
      <c r="D329" s="173"/>
      <c r="E329" s="32" t="s">
        <v>4172</v>
      </c>
      <c r="F329" s="174">
        <f>'ПРАЙС_ЛИСТ'!F367</f>
        <v>4600</v>
      </c>
      <c r="G329" s="169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170"/>
      <c r="W329" s="170"/>
      <c r="X329" s="170"/>
    </row>
    <row r="330">
      <c r="A330" s="2"/>
      <c r="B330" s="46" t="s">
        <v>146</v>
      </c>
      <c r="C330" s="11">
        <v>90.0</v>
      </c>
      <c r="D330" s="173"/>
      <c r="E330" s="32" t="s">
        <v>4173</v>
      </c>
      <c r="F330" s="174">
        <f>'ПРАЙС_ЛИСТ'!F368</f>
        <v>1200</v>
      </c>
      <c r="G330" s="169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170"/>
      <c r="W330" s="170"/>
      <c r="X330" s="170"/>
    </row>
    <row r="331">
      <c r="A331" s="2"/>
      <c r="B331" s="46" t="s">
        <v>146</v>
      </c>
      <c r="C331" s="11">
        <v>90.0</v>
      </c>
      <c r="D331" s="173"/>
      <c r="E331" s="32" t="s">
        <v>4174</v>
      </c>
      <c r="F331" s="174">
        <f>IFERROR(__xludf.DUMMYFUNCTION("MIN(FILTER('ПРАЙС_ЛИСТ'!F369:F371, 'ПРАЙС_ЛИСТ'!F369:F371 &lt;&gt; 'ПРАЙС_ЛИСТ'!H369:H371))"),3000.0)</f>
        <v>3000</v>
      </c>
      <c r="G331" s="169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170"/>
      <c r="W331" s="170"/>
      <c r="X331" s="170"/>
    </row>
    <row r="332">
      <c r="A332" s="2"/>
      <c r="B332" s="46" t="s">
        <v>146</v>
      </c>
      <c r="C332" s="11">
        <v>90.0</v>
      </c>
      <c r="D332" s="173"/>
      <c r="E332" s="32" t="s">
        <v>4175</v>
      </c>
      <c r="F332" s="174">
        <f>IFERROR(__xludf.DUMMYFUNCTION("MAX(FILTER('ПРАЙС_ЛИСТ'!F369:F371, 'ПРАЙС_ЛИСТ'!F369:F371 &lt;&gt; 'ПРАЙС_ЛИСТ'!H369:H371))"),3400.0)</f>
        <v>3400</v>
      </c>
      <c r="G332" s="169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170"/>
      <c r="W332" s="170"/>
      <c r="X332" s="170"/>
    </row>
    <row r="333">
      <c r="A333" s="2"/>
      <c r="B333" s="46" t="s">
        <v>146</v>
      </c>
      <c r="C333" s="11">
        <v>90.0</v>
      </c>
      <c r="D333" s="173"/>
      <c r="E333" s="32" t="s">
        <v>4176</v>
      </c>
      <c r="F333" s="174">
        <f>'ПРАЙС_ЛИСТ'!F372</f>
        <v>3500</v>
      </c>
      <c r="G333" s="169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170"/>
      <c r="W333" s="170"/>
      <c r="X333" s="170"/>
    </row>
    <row r="334">
      <c r="A334" s="2"/>
      <c r="B334" s="46" t="s">
        <v>146</v>
      </c>
      <c r="C334" s="11">
        <v>90.0</v>
      </c>
      <c r="D334" s="173"/>
      <c r="E334" s="32" t="s">
        <v>4177</v>
      </c>
      <c r="F334" s="174">
        <f>'ПРАЙС_ЛИСТ'!F373</f>
        <v>6000</v>
      </c>
      <c r="G334" s="169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170"/>
      <c r="W334" s="170"/>
      <c r="X334" s="170"/>
    </row>
    <row r="335">
      <c r="A335" s="2"/>
      <c r="B335" s="46" t="s">
        <v>146</v>
      </c>
      <c r="C335" s="11">
        <v>90.0</v>
      </c>
      <c r="D335" s="173"/>
      <c r="E335" s="32" t="s">
        <v>4178</v>
      </c>
      <c r="F335" s="174">
        <f>'ПРАЙС_ЛИСТ'!F374</f>
        <v>3550</v>
      </c>
      <c r="G335" s="169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170"/>
      <c r="W335" s="170"/>
      <c r="X335" s="170"/>
    </row>
    <row r="336">
      <c r="A336" s="2"/>
      <c r="B336" s="46" t="s">
        <v>146</v>
      </c>
      <c r="C336" s="11">
        <v>90.0</v>
      </c>
      <c r="D336" s="173"/>
      <c r="E336" s="32" t="s">
        <v>4179</v>
      </c>
      <c r="F336" s="174">
        <f>'ПРАЙС_ЛИСТ'!F375</f>
        <v>1500</v>
      </c>
      <c r="G336" s="169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170"/>
      <c r="W336" s="170"/>
      <c r="X336" s="170"/>
    </row>
    <row r="337">
      <c r="A337" s="2"/>
      <c r="B337" s="46" t="s">
        <v>146</v>
      </c>
      <c r="C337" s="11">
        <v>180.0</v>
      </c>
      <c r="D337" s="173"/>
      <c r="E337" s="32" t="s">
        <v>4180</v>
      </c>
      <c r="F337" s="188">
        <f>IF('ПРАЙС_ЛИСТ'!F376 = G337, 0, 'ПРАЙС_ЛИСТ'!F376)</f>
        <v>5000</v>
      </c>
      <c r="G337" s="186">
        <f>'БД_УСЛУГИ_РО'!P286</f>
        <v>3600</v>
      </c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170"/>
      <c r="W337" s="170"/>
      <c r="X337" s="170"/>
    </row>
    <row r="338">
      <c r="A338" s="2"/>
      <c r="B338" s="46" t="s">
        <v>146</v>
      </c>
      <c r="C338" s="11">
        <v>180.0</v>
      </c>
      <c r="D338" s="173"/>
      <c r="E338" s="32" t="s">
        <v>4181</v>
      </c>
      <c r="F338" s="185">
        <f>IF('ПРАЙС_ЛИСТ'!F377 = G338, 0, 'ПРАЙС_ЛИСТ'!F377)</f>
        <v>0</v>
      </c>
      <c r="G338" s="186">
        <f>'БД_УСЛУГИ_РО'!P287</f>
        <v>1500</v>
      </c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170"/>
      <c r="W338" s="170"/>
      <c r="X338" s="170"/>
    </row>
    <row r="339">
      <c r="A339" s="2"/>
      <c r="B339" s="46" t="s">
        <v>146</v>
      </c>
      <c r="C339" s="11">
        <v>90.0</v>
      </c>
      <c r="D339" s="173"/>
      <c r="E339" s="32" t="s">
        <v>4182</v>
      </c>
      <c r="F339" s="185">
        <f>IF('ПРАЙС_ЛИСТ'!F378 = G339, 0, 'ПРАЙС_ЛИСТ'!F378)</f>
        <v>0</v>
      </c>
      <c r="G339" s="186">
        <f>'БД_УСЛУГИ_РО'!P288</f>
        <v>2000</v>
      </c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170"/>
      <c r="W339" s="170"/>
      <c r="X339" s="170"/>
    </row>
    <row r="340">
      <c r="A340" s="2"/>
      <c r="B340" s="46" t="s">
        <v>146</v>
      </c>
      <c r="C340" s="11">
        <v>90.0</v>
      </c>
      <c r="D340" s="173"/>
      <c r="E340" s="32" t="s">
        <v>4183</v>
      </c>
      <c r="F340" s="174">
        <f>'ПРАЙС_ЛИСТ'!F379</f>
        <v>1200</v>
      </c>
      <c r="G340" s="169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170"/>
      <c r="W340" s="170"/>
      <c r="X340" s="170"/>
    </row>
    <row r="341">
      <c r="A341" s="2"/>
      <c r="B341" s="46" t="s">
        <v>146</v>
      </c>
      <c r="C341" s="11">
        <v>90.0</v>
      </c>
      <c r="D341" s="173"/>
      <c r="E341" s="32" t="s">
        <v>4184</v>
      </c>
      <c r="F341" s="174">
        <f>'ПРАЙС_ЛИСТ'!F380</f>
        <v>1850</v>
      </c>
      <c r="G341" s="169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170"/>
      <c r="W341" s="170"/>
      <c r="X341" s="170"/>
    </row>
    <row r="342">
      <c r="A342" s="2"/>
      <c r="B342" s="46" t="s">
        <v>146</v>
      </c>
      <c r="C342" s="11">
        <v>90.0</v>
      </c>
      <c r="D342" s="173"/>
      <c r="E342" s="32" t="s">
        <v>4185</v>
      </c>
      <c r="F342" s="174">
        <f>'ПРАЙС_ЛИСТ'!F381</f>
        <v>1800</v>
      </c>
      <c r="G342" s="169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170"/>
      <c r="W342" s="170"/>
      <c r="X342" s="170"/>
    </row>
    <row r="343">
      <c r="A343" s="2"/>
      <c r="B343" s="46" t="s">
        <v>146</v>
      </c>
      <c r="C343" s="11">
        <v>90.0</v>
      </c>
      <c r="D343" s="173"/>
      <c r="E343" s="32" t="s">
        <v>4186</v>
      </c>
      <c r="F343" s="174">
        <f>'ПРАЙС_ЛИСТ'!F382</f>
        <v>1900</v>
      </c>
      <c r="G343" s="169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170"/>
      <c r="W343" s="170"/>
      <c r="X343" s="170"/>
    </row>
    <row r="344">
      <c r="A344" s="2"/>
      <c r="B344" s="46" t="s">
        <v>146</v>
      </c>
      <c r="C344" s="11">
        <v>90.0</v>
      </c>
      <c r="D344" s="173"/>
      <c r="E344" s="32" t="s">
        <v>4187</v>
      </c>
      <c r="F344" s="174">
        <f>'ПРАЙС_ЛИСТ'!F383</f>
        <v>2000</v>
      </c>
      <c r="G344" s="169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170"/>
      <c r="W344" s="170"/>
      <c r="X344" s="170"/>
    </row>
    <row r="345">
      <c r="A345" s="2"/>
      <c r="B345" s="46" t="s">
        <v>146</v>
      </c>
      <c r="C345" s="11">
        <v>90.0</v>
      </c>
      <c r="D345" s="173"/>
      <c r="E345" s="32" t="s">
        <v>4188</v>
      </c>
      <c r="F345" s="174">
        <f>'ПРАЙС_ЛИСТ'!F384</f>
        <v>2500</v>
      </c>
      <c r="G345" s="169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170"/>
      <c r="W345" s="170"/>
      <c r="X345" s="170"/>
    </row>
    <row r="346">
      <c r="A346" s="2"/>
      <c r="B346" s="46" t="s">
        <v>146</v>
      </c>
      <c r="C346" s="11">
        <v>90.0</v>
      </c>
      <c r="D346" s="173"/>
      <c r="E346" s="32" t="s">
        <v>4189</v>
      </c>
      <c r="F346" s="174">
        <f>'ПРАЙС_ЛИСТ'!F385</f>
        <v>2500</v>
      </c>
      <c r="G346" s="169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170"/>
      <c r="W346" s="170"/>
      <c r="X346" s="170"/>
    </row>
    <row r="347">
      <c r="A347" s="2"/>
      <c r="B347" s="48" t="s">
        <v>146</v>
      </c>
      <c r="C347" s="36">
        <v>90.0</v>
      </c>
      <c r="D347" s="178"/>
      <c r="E347" s="49" t="s">
        <v>4190</v>
      </c>
      <c r="F347" s="179">
        <f>'ПРАЙС_ЛИСТ'!F386</f>
        <v>1000</v>
      </c>
      <c r="G347" s="169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170"/>
      <c r="W347" s="170"/>
      <c r="X347" s="170"/>
    </row>
    <row r="348">
      <c r="A348" s="2"/>
      <c r="B348" s="1"/>
      <c r="C348" s="1"/>
      <c r="D348" s="180"/>
      <c r="E348" s="30"/>
      <c r="F348" s="21"/>
      <c r="G348" s="169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170"/>
      <c r="W348" s="170"/>
      <c r="X348" s="170"/>
    </row>
    <row r="349">
      <c r="A349" s="2"/>
      <c r="B349" s="41" t="s">
        <v>153</v>
      </c>
      <c r="C349" s="42">
        <v>0.0</v>
      </c>
      <c r="D349" s="181"/>
      <c r="E349" s="43" t="s">
        <v>4191</v>
      </c>
      <c r="F349" s="182">
        <v>0.0</v>
      </c>
      <c r="G349" s="169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170"/>
      <c r="W349" s="170"/>
      <c r="X349" s="170"/>
    </row>
    <row r="350">
      <c r="A350" s="2"/>
      <c r="B350" s="46" t="s">
        <v>153</v>
      </c>
      <c r="C350" s="11">
        <v>0.0</v>
      </c>
      <c r="D350" s="173"/>
      <c r="E350" s="32" t="s">
        <v>4192</v>
      </c>
      <c r="F350" s="174">
        <f>'ПРАЙС_ЛИСТ'!F390</f>
        <v>400</v>
      </c>
      <c r="G350" s="169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170"/>
      <c r="W350" s="170"/>
      <c r="X350" s="170"/>
    </row>
    <row r="351">
      <c r="A351" s="2"/>
      <c r="B351" s="46" t="s">
        <v>153</v>
      </c>
      <c r="C351" s="11">
        <v>0.0</v>
      </c>
      <c r="D351" s="173"/>
      <c r="E351" s="32" t="s">
        <v>4193</v>
      </c>
      <c r="F351" s="174">
        <f>'ПРАЙС_ЛИСТ'!F391</f>
        <v>1700</v>
      </c>
      <c r="G351" s="169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170"/>
      <c r="W351" s="170"/>
      <c r="X351" s="170"/>
    </row>
    <row r="352">
      <c r="A352" s="2"/>
      <c r="B352" s="46" t="s">
        <v>153</v>
      </c>
      <c r="C352" s="11">
        <v>180.0</v>
      </c>
      <c r="D352" s="173"/>
      <c r="E352" s="32" t="s">
        <v>4194</v>
      </c>
      <c r="F352" s="174">
        <f>'ПРАЙС_ЛИСТ'!F392</f>
        <v>3000</v>
      </c>
      <c r="G352" s="169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170"/>
      <c r="W352" s="170"/>
      <c r="X352" s="170"/>
    </row>
    <row r="353">
      <c r="A353" s="2"/>
      <c r="B353" s="46" t="s">
        <v>153</v>
      </c>
      <c r="C353" s="11">
        <v>180.0</v>
      </c>
      <c r="D353" s="173"/>
      <c r="E353" s="32" t="s">
        <v>4195</v>
      </c>
      <c r="F353" s="174">
        <f>'ПРАЙС_ЛИСТ'!F393</f>
        <v>4700</v>
      </c>
      <c r="G353" s="169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170"/>
      <c r="W353" s="170"/>
      <c r="X353" s="170"/>
    </row>
    <row r="354">
      <c r="A354" s="2"/>
      <c r="B354" s="46" t="s">
        <v>153</v>
      </c>
      <c r="C354" s="11">
        <v>90.0</v>
      </c>
      <c r="D354" s="173"/>
      <c r="E354" s="32" t="s">
        <v>4196</v>
      </c>
      <c r="F354" s="174">
        <f>'ПРАЙС_ЛИСТ'!F394</f>
        <v>3500</v>
      </c>
      <c r="G354" s="169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170"/>
      <c r="W354" s="170"/>
      <c r="X354" s="170"/>
    </row>
    <row r="355">
      <c r="A355" s="2"/>
      <c r="B355" s="46" t="s">
        <v>153</v>
      </c>
      <c r="C355" s="11">
        <v>90.0</v>
      </c>
      <c r="D355" s="173"/>
      <c r="E355" s="32" t="s">
        <v>4197</v>
      </c>
      <c r="F355" s="174">
        <f>IFERROR(__xludf.DUMMYFUNCTION("MIN(FILTER('ПРАЙС_ЛИСТ'!F395:F397, 'ПРАЙС_ЛИСТ'!F395:F397 &lt;&gt; 'ПРАЙС_ЛИСТ'!H395:H397))"),4000.0)</f>
        <v>4000</v>
      </c>
      <c r="G355" s="169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170"/>
      <c r="W355" s="170"/>
      <c r="X355" s="170"/>
    </row>
    <row r="356">
      <c r="A356" s="2"/>
      <c r="B356" s="46" t="s">
        <v>153</v>
      </c>
      <c r="C356" s="11">
        <v>90.0</v>
      </c>
      <c r="D356" s="173"/>
      <c r="E356" s="32" t="s">
        <v>4198</v>
      </c>
      <c r="F356" s="174">
        <f>IFERROR(__xludf.DUMMYFUNCTION("MAX(FILTER('ПРАЙС_ЛИСТ'!F395:F397, 'ПРАЙС_ЛИСТ'!F395:F397 &lt;&gt; 'ПРАЙС_ЛИСТ'!H395:H397))"),4500.0)</f>
        <v>4500</v>
      </c>
      <c r="G356" s="169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170"/>
      <c r="W356" s="170"/>
      <c r="X356" s="170"/>
    </row>
    <row r="357">
      <c r="A357" s="2"/>
      <c r="B357" s="46" t="s">
        <v>153</v>
      </c>
      <c r="C357" s="11">
        <v>90.0</v>
      </c>
      <c r="D357" s="173"/>
      <c r="E357" s="32" t="s">
        <v>4199</v>
      </c>
      <c r="F357" s="174">
        <f>'ПРАЙС_ЛИСТ'!F398</f>
        <v>4050</v>
      </c>
      <c r="G357" s="169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170"/>
      <c r="W357" s="170"/>
      <c r="X357" s="170"/>
    </row>
    <row r="358">
      <c r="A358" s="2"/>
      <c r="B358" s="46" t="s">
        <v>153</v>
      </c>
      <c r="C358" s="11">
        <v>90.0</v>
      </c>
      <c r="D358" s="173"/>
      <c r="E358" s="32" t="s">
        <v>4200</v>
      </c>
      <c r="F358" s="174">
        <f>'ПРАЙС_ЛИСТ'!F399</f>
        <v>4900</v>
      </c>
      <c r="G358" s="169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170"/>
      <c r="W358" s="170"/>
      <c r="X358" s="170"/>
    </row>
    <row r="359">
      <c r="A359" s="2"/>
      <c r="B359" s="46" t="s">
        <v>153</v>
      </c>
      <c r="C359" s="11">
        <v>90.0</v>
      </c>
      <c r="D359" s="173"/>
      <c r="E359" s="32" t="s">
        <v>4201</v>
      </c>
      <c r="F359" s="174">
        <f>'ПРАЙС_ЛИСТ'!F400</f>
        <v>2000</v>
      </c>
      <c r="G359" s="169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170"/>
      <c r="W359" s="170"/>
      <c r="X359" s="170"/>
    </row>
    <row r="360">
      <c r="A360" s="2"/>
      <c r="B360" s="46" t="s">
        <v>153</v>
      </c>
      <c r="C360" s="11">
        <v>90.0</v>
      </c>
      <c r="D360" s="173"/>
      <c r="E360" s="32" t="s">
        <v>4202</v>
      </c>
      <c r="F360" s="188">
        <f>'ПРАЙС_ЛИСТ'!F401</f>
        <v>4200</v>
      </c>
      <c r="G360" s="169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170"/>
      <c r="W360" s="170"/>
      <c r="X360" s="170"/>
    </row>
    <row r="361">
      <c r="A361" s="2"/>
      <c r="B361" s="46" t="s">
        <v>153</v>
      </c>
      <c r="C361" s="11">
        <v>180.0</v>
      </c>
      <c r="D361" s="173"/>
      <c r="E361" s="32" t="s">
        <v>4203</v>
      </c>
      <c r="F361" s="174">
        <f>'ПРАЙС_ЛИСТ'!F402</f>
        <v>5000</v>
      </c>
      <c r="G361" s="169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170"/>
      <c r="W361" s="170"/>
      <c r="X361" s="170"/>
    </row>
    <row r="362">
      <c r="A362" s="2"/>
      <c r="B362" s="46" t="s">
        <v>153</v>
      </c>
      <c r="C362" s="11">
        <v>180.0</v>
      </c>
      <c r="D362" s="173"/>
      <c r="E362" s="32" t="s">
        <v>4204</v>
      </c>
      <c r="F362" s="185">
        <f>IF('ПРАЙС_ЛИСТ'!F403 = G362, 0, 'ПРАЙС_ЛИСТ'!F403)</f>
        <v>0</v>
      </c>
      <c r="G362" s="186">
        <f>'БД_УСЛУГИ_РО'!P336</f>
        <v>2600</v>
      </c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170"/>
      <c r="W362" s="170"/>
      <c r="X362" s="170"/>
    </row>
    <row r="363">
      <c r="A363" s="2"/>
      <c r="B363" s="46" t="s">
        <v>153</v>
      </c>
      <c r="C363" s="11">
        <v>90.0</v>
      </c>
      <c r="D363" s="173"/>
      <c r="E363" s="32" t="s">
        <v>4205</v>
      </c>
      <c r="F363" s="174">
        <f>'ПРАЙС_ЛИСТ'!F404</f>
        <v>2000</v>
      </c>
      <c r="G363" s="169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170"/>
      <c r="W363" s="170"/>
      <c r="X363" s="170"/>
    </row>
    <row r="364">
      <c r="A364" s="2"/>
      <c r="B364" s="46" t="s">
        <v>153</v>
      </c>
      <c r="C364" s="11">
        <v>90.0</v>
      </c>
      <c r="D364" s="173"/>
      <c r="E364" s="32" t="s">
        <v>4206</v>
      </c>
      <c r="F364" s="174">
        <f>'ПРАЙС_ЛИСТ'!F405</f>
        <v>2600</v>
      </c>
      <c r="G364" s="169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170"/>
      <c r="W364" s="170"/>
      <c r="X364" s="170"/>
    </row>
    <row r="365">
      <c r="A365" s="2"/>
      <c r="B365" s="46" t="s">
        <v>153</v>
      </c>
      <c r="C365" s="11">
        <v>90.0</v>
      </c>
      <c r="D365" s="173"/>
      <c r="E365" s="32" t="s">
        <v>4207</v>
      </c>
      <c r="F365" s="174">
        <f>'ПРАЙС_ЛИСТ'!F406</f>
        <v>2900</v>
      </c>
      <c r="G365" s="169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170"/>
      <c r="W365" s="170"/>
      <c r="X365" s="170"/>
    </row>
    <row r="366">
      <c r="A366" s="2"/>
      <c r="B366" s="46" t="s">
        <v>153</v>
      </c>
      <c r="C366" s="11">
        <v>90.0</v>
      </c>
      <c r="D366" s="173"/>
      <c r="E366" s="32" t="s">
        <v>4208</v>
      </c>
      <c r="F366" s="174">
        <f>'ПРАЙС_ЛИСТ'!F407</f>
        <v>3700</v>
      </c>
      <c r="G366" s="169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170"/>
      <c r="W366" s="170"/>
      <c r="X366" s="170"/>
    </row>
    <row r="367">
      <c r="A367" s="2"/>
      <c r="B367" s="46" t="s">
        <v>153</v>
      </c>
      <c r="C367" s="11">
        <v>90.0</v>
      </c>
      <c r="D367" s="173"/>
      <c r="E367" s="32" t="s">
        <v>4209</v>
      </c>
      <c r="F367" s="174">
        <f>'ПРАЙС_ЛИСТ'!F408</f>
        <v>2200</v>
      </c>
      <c r="G367" s="169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170"/>
      <c r="W367" s="170"/>
      <c r="X367" s="170"/>
    </row>
    <row r="368">
      <c r="A368" s="2"/>
      <c r="B368" s="46" t="s">
        <v>153</v>
      </c>
      <c r="C368" s="11">
        <v>90.0</v>
      </c>
      <c r="D368" s="173"/>
      <c r="E368" s="32" t="s">
        <v>4210</v>
      </c>
      <c r="F368" s="174">
        <f>'ПРАЙС_ЛИСТ'!F409</f>
        <v>2500</v>
      </c>
      <c r="G368" s="169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170"/>
      <c r="W368" s="170"/>
      <c r="X368" s="170"/>
    </row>
    <row r="369">
      <c r="A369" s="2"/>
      <c r="B369" s="46" t="s">
        <v>153</v>
      </c>
      <c r="C369" s="11">
        <v>90.0</v>
      </c>
      <c r="D369" s="173"/>
      <c r="E369" s="32" t="s">
        <v>4211</v>
      </c>
      <c r="F369" s="174">
        <f>'ПРАЙС_ЛИСТ'!F410</f>
        <v>2200</v>
      </c>
      <c r="G369" s="169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170"/>
      <c r="W369" s="170"/>
      <c r="X369" s="170"/>
    </row>
    <row r="370">
      <c r="A370" s="2"/>
      <c r="B370" s="48" t="s">
        <v>153</v>
      </c>
      <c r="C370" s="36">
        <v>90.0</v>
      </c>
      <c r="D370" s="178"/>
      <c r="E370" s="49" t="s">
        <v>4212</v>
      </c>
      <c r="F370" s="179">
        <f>'ПРАЙС_ЛИСТ'!F411</f>
        <v>2700</v>
      </c>
      <c r="G370" s="169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170"/>
      <c r="W370" s="170"/>
      <c r="X370" s="170"/>
    </row>
    <row r="371">
      <c r="A371" s="2"/>
      <c r="B371" s="1"/>
      <c r="C371" s="1"/>
      <c r="D371" s="180"/>
      <c r="E371" s="30"/>
      <c r="F371" s="21"/>
      <c r="G371" s="169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170"/>
      <c r="W371" s="170"/>
      <c r="X371" s="170"/>
    </row>
    <row r="372">
      <c r="A372" s="2"/>
      <c r="B372" s="41" t="s">
        <v>159</v>
      </c>
      <c r="C372" s="42">
        <v>0.0</v>
      </c>
      <c r="D372" s="181"/>
      <c r="E372" s="43" t="s">
        <v>4213</v>
      </c>
      <c r="F372" s="182">
        <v>0.0</v>
      </c>
      <c r="G372" s="169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170"/>
      <c r="W372" s="170"/>
      <c r="X372" s="170"/>
    </row>
    <row r="373">
      <c r="A373" s="2"/>
      <c r="B373" s="46" t="s">
        <v>159</v>
      </c>
      <c r="C373" s="11">
        <v>0.0</v>
      </c>
      <c r="D373" s="173"/>
      <c r="E373" s="32" t="s">
        <v>4214</v>
      </c>
      <c r="F373" s="174">
        <f>'ПРАЙС_ЛИСТ'!F415</f>
        <v>400</v>
      </c>
      <c r="G373" s="169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170"/>
      <c r="W373" s="170"/>
      <c r="X373" s="170"/>
    </row>
    <row r="374">
      <c r="A374" s="2"/>
      <c r="B374" s="46" t="s">
        <v>159</v>
      </c>
      <c r="C374" s="11">
        <v>0.0</v>
      </c>
      <c r="D374" s="173"/>
      <c r="E374" s="32" t="s">
        <v>4215</v>
      </c>
      <c r="F374" s="174">
        <f>'ПРАЙС_ЛИСТ'!F416</f>
        <v>1700</v>
      </c>
      <c r="G374" s="169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170"/>
      <c r="W374" s="170"/>
      <c r="X374" s="170"/>
    </row>
    <row r="375">
      <c r="A375" s="2"/>
      <c r="B375" s="46" t="s">
        <v>159</v>
      </c>
      <c r="C375" s="11">
        <v>180.0</v>
      </c>
      <c r="D375" s="173"/>
      <c r="E375" s="32" t="s">
        <v>4216</v>
      </c>
      <c r="F375" s="174">
        <f>'ПРАЙС_ЛИСТ'!F417</f>
        <v>3000</v>
      </c>
      <c r="G375" s="169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170"/>
      <c r="W375" s="170"/>
      <c r="X375" s="170"/>
    </row>
    <row r="376">
      <c r="A376" s="2"/>
      <c r="B376" s="46" t="s">
        <v>159</v>
      </c>
      <c r="C376" s="11">
        <v>90.0</v>
      </c>
      <c r="D376" s="173"/>
      <c r="E376" s="32" t="s">
        <v>4217</v>
      </c>
      <c r="F376" s="174">
        <f>'ПРАЙС_ЛИСТ'!F418</f>
        <v>3500</v>
      </c>
      <c r="G376" s="169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170"/>
      <c r="W376" s="170"/>
      <c r="X376" s="170"/>
    </row>
    <row r="377">
      <c r="A377" s="2"/>
      <c r="B377" s="46" t="s">
        <v>159</v>
      </c>
      <c r="C377" s="11">
        <v>90.0</v>
      </c>
      <c r="D377" s="173"/>
      <c r="E377" s="32" t="s">
        <v>4218</v>
      </c>
      <c r="F377" s="174">
        <f>IFERROR(__xludf.DUMMYFUNCTION("MIN(FILTER('ПРАЙС_ЛИСТ'!F419:F421, 'ПРАЙС_ЛИСТ'!F419:F421 &lt;&gt; 'ПРАЙС_ЛИСТ'!H419:H421))"),5950.0)</f>
        <v>5950</v>
      </c>
      <c r="G377" s="169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170"/>
      <c r="W377" s="170"/>
      <c r="X377" s="170"/>
    </row>
    <row r="378">
      <c r="A378" s="2"/>
      <c r="B378" s="46" t="s">
        <v>159</v>
      </c>
      <c r="C378" s="11">
        <v>90.0</v>
      </c>
      <c r="D378" s="173"/>
      <c r="E378" s="32" t="s">
        <v>4219</v>
      </c>
      <c r="F378" s="174">
        <f>IFERROR(__xludf.DUMMYFUNCTION("MAX(FILTER('ПРАЙС_ЛИСТ'!F419:F421, 'ПРАЙС_ЛИСТ'!F419:F421 &lt;&gt; 'ПРАЙС_ЛИСТ'!H419:H421))"),6450.0)</f>
        <v>6450</v>
      </c>
      <c r="G378" s="169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170"/>
      <c r="W378" s="170"/>
      <c r="X378" s="170"/>
    </row>
    <row r="379">
      <c r="A379" s="2"/>
      <c r="B379" s="46" t="s">
        <v>159</v>
      </c>
      <c r="C379" s="11">
        <v>90.0</v>
      </c>
      <c r="D379" s="173"/>
      <c r="E379" s="32" t="s">
        <v>4220</v>
      </c>
      <c r="F379" s="174">
        <f>'ПРАЙС_ЛИСТ'!F422</f>
        <v>4500</v>
      </c>
      <c r="G379" s="169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170"/>
      <c r="W379" s="170"/>
      <c r="X379" s="170"/>
    </row>
    <row r="380">
      <c r="A380" s="2"/>
      <c r="B380" s="46" t="s">
        <v>159</v>
      </c>
      <c r="C380" s="11">
        <v>90.0</v>
      </c>
      <c r="D380" s="173"/>
      <c r="E380" s="32" t="s">
        <v>4221</v>
      </c>
      <c r="F380" s="174">
        <f>'ПРАЙС_ЛИСТ'!F423</f>
        <v>6000</v>
      </c>
      <c r="G380" s="169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170"/>
      <c r="W380" s="170"/>
      <c r="X380" s="170"/>
    </row>
    <row r="381">
      <c r="A381" s="2"/>
      <c r="B381" s="46" t="s">
        <v>159</v>
      </c>
      <c r="C381" s="11">
        <v>90.0</v>
      </c>
      <c r="D381" s="173"/>
      <c r="E381" s="32" t="s">
        <v>4222</v>
      </c>
      <c r="F381" s="174">
        <f>'ПРАЙС_ЛИСТ'!F424</f>
        <v>4000</v>
      </c>
      <c r="G381" s="169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170"/>
      <c r="W381" s="170"/>
      <c r="X381" s="170"/>
    </row>
    <row r="382">
      <c r="A382" s="2"/>
      <c r="B382" s="46" t="s">
        <v>159</v>
      </c>
      <c r="C382" s="11">
        <v>90.0</v>
      </c>
      <c r="D382" s="173"/>
      <c r="E382" s="32" t="s">
        <v>4223</v>
      </c>
      <c r="F382" s="174">
        <f>'ПРАЙС_ЛИСТ'!F425</f>
        <v>4900</v>
      </c>
      <c r="G382" s="169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170"/>
      <c r="W382" s="170"/>
      <c r="X382" s="170"/>
    </row>
    <row r="383">
      <c r="A383" s="2"/>
      <c r="B383" s="46" t="s">
        <v>159</v>
      </c>
      <c r="C383" s="11">
        <v>90.0</v>
      </c>
      <c r="D383" s="173"/>
      <c r="E383" s="32" t="s">
        <v>4224</v>
      </c>
      <c r="F383" s="174">
        <f>'ПРАЙС_ЛИСТ'!F426</f>
        <v>2000</v>
      </c>
      <c r="G383" s="169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170"/>
      <c r="W383" s="170"/>
      <c r="X383" s="170"/>
    </row>
    <row r="384">
      <c r="A384" s="2"/>
      <c r="B384" s="46" t="s">
        <v>159</v>
      </c>
      <c r="C384" s="11">
        <v>90.0</v>
      </c>
      <c r="D384" s="173"/>
      <c r="E384" s="32" t="s">
        <v>4225</v>
      </c>
      <c r="F384" s="188">
        <f>'ПРАЙС_ЛИСТ'!F427</f>
        <v>4200</v>
      </c>
      <c r="G384" s="169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170"/>
      <c r="W384" s="170"/>
      <c r="X384" s="170"/>
    </row>
    <row r="385">
      <c r="A385" s="2"/>
      <c r="B385" s="46" t="s">
        <v>159</v>
      </c>
      <c r="C385" s="11">
        <v>180.0</v>
      </c>
      <c r="D385" s="173"/>
      <c r="E385" s="32" t="s">
        <v>4226</v>
      </c>
      <c r="F385" s="174">
        <f>'ПРАЙС_ЛИСТ'!F428</f>
        <v>5000</v>
      </c>
      <c r="G385" s="169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170"/>
      <c r="W385" s="170"/>
      <c r="X385" s="170"/>
    </row>
    <row r="386">
      <c r="A386" s="2"/>
      <c r="B386" s="46" t="s">
        <v>159</v>
      </c>
      <c r="C386" s="11">
        <v>180.0</v>
      </c>
      <c r="D386" s="173"/>
      <c r="E386" s="32" t="s">
        <v>4227</v>
      </c>
      <c r="F386" s="185">
        <f>IF('ПРАЙС_ЛИСТ'!F429 = G386, 0, 'ПРАЙС_ЛИСТ'!F429)</f>
        <v>0</v>
      </c>
      <c r="G386" s="186">
        <f>'БД_УСЛУГИ_РО'!P312</f>
        <v>2600</v>
      </c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170"/>
      <c r="W386" s="170"/>
      <c r="X386" s="170"/>
    </row>
    <row r="387">
      <c r="A387" s="2"/>
      <c r="B387" s="46" t="s">
        <v>159</v>
      </c>
      <c r="C387" s="11">
        <v>90.0</v>
      </c>
      <c r="D387" s="173"/>
      <c r="E387" s="32" t="s">
        <v>4228</v>
      </c>
      <c r="F387" s="174">
        <f>'ПРАЙС_ЛИСТ'!F430</f>
        <v>2000</v>
      </c>
      <c r="G387" s="169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170"/>
      <c r="W387" s="170"/>
      <c r="X387" s="170"/>
    </row>
    <row r="388">
      <c r="A388" s="2"/>
      <c r="B388" s="46" t="s">
        <v>159</v>
      </c>
      <c r="C388" s="11">
        <v>90.0</v>
      </c>
      <c r="D388" s="173"/>
      <c r="E388" s="32" t="s">
        <v>4229</v>
      </c>
      <c r="F388" s="174">
        <f>'ПРАЙС_ЛИСТ'!F431</f>
        <v>3000</v>
      </c>
      <c r="G388" s="169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170"/>
      <c r="W388" s="170"/>
      <c r="X388" s="170"/>
    </row>
    <row r="389">
      <c r="A389" s="2"/>
      <c r="B389" s="46" t="s">
        <v>159</v>
      </c>
      <c r="C389" s="11">
        <v>90.0</v>
      </c>
      <c r="D389" s="173"/>
      <c r="E389" s="32" t="s">
        <v>4230</v>
      </c>
      <c r="F389" s="174">
        <f>'ПРАЙС_ЛИСТ'!F432</f>
        <v>3200</v>
      </c>
      <c r="G389" s="169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170"/>
      <c r="W389" s="170"/>
      <c r="X389" s="170"/>
    </row>
    <row r="390">
      <c r="A390" s="2"/>
      <c r="B390" s="46" t="s">
        <v>159</v>
      </c>
      <c r="C390" s="11">
        <v>90.0</v>
      </c>
      <c r="D390" s="173"/>
      <c r="E390" s="32" t="s">
        <v>4231</v>
      </c>
      <c r="F390" s="174">
        <f>'ПРАЙС_ЛИСТ'!F433</f>
        <v>3900</v>
      </c>
      <c r="G390" s="169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170"/>
      <c r="W390" s="170"/>
      <c r="X390" s="170"/>
    </row>
    <row r="391">
      <c r="A391" s="2"/>
      <c r="B391" s="46" t="s">
        <v>159</v>
      </c>
      <c r="C391" s="11">
        <v>90.0</v>
      </c>
      <c r="D391" s="173"/>
      <c r="E391" s="32" t="s">
        <v>4232</v>
      </c>
      <c r="F391" s="174">
        <f>'ПРАЙС_ЛИСТ'!F434</f>
        <v>2200</v>
      </c>
      <c r="G391" s="169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170"/>
      <c r="W391" s="170"/>
      <c r="X391" s="170"/>
    </row>
    <row r="392">
      <c r="A392" s="2"/>
      <c r="B392" s="46" t="s">
        <v>159</v>
      </c>
      <c r="C392" s="11">
        <v>90.0</v>
      </c>
      <c r="D392" s="173"/>
      <c r="E392" s="32" t="s">
        <v>4233</v>
      </c>
      <c r="F392" s="174">
        <f>'ПРАЙС_ЛИСТ'!F435</f>
        <v>2200</v>
      </c>
      <c r="G392" s="169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170"/>
      <c r="W392" s="170"/>
      <c r="X392" s="170"/>
    </row>
    <row r="393">
      <c r="A393" s="2"/>
      <c r="B393" s="46" t="s">
        <v>159</v>
      </c>
      <c r="C393" s="11">
        <v>90.0</v>
      </c>
      <c r="D393" s="173"/>
      <c r="E393" s="32" t="s">
        <v>4234</v>
      </c>
      <c r="F393" s="174">
        <f>'ПРАЙС_ЛИСТ'!F436</f>
        <v>7700</v>
      </c>
      <c r="G393" s="169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170"/>
      <c r="W393" s="170"/>
      <c r="X393" s="170"/>
    </row>
    <row r="394">
      <c r="A394" s="2"/>
      <c r="B394" s="48" t="s">
        <v>159</v>
      </c>
      <c r="C394" s="36">
        <v>90.0</v>
      </c>
      <c r="D394" s="178"/>
      <c r="E394" s="49" t="s">
        <v>4235</v>
      </c>
      <c r="F394" s="179">
        <f>'ПРАЙС_ЛИСТ'!F437</f>
        <v>8200</v>
      </c>
      <c r="G394" s="169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170"/>
      <c r="W394" s="170"/>
      <c r="X394" s="170"/>
    </row>
    <row r="395">
      <c r="A395" s="2"/>
      <c r="B395" s="1"/>
      <c r="C395" s="1"/>
      <c r="D395" s="180"/>
      <c r="E395" s="30"/>
      <c r="F395" s="21"/>
      <c r="G395" s="169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170"/>
      <c r="W395" s="170"/>
      <c r="X395" s="170"/>
    </row>
    <row r="396">
      <c r="A396" s="2"/>
      <c r="B396" s="41" t="s">
        <v>167</v>
      </c>
      <c r="C396" s="42">
        <v>0.0</v>
      </c>
      <c r="D396" s="181"/>
      <c r="E396" s="43" t="s">
        <v>4236</v>
      </c>
      <c r="F396" s="182">
        <v>0.0</v>
      </c>
      <c r="G396" s="169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170"/>
      <c r="W396" s="170"/>
      <c r="X396" s="170"/>
    </row>
    <row r="397">
      <c r="A397" s="2"/>
      <c r="B397" s="46" t="s">
        <v>167</v>
      </c>
      <c r="C397" s="11">
        <v>0.0</v>
      </c>
      <c r="D397" s="173"/>
      <c r="E397" s="32" t="s">
        <v>4237</v>
      </c>
      <c r="F397" s="174">
        <f>'ПРАЙС_ЛИСТ'!F441</f>
        <v>400</v>
      </c>
      <c r="G397" s="169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170"/>
      <c r="W397" s="170"/>
      <c r="X397" s="170"/>
    </row>
    <row r="398">
      <c r="A398" s="2"/>
      <c r="B398" s="46" t="s">
        <v>167</v>
      </c>
      <c r="C398" s="11">
        <v>0.0</v>
      </c>
      <c r="D398" s="173"/>
      <c r="E398" s="32" t="s">
        <v>4238</v>
      </c>
      <c r="F398" s="174">
        <f>'ПРАЙС_ЛИСТ'!F442</f>
        <v>1700</v>
      </c>
      <c r="G398" s="169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170"/>
      <c r="W398" s="170"/>
      <c r="X398" s="170"/>
    </row>
    <row r="399">
      <c r="A399" s="2"/>
      <c r="B399" s="46" t="s">
        <v>167</v>
      </c>
      <c r="C399" s="11">
        <v>180.0</v>
      </c>
      <c r="D399" s="173"/>
      <c r="E399" s="32" t="s">
        <v>4239</v>
      </c>
      <c r="F399" s="174">
        <f>'ПРАЙС_ЛИСТ'!F443</f>
        <v>3000</v>
      </c>
      <c r="G399" s="169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170"/>
      <c r="W399" s="170"/>
      <c r="X399" s="170"/>
    </row>
    <row r="400">
      <c r="A400" s="2"/>
      <c r="B400" s="46" t="s">
        <v>167</v>
      </c>
      <c r="C400" s="11">
        <v>180.0</v>
      </c>
      <c r="D400" s="173"/>
      <c r="E400" s="32" t="s">
        <v>4240</v>
      </c>
      <c r="F400" s="174">
        <f>'ПРАЙС_ЛИСТ'!F444</f>
        <v>4700</v>
      </c>
      <c r="G400" s="169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170"/>
      <c r="W400" s="170"/>
      <c r="X400" s="170"/>
    </row>
    <row r="401">
      <c r="A401" s="2"/>
      <c r="B401" s="46" t="s">
        <v>167</v>
      </c>
      <c r="C401" s="11">
        <v>90.0</v>
      </c>
      <c r="D401" s="173"/>
      <c r="E401" s="32" t="s">
        <v>4241</v>
      </c>
      <c r="F401" s="174">
        <f>'ПРАЙС_ЛИСТ'!F445</f>
        <v>3500</v>
      </c>
      <c r="G401" s="169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170"/>
      <c r="W401" s="170"/>
      <c r="X401" s="170"/>
    </row>
    <row r="402">
      <c r="A402" s="2"/>
      <c r="B402" s="46" t="s">
        <v>167</v>
      </c>
      <c r="C402" s="11">
        <v>90.0</v>
      </c>
      <c r="D402" s="173"/>
      <c r="E402" s="32" t="s">
        <v>4242</v>
      </c>
      <c r="F402" s="174">
        <f>IFERROR(__xludf.DUMMYFUNCTION("MIN(FILTER('ПРАЙС_ЛИСТ'!F446:F448, 'ПРАЙС_ЛИСТ'!F446:F448 &lt;&gt; 'ПРАЙС_ЛИСТ'!H446:H448))"),6500.0)</f>
        <v>6500</v>
      </c>
      <c r="G402" s="169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170"/>
      <c r="W402" s="170"/>
      <c r="X402" s="170"/>
    </row>
    <row r="403">
      <c r="A403" s="2"/>
      <c r="B403" s="46" t="s">
        <v>167</v>
      </c>
      <c r="C403" s="11">
        <v>90.0</v>
      </c>
      <c r="D403" s="173"/>
      <c r="E403" s="32" t="s">
        <v>4243</v>
      </c>
      <c r="F403" s="174">
        <f>IFERROR(__xludf.DUMMYFUNCTION("MAX(FILTER('ПРАЙС_ЛИСТ'!F446:F448, 'ПРАЙС_ЛИСТ'!F446:F448 &lt;&gt; 'ПРАЙС_ЛИСТ'!H446:H448))"),7300.0)</f>
        <v>7300</v>
      </c>
      <c r="G403" s="169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170"/>
      <c r="W403" s="170"/>
      <c r="X403" s="170"/>
    </row>
    <row r="404">
      <c r="A404" s="2"/>
      <c r="B404" s="46" t="s">
        <v>167</v>
      </c>
      <c r="C404" s="11">
        <v>90.0</v>
      </c>
      <c r="D404" s="173"/>
      <c r="E404" s="32" t="s">
        <v>4244</v>
      </c>
      <c r="F404" s="174">
        <f>'ПРАЙС_ЛИСТ'!F449</f>
        <v>4500</v>
      </c>
      <c r="G404" s="169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170"/>
      <c r="W404" s="170"/>
      <c r="X404" s="170"/>
    </row>
    <row r="405">
      <c r="A405" s="2"/>
      <c r="B405" s="46" t="s">
        <v>167</v>
      </c>
      <c r="C405" s="11">
        <v>90.0</v>
      </c>
      <c r="D405" s="173"/>
      <c r="E405" s="32" t="s">
        <v>4245</v>
      </c>
      <c r="F405" s="174">
        <f>'ПРАЙС_ЛИСТ'!F450</f>
        <v>6000</v>
      </c>
      <c r="G405" s="169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170"/>
      <c r="W405" s="170"/>
      <c r="X405" s="170"/>
    </row>
    <row r="406">
      <c r="A406" s="2"/>
      <c r="B406" s="46" t="s">
        <v>167</v>
      </c>
      <c r="C406" s="11">
        <v>90.0</v>
      </c>
      <c r="D406" s="173"/>
      <c r="E406" s="32" t="s">
        <v>4246</v>
      </c>
      <c r="F406" s="174">
        <f>'ПРАЙС_ЛИСТ'!F451</f>
        <v>4500</v>
      </c>
      <c r="G406" s="169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170"/>
      <c r="W406" s="170"/>
      <c r="X406" s="170"/>
    </row>
    <row r="407">
      <c r="A407" s="2"/>
      <c r="B407" s="46" t="s">
        <v>167</v>
      </c>
      <c r="C407" s="11">
        <v>90.0</v>
      </c>
      <c r="D407" s="173"/>
      <c r="E407" s="32" t="s">
        <v>4247</v>
      </c>
      <c r="F407" s="174">
        <f>'ПРАЙС_ЛИСТ'!F452</f>
        <v>4900</v>
      </c>
      <c r="G407" s="169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170"/>
      <c r="W407" s="170"/>
      <c r="X407" s="170"/>
    </row>
    <row r="408">
      <c r="A408" s="2"/>
      <c r="B408" s="46" t="s">
        <v>167</v>
      </c>
      <c r="C408" s="11">
        <v>90.0</v>
      </c>
      <c r="D408" s="173"/>
      <c r="E408" s="32" t="s">
        <v>4248</v>
      </c>
      <c r="F408" s="174">
        <f>'ПРАЙС_ЛИСТ'!F453</f>
        <v>2000</v>
      </c>
      <c r="G408" s="169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170"/>
      <c r="W408" s="170"/>
      <c r="X408" s="170"/>
    </row>
    <row r="409">
      <c r="A409" s="2"/>
      <c r="B409" s="46" t="s">
        <v>167</v>
      </c>
      <c r="C409" s="11">
        <v>90.0</v>
      </c>
      <c r="D409" s="173"/>
      <c r="E409" s="32" t="s">
        <v>4249</v>
      </c>
      <c r="F409" s="188">
        <f>'ПРАЙС_ЛИСТ'!F454</f>
        <v>4200</v>
      </c>
      <c r="G409" s="169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170"/>
      <c r="W409" s="170"/>
      <c r="X409" s="170"/>
    </row>
    <row r="410">
      <c r="A410" s="2"/>
      <c r="B410" s="46" t="s">
        <v>167</v>
      </c>
      <c r="C410" s="11">
        <v>180.0</v>
      </c>
      <c r="D410" s="173"/>
      <c r="E410" s="32" t="s">
        <v>4250</v>
      </c>
      <c r="F410" s="174">
        <f>'ПРАЙС_ЛИСТ'!F455</f>
        <v>5000</v>
      </c>
      <c r="G410" s="169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170"/>
      <c r="W410" s="170"/>
      <c r="X410" s="170"/>
    </row>
    <row r="411">
      <c r="A411" s="2"/>
      <c r="B411" s="46" t="s">
        <v>167</v>
      </c>
      <c r="C411" s="11">
        <v>180.0</v>
      </c>
      <c r="D411" s="173"/>
      <c r="E411" s="32" t="s">
        <v>4251</v>
      </c>
      <c r="F411" s="185">
        <f>IF('ПРАЙС_ЛИСТ'!F456 = G411, 0, 'ПРАЙС_ЛИСТ'!F456)</f>
        <v>0</v>
      </c>
      <c r="G411" s="186">
        <f>'БД_УСЛУГИ_РО'!P361</f>
        <v>2600</v>
      </c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170"/>
      <c r="W411" s="170"/>
      <c r="X411" s="170"/>
    </row>
    <row r="412">
      <c r="A412" s="2"/>
      <c r="B412" s="46" t="s">
        <v>167</v>
      </c>
      <c r="C412" s="11">
        <v>90.0</v>
      </c>
      <c r="D412" s="173"/>
      <c r="E412" s="32" t="s">
        <v>4252</v>
      </c>
      <c r="F412" s="174">
        <f>'ПРАЙС_ЛИСТ'!F457</f>
        <v>2000</v>
      </c>
      <c r="G412" s="169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170"/>
      <c r="W412" s="170"/>
      <c r="X412" s="170"/>
    </row>
    <row r="413">
      <c r="A413" s="2"/>
      <c r="B413" s="46" t="s">
        <v>167</v>
      </c>
      <c r="C413" s="11">
        <v>90.0</v>
      </c>
      <c r="D413" s="173"/>
      <c r="E413" s="32" t="s">
        <v>4253</v>
      </c>
      <c r="F413" s="174">
        <f>'ПРАЙС_ЛИСТ'!F458</f>
        <v>3500</v>
      </c>
      <c r="G413" s="169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170"/>
      <c r="W413" s="170"/>
      <c r="X413" s="170"/>
    </row>
    <row r="414">
      <c r="A414" s="2"/>
      <c r="B414" s="46" t="s">
        <v>167</v>
      </c>
      <c r="C414" s="11">
        <v>90.0</v>
      </c>
      <c r="D414" s="173"/>
      <c r="E414" s="32" t="s">
        <v>4254</v>
      </c>
      <c r="F414" s="174">
        <f>'ПРАЙС_ЛИСТ'!F459</f>
        <v>3500</v>
      </c>
      <c r="G414" s="169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170"/>
      <c r="W414" s="170"/>
      <c r="X414" s="170"/>
    </row>
    <row r="415">
      <c r="A415" s="2"/>
      <c r="B415" s="46" t="s">
        <v>167</v>
      </c>
      <c r="C415" s="11">
        <v>90.0</v>
      </c>
      <c r="D415" s="173"/>
      <c r="E415" s="32" t="s">
        <v>4255</v>
      </c>
      <c r="F415" s="174">
        <f>'ПРАЙС_ЛИСТ'!F460</f>
        <v>3900</v>
      </c>
      <c r="G415" s="169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170"/>
      <c r="W415" s="170"/>
      <c r="X415" s="170"/>
    </row>
    <row r="416">
      <c r="A416" s="2"/>
      <c r="B416" s="46" t="s">
        <v>167</v>
      </c>
      <c r="C416" s="11">
        <v>90.0</v>
      </c>
      <c r="D416" s="173"/>
      <c r="E416" s="32" t="s">
        <v>4256</v>
      </c>
      <c r="F416" s="174">
        <f>'ПРАЙС_ЛИСТ'!F461</f>
        <v>2200</v>
      </c>
      <c r="G416" s="169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170"/>
      <c r="W416" s="170"/>
      <c r="X416" s="170"/>
    </row>
    <row r="417">
      <c r="A417" s="2"/>
      <c r="B417" s="46" t="s">
        <v>167</v>
      </c>
      <c r="C417" s="11">
        <v>90.0</v>
      </c>
      <c r="D417" s="173"/>
      <c r="E417" s="32" t="s">
        <v>4257</v>
      </c>
      <c r="F417" s="174">
        <f>'ПРАЙС_ЛИСТ'!F462</f>
        <v>2500</v>
      </c>
      <c r="G417" s="169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170"/>
      <c r="W417" s="170"/>
      <c r="X417" s="170"/>
    </row>
    <row r="418">
      <c r="A418" s="2"/>
      <c r="B418" s="46" t="s">
        <v>167</v>
      </c>
      <c r="C418" s="11">
        <v>90.0</v>
      </c>
      <c r="D418" s="173"/>
      <c r="E418" s="32" t="s">
        <v>4258</v>
      </c>
      <c r="F418" s="174">
        <f>'ПРАЙС_ЛИСТ'!F463</f>
        <v>7700</v>
      </c>
      <c r="G418" s="169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170"/>
      <c r="W418" s="170"/>
      <c r="X418" s="170"/>
    </row>
    <row r="419">
      <c r="A419" s="2"/>
      <c r="B419" s="48" t="s">
        <v>167</v>
      </c>
      <c r="C419" s="36">
        <v>90.0</v>
      </c>
      <c r="D419" s="178"/>
      <c r="E419" s="49" t="s">
        <v>4259</v>
      </c>
      <c r="F419" s="179">
        <f>'ПРАЙС_ЛИСТ'!F464</f>
        <v>8200</v>
      </c>
      <c r="G419" s="169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170"/>
      <c r="W419" s="170"/>
      <c r="X419" s="170"/>
    </row>
    <row r="420">
      <c r="A420" s="2"/>
      <c r="B420" s="1"/>
      <c r="C420" s="1"/>
      <c r="D420" s="180"/>
      <c r="E420" s="30"/>
      <c r="F420" s="21"/>
      <c r="G420" s="169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170"/>
      <c r="W420" s="170"/>
      <c r="X420" s="170"/>
    </row>
    <row r="421">
      <c r="A421" s="2"/>
      <c r="B421" s="41" t="s">
        <v>175</v>
      </c>
      <c r="C421" s="42">
        <v>0.0</v>
      </c>
      <c r="D421" s="181"/>
      <c r="E421" s="43" t="s">
        <v>4260</v>
      </c>
      <c r="F421" s="182">
        <v>0.0</v>
      </c>
      <c r="G421" s="169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170"/>
      <c r="W421" s="170"/>
      <c r="X421" s="170"/>
    </row>
    <row r="422">
      <c r="A422" s="2"/>
      <c r="B422" s="46" t="s">
        <v>175</v>
      </c>
      <c r="C422" s="11">
        <v>0.0</v>
      </c>
      <c r="D422" s="173"/>
      <c r="E422" s="32" t="s">
        <v>4261</v>
      </c>
      <c r="F422" s="174">
        <f>'ПРАЙС_ЛИСТ'!F468</f>
        <v>400</v>
      </c>
      <c r="G422" s="169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170"/>
      <c r="W422" s="170"/>
      <c r="X422" s="170"/>
    </row>
    <row r="423">
      <c r="A423" s="2"/>
      <c r="B423" s="46" t="s">
        <v>175</v>
      </c>
      <c r="C423" s="11">
        <v>0.0</v>
      </c>
      <c r="D423" s="173"/>
      <c r="E423" s="32" t="s">
        <v>4262</v>
      </c>
      <c r="F423" s="174">
        <f>'ПРАЙС_ЛИСТ'!F469</f>
        <v>1800</v>
      </c>
      <c r="G423" s="169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170"/>
      <c r="W423" s="170"/>
      <c r="X423" s="170"/>
    </row>
    <row r="424">
      <c r="A424" s="2"/>
      <c r="B424" s="46" t="s">
        <v>175</v>
      </c>
      <c r="C424" s="11">
        <v>180.0</v>
      </c>
      <c r="D424" s="173"/>
      <c r="E424" s="32" t="s">
        <v>4263</v>
      </c>
      <c r="F424" s="174">
        <f>'ПРАЙС_ЛИСТ'!F470</f>
        <v>3500</v>
      </c>
      <c r="G424" s="169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170"/>
      <c r="W424" s="170"/>
      <c r="X424" s="170"/>
    </row>
    <row r="425">
      <c r="A425" s="2"/>
      <c r="B425" s="46" t="s">
        <v>175</v>
      </c>
      <c r="C425" s="11">
        <v>180.0</v>
      </c>
      <c r="D425" s="173"/>
      <c r="E425" s="32" t="s">
        <v>4264</v>
      </c>
      <c r="F425" s="174">
        <f>'ПРАЙС_ЛИСТ'!F471</f>
        <v>5200</v>
      </c>
      <c r="G425" s="169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170"/>
      <c r="W425" s="170"/>
      <c r="X425" s="170"/>
    </row>
    <row r="426">
      <c r="A426" s="2"/>
      <c r="B426" s="46" t="s">
        <v>175</v>
      </c>
      <c r="C426" s="11">
        <v>90.0</v>
      </c>
      <c r="D426" s="173"/>
      <c r="E426" s="32" t="s">
        <v>4265</v>
      </c>
      <c r="F426" s="174">
        <f>'ПРАЙС_ЛИСТ'!F472</f>
        <v>4000</v>
      </c>
      <c r="G426" s="169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170"/>
      <c r="W426" s="170"/>
      <c r="X426" s="170"/>
    </row>
    <row r="427">
      <c r="A427" s="2"/>
      <c r="B427" s="46" t="s">
        <v>175</v>
      </c>
      <c r="C427" s="11">
        <v>90.0</v>
      </c>
      <c r="D427" s="173"/>
      <c r="E427" s="32" t="s">
        <v>4266</v>
      </c>
      <c r="F427" s="174">
        <f>IFERROR(__xludf.DUMMYFUNCTION("MIN(FILTER('ПРАЙС_ЛИСТ'!F473:F475, 'ПРАЙС_ЛИСТ'!F473:F475 &lt;&gt; 'ПРАЙС_ЛИСТ'!H473:H475))"),9000.0)</f>
        <v>9000</v>
      </c>
      <c r="G427" s="169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170"/>
      <c r="W427" s="170"/>
      <c r="X427" s="170"/>
    </row>
    <row r="428">
      <c r="A428" s="2"/>
      <c r="B428" s="46" t="s">
        <v>175</v>
      </c>
      <c r="C428" s="11">
        <v>90.0</v>
      </c>
      <c r="D428" s="173"/>
      <c r="E428" s="32" t="s">
        <v>4267</v>
      </c>
      <c r="F428" s="174">
        <f>IFERROR(__xludf.DUMMYFUNCTION("MAX(FILTER('ПРАЙС_ЛИСТ'!F473:F475, 'ПРАЙС_ЛИСТ'!F473:F475 &lt;&gt; 'ПРАЙС_ЛИСТ'!H473:H475))"),10000.0)</f>
        <v>10000</v>
      </c>
      <c r="G428" s="169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170"/>
      <c r="W428" s="170"/>
      <c r="X428" s="170"/>
    </row>
    <row r="429">
      <c r="A429" s="2"/>
      <c r="B429" s="46" t="s">
        <v>175</v>
      </c>
      <c r="C429" s="11">
        <v>90.0</v>
      </c>
      <c r="D429" s="173"/>
      <c r="E429" s="32" t="s">
        <v>4268</v>
      </c>
      <c r="F429" s="174">
        <f>'ПРАЙС_ЛИСТ'!F476</f>
        <v>6000</v>
      </c>
      <c r="G429" s="169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170"/>
      <c r="W429" s="170"/>
      <c r="X429" s="170"/>
    </row>
    <row r="430">
      <c r="A430" s="2"/>
      <c r="B430" s="46" t="s">
        <v>175</v>
      </c>
      <c r="C430" s="11">
        <v>90.0</v>
      </c>
      <c r="D430" s="173"/>
      <c r="E430" s="32" t="s">
        <v>4269</v>
      </c>
      <c r="F430" s="174">
        <f>'ПРАЙС_ЛИСТ'!F477</f>
        <v>7500</v>
      </c>
      <c r="G430" s="169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170"/>
      <c r="W430" s="170"/>
      <c r="X430" s="170"/>
    </row>
    <row r="431">
      <c r="A431" s="2"/>
      <c r="B431" s="46" t="s">
        <v>175</v>
      </c>
      <c r="C431" s="11">
        <v>90.0</v>
      </c>
      <c r="D431" s="173"/>
      <c r="E431" s="32" t="s">
        <v>4270</v>
      </c>
      <c r="F431" s="174">
        <f>'ПРАЙС_ЛИСТ'!F478</f>
        <v>4500</v>
      </c>
      <c r="G431" s="169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170"/>
      <c r="W431" s="170"/>
      <c r="X431" s="170"/>
    </row>
    <row r="432">
      <c r="A432" s="2"/>
      <c r="B432" s="46" t="s">
        <v>175</v>
      </c>
      <c r="C432" s="11">
        <v>90.0</v>
      </c>
      <c r="D432" s="173"/>
      <c r="E432" s="32" t="s">
        <v>4271</v>
      </c>
      <c r="F432" s="174">
        <f>'ПРАЙС_ЛИСТ'!F479</f>
        <v>4900</v>
      </c>
      <c r="G432" s="169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170"/>
      <c r="W432" s="170"/>
      <c r="X432" s="170"/>
    </row>
    <row r="433">
      <c r="A433" s="2"/>
      <c r="B433" s="46" t="s">
        <v>175</v>
      </c>
      <c r="C433" s="11">
        <v>90.0</v>
      </c>
      <c r="D433" s="173"/>
      <c r="E433" s="32" t="s">
        <v>4272</v>
      </c>
      <c r="F433" s="174">
        <f>'ПРАЙС_ЛИСТ'!F480</f>
        <v>2000</v>
      </c>
      <c r="G433" s="169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170"/>
      <c r="W433" s="170"/>
      <c r="X433" s="170"/>
    </row>
    <row r="434">
      <c r="A434" s="2"/>
      <c r="B434" s="46" t="s">
        <v>175</v>
      </c>
      <c r="C434" s="11">
        <v>90.0</v>
      </c>
      <c r="D434" s="173"/>
      <c r="E434" s="32" t="s">
        <v>4273</v>
      </c>
      <c r="F434" s="188">
        <f>'ПРАЙС_ЛИСТ'!F481</f>
        <v>4200</v>
      </c>
      <c r="G434" s="169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170"/>
      <c r="W434" s="170"/>
      <c r="X434" s="170"/>
    </row>
    <row r="435">
      <c r="A435" s="2"/>
      <c r="B435" s="46" t="s">
        <v>175</v>
      </c>
      <c r="C435" s="11">
        <v>180.0</v>
      </c>
      <c r="D435" s="173"/>
      <c r="E435" s="32" t="s">
        <v>4274</v>
      </c>
      <c r="F435" s="174">
        <f>'ПРАЙС_ЛИСТ'!F482</f>
        <v>5000</v>
      </c>
      <c r="G435" s="169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170"/>
      <c r="W435" s="170"/>
      <c r="X435" s="170"/>
    </row>
    <row r="436">
      <c r="A436" s="2"/>
      <c r="B436" s="46" t="s">
        <v>175</v>
      </c>
      <c r="C436" s="11">
        <v>180.0</v>
      </c>
      <c r="D436" s="173"/>
      <c r="E436" s="32" t="s">
        <v>4275</v>
      </c>
      <c r="F436" s="185">
        <f>IF('ПРАЙС_ЛИСТ'!F483 = G436, 0, 'ПРАЙС_ЛИСТ'!F483)</f>
        <v>0</v>
      </c>
      <c r="G436" s="186">
        <f>'БД_УСЛУГИ_РО'!P387</f>
        <v>2600</v>
      </c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170"/>
      <c r="W436" s="170"/>
      <c r="X436" s="170"/>
    </row>
    <row r="437">
      <c r="A437" s="2"/>
      <c r="B437" s="46" t="s">
        <v>175</v>
      </c>
      <c r="C437" s="11">
        <v>90.0</v>
      </c>
      <c r="D437" s="173"/>
      <c r="E437" s="32" t="s">
        <v>4276</v>
      </c>
      <c r="F437" s="174">
        <f>'ПРАЙС_ЛИСТ'!F484</f>
        <v>2000</v>
      </c>
      <c r="G437" s="169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170"/>
      <c r="W437" s="170"/>
      <c r="X437" s="170"/>
    </row>
    <row r="438">
      <c r="A438" s="2"/>
      <c r="B438" s="46" t="s">
        <v>175</v>
      </c>
      <c r="C438" s="11">
        <v>90.0</v>
      </c>
      <c r="D438" s="173"/>
      <c r="E438" s="32" t="s">
        <v>4277</v>
      </c>
      <c r="F438" s="174">
        <f>'ПРАЙС_ЛИСТ'!F485</f>
        <v>4000</v>
      </c>
      <c r="G438" s="169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170"/>
      <c r="W438" s="170"/>
      <c r="X438" s="170"/>
    </row>
    <row r="439">
      <c r="A439" s="2"/>
      <c r="B439" s="46" t="s">
        <v>175</v>
      </c>
      <c r="C439" s="11">
        <v>90.0</v>
      </c>
      <c r="D439" s="173"/>
      <c r="E439" s="32" t="s">
        <v>4278</v>
      </c>
      <c r="F439" s="174">
        <f>'ПРАЙС_ЛИСТ'!F486</f>
        <v>4000</v>
      </c>
      <c r="G439" s="169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170"/>
      <c r="W439" s="170"/>
      <c r="X439" s="170"/>
    </row>
    <row r="440">
      <c r="A440" s="2"/>
      <c r="B440" s="46" t="s">
        <v>175</v>
      </c>
      <c r="C440" s="11">
        <v>90.0</v>
      </c>
      <c r="D440" s="173"/>
      <c r="E440" s="32" t="s">
        <v>4279</v>
      </c>
      <c r="F440" s="174">
        <f>'ПРАЙС_ЛИСТ'!F487</f>
        <v>4400</v>
      </c>
      <c r="G440" s="169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170"/>
      <c r="W440" s="170"/>
      <c r="X440" s="170"/>
    </row>
    <row r="441">
      <c r="A441" s="2"/>
      <c r="B441" s="46" t="s">
        <v>175</v>
      </c>
      <c r="C441" s="11">
        <v>90.0</v>
      </c>
      <c r="D441" s="173"/>
      <c r="E441" s="32" t="s">
        <v>4280</v>
      </c>
      <c r="F441" s="174">
        <f>'ПРАЙС_ЛИСТ'!F488</f>
        <v>2200</v>
      </c>
      <c r="G441" s="169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170"/>
      <c r="W441" s="170"/>
      <c r="X441" s="170"/>
    </row>
    <row r="442">
      <c r="A442" s="2"/>
      <c r="B442" s="46" t="s">
        <v>175</v>
      </c>
      <c r="C442" s="11">
        <v>90.0</v>
      </c>
      <c r="D442" s="173"/>
      <c r="E442" s="32" t="s">
        <v>4281</v>
      </c>
      <c r="F442" s="174">
        <f>'ПРАЙС_ЛИСТ'!F489</f>
        <v>2500</v>
      </c>
      <c r="G442" s="169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170"/>
      <c r="W442" s="170"/>
      <c r="X442" s="170"/>
    </row>
    <row r="443">
      <c r="A443" s="2"/>
      <c r="B443" s="46" t="s">
        <v>175</v>
      </c>
      <c r="C443" s="11">
        <v>90.0</v>
      </c>
      <c r="D443" s="173"/>
      <c r="E443" s="32" t="s">
        <v>4282</v>
      </c>
      <c r="F443" s="174">
        <f>'ПРАЙС_ЛИСТ'!F490</f>
        <v>7700</v>
      </c>
      <c r="G443" s="169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170"/>
      <c r="W443" s="170"/>
      <c r="X443" s="170"/>
    </row>
    <row r="444">
      <c r="A444" s="2"/>
      <c r="B444" s="48" t="s">
        <v>175</v>
      </c>
      <c r="C444" s="36">
        <v>90.0</v>
      </c>
      <c r="D444" s="178"/>
      <c r="E444" s="49" t="s">
        <v>4283</v>
      </c>
      <c r="F444" s="179">
        <f>'ПРАЙС_ЛИСТ'!F491</f>
        <v>8200</v>
      </c>
      <c r="G444" s="169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170"/>
      <c r="W444" s="170"/>
      <c r="X444" s="170"/>
    </row>
    <row r="445">
      <c r="A445" s="2"/>
      <c r="B445" s="1"/>
      <c r="C445" s="1"/>
      <c r="D445" s="180"/>
      <c r="E445" s="30"/>
      <c r="F445" s="21"/>
      <c r="G445" s="169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170"/>
      <c r="W445" s="170"/>
      <c r="X445" s="170"/>
    </row>
    <row r="446">
      <c r="A446" s="2"/>
      <c r="B446" s="41" t="s">
        <v>183</v>
      </c>
      <c r="C446" s="42">
        <v>0.0</v>
      </c>
      <c r="D446" s="181"/>
      <c r="E446" s="43" t="s">
        <v>4284</v>
      </c>
      <c r="F446" s="182">
        <v>0.0</v>
      </c>
      <c r="G446" s="169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170"/>
      <c r="W446" s="170"/>
      <c r="X446" s="170"/>
    </row>
    <row r="447">
      <c r="A447" s="2"/>
      <c r="B447" s="46" t="s">
        <v>183</v>
      </c>
      <c r="C447" s="11">
        <v>0.0</v>
      </c>
      <c r="D447" s="173" t="s">
        <v>4285</v>
      </c>
      <c r="E447" s="32" t="s">
        <v>4286</v>
      </c>
      <c r="F447" s="174">
        <f>'ПРАЙС_ЛИСТ'!F495</f>
        <v>400</v>
      </c>
      <c r="G447" s="169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170"/>
      <c r="W447" s="170"/>
      <c r="X447" s="170"/>
    </row>
    <row r="448">
      <c r="A448" s="2"/>
      <c r="B448" s="46" t="s">
        <v>183</v>
      </c>
      <c r="C448" s="11">
        <v>0.0</v>
      </c>
      <c r="D448" s="189" t="s">
        <v>4287</v>
      </c>
      <c r="E448" s="32" t="s">
        <v>4288</v>
      </c>
      <c r="F448" s="174">
        <f>'ПРАЙС_ЛИСТ'!F496</f>
        <v>2000</v>
      </c>
      <c r="G448" s="169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170"/>
      <c r="W448" s="170"/>
      <c r="X448" s="170"/>
    </row>
    <row r="449">
      <c r="A449" s="2"/>
      <c r="B449" s="46" t="s">
        <v>183</v>
      </c>
      <c r="C449" s="11">
        <v>180.0</v>
      </c>
      <c r="D449" s="173" t="s">
        <v>4289</v>
      </c>
      <c r="E449" s="32" t="s">
        <v>4290</v>
      </c>
      <c r="F449" s="174">
        <f>'ПРАЙС_ЛИСТ'!F497</f>
        <v>3200</v>
      </c>
      <c r="G449" s="169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170"/>
      <c r="W449" s="170"/>
      <c r="X449" s="170"/>
    </row>
    <row r="450">
      <c r="A450" s="2"/>
      <c r="B450" s="46" t="s">
        <v>183</v>
      </c>
      <c r="C450" s="11">
        <v>180.0</v>
      </c>
      <c r="D450" s="173"/>
      <c r="E450" s="32" t="s">
        <v>4291</v>
      </c>
      <c r="F450" s="174">
        <f>'ПРАЙС_ЛИСТ'!F498</f>
        <v>5400</v>
      </c>
      <c r="G450" s="169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170"/>
      <c r="W450" s="170"/>
      <c r="X450" s="170"/>
    </row>
    <row r="451">
      <c r="A451" s="2"/>
      <c r="B451" s="46" t="s">
        <v>183</v>
      </c>
      <c r="C451" s="11">
        <v>90.0</v>
      </c>
      <c r="D451" s="173" t="s">
        <v>4292</v>
      </c>
      <c r="E451" s="32" t="s">
        <v>4293</v>
      </c>
      <c r="F451" s="174">
        <f>'ПРАЙС_ЛИСТ'!F499</f>
        <v>3500</v>
      </c>
      <c r="G451" s="169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170"/>
      <c r="W451" s="170"/>
      <c r="X451" s="170"/>
    </row>
    <row r="452">
      <c r="A452" s="2"/>
      <c r="B452" s="46" t="s">
        <v>183</v>
      </c>
      <c r="C452" s="11">
        <v>90.0</v>
      </c>
      <c r="D452" s="173" t="s">
        <v>1139</v>
      </c>
      <c r="E452" s="32" t="s">
        <v>4294</v>
      </c>
      <c r="F452" s="174">
        <f>IFERROR(__xludf.DUMMYFUNCTION("MIN(FILTER('ПРАЙС_ЛИСТ'!F500:F502, 'ПРАЙС_ЛИСТ'!F500:F502 &lt;&gt; 'ПРАЙС_ЛИСТ'!H500:H502))"),5500.0)</f>
        <v>5500</v>
      </c>
      <c r="G452" s="169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170"/>
      <c r="W452" s="170"/>
      <c r="X452" s="170"/>
    </row>
    <row r="453">
      <c r="A453" s="2"/>
      <c r="B453" s="46" t="s">
        <v>183</v>
      </c>
      <c r="C453" s="11">
        <v>90.0</v>
      </c>
      <c r="D453" s="173"/>
      <c r="E453" s="32" t="s">
        <v>4295</v>
      </c>
      <c r="F453" s="174">
        <f>IFERROR(__xludf.DUMMYFUNCTION("MAX(FILTER('ПРАЙС_ЛИСТ'!F500:F502, 'ПРАЙС_ЛИСТ'!F500:F502 &lt;&gt; 'ПРАЙС_ЛИСТ'!H500:H502))"),6100.0)</f>
        <v>6100</v>
      </c>
      <c r="G453" s="169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170"/>
      <c r="W453" s="170"/>
      <c r="X453" s="170"/>
    </row>
    <row r="454">
      <c r="A454" s="2"/>
      <c r="B454" s="46" t="s">
        <v>183</v>
      </c>
      <c r="C454" s="11">
        <v>90.0</v>
      </c>
      <c r="D454" s="173" t="s">
        <v>4296</v>
      </c>
      <c r="E454" s="32" t="s">
        <v>4297</v>
      </c>
      <c r="F454" s="174">
        <f>'ПРАЙС_ЛИСТ'!F504</f>
        <v>4000</v>
      </c>
      <c r="G454" s="169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170"/>
      <c r="W454" s="170"/>
      <c r="X454" s="170"/>
    </row>
    <row r="455">
      <c r="A455" s="2"/>
      <c r="B455" s="46" t="s">
        <v>183</v>
      </c>
      <c r="C455" s="11">
        <v>90.0</v>
      </c>
      <c r="D455" s="173"/>
      <c r="E455" s="32" t="s">
        <v>4298</v>
      </c>
      <c r="F455" s="174">
        <f>'ПРАЙС_ЛИСТ'!F505</f>
        <v>4500</v>
      </c>
      <c r="G455" s="169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170"/>
      <c r="W455" s="170"/>
      <c r="X455" s="170"/>
    </row>
    <row r="456">
      <c r="A456" s="2"/>
      <c r="B456" s="46" t="s">
        <v>183</v>
      </c>
      <c r="C456" s="11">
        <v>90.0</v>
      </c>
      <c r="D456" s="173" t="s">
        <v>4299</v>
      </c>
      <c r="E456" s="32" t="s">
        <v>4300</v>
      </c>
      <c r="F456" s="174">
        <f>'ПРАЙС_ЛИСТ'!F506</f>
        <v>4500</v>
      </c>
      <c r="G456" s="169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170"/>
      <c r="W456" s="170"/>
      <c r="X456" s="170"/>
    </row>
    <row r="457">
      <c r="A457" s="2"/>
      <c r="B457" s="46" t="s">
        <v>183</v>
      </c>
      <c r="C457" s="11">
        <v>90.0</v>
      </c>
      <c r="D457" s="173" t="s">
        <v>4301</v>
      </c>
      <c r="E457" s="32" t="s">
        <v>4302</v>
      </c>
      <c r="F457" s="174">
        <f>'ПРАЙС_ЛИСТ'!F507</f>
        <v>5900</v>
      </c>
      <c r="G457" s="169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170"/>
      <c r="W457" s="170"/>
      <c r="X457" s="170"/>
    </row>
    <row r="458">
      <c r="A458" s="2"/>
      <c r="B458" s="46" t="s">
        <v>183</v>
      </c>
      <c r="C458" s="11">
        <v>90.0</v>
      </c>
      <c r="D458" s="173" t="s">
        <v>4303</v>
      </c>
      <c r="E458" s="32" t="s">
        <v>4304</v>
      </c>
      <c r="F458" s="174">
        <f>'ПРАЙС_ЛИСТ'!F508</f>
        <v>2000</v>
      </c>
      <c r="G458" s="169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170"/>
      <c r="W458" s="170"/>
      <c r="X458" s="170"/>
    </row>
    <row r="459">
      <c r="A459" s="2"/>
      <c r="B459" s="46" t="s">
        <v>183</v>
      </c>
      <c r="C459" s="11">
        <v>90.0</v>
      </c>
      <c r="D459" s="173" t="s">
        <v>4305</v>
      </c>
      <c r="E459" s="32" t="s">
        <v>4306</v>
      </c>
      <c r="F459" s="188">
        <f>'ПРАЙС_ЛИСТ'!F509</f>
        <v>5000</v>
      </c>
      <c r="G459" s="169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170"/>
      <c r="W459" s="170"/>
      <c r="X459" s="170"/>
    </row>
    <row r="460">
      <c r="A460" s="2"/>
      <c r="B460" s="46" t="s">
        <v>183</v>
      </c>
      <c r="C460" s="11">
        <v>180.0</v>
      </c>
      <c r="D460" s="173" t="s">
        <v>4307</v>
      </c>
      <c r="E460" s="32" t="s">
        <v>4308</v>
      </c>
      <c r="F460" s="174">
        <f>'ПРАЙС_ЛИСТ'!F510</f>
        <v>6000</v>
      </c>
      <c r="G460" s="169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170"/>
      <c r="W460" s="170"/>
      <c r="X460" s="170"/>
    </row>
    <row r="461">
      <c r="A461" s="2"/>
      <c r="B461" s="46" t="s">
        <v>183</v>
      </c>
      <c r="C461" s="11">
        <v>180.0</v>
      </c>
      <c r="D461" s="173" t="s">
        <v>4309</v>
      </c>
      <c r="E461" s="32" t="s">
        <v>4310</v>
      </c>
      <c r="F461" s="185">
        <f>IF('ПРАЙС_ЛИСТ'!F511 = G461, 0, 'ПРАЙС_ЛИСТ'!F511)</f>
        <v>0</v>
      </c>
      <c r="G461" s="186">
        <f>'БД_УСЛУГИ_РО'!P414</f>
        <v>3300</v>
      </c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170"/>
      <c r="W461" s="170"/>
      <c r="X461" s="170"/>
    </row>
    <row r="462">
      <c r="A462" s="2"/>
      <c r="B462" s="46" t="s">
        <v>183</v>
      </c>
      <c r="C462" s="11">
        <v>90.0</v>
      </c>
      <c r="D462" s="173" t="s">
        <v>4311</v>
      </c>
      <c r="E462" s="32" t="s">
        <v>4312</v>
      </c>
      <c r="F462" s="174">
        <f>'ПРАЙС_ЛИСТ'!F512</f>
        <v>3000</v>
      </c>
      <c r="G462" s="169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170"/>
      <c r="W462" s="170"/>
      <c r="X462" s="170"/>
    </row>
    <row r="463">
      <c r="A463" s="2"/>
      <c r="B463" s="46" t="s">
        <v>183</v>
      </c>
      <c r="C463" s="11">
        <v>90.0</v>
      </c>
      <c r="D463" s="173" t="s">
        <v>4313</v>
      </c>
      <c r="E463" s="32" t="s">
        <v>4314</v>
      </c>
      <c r="F463" s="174">
        <f>'ПРАЙС_ЛИСТ'!F513</f>
        <v>3500</v>
      </c>
      <c r="G463" s="169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170"/>
      <c r="W463" s="170"/>
      <c r="X463" s="170"/>
    </row>
    <row r="464">
      <c r="A464" s="2"/>
      <c r="B464" s="46" t="s">
        <v>183</v>
      </c>
      <c r="C464" s="11">
        <v>90.0</v>
      </c>
      <c r="D464" s="173" t="s">
        <v>4315</v>
      </c>
      <c r="E464" s="32" t="s">
        <v>4316</v>
      </c>
      <c r="F464" s="174">
        <f>'ПРАЙС_ЛИСТ'!F514</f>
        <v>3500</v>
      </c>
      <c r="G464" s="169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170"/>
      <c r="W464" s="170"/>
      <c r="X464" s="170"/>
    </row>
    <row r="465">
      <c r="A465" s="2"/>
      <c r="B465" s="46" t="s">
        <v>183</v>
      </c>
      <c r="C465" s="11">
        <v>90.0</v>
      </c>
      <c r="D465" s="173" t="s">
        <v>4317</v>
      </c>
      <c r="E465" s="32" t="s">
        <v>4318</v>
      </c>
      <c r="F465" s="174">
        <f>'ПРАЙС_ЛИСТ'!F515</f>
        <v>3700</v>
      </c>
      <c r="G465" s="169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170"/>
      <c r="W465" s="170"/>
      <c r="X465" s="170"/>
    </row>
    <row r="466">
      <c r="A466" s="2"/>
      <c r="B466" s="46" t="s">
        <v>183</v>
      </c>
      <c r="C466" s="11">
        <v>90.0</v>
      </c>
      <c r="D466" s="173" t="s">
        <v>1153</v>
      </c>
      <c r="E466" s="32" t="s">
        <v>4319</v>
      </c>
      <c r="F466" s="174">
        <f>'ПРАЙС_ЛИСТ'!F516</f>
        <v>3000</v>
      </c>
      <c r="G466" s="169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170"/>
      <c r="W466" s="170"/>
      <c r="X466" s="170"/>
    </row>
    <row r="467">
      <c r="A467" s="2"/>
      <c r="B467" s="46" t="s">
        <v>183</v>
      </c>
      <c r="C467" s="11">
        <v>90.0</v>
      </c>
      <c r="D467" s="173" t="s">
        <v>4320</v>
      </c>
      <c r="E467" s="32" t="s">
        <v>4321</v>
      </c>
      <c r="F467" s="174">
        <f>'ПРАЙС_ЛИСТ'!F517</f>
        <v>3500</v>
      </c>
      <c r="G467" s="169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170"/>
      <c r="W467" s="170"/>
      <c r="X467" s="170"/>
    </row>
    <row r="468">
      <c r="A468" s="2"/>
      <c r="B468" s="46" t="s">
        <v>183</v>
      </c>
      <c r="C468" s="11">
        <v>90.0</v>
      </c>
      <c r="D468" s="173" t="s">
        <v>4322</v>
      </c>
      <c r="E468" s="32" t="s">
        <v>4323</v>
      </c>
      <c r="F468" s="174">
        <f>'ПРАЙС_ЛИСТ'!F518</f>
        <v>9000</v>
      </c>
      <c r="G468" s="169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170"/>
      <c r="W468" s="170"/>
      <c r="X468" s="170"/>
    </row>
    <row r="469">
      <c r="A469" s="2"/>
      <c r="B469" s="48" t="s">
        <v>183</v>
      </c>
      <c r="C469" s="36">
        <v>90.0</v>
      </c>
      <c r="D469" s="178" t="s">
        <v>4324</v>
      </c>
      <c r="E469" s="49" t="s">
        <v>4325</v>
      </c>
      <c r="F469" s="179">
        <f>'ПРАЙС_ЛИСТ'!F519</f>
        <v>9500</v>
      </c>
      <c r="G469" s="169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170"/>
      <c r="W469" s="170"/>
      <c r="X469" s="170"/>
    </row>
    <row r="470">
      <c r="A470" s="2"/>
      <c r="B470" s="1"/>
      <c r="C470" s="1"/>
      <c r="D470" s="180"/>
      <c r="E470" s="30"/>
      <c r="F470" s="21"/>
      <c r="G470" s="169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170"/>
      <c r="W470" s="170"/>
      <c r="X470" s="170"/>
    </row>
    <row r="471">
      <c r="A471" s="2"/>
      <c r="B471" s="41" t="s">
        <v>185</v>
      </c>
      <c r="C471" s="42">
        <v>0.0</v>
      </c>
      <c r="D471" s="181"/>
      <c r="E471" s="43" t="s">
        <v>4326</v>
      </c>
      <c r="F471" s="182">
        <v>0.0</v>
      </c>
      <c r="G471" s="169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170"/>
      <c r="W471" s="170"/>
      <c r="X471" s="170"/>
    </row>
    <row r="472">
      <c r="A472" s="2"/>
      <c r="B472" s="46" t="s">
        <v>185</v>
      </c>
      <c r="C472" s="11">
        <v>0.0</v>
      </c>
      <c r="D472" s="173" t="s">
        <v>4327</v>
      </c>
      <c r="E472" s="32" t="s">
        <v>4328</v>
      </c>
      <c r="F472" s="174">
        <f>'ПРАЙС_ЛИСТ'!F523</f>
        <v>400</v>
      </c>
      <c r="G472" s="169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170"/>
      <c r="W472" s="170"/>
      <c r="X472" s="170"/>
    </row>
    <row r="473">
      <c r="A473" s="2"/>
      <c r="B473" s="46" t="s">
        <v>185</v>
      </c>
      <c r="C473" s="11">
        <v>0.0</v>
      </c>
      <c r="D473" s="173"/>
      <c r="E473" s="32" t="s">
        <v>4329</v>
      </c>
      <c r="F473" s="174">
        <f>'ПРАЙС_ЛИСТ'!F524</f>
        <v>2500</v>
      </c>
      <c r="G473" s="169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170"/>
      <c r="W473" s="170"/>
      <c r="X473" s="170"/>
    </row>
    <row r="474">
      <c r="A474" s="2"/>
      <c r="B474" s="46" t="s">
        <v>185</v>
      </c>
      <c r="C474" s="11">
        <v>180.0</v>
      </c>
      <c r="D474" s="173" t="s">
        <v>4330</v>
      </c>
      <c r="E474" s="32" t="s">
        <v>4331</v>
      </c>
      <c r="F474" s="174">
        <f>'ПРАЙС_ЛИСТ'!F525</f>
        <v>4000</v>
      </c>
      <c r="G474" s="169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170"/>
      <c r="W474" s="170"/>
      <c r="X474" s="170"/>
    </row>
    <row r="475">
      <c r="A475" s="2"/>
      <c r="B475" s="46" t="s">
        <v>185</v>
      </c>
      <c r="C475" s="11">
        <v>180.0</v>
      </c>
      <c r="D475" s="173"/>
      <c r="E475" s="32" t="s">
        <v>4332</v>
      </c>
      <c r="F475" s="174">
        <f>'ПРАЙС_ЛИСТ'!F526</f>
        <v>6200</v>
      </c>
      <c r="G475" s="169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170"/>
      <c r="W475" s="170"/>
      <c r="X475" s="170"/>
    </row>
    <row r="476">
      <c r="A476" s="2"/>
      <c r="B476" s="46" t="s">
        <v>185</v>
      </c>
      <c r="C476" s="11">
        <v>90.0</v>
      </c>
      <c r="D476" s="173" t="s">
        <v>4333</v>
      </c>
      <c r="E476" s="32" t="s">
        <v>4334</v>
      </c>
      <c r="F476" s="174">
        <f>'ПРАЙС_ЛИСТ'!F527</f>
        <v>4850</v>
      </c>
      <c r="G476" s="169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170"/>
      <c r="W476" s="170"/>
      <c r="X476" s="170"/>
    </row>
    <row r="477">
      <c r="A477" s="2"/>
      <c r="B477" s="46" t="s">
        <v>185</v>
      </c>
      <c r="C477" s="11">
        <v>90.0</v>
      </c>
      <c r="D477" s="173" t="s">
        <v>4335</v>
      </c>
      <c r="E477" s="32" t="s">
        <v>4336</v>
      </c>
      <c r="F477" s="174">
        <f>IFERROR(__xludf.DUMMYFUNCTION("MIN(FILTER('ПРАЙС_ЛИСТ'!F528:F530, 'ПРАЙС_ЛИСТ'!F528:F530 &lt;&gt; 'ПРАЙС_ЛИСТ'!H528:H530))"),9000.0)</f>
        <v>9000</v>
      </c>
      <c r="G477" s="169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170"/>
      <c r="W477" s="170"/>
      <c r="X477" s="170"/>
    </row>
    <row r="478">
      <c r="A478" s="2"/>
      <c r="B478" s="46" t="s">
        <v>185</v>
      </c>
      <c r="C478" s="11">
        <v>90.0</v>
      </c>
      <c r="D478" s="173"/>
      <c r="E478" s="32" t="s">
        <v>4337</v>
      </c>
      <c r="F478" s="174">
        <f>IFERROR(__xludf.DUMMYFUNCTION("MAX(FILTER('ПРАЙС_ЛИСТ'!F528:F530, 'ПРАЙС_ЛИСТ'!F528:F530 &lt;&gt; 'ПРАЙС_ЛИСТ'!H528:H530))"),9500.0)</f>
        <v>9500</v>
      </c>
      <c r="G478" s="169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170"/>
      <c r="W478" s="170"/>
      <c r="X478" s="170"/>
    </row>
    <row r="479">
      <c r="A479" s="2"/>
      <c r="B479" s="46" t="s">
        <v>185</v>
      </c>
      <c r="C479" s="11">
        <v>90.0</v>
      </c>
      <c r="D479" s="173" t="s">
        <v>4338</v>
      </c>
      <c r="E479" s="32" t="s">
        <v>4339</v>
      </c>
      <c r="F479" s="174">
        <f>'ПРАЙС_ЛИСТ'!F532</f>
        <v>6000</v>
      </c>
      <c r="G479" s="169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170"/>
      <c r="W479" s="170"/>
      <c r="X479" s="170"/>
    </row>
    <row r="480">
      <c r="A480" s="2"/>
      <c r="B480" s="46" t="s">
        <v>185</v>
      </c>
      <c r="C480" s="11">
        <v>90.0</v>
      </c>
      <c r="D480" s="173"/>
      <c r="E480" s="32" t="s">
        <v>4340</v>
      </c>
      <c r="F480" s="174">
        <f>'ПРАЙС_ЛИСТ'!F533</f>
        <v>7000</v>
      </c>
      <c r="G480" s="169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170"/>
      <c r="W480" s="170"/>
      <c r="X480" s="170"/>
    </row>
    <row r="481">
      <c r="A481" s="2"/>
      <c r="B481" s="46" t="s">
        <v>185</v>
      </c>
      <c r="C481" s="11">
        <v>90.0</v>
      </c>
      <c r="D481" s="173" t="s">
        <v>4341</v>
      </c>
      <c r="E481" s="32" t="s">
        <v>4342</v>
      </c>
      <c r="F481" s="174">
        <f>'ПРАЙС_ЛИСТ'!F534</f>
        <v>7500</v>
      </c>
      <c r="G481" s="169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170"/>
      <c r="W481" s="170"/>
      <c r="X481" s="170"/>
    </row>
    <row r="482">
      <c r="A482" s="2"/>
      <c r="B482" s="46" t="s">
        <v>185</v>
      </c>
      <c r="C482" s="11">
        <v>90.0</v>
      </c>
      <c r="D482" s="173" t="s">
        <v>4343</v>
      </c>
      <c r="E482" s="32" t="s">
        <v>4344</v>
      </c>
      <c r="F482" s="174">
        <f>'ПРАЙС_ЛИСТ'!F535</f>
        <v>5900</v>
      </c>
      <c r="G482" s="169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170"/>
      <c r="W482" s="170"/>
      <c r="X482" s="170"/>
    </row>
    <row r="483">
      <c r="A483" s="2"/>
      <c r="B483" s="46" t="s">
        <v>185</v>
      </c>
      <c r="C483" s="11">
        <v>90.0</v>
      </c>
      <c r="D483" s="173" t="s">
        <v>4345</v>
      </c>
      <c r="E483" s="32" t="s">
        <v>4346</v>
      </c>
      <c r="F483" s="174">
        <f>'ПРАЙС_ЛИСТ'!F536</f>
        <v>2500</v>
      </c>
      <c r="G483" s="169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170"/>
      <c r="W483" s="170"/>
      <c r="X483" s="170"/>
    </row>
    <row r="484">
      <c r="A484" s="2"/>
      <c r="B484" s="46" t="s">
        <v>185</v>
      </c>
      <c r="C484" s="11">
        <v>90.0</v>
      </c>
      <c r="D484" s="173" t="s">
        <v>4347</v>
      </c>
      <c r="E484" s="32" t="s">
        <v>4348</v>
      </c>
      <c r="F484" s="188">
        <f>'ПРАЙС_ЛИСТ'!F537</f>
        <v>5000</v>
      </c>
      <c r="G484" s="169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170"/>
      <c r="W484" s="170"/>
      <c r="X484" s="170"/>
    </row>
    <row r="485">
      <c r="A485" s="2"/>
      <c r="B485" s="46" t="s">
        <v>185</v>
      </c>
      <c r="C485" s="11">
        <v>180.0</v>
      </c>
      <c r="D485" s="173" t="s">
        <v>4349</v>
      </c>
      <c r="E485" s="32" t="s">
        <v>4350</v>
      </c>
      <c r="F485" s="174">
        <f>'ПРАЙС_ЛИСТ'!F538</f>
        <v>6000</v>
      </c>
      <c r="G485" s="169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170"/>
      <c r="W485" s="170"/>
      <c r="X485" s="170"/>
    </row>
    <row r="486">
      <c r="A486" s="2"/>
      <c r="B486" s="46" t="s">
        <v>185</v>
      </c>
      <c r="C486" s="11">
        <v>180.0</v>
      </c>
      <c r="D486" s="173" t="s">
        <v>4351</v>
      </c>
      <c r="E486" s="32" t="s">
        <v>4352</v>
      </c>
      <c r="F486" s="185">
        <f>IF('ПРАЙС_ЛИСТ'!F539 = G486, 0, 'ПРАЙС_ЛИСТ'!F539)</f>
        <v>0</v>
      </c>
      <c r="G486" s="186">
        <f>'БД_УСЛУГИ_РО'!P441</f>
        <v>3300</v>
      </c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170"/>
      <c r="W486" s="170"/>
      <c r="X486" s="170"/>
    </row>
    <row r="487">
      <c r="A487" s="2"/>
      <c r="B487" s="46" t="s">
        <v>185</v>
      </c>
      <c r="C487" s="11">
        <v>90.0</v>
      </c>
      <c r="D487" s="173" t="s">
        <v>4353</v>
      </c>
      <c r="E487" s="32" t="s">
        <v>4354</v>
      </c>
      <c r="F487" s="174">
        <f>'ПРАЙС_ЛИСТ'!F540</f>
        <v>3000</v>
      </c>
      <c r="G487" s="169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170"/>
      <c r="W487" s="170"/>
      <c r="X487" s="170"/>
    </row>
    <row r="488">
      <c r="A488" s="2"/>
      <c r="B488" s="46" t="s">
        <v>185</v>
      </c>
      <c r="C488" s="11">
        <v>90.0</v>
      </c>
      <c r="D488" s="173" t="s">
        <v>4355</v>
      </c>
      <c r="E488" s="32" t="s">
        <v>4356</v>
      </c>
      <c r="F488" s="174">
        <f>'ПРАЙС_ЛИСТ'!F541</f>
        <v>4000</v>
      </c>
      <c r="G488" s="169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170"/>
      <c r="W488" s="170"/>
      <c r="X488" s="170"/>
    </row>
    <row r="489">
      <c r="A489" s="2"/>
      <c r="B489" s="46" t="s">
        <v>185</v>
      </c>
      <c r="C489" s="11">
        <v>90.0</v>
      </c>
      <c r="D489" s="173" t="s">
        <v>4357</v>
      </c>
      <c r="E489" s="32" t="s">
        <v>4358</v>
      </c>
      <c r="F489" s="174">
        <f>'ПРАЙС_ЛИСТ'!F542</f>
        <v>4000</v>
      </c>
      <c r="G489" s="169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170"/>
      <c r="W489" s="170"/>
      <c r="X489" s="170"/>
    </row>
    <row r="490">
      <c r="A490" s="2"/>
      <c r="B490" s="46" t="s">
        <v>185</v>
      </c>
      <c r="C490" s="11">
        <v>90.0</v>
      </c>
      <c r="D490" s="173" t="s">
        <v>4359</v>
      </c>
      <c r="E490" s="32" t="s">
        <v>4360</v>
      </c>
      <c r="F490" s="174">
        <f>'ПРАЙС_ЛИСТ'!F543</f>
        <v>5250</v>
      </c>
      <c r="G490" s="169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170"/>
      <c r="W490" s="170"/>
      <c r="X490" s="170"/>
    </row>
    <row r="491">
      <c r="A491" s="2"/>
      <c r="B491" s="46" t="s">
        <v>185</v>
      </c>
      <c r="C491" s="11">
        <v>90.0</v>
      </c>
      <c r="D491" s="173" t="s">
        <v>1134</v>
      </c>
      <c r="E491" s="32" t="s">
        <v>4361</v>
      </c>
      <c r="F491" s="174">
        <f>'ПРАЙС_ЛИСТ'!F544</f>
        <v>3000</v>
      </c>
      <c r="G491" s="169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170"/>
      <c r="W491" s="170"/>
      <c r="X491" s="170"/>
    </row>
    <row r="492">
      <c r="A492" s="2"/>
      <c r="B492" s="46" t="s">
        <v>185</v>
      </c>
      <c r="C492" s="11">
        <v>90.0</v>
      </c>
      <c r="D492" s="173" t="s">
        <v>4362</v>
      </c>
      <c r="E492" s="32" t="s">
        <v>4363</v>
      </c>
      <c r="F492" s="174">
        <f>'ПРАЙС_ЛИСТ'!F545</f>
        <v>3500</v>
      </c>
      <c r="G492" s="169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170"/>
      <c r="W492" s="170"/>
      <c r="X492" s="170"/>
    </row>
    <row r="493">
      <c r="A493" s="2"/>
      <c r="B493" s="46" t="s">
        <v>185</v>
      </c>
      <c r="C493" s="11">
        <v>90.0</v>
      </c>
      <c r="D493" s="173" t="s">
        <v>4364</v>
      </c>
      <c r="E493" s="32" t="s">
        <v>4365</v>
      </c>
      <c r="F493" s="174">
        <f>'ПРАЙС_ЛИСТ'!F546</f>
        <v>9500</v>
      </c>
      <c r="G493" s="169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170"/>
      <c r="W493" s="170"/>
      <c r="X493" s="170"/>
    </row>
    <row r="494">
      <c r="A494" s="2"/>
      <c r="B494" s="48" t="s">
        <v>185</v>
      </c>
      <c r="C494" s="36">
        <v>90.0</v>
      </c>
      <c r="D494" s="178" t="s">
        <v>4366</v>
      </c>
      <c r="E494" s="49" t="s">
        <v>4367</v>
      </c>
      <c r="F494" s="179">
        <f>'ПРАЙС_ЛИСТ'!F547</f>
        <v>10000</v>
      </c>
      <c r="G494" s="169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170"/>
      <c r="W494" s="170"/>
      <c r="X494" s="170"/>
    </row>
    <row r="495">
      <c r="A495" s="2"/>
      <c r="B495" s="1"/>
      <c r="C495" s="1"/>
      <c r="D495" s="180"/>
      <c r="E495" s="30"/>
      <c r="F495" s="21"/>
      <c r="G495" s="169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170"/>
      <c r="W495" s="170"/>
      <c r="X495" s="170"/>
    </row>
    <row r="496">
      <c r="A496" s="2"/>
      <c r="B496" s="41" t="s">
        <v>193</v>
      </c>
      <c r="C496" s="42">
        <v>0.0</v>
      </c>
      <c r="D496" s="181"/>
      <c r="E496" s="43" t="s">
        <v>4368</v>
      </c>
      <c r="F496" s="182">
        <v>0.0</v>
      </c>
      <c r="G496" s="169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170"/>
      <c r="W496" s="170"/>
      <c r="X496" s="170"/>
    </row>
    <row r="497">
      <c r="A497" s="2"/>
      <c r="B497" s="46" t="s">
        <v>193</v>
      </c>
      <c r="C497" s="11">
        <v>0.0</v>
      </c>
      <c r="D497" s="173" t="s">
        <v>4369</v>
      </c>
      <c r="E497" s="32" t="s">
        <v>4370</v>
      </c>
      <c r="F497" s="174">
        <f>'ПРАЙС_ЛИСТ'!F551</f>
        <v>400</v>
      </c>
      <c r="G497" s="169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170"/>
      <c r="W497" s="170"/>
      <c r="X497" s="170"/>
    </row>
    <row r="498">
      <c r="A498" s="2"/>
      <c r="B498" s="46" t="s">
        <v>193</v>
      </c>
      <c r="C498" s="11">
        <v>0.0</v>
      </c>
      <c r="D498" s="173"/>
      <c r="E498" s="32" t="s">
        <v>4371</v>
      </c>
      <c r="F498" s="174">
        <f>'ПРАЙС_ЛИСТ'!F552</f>
        <v>2500</v>
      </c>
      <c r="G498" s="169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170"/>
      <c r="W498" s="170"/>
      <c r="X498" s="170"/>
    </row>
    <row r="499">
      <c r="A499" s="2"/>
      <c r="B499" s="46" t="s">
        <v>193</v>
      </c>
      <c r="C499" s="11">
        <v>180.0</v>
      </c>
      <c r="D499" s="173" t="s">
        <v>4372</v>
      </c>
      <c r="E499" s="32" t="s">
        <v>4373</v>
      </c>
      <c r="F499" s="174">
        <f>'ПРАЙС_ЛИСТ'!F553</f>
        <v>4000</v>
      </c>
      <c r="G499" s="169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170"/>
      <c r="W499" s="170"/>
      <c r="X499" s="170"/>
    </row>
    <row r="500">
      <c r="A500" s="2"/>
      <c r="B500" s="46" t="s">
        <v>193</v>
      </c>
      <c r="C500" s="11">
        <v>180.0</v>
      </c>
      <c r="D500" s="173"/>
      <c r="E500" s="32" t="s">
        <v>4374</v>
      </c>
      <c r="F500" s="174">
        <f>'ПРАЙС_ЛИСТ'!F554</f>
        <v>6200</v>
      </c>
      <c r="G500" s="169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170"/>
      <c r="W500" s="170"/>
      <c r="X500" s="170"/>
    </row>
    <row r="501">
      <c r="A501" s="2"/>
      <c r="B501" s="46" t="s">
        <v>193</v>
      </c>
      <c r="C501" s="11">
        <v>90.0</v>
      </c>
      <c r="D501" s="173" t="s">
        <v>4375</v>
      </c>
      <c r="E501" s="32" t="s">
        <v>4376</v>
      </c>
      <c r="F501" s="174">
        <f>'ПРАЙС_ЛИСТ'!F555</f>
        <v>5550</v>
      </c>
      <c r="G501" s="169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170"/>
      <c r="W501" s="170"/>
      <c r="X501" s="170"/>
    </row>
    <row r="502">
      <c r="A502" s="2"/>
      <c r="B502" s="46" t="s">
        <v>193</v>
      </c>
      <c r="C502" s="11">
        <v>90.0</v>
      </c>
      <c r="D502" s="173" t="s">
        <v>4377</v>
      </c>
      <c r="E502" s="32" t="s">
        <v>4378</v>
      </c>
      <c r="F502" s="174">
        <f>IFERROR(__xludf.DUMMYFUNCTION("MIN(FILTER('ПРАЙС_ЛИСТ'!F556:F558, 'ПРАЙС_ЛИСТ'!F556:F558 &lt;&gt; 'ПРАЙС_ЛИСТ'!H556:H558))"),9700.0)</f>
        <v>9700</v>
      </c>
      <c r="G502" s="169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170"/>
      <c r="W502" s="170"/>
      <c r="X502" s="170"/>
    </row>
    <row r="503">
      <c r="A503" s="2"/>
      <c r="B503" s="46" t="s">
        <v>193</v>
      </c>
      <c r="C503" s="11">
        <v>90.0</v>
      </c>
      <c r="D503" s="173"/>
      <c r="E503" s="32" t="s">
        <v>4379</v>
      </c>
      <c r="F503" s="174">
        <f>IFERROR(__xludf.DUMMYFUNCTION("MAX(FILTER('ПРАЙС_ЛИСТ'!F556:F558, 'ПРАЙС_ЛИСТ'!F556:F558 &lt;&gt; 'ПРАЙС_ЛИСТ'!H556:H558))"),10350.0)</f>
        <v>10350</v>
      </c>
      <c r="G503" s="169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170"/>
      <c r="W503" s="170"/>
      <c r="X503" s="170"/>
    </row>
    <row r="504">
      <c r="A504" s="2"/>
      <c r="B504" s="46" t="s">
        <v>193</v>
      </c>
      <c r="C504" s="11">
        <v>90.0</v>
      </c>
      <c r="D504" s="173" t="s">
        <v>4380</v>
      </c>
      <c r="E504" s="32" t="s">
        <v>4381</v>
      </c>
      <c r="F504" s="174">
        <f>'ПРАЙС_ЛИСТ'!F560</f>
        <v>6500</v>
      </c>
      <c r="G504" s="169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170"/>
      <c r="W504" s="170"/>
      <c r="X504" s="170"/>
    </row>
    <row r="505">
      <c r="A505" s="2"/>
      <c r="B505" s="46" t="s">
        <v>193</v>
      </c>
      <c r="C505" s="11">
        <v>90.0</v>
      </c>
      <c r="D505" s="173"/>
      <c r="E505" s="32" t="s">
        <v>4382</v>
      </c>
      <c r="F505" s="174">
        <f>'ПРАЙС_ЛИСТ'!F561</f>
        <v>7500</v>
      </c>
      <c r="G505" s="169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170"/>
      <c r="W505" s="170"/>
      <c r="X505" s="170"/>
    </row>
    <row r="506">
      <c r="A506" s="2"/>
      <c r="B506" s="46" t="s">
        <v>193</v>
      </c>
      <c r="C506" s="11">
        <v>90.0</v>
      </c>
      <c r="D506" s="173" t="s">
        <v>4383</v>
      </c>
      <c r="E506" s="32" t="s">
        <v>4384</v>
      </c>
      <c r="F506" s="174">
        <f>'ПРАЙС_ЛИСТ'!F562</f>
        <v>7500</v>
      </c>
      <c r="G506" s="169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170"/>
      <c r="W506" s="170"/>
      <c r="X506" s="170"/>
    </row>
    <row r="507">
      <c r="A507" s="2"/>
      <c r="B507" s="46" t="s">
        <v>193</v>
      </c>
      <c r="C507" s="11">
        <v>90.0</v>
      </c>
      <c r="D507" s="173" t="s">
        <v>4385</v>
      </c>
      <c r="E507" s="32" t="s">
        <v>4386</v>
      </c>
      <c r="F507" s="174">
        <f>'ПРАЙС_ЛИСТ'!F563</f>
        <v>5900</v>
      </c>
      <c r="G507" s="169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170"/>
      <c r="W507" s="170"/>
      <c r="X507" s="170"/>
    </row>
    <row r="508">
      <c r="A508" s="2"/>
      <c r="B508" s="46" t="s">
        <v>193</v>
      </c>
      <c r="C508" s="11">
        <v>90.0</v>
      </c>
      <c r="D508" s="173" t="s">
        <v>4387</v>
      </c>
      <c r="E508" s="32" t="s">
        <v>4388</v>
      </c>
      <c r="F508" s="174">
        <f>'ПРАЙС_ЛИСТ'!F564</f>
        <v>2500</v>
      </c>
      <c r="G508" s="169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170"/>
      <c r="W508" s="170"/>
      <c r="X508" s="170"/>
    </row>
    <row r="509">
      <c r="A509" s="2"/>
      <c r="B509" s="46" t="s">
        <v>193</v>
      </c>
      <c r="C509" s="11">
        <v>90.0</v>
      </c>
      <c r="D509" s="173" t="s">
        <v>4389</v>
      </c>
      <c r="E509" s="32" t="s">
        <v>4390</v>
      </c>
      <c r="F509" s="188">
        <f>'ПРАЙС_ЛИСТ'!F565</f>
        <v>5000</v>
      </c>
      <c r="G509" s="169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170"/>
      <c r="W509" s="170"/>
      <c r="X509" s="170"/>
    </row>
    <row r="510">
      <c r="A510" s="2"/>
      <c r="B510" s="46" t="s">
        <v>193</v>
      </c>
      <c r="C510" s="11">
        <v>180.0</v>
      </c>
      <c r="D510" s="173" t="s">
        <v>4391</v>
      </c>
      <c r="E510" s="32" t="s">
        <v>4392</v>
      </c>
      <c r="F510" s="174">
        <f>'ПРАЙС_ЛИСТ'!F566</f>
        <v>6000</v>
      </c>
      <c r="G510" s="169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170"/>
      <c r="W510" s="170"/>
      <c r="X510" s="170"/>
    </row>
    <row r="511">
      <c r="A511" s="2"/>
      <c r="B511" s="46" t="s">
        <v>193</v>
      </c>
      <c r="C511" s="11">
        <v>180.0</v>
      </c>
      <c r="D511" s="173" t="s">
        <v>4393</v>
      </c>
      <c r="E511" s="32" t="s">
        <v>4394</v>
      </c>
      <c r="F511" s="185">
        <f>IF('ПРАЙС_ЛИСТ'!F567 = G511, 0, 'ПРАЙС_ЛИСТ'!F567)</f>
        <v>0</v>
      </c>
      <c r="G511" s="186">
        <f>'БД_УСЛУГИ_РО'!P468</f>
        <v>3300</v>
      </c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170"/>
      <c r="W511" s="170"/>
      <c r="X511" s="170"/>
    </row>
    <row r="512">
      <c r="A512" s="2"/>
      <c r="B512" s="46" t="s">
        <v>193</v>
      </c>
      <c r="C512" s="11">
        <v>90.0</v>
      </c>
      <c r="D512" s="173" t="s">
        <v>4395</v>
      </c>
      <c r="E512" s="32" t="s">
        <v>4396</v>
      </c>
      <c r="F512" s="174">
        <f>'ПРАЙС_ЛИСТ'!F568</f>
        <v>3000</v>
      </c>
      <c r="G512" s="169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170"/>
      <c r="W512" s="170"/>
      <c r="X512" s="170"/>
    </row>
    <row r="513">
      <c r="A513" s="2"/>
      <c r="B513" s="46" t="s">
        <v>193</v>
      </c>
      <c r="C513" s="11">
        <v>90.0</v>
      </c>
      <c r="D513" s="173" t="s">
        <v>4397</v>
      </c>
      <c r="E513" s="32" t="s">
        <v>4398</v>
      </c>
      <c r="F513" s="174">
        <f>'ПРАЙС_ЛИСТ'!F569</f>
        <v>4500</v>
      </c>
      <c r="G513" s="169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170"/>
      <c r="W513" s="170"/>
      <c r="X513" s="170"/>
    </row>
    <row r="514">
      <c r="A514" s="2"/>
      <c r="B514" s="46" t="s">
        <v>193</v>
      </c>
      <c r="C514" s="11">
        <v>90.0</v>
      </c>
      <c r="D514" s="173" t="s">
        <v>4399</v>
      </c>
      <c r="E514" s="32" t="s">
        <v>4400</v>
      </c>
      <c r="F514" s="174">
        <f>'ПРАЙС_ЛИСТ'!F570</f>
        <v>4500</v>
      </c>
      <c r="G514" s="169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170"/>
      <c r="W514" s="170"/>
      <c r="X514" s="170"/>
    </row>
    <row r="515">
      <c r="A515" s="2"/>
      <c r="B515" s="46" t="s">
        <v>193</v>
      </c>
      <c r="C515" s="11">
        <v>90.0</v>
      </c>
      <c r="D515" s="173" t="s">
        <v>4401</v>
      </c>
      <c r="E515" s="32" t="s">
        <v>4402</v>
      </c>
      <c r="F515" s="174">
        <f>'ПРАЙС_ЛИСТ'!F571</f>
        <v>5950</v>
      </c>
      <c r="G515" s="169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170"/>
      <c r="W515" s="170"/>
      <c r="X515" s="170"/>
    </row>
    <row r="516">
      <c r="A516" s="2"/>
      <c r="B516" s="46" t="s">
        <v>193</v>
      </c>
      <c r="C516" s="11">
        <v>90.0</v>
      </c>
      <c r="D516" s="173" t="s">
        <v>1116</v>
      </c>
      <c r="E516" s="32" t="s">
        <v>4403</v>
      </c>
      <c r="F516" s="174">
        <f>'ПРАЙС_ЛИСТ'!F572</f>
        <v>3000</v>
      </c>
      <c r="G516" s="169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170"/>
      <c r="W516" s="170"/>
      <c r="X516" s="170"/>
    </row>
    <row r="517">
      <c r="A517" s="2"/>
      <c r="B517" s="46" t="s">
        <v>193</v>
      </c>
      <c r="C517" s="11">
        <v>90.0</v>
      </c>
      <c r="D517" s="173" t="s">
        <v>4404</v>
      </c>
      <c r="E517" s="32" t="s">
        <v>4405</v>
      </c>
      <c r="F517" s="174">
        <f>'ПРАЙС_ЛИСТ'!F573</f>
        <v>3500</v>
      </c>
      <c r="G517" s="169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170"/>
      <c r="W517" s="170"/>
      <c r="X517" s="170"/>
    </row>
    <row r="518">
      <c r="A518" s="2"/>
      <c r="B518" s="46" t="s">
        <v>193</v>
      </c>
      <c r="C518" s="11">
        <v>90.0</v>
      </c>
      <c r="D518" s="173" t="s">
        <v>4406</v>
      </c>
      <c r="E518" s="32" t="s">
        <v>4407</v>
      </c>
      <c r="F518" s="174">
        <f>'ПРАЙС_ЛИСТ'!F574</f>
        <v>9500</v>
      </c>
      <c r="G518" s="169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170"/>
      <c r="W518" s="170"/>
      <c r="X518" s="170"/>
    </row>
    <row r="519">
      <c r="A519" s="2"/>
      <c r="B519" s="48" t="s">
        <v>193</v>
      </c>
      <c r="C519" s="36">
        <v>90.0</v>
      </c>
      <c r="D519" s="178" t="s">
        <v>4408</v>
      </c>
      <c r="E519" s="49" t="s">
        <v>4409</v>
      </c>
      <c r="F519" s="179">
        <f>'ПРАЙС_ЛИСТ'!F575</f>
        <v>10000</v>
      </c>
      <c r="G519" s="169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170"/>
      <c r="W519" s="170"/>
      <c r="X519" s="170"/>
    </row>
    <row r="520">
      <c r="A520" s="2"/>
      <c r="B520" s="1"/>
      <c r="C520" s="1"/>
      <c r="D520" s="180"/>
      <c r="E520" s="30"/>
      <c r="F520" s="21"/>
      <c r="G520" s="169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170"/>
      <c r="W520" s="170"/>
      <c r="X520" s="170"/>
    </row>
    <row r="521">
      <c r="A521" s="2"/>
      <c r="B521" s="41" t="s">
        <v>201</v>
      </c>
      <c r="C521" s="42">
        <v>0.0</v>
      </c>
      <c r="D521" s="181"/>
      <c r="E521" s="43" t="s">
        <v>4410</v>
      </c>
      <c r="F521" s="182">
        <v>0.0</v>
      </c>
      <c r="G521" s="169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170"/>
      <c r="W521" s="170"/>
      <c r="X521" s="170"/>
    </row>
    <row r="522">
      <c r="A522" s="2"/>
      <c r="B522" s="46" t="s">
        <v>201</v>
      </c>
      <c r="C522" s="11">
        <v>0.0</v>
      </c>
      <c r="D522" s="173" t="s">
        <v>4411</v>
      </c>
      <c r="E522" s="32" t="s">
        <v>4412</v>
      </c>
      <c r="F522" s="174">
        <f>'ПРАЙС_ЛИСТ'!F579</f>
        <v>700</v>
      </c>
      <c r="G522" s="169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170"/>
      <c r="W522" s="170"/>
      <c r="X522" s="170"/>
    </row>
    <row r="523">
      <c r="A523" s="2"/>
      <c r="B523" s="46" t="s">
        <v>201</v>
      </c>
      <c r="C523" s="11">
        <v>0.0</v>
      </c>
      <c r="D523" s="173"/>
      <c r="E523" s="32" t="s">
        <v>4413</v>
      </c>
      <c r="F523" s="174">
        <f>'ПРАЙС_ЛИСТ'!F580</f>
        <v>2800</v>
      </c>
      <c r="G523" s="169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170"/>
      <c r="W523" s="170"/>
      <c r="X523" s="170"/>
    </row>
    <row r="524">
      <c r="A524" s="2"/>
      <c r="B524" s="46" t="s">
        <v>201</v>
      </c>
      <c r="C524" s="11">
        <v>180.0</v>
      </c>
      <c r="D524" s="173" t="s">
        <v>4414</v>
      </c>
      <c r="E524" s="32" t="s">
        <v>4415</v>
      </c>
      <c r="F524" s="174">
        <f>IFERROR(__xludf.DUMMYFUNCTION("MIN(FILTER('ПРАЙС_ЛИСТ'!F581:F586, 'ПРАЙС_ЛИСТ'!F581:F586 &lt;&gt; 'ПРАЙС_ЛИСТ'!H581:H586))"),4100.0)</f>
        <v>4100</v>
      </c>
      <c r="G524" s="169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170"/>
      <c r="W524" s="170"/>
      <c r="X524" s="170"/>
    </row>
    <row r="525">
      <c r="A525" s="2"/>
      <c r="B525" s="46" t="s">
        <v>201</v>
      </c>
      <c r="C525" s="11">
        <v>180.0</v>
      </c>
      <c r="D525" s="173"/>
      <c r="E525" s="32" t="s">
        <v>4416</v>
      </c>
      <c r="F525" s="174">
        <f>IFERROR(__xludf.DUMMYFUNCTION("MAX(FILTER('ПРАЙС_ЛИСТ'!F581:F586, 'ПРАЙС_ЛИСТ'!F581:F586 &lt;&gt; 'ПРАЙС_ЛИСТ'!H581:H586))"),9700.0)</f>
        <v>9700</v>
      </c>
      <c r="G525" s="169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170"/>
      <c r="W525" s="170"/>
      <c r="X525" s="170"/>
    </row>
    <row r="526">
      <c r="A526" s="2"/>
      <c r="B526" s="46" t="s">
        <v>201</v>
      </c>
      <c r="C526" s="11">
        <v>90.0</v>
      </c>
      <c r="D526" s="173" t="s">
        <v>4417</v>
      </c>
      <c r="E526" s="32" t="s">
        <v>4418</v>
      </c>
      <c r="F526" s="174">
        <f>'ПРАЙС_ЛИСТ'!F587</f>
        <v>5500</v>
      </c>
      <c r="G526" s="169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170"/>
      <c r="W526" s="170"/>
      <c r="X526" s="170"/>
    </row>
    <row r="527">
      <c r="A527" s="2"/>
      <c r="B527" s="46" t="s">
        <v>201</v>
      </c>
      <c r="C527" s="11">
        <v>90.0</v>
      </c>
      <c r="D527" s="173" t="s">
        <v>4419</v>
      </c>
      <c r="E527" s="32" t="s">
        <v>4420</v>
      </c>
      <c r="F527" s="174">
        <f>IFERROR(__xludf.DUMMYFUNCTION("MIN(FILTER('ПРАЙС_ЛИСТ'!F588:F594, 'ПРАЙС_ЛИСТ'!F588:F594 &lt;&gt; 'ПРАЙС_ЛИСТ'!H588:H594))"),9500.0)</f>
        <v>9500</v>
      </c>
      <c r="G527" s="169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170"/>
      <c r="W527" s="170"/>
      <c r="X527" s="170"/>
    </row>
    <row r="528">
      <c r="A528" s="2"/>
      <c r="B528" s="46" t="s">
        <v>201</v>
      </c>
      <c r="C528" s="11">
        <v>90.0</v>
      </c>
      <c r="D528" s="173"/>
      <c r="E528" s="32" t="s">
        <v>4421</v>
      </c>
      <c r="F528" s="174">
        <f>IFERROR(__xludf.DUMMYFUNCTION("MAX(FILTER('ПРАЙС_ЛИСТ'!F588:F594, 'ПРАЙС_ЛИСТ'!F588:F594 &lt;&gt; 'ПРАЙС_ЛИСТ'!H588:H594))"),13250.0)</f>
        <v>13250</v>
      </c>
      <c r="G528" s="169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170"/>
      <c r="W528" s="170"/>
      <c r="X528" s="170"/>
    </row>
    <row r="529">
      <c r="A529" s="2"/>
      <c r="B529" s="46" t="s">
        <v>201</v>
      </c>
      <c r="C529" s="11">
        <v>90.0</v>
      </c>
      <c r="D529" s="173" t="s">
        <v>4422</v>
      </c>
      <c r="E529" s="32" t="s">
        <v>4423</v>
      </c>
      <c r="F529" s="174">
        <f>'ПРАЙС_ЛИСТ'!F596</f>
        <v>6500</v>
      </c>
      <c r="G529" s="169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170"/>
      <c r="W529" s="170"/>
      <c r="X529" s="170"/>
    </row>
    <row r="530">
      <c r="A530" s="2"/>
      <c r="B530" s="46" t="s">
        <v>201</v>
      </c>
      <c r="C530" s="11">
        <v>90.0</v>
      </c>
      <c r="D530" s="173"/>
      <c r="E530" s="32" t="s">
        <v>4424</v>
      </c>
      <c r="F530" s="174">
        <f>'ПРАЙС_ЛИСТ'!F597</f>
        <v>7200</v>
      </c>
      <c r="G530" s="169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170"/>
      <c r="W530" s="170"/>
      <c r="X530" s="170"/>
    </row>
    <row r="531">
      <c r="A531" s="2"/>
      <c r="B531" s="46" t="s">
        <v>201</v>
      </c>
      <c r="C531" s="11">
        <v>90.0</v>
      </c>
      <c r="D531" s="173" t="s">
        <v>4425</v>
      </c>
      <c r="E531" s="32" t="s">
        <v>4426</v>
      </c>
      <c r="F531" s="174">
        <f>'ПРАЙС_ЛИСТ'!F598</f>
        <v>6500</v>
      </c>
      <c r="G531" s="169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170"/>
      <c r="W531" s="170"/>
      <c r="X531" s="170"/>
    </row>
    <row r="532">
      <c r="A532" s="2"/>
      <c r="B532" s="46" t="s">
        <v>201</v>
      </c>
      <c r="C532" s="11">
        <v>90.0</v>
      </c>
      <c r="D532" s="173" t="s">
        <v>4427</v>
      </c>
      <c r="E532" s="32" t="s">
        <v>4428</v>
      </c>
      <c r="F532" s="174">
        <f>'ПРАЙС_ЛИСТ'!F599</f>
        <v>6900</v>
      </c>
      <c r="G532" s="169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170"/>
      <c r="W532" s="170"/>
      <c r="X532" s="170"/>
    </row>
    <row r="533">
      <c r="A533" s="2"/>
      <c r="B533" s="46" t="s">
        <v>201</v>
      </c>
      <c r="C533" s="11">
        <v>90.0</v>
      </c>
      <c r="D533" s="173" t="s">
        <v>4429</v>
      </c>
      <c r="E533" s="32" t="s">
        <v>4430</v>
      </c>
      <c r="F533" s="174">
        <f>'ПРАЙС_ЛИСТ'!F600</f>
        <v>2600</v>
      </c>
      <c r="G533" s="169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170"/>
      <c r="W533" s="170"/>
      <c r="X533" s="170"/>
    </row>
    <row r="534">
      <c r="A534" s="2"/>
      <c r="B534" s="46" t="s">
        <v>201</v>
      </c>
      <c r="C534" s="11">
        <v>90.0</v>
      </c>
      <c r="D534" s="173" t="s">
        <v>4431</v>
      </c>
      <c r="E534" s="32" t="s">
        <v>4432</v>
      </c>
      <c r="F534" s="174">
        <f>'ПРАЙС_ЛИСТ'!F601</f>
        <v>5800</v>
      </c>
      <c r="G534" s="169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170"/>
      <c r="W534" s="170"/>
      <c r="X534" s="170"/>
    </row>
    <row r="535">
      <c r="A535" s="2"/>
      <c r="B535" s="46" t="s">
        <v>201</v>
      </c>
      <c r="C535" s="11">
        <v>180.0</v>
      </c>
      <c r="D535" s="173" t="s">
        <v>4433</v>
      </c>
      <c r="E535" s="32" t="s">
        <v>4434</v>
      </c>
      <c r="F535" s="174">
        <f>'ПРАЙС_ЛИСТ'!F602</f>
        <v>6500</v>
      </c>
      <c r="G535" s="169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170"/>
      <c r="W535" s="170"/>
      <c r="X535" s="170"/>
    </row>
    <row r="536">
      <c r="A536" s="2"/>
      <c r="B536" s="46" t="s">
        <v>201</v>
      </c>
      <c r="C536" s="11">
        <v>180.0</v>
      </c>
      <c r="D536" s="173" t="s">
        <v>4435</v>
      </c>
      <c r="E536" s="32" t="s">
        <v>4436</v>
      </c>
      <c r="F536" s="185">
        <f>IF('ПРАЙС_ЛИСТ'!F603 = G536, 0, 'ПРАЙС_ЛИСТ'!F603)</f>
        <v>0</v>
      </c>
      <c r="G536" s="186">
        <f>'БД_УСЛУГИ_РО'!P495</f>
        <v>4000</v>
      </c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170"/>
      <c r="W536" s="170"/>
      <c r="X536" s="170"/>
    </row>
    <row r="537">
      <c r="A537" s="2"/>
      <c r="B537" s="46" t="s">
        <v>201</v>
      </c>
      <c r="C537" s="11">
        <v>90.0</v>
      </c>
      <c r="D537" s="173" t="s">
        <v>4437</v>
      </c>
      <c r="E537" s="32" t="s">
        <v>4438</v>
      </c>
      <c r="F537" s="174">
        <f>'ПРАЙС_ЛИСТ'!F604</f>
        <v>4000</v>
      </c>
      <c r="G537" s="169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170"/>
      <c r="W537" s="170"/>
      <c r="X537" s="170"/>
    </row>
    <row r="538">
      <c r="A538" s="2"/>
      <c r="B538" s="46" t="s">
        <v>201</v>
      </c>
      <c r="C538" s="11">
        <v>90.0</v>
      </c>
      <c r="D538" s="173" t="s">
        <v>4439</v>
      </c>
      <c r="E538" s="32" t="s">
        <v>4440</v>
      </c>
      <c r="F538" s="174">
        <f>'ПРАЙС_ЛИСТ'!F605</f>
        <v>4000</v>
      </c>
      <c r="G538" s="169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170"/>
      <c r="W538" s="170"/>
      <c r="X538" s="170"/>
    </row>
    <row r="539">
      <c r="A539" s="2"/>
      <c r="B539" s="46" t="s">
        <v>201</v>
      </c>
      <c r="C539" s="11">
        <v>90.0</v>
      </c>
      <c r="D539" s="173" t="s">
        <v>4441</v>
      </c>
      <c r="E539" s="32" t="s">
        <v>4442</v>
      </c>
      <c r="F539" s="174">
        <f>'ПРАЙС_ЛИСТ'!F606</f>
        <v>5050</v>
      </c>
      <c r="G539" s="169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170"/>
      <c r="W539" s="170"/>
      <c r="X539" s="170"/>
    </row>
    <row r="540">
      <c r="A540" s="2"/>
      <c r="B540" s="46" t="s">
        <v>201</v>
      </c>
      <c r="C540" s="11">
        <v>90.0</v>
      </c>
      <c r="D540" s="173" t="s">
        <v>4443</v>
      </c>
      <c r="E540" s="32" t="s">
        <v>4444</v>
      </c>
      <c r="F540" s="174">
        <f>'ПРАЙС_ЛИСТ'!F607</f>
        <v>5700</v>
      </c>
      <c r="G540" s="169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170"/>
      <c r="W540" s="170"/>
      <c r="X540" s="170"/>
    </row>
    <row r="541">
      <c r="A541" s="2"/>
      <c r="B541" s="46" t="s">
        <v>201</v>
      </c>
      <c r="C541" s="11">
        <v>90.0</v>
      </c>
      <c r="D541" s="173" t="s">
        <v>1098</v>
      </c>
      <c r="E541" s="32" t="s">
        <v>4445</v>
      </c>
      <c r="F541" s="174">
        <f>'ПРАЙС_ЛИСТ'!F608</f>
        <v>3800</v>
      </c>
      <c r="G541" s="169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170"/>
      <c r="W541" s="170"/>
      <c r="X541" s="170"/>
    </row>
    <row r="542">
      <c r="A542" s="2"/>
      <c r="B542" s="46" t="s">
        <v>201</v>
      </c>
      <c r="C542" s="11">
        <v>90.0</v>
      </c>
      <c r="D542" s="173" t="s">
        <v>4446</v>
      </c>
      <c r="E542" s="32" t="s">
        <v>4447</v>
      </c>
      <c r="F542" s="174">
        <f>'ПРАЙС_ЛИСТ'!F609</f>
        <v>4500</v>
      </c>
      <c r="G542" s="169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170"/>
      <c r="W542" s="170"/>
      <c r="X542" s="170"/>
    </row>
    <row r="543">
      <c r="A543" s="2"/>
      <c r="B543" s="46" t="s">
        <v>201</v>
      </c>
      <c r="C543" s="11">
        <v>90.0</v>
      </c>
      <c r="D543" s="173" t="s">
        <v>4448</v>
      </c>
      <c r="E543" s="32" t="s">
        <v>4449</v>
      </c>
      <c r="F543" s="174">
        <f>'ПРАЙС_ЛИСТ'!F610</f>
        <v>10800</v>
      </c>
      <c r="G543" s="169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170"/>
      <c r="W543" s="170"/>
      <c r="X543" s="170"/>
    </row>
    <row r="544">
      <c r="A544" s="2"/>
      <c r="B544" s="48" t="s">
        <v>201</v>
      </c>
      <c r="C544" s="36">
        <v>90.0</v>
      </c>
      <c r="D544" s="178" t="s">
        <v>4450</v>
      </c>
      <c r="E544" s="49" t="s">
        <v>4451</v>
      </c>
      <c r="F544" s="179">
        <f>'ПРАЙС_ЛИСТ'!F611</f>
        <v>11300</v>
      </c>
      <c r="G544" s="169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170"/>
      <c r="W544" s="170"/>
      <c r="X544" s="170"/>
    </row>
    <row r="545">
      <c r="A545" s="2"/>
      <c r="B545" s="1"/>
      <c r="C545" s="1"/>
      <c r="D545" s="180"/>
      <c r="E545" s="30"/>
      <c r="F545" s="21"/>
      <c r="G545" s="169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170"/>
      <c r="W545" s="170"/>
      <c r="X545" s="170"/>
    </row>
    <row r="546">
      <c r="A546" s="2"/>
      <c r="B546" s="41" t="s">
        <v>212</v>
      </c>
      <c r="C546" s="42">
        <v>0.0</v>
      </c>
      <c r="D546" s="181"/>
      <c r="E546" s="43" t="s">
        <v>4452</v>
      </c>
      <c r="F546" s="182">
        <v>0.0</v>
      </c>
      <c r="G546" s="169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170"/>
      <c r="W546" s="170"/>
      <c r="X546" s="170"/>
    </row>
    <row r="547">
      <c r="A547" s="2"/>
      <c r="B547" s="46" t="s">
        <v>212</v>
      </c>
      <c r="C547" s="11">
        <v>0.0</v>
      </c>
      <c r="D547" s="173" t="s">
        <v>4453</v>
      </c>
      <c r="E547" s="32" t="s">
        <v>4454</v>
      </c>
      <c r="F547" s="174">
        <f>'ПРАЙС_ЛИСТ'!F615</f>
        <v>700</v>
      </c>
      <c r="G547" s="169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170"/>
      <c r="W547" s="170"/>
      <c r="X547" s="170"/>
    </row>
    <row r="548">
      <c r="A548" s="2"/>
      <c r="B548" s="46" t="s">
        <v>212</v>
      </c>
      <c r="C548" s="11">
        <v>0.0</v>
      </c>
      <c r="D548" s="173"/>
      <c r="E548" s="32" t="s">
        <v>4455</v>
      </c>
      <c r="F548" s="174">
        <f>'ПРАЙС_ЛИСТ'!F616</f>
        <v>2800</v>
      </c>
      <c r="G548" s="169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170"/>
      <c r="W548" s="170"/>
      <c r="X548" s="170"/>
    </row>
    <row r="549">
      <c r="A549" s="2"/>
      <c r="B549" s="46" t="s">
        <v>212</v>
      </c>
      <c r="C549" s="11">
        <v>180.0</v>
      </c>
      <c r="D549" s="173" t="s">
        <v>4456</v>
      </c>
      <c r="E549" s="32" t="s">
        <v>4457</v>
      </c>
      <c r="F549" s="174">
        <f>IFERROR(__xludf.DUMMYFUNCTION("MIN(FILTER('ПРАЙС_ЛИСТ'!F617:F621, 'ПРАЙС_ЛИСТ'!F617:F621 &lt;&gt; 'ПРАЙС_ЛИСТ'!H617:H621))"),4000.0)</f>
        <v>4000</v>
      </c>
      <c r="G549" s="169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170"/>
      <c r="W549" s="170"/>
      <c r="X549" s="170"/>
    </row>
    <row r="550">
      <c r="A550" s="2"/>
      <c r="B550" s="46" t="s">
        <v>212</v>
      </c>
      <c r="C550" s="11">
        <v>180.0</v>
      </c>
      <c r="D550" s="173"/>
      <c r="E550" s="32" t="s">
        <v>4458</v>
      </c>
      <c r="F550" s="174">
        <f>IFERROR(__xludf.DUMMYFUNCTION("MAX(FILTER('ПРАЙС_ЛИСТ'!F617:F621, 'ПРАЙС_ЛИСТ'!F617:F621 &lt;&gt; 'ПРАЙС_ЛИСТ'!H617:H621))"),8850.0)</f>
        <v>8850</v>
      </c>
      <c r="G550" s="169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170"/>
      <c r="W550" s="170"/>
      <c r="X550" s="170"/>
    </row>
    <row r="551">
      <c r="A551" s="2"/>
      <c r="B551" s="46" t="s">
        <v>212</v>
      </c>
      <c r="C551" s="11">
        <v>90.0</v>
      </c>
      <c r="D551" s="173" t="s">
        <v>4459</v>
      </c>
      <c r="E551" s="32" t="s">
        <v>4460</v>
      </c>
      <c r="F551" s="174">
        <f>'ПРАЙС_ЛИСТ'!F622</f>
        <v>5000</v>
      </c>
      <c r="G551" s="169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170"/>
      <c r="W551" s="170"/>
      <c r="X551" s="170"/>
    </row>
    <row r="552">
      <c r="A552" s="2"/>
      <c r="B552" s="46" t="s">
        <v>212</v>
      </c>
      <c r="C552" s="11">
        <v>90.0</v>
      </c>
      <c r="D552" s="173" t="s">
        <v>4461</v>
      </c>
      <c r="E552" s="32" t="s">
        <v>4462</v>
      </c>
      <c r="F552" s="174">
        <f>IFERROR(__xludf.DUMMYFUNCTION("MIN(FILTER('ПРАЙС_ЛИСТ'!F623:F629, 'ПРАЙС_ЛИСТ'!F623:F629 &lt;&gt; 'ПРАЙС_ЛИСТ'!H623:H629))"),9550.0)</f>
        <v>9550</v>
      </c>
      <c r="G552" s="169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170"/>
      <c r="W552" s="170"/>
      <c r="X552" s="170"/>
    </row>
    <row r="553">
      <c r="A553" s="2"/>
      <c r="B553" s="46" t="s">
        <v>212</v>
      </c>
      <c r="C553" s="11">
        <v>90.0</v>
      </c>
      <c r="D553" s="173"/>
      <c r="E553" s="32" t="s">
        <v>4463</v>
      </c>
      <c r="F553" s="174">
        <f>IFERROR(__xludf.DUMMYFUNCTION("MAX(FILTER('ПРАЙС_ЛИСТ'!F623:F629, 'ПРАЙС_ЛИСТ'!F623:F629 &lt;&gt; 'ПРАЙС_ЛИСТ'!H623:H629))"),10000.0)</f>
        <v>10000</v>
      </c>
      <c r="G553" s="169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170"/>
      <c r="W553" s="170"/>
      <c r="X553" s="170"/>
    </row>
    <row r="554">
      <c r="A554" s="2"/>
      <c r="B554" s="46" t="s">
        <v>212</v>
      </c>
      <c r="C554" s="11">
        <v>90.0</v>
      </c>
      <c r="D554" s="173" t="s">
        <v>4464</v>
      </c>
      <c r="E554" s="32" t="s">
        <v>4465</v>
      </c>
      <c r="F554" s="174">
        <f>'ПРАЙС_ЛИСТ'!F631</f>
        <v>6500</v>
      </c>
      <c r="G554" s="169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170"/>
      <c r="W554" s="170"/>
      <c r="X554" s="170"/>
    </row>
    <row r="555">
      <c r="A555" s="2"/>
      <c r="B555" s="46" t="s">
        <v>212</v>
      </c>
      <c r="C555" s="11">
        <v>90.0</v>
      </c>
      <c r="D555" s="173"/>
      <c r="E555" s="32" t="s">
        <v>4466</v>
      </c>
      <c r="F555" s="174">
        <f>'ПРАЙС_ЛИСТ'!F632</f>
        <v>9000</v>
      </c>
      <c r="G555" s="169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170"/>
      <c r="W555" s="170"/>
      <c r="X555" s="170"/>
    </row>
    <row r="556">
      <c r="A556" s="2"/>
      <c r="B556" s="46" t="s">
        <v>212</v>
      </c>
      <c r="C556" s="11">
        <v>90.0</v>
      </c>
      <c r="D556" s="173" t="s">
        <v>4467</v>
      </c>
      <c r="E556" s="32" t="s">
        <v>4468</v>
      </c>
      <c r="F556" s="174">
        <f>'ПРАЙС_ЛИСТ'!F633</f>
        <v>7500</v>
      </c>
      <c r="G556" s="169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170"/>
      <c r="W556" s="170"/>
      <c r="X556" s="170"/>
    </row>
    <row r="557">
      <c r="A557" s="2"/>
      <c r="B557" s="46" t="s">
        <v>212</v>
      </c>
      <c r="C557" s="11">
        <v>90.0</v>
      </c>
      <c r="D557" s="173" t="s">
        <v>4469</v>
      </c>
      <c r="E557" s="32" t="s">
        <v>4470</v>
      </c>
      <c r="F557" s="185">
        <f>IF('ПРАЙС_ЛИСТ'!F634 = G557, 0, 'ПРАЙС_ЛИСТ'!F634)</f>
        <v>0</v>
      </c>
      <c r="G557" s="186">
        <f>'БД_УСЛУГИ_РО'!P518</f>
        <v>4100</v>
      </c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170"/>
      <c r="W557" s="170"/>
      <c r="X557" s="170"/>
    </row>
    <row r="558">
      <c r="A558" s="2"/>
      <c r="B558" s="46" t="s">
        <v>212</v>
      </c>
      <c r="C558" s="11">
        <v>90.0</v>
      </c>
      <c r="D558" s="173" t="s">
        <v>4471</v>
      </c>
      <c r="E558" s="32" t="s">
        <v>4472</v>
      </c>
      <c r="F558" s="174">
        <f>'ПРАЙС_ЛИСТ'!F635</f>
        <v>2600</v>
      </c>
      <c r="G558" s="169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170"/>
      <c r="W558" s="170"/>
      <c r="X558" s="170"/>
    </row>
    <row r="559">
      <c r="A559" s="2"/>
      <c r="B559" s="46" t="s">
        <v>212</v>
      </c>
      <c r="C559" s="11">
        <v>90.0</v>
      </c>
      <c r="D559" s="173" t="s">
        <v>4473</v>
      </c>
      <c r="E559" s="32" t="s">
        <v>4474</v>
      </c>
      <c r="F559" s="174">
        <f>'ПРАЙС_ЛИСТ'!F636</f>
        <v>5800</v>
      </c>
      <c r="G559" s="169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170"/>
      <c r="W559" s="170"/>
      <c r="X559" s="170"/>
    </row>
    <row r="560">
      <c r="A560" s="2"/>
      <c r="B560" s="46" t="s">
        <v>212</v>
      </c>
      <c r="C560" s="11">
        <v>180.0</v>
      </c>
      <c r="D560" s="173" t="s">
        <v>4475</v>
      </c>
      <c r="E560" s="32" t="s">
        <v>4476</v>
      </c>
      <c r="F560" s="174">
        <f>'ПРАЙС_ЛИСТ'!F637</f>
        <v>6500</v>
      </c>
      <c r="G560" s="169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170"/>
      <c r="W560" s="170"/>
      <c r="X560" s="170"/>
    </row>
    <row r="561">
      <c r="A561" s="2"/>
      <c r="B561" s="46" t="s">
        <v>212</v>
      </c>
      <c r="C561" s="11">
        <v>180.0</v>
      </c>
      <c r="D561" s="173" t="s">
        <v>4477</v>
      </c>
      <c r="E561" s="32" t="s">
        <v>4478</v>
      </c>
      <c r="F561" s="185">
        <f>IF('ПРАЙС_ЛИСТ'!F638 = G561, 0, 'ПРАЙС_ЛИСТ'!F638)</f>
        <v>0</v>
      </c>
      <c r="G561" s="186">
        <f>'БД_УСЛУГИ_РО'!P522</f>
        <v>4000</v>
      </c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170"/>
      <c r="W561" s="170"/>
      <c r="X561" s="170"/>
    </row>
    <row r="562">
      <c r="A562" s="2"/>
      <c r="B562" s="46" t="s">
        <v>212</v>
      </c>
      <c r="C562" s="11">
        <v>90.0</v>
      </c>
      <c r="D562" s="173" t="s">
        <v>4479</v>
      </c>
      <c r="E562" s="32" t="s">
        <v>4480</v>
      </c>
      <c r="F562" s="174">
        <f>'ПРАЙС_ЛИСТ'!F639</f>
        <v>3000</v>
      </c>
      <c r="G562" s="169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170"/>
      <c r="W562" s="170"/>
      <c r="X562" s="170"/>
    </row>
    <row r="563">
      <c r="A563" s="2"/>
      <c r="B563" s="46" t="s">
        <v>212</v>
      </c>
      <c r="C563" s="11">
        <v>90.0</v>
      </c>
      <c r="D563" s="173" t="s">
        <v>4481</v>
      </c>
      <c r="E563" s="32" t="s">
        <v>4482</v>
      </c>
      <c r="F563" s="185">
        <f>IF('ПРАЙС_ЛИСТ'!F640 = G563, 0, 'ПРАЙС_ЛИСТ'!F640)</f>
        <v>0</v>
      </c>
      <c r="G563" s="186">
        <f>'БД_УСЛУГИ_РО'!P524</f>
        <v>3000</v>
      </c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170"/>
      <c r="W563" s="170"/>
      <c r="X563" s="170"/>
    </row>
    <row r="564">
      <c r="A564" s="2"/>
      <c r="B564" s="46" t="s">
        <v>212</v>
      </c>
      <c r="C564" s="11">
        <v>90.0</v>
      </c>
      <c r="D564" s="173" t="s">
        <v>4483</v>
      </c>
      <c r="E564" s="32" t="s">
        <v>4484</v>
      </c>
      <c r="F564" s="185">
        <f>IF('ПРАЙС_ЛИСТ'!F641 = G564, 0, 'ПРАЙС_ЛИСТ'!F641)</f>
        <v>0</v>
      </c>
      <c r="G564" s="186">
        <f>'БД_УСЛУГИ_РО'!P525</f>
        <v>3000</v>
      </c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170"/>
      <c r="W564" s="170"/>
      <c r="X564" s="170"/>
    </row>
    <row r="565">
      <c r="A565" s="2"/>
      <c r="B565" s="46" t="s">
        <v>212</v>
      </c>
      <c r="C565" s="11">
        <v>90.0</v>
      </c>
      <c r="D565" s="173" t="s">
        <v>4485</v>
      </c>
      <c r="E565" s="32" t="s">
        <v>4486</v>
      </c>
      <c r="F565" s="174">
        <f>'ПРАЙС_ЛИСТ'!F642</f>
        <v>5200</v>
      </c>
      <c r="G565" s="169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170"/>
      <c r="W565" s="170"/>
      <c r="X565" s="170"/>
    </row>
    <row r="566">
      <c r="A566" s="2"/>
      <c r="B566" s="46" t="s">
        <v>212</v>
      </c>
      <c r="C566" s="11">
        <v>90.0</v>
      </c>
      <c r="D566" s="173" t="s">
        <v>1080</v>
      </c>
      <c r="E566" s="32" t="s">
        <v>4487</v>
      </c>
      <c r="F566" s="174">
        <f>'ПРАЙС_ЛИСТ'!F643</f>
        <v>3800</v>
      </c>
      <c r="G566" s="169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170"/>
      <c r="W566" s="170"/>
      <c r="X566" s="170"/>
    </row>
    <row r="567">
      <c r="A567" s="2"/>
      <c r="B567" s="46" t="s">
        <v>212</v>
      </c>
      <c r="C567" s="11">
        <v>90.0</v>
      </c>
      <c r="D567" s="173" t="s">
        <v>4488</v>
      </c>
      <c r="E567" s="32" t="s">
        <v>4489</v>
      </c>
      <c r="F567" s="174">
        <f>'ПРАЙС_ЛИСТ'!F644</f>
        <v>4500</v>
      </c>
      <c r="G567" s="169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170"/>
      <c r="W567" s="170"/>
      <c r="X567" s="170"/>
    </row>
    <row r="568">
      <c r="A568" s="2"/>
      <c r="B568" s="46" t="s">
        <v>212</v>
      </c>
      <c r="C568" s="11">
        <v>90.0</v>
      </c>
      <c r="D568" s="173" t="s">
        <v>4490</v>
      </c>
      <c r="E568" s="32" t="s">
        <v>4491</v>
      </c>
      <c r="F568" s="174">
        <f>'ПРАЙС_ЛИСТ'!F645</f>
        <v>11800</v>
      </c>
      <c r="G568" s="169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170"/>
      <c r="W568" s="170"/>
      <c r="X568" s="170"/>
    </row>
    <row r="569">
      <c r="A569" s="2"/>
      <c r="B569" s="48" t="s">
        <v>212</v>
      </c>
      <c r="C569" s="36">
        <v>90.0</v>
      </c>
      <c r="D569" s="178" t="s">
        <v>4492</v>
      </c>
      <c r="E569" s="49" t="s">
        <v>4493</v>
      </c>
      <c r="F569" s="179">
        <f>'ПРАЙС_ЛИСТ'!F646</f>
        <v>11300</v>
      </c>
      <c r="G569" s="169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170"/>
      <c r="W569" s="170"/>
      <c r="X569" s="170"/>
    </row>
    <row r="570">
      <c r="A570" s="2"/>
      <c r="B570" s="1"/>
      <c r="C570" s="1"/>
      <c r="D570" s="180"/>
      <c r="E570" s="30"/>
      <c r="F570" s="21"/>
      <c r="G570" s="169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170"/>
      <c r="W570" s="170"/>
      <c r="X570" s="170"/>
    </row>
    <row r="571">
      <c r="A571" s="2"/>
      <c r="B571" s="41" t="s">
        <v>220</v>
      </c>
      <c r="C571" s="42">
        <v>0.0</v>
      </c>
      <c r="D571" s="181"/>
      <c r="E571" s="43" t="s">
        <v>4494</v>
      </c>
      <c r="F571" s="182">
        <v>0.0</v>
      </c>
      <c r="G571" s="169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170"/>
      <c r="W571" s="170"/>
      <c r="X571" s="170"/>
    </row>
    <row r="572">
      <c r="A572" s="2"/>
      <c r="B572" s="46" t="s">
        <v>220</v>
      </c>
      <c r="C572" s="11">
        <v>0.0</v>
      </c>
      <c r="D572" s="173" t="s">
        <v>4495</v>
      </c>
      <c r="E572" s="32" t="s">
        <v>4496</v>
      </c>
      <c r="F572" s="174">
        <f>'ПРАЙС_ЛИСТ'!F650</f>
        <v>700</v>
      </c>
      <c r="G572" s="169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170"/>
      <c r="W572" s="170"/>
      <c r="X572" s="170"/>
    </row>
    <row r="573">
      <c r="A573" s="2"/>
      <c r="B573" s="46" t="s">
        <v>220</v>
      </c>
      <c r="C573" s="11">
        <v>0.0</v>
      </c>
      <c r="D573" s="173"/>
      <c r="E573" s="32" t="s">
        <v>4497</v>
      </c>
      <c r="F573" s="174">
        <f>'ПРАЙС_ЛИСТ'!F651</f>
        <v>3300</v>
      </c>
      <c r="G573" s="169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170"/>
      <c r="W573" s="170"/>
      <c r="X573" s="170"/>
    </row>
    <row r="574">
      <c r="A574" s="2"/>
      <c r="B574" s="46" t="s">
        <v>220</v>
      </c>
      <c r="C574" s="11">
        <v>180.0</v>
      </c>
      <c r="D574" s="173" t="s">
        <v>4498</v>
      </c>
      <c r="E574" s="32" t="s">
        <v>4499</v>
      </c>
      <c r="F574" s="174">
        <f>IFERROR(__xludf.DUMMYFUNCTION("MIN(FILTER('ПРАЙС_ЛИСТ'!F652:F657, 'ПРАЙС_ЛИСТ'!F652:F657 &lt;&gt; 'ПРАЙС_ЛИСТ'!H652:H657))"),4400.0)</f>
        <v>4400</v>
      </c>
      <c r="G574" s="169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170"/>
      <c r="W574" s="170"/>
      <c r="X574" s="170"/>
    </row>
    <row r="575">
      <c r="A575" s="2"/>
      <c r="B575" s="46" t="s">
        <v>220</v>
      </c>
      <c r="C575" s="11">
        <v>180.0</v>
      </c>
      <c r="D575" s="173"/>
      <c r="E575" s="32" t="s">
        <v>4500</v>
      </c>
      <c r="F575" s="174">
        <f>IFERROR(__xludf.DUMMYFUNCTION("MAX(FILTER('ПРАЙС_ЛИСТ'!F652:F657, 'ПРАЙС_ЛИСТ'!F652:F657 &lt;&gt; 'ПРАЙС_ЛИСТ'!H652:H657))"),10000.0)</f>
        <v>10000</v>
      </c>
      <c r="G575" s="169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170"/>
      <c r="W575" s="170"/>
      <c r="X575" s="170"/>
    </row>
    <row r="576">
      <c r="A576" s="2"/>
      <c r="B576" s="46" t="s">
        <v>220</v>
      </c>
      <c r="C576" s="11">
        <v>90.0</v>
      </c>
      <c r="D576" s="173" t="s">
        <v>4501</v>
      </c>
      <c r="E576" s="32" t="s">
        <v>4502</v>
      </c>
      <c r="F576" s="174">
        <f>'ПРАЙС_ЛИСТ'!F658</f>
        <v>6000</v>
      </c>
      <c r="G576" s="169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170"/>
      <c r="W576" s="170"/>
      <c r="X576" s="170"/>
    </row>
    <row r="577">
      <c r="A577" s="2"/>
      <c r="B577" s="46" t="s">
        <v>220</v>
      </c>
      <c r="C577" s="11">
        <v>90.0</v>
      </c>
      <c r="D577" s="173" t="s">
        <v>4503</v>
      </c>
      <c r="E577" s="32" t="s">
        <v>4504</v>
      </c>
      <c r="F577" s="174">
        <f>IFERROR(__xludf.DUMMYFUNCTION("MIN(FILTER('ПРАЙС_ЛИСТ'!F659:F665, 'ПРАЙС_ЛИСТ'!F659:F665 &lt;&gt; 'ПРАЙС_ЛИСТ'!H659:H665))"),9800.0)</f>
        <v>9800</v>
      </c>
      <c r="G577" s="169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170"/>
      <c r="W577" s="170"/>
      <c r="X577" s="170"/>
    </row>
    <row r="578">
      <c r="A578" s="2"/>
      <c r="B578" s="46" t="s">
        <v>220</v>
      </c>
      <c r="C578" s="11">
        <v>90.0</v>
      </c>
      <c r="D578" s="173"/>
      <c r="E578" s="32" t="s">
        <v>4505</v>
      </c>
      <c r="F578" s="174">
        <f>IFERROR(__xludf.DUMMYFUNCTION("MAX(FILTER('ПРАЙС_ЛИСТ'!F659:F665, 'ПРАЙС_ЛИСТ'!F659:F665 &lt;&gt; 'ПРАЙС_ЛИСТ'!H659:H665))"),13550.0)</f>
        <v>13550</v>
      </c>
      <c r="G578" s="169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170"/>
      <c r="W578" s="170"/>
      <c r="X578" s="170"/>
    </row>
    <row r="579">
      <c r="A579" s="2"/>
      <c r="B579" s="46" t="s">
        <v>220</v>
      </c>
      <c r="C579" s="11">
        <v>90.0</v>
      </c>
      <c r="D579" s="173" t="s">
        <v>4506</v>
      </c>
      <c r="E579" s="32" t="s">
        <v>4507</v>
      </c>
      <c r="F579" s="174">
        <f>'ПРАЙС_ЛИСТ'!F667</f>
        <v>6500</v>
      </c>
      <c r="G579" s="169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170"/>
      <c r="W579" s="170"/>
      <c r="X579" s="170"/>
    </row>
    <row r="580">
      <c r="A580" s="2"/>
      <c r="B580" s="46" t="s">
        <v>220</v>
      </c>
      <c r="C580" s="11">
        <v>90.0</v>
      </c>
      <c r="D580" s="173"/>
      <c r="E580" s="32" t="s">
        <v>4508</v>
      </c>
      <c r="F580" s="174">
        <f>'ПРАЙС_ЛИСТ'!F668</f>
        <v>7200</v>
      </c>
      <c r="G580" s="169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170"/>
      <c r="W580" s="170"/>
      <c r="X580" s="170"/>
    </row>
    <row r="581">
      <c r="A581" s="2"/>
      <c r="B581" s="46" t="s">
        <v>220</v>
      </c>
      <c r="C581" s="11">
        <v>90.0</v>
      </c>
      <c r="D581" s="173" t="s">
        <v>4509</v>
      </c>
      <c r="E581" s="32" t="s">
        <v>4510</v>
      </c>
      <c r="F581" s="174">
        <f>'ПРАЙС_ЛИСТ'!F669</f>
        <v>9500</v>
      </c>
      <c r="G581" s="169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170"/>
      <c r="W581" s="170"/>
      <c r="X581" s="170"/>
    </row>
    <row r="582">
      <c r="A582" s="2"/>
      <c r="B582" s="46" t="s">
        <v>220</v>
      </c>
      <c r="C582" s="11">
        <v>90.0</v>
      </c>
      <c r="D582" s="173" t="s">
        <v>4511</v>
      </c>
      <c r="E582" s="32" t="s">
        <v>4512</v>
      </c>
      <c r="F582" s="174">
        <f>'ПРАЙС_ЛИСТ'!F670</f>
        <v>6600</v>
      </c>
      <c r="G582" s="169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170"/>
      <c r="W582" s="170"/>
      <c r="X582" s="170"/>
    </row>
    <row r="583">
      <c r="A583" s="2"/>
      <c r="B583" s="46" t="s">
        <v>220</v>
      </c>
      <c r="C583" s="11">
        <v>90.0</v>
      </c>
      <c r="D583" s="173" t="s">
        <v>4513</v>
      </c>
      <c r="E583" s="32" t="s">
        <v>4514</v>
      </c>
      <c r="F583" s="174">
        <f>'ПРАЙС_ЛИСТ'!F671</f>
        <v>3100</v>
      </c>
      <c r="G583" s="169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170"/>
      <c r="W583" s="170"/>
      <c r="X583" s="170"/>
    </row>
    <row r="584">
      <c r="A584" s="2"/>
      <c r="B584" s="46" t="s">
        <v>220</v>
      </c>
      <c r="C584" s="11">
        <v>90.0</v>
      </c>
      <c r="D584" s="173" t="s">
        <v>4515</v>
      </c>
      <c r="E584" s="32" t="s">
        <v>4516</v>
      </c>
      <c r="F584" s="174">
        <f>'ПРАЙС_ЛИСТ'!F672</f>
        <v>5800</v>
      </c>
      <c r="G584" s="169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170"/>
      <c r="W584" s="170"/>
      <c r="X584" s="170"/>
    </row>
    <row r="585">
      <c r="A585" s="2"/>
      <c r="B585" s="46" t="s">
        <v>220</v>
      </c>
      <c r="C585" s="11">
        <v>180.0</v>
      </c>
      <c r="D585" s="173" t="s">
        <v>4517</v>
      </c>
      <c r="E585" s="32" t="s">
        <v>4518</v>
      </c>
      <c r="F585" s="174">
        <f>'ПРАЙС_ЛИСТ'!F673</f>
        <v>7000</v>
      </c>
      <c r="G585" s="169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170"/>
      <c r="W585" s="170"/>
      <c r="X585" s="170"/>
    </row>
    <row r="586">
      <c r="A586" s="2"/>
      <c r="B586" s="46" t="s">
        <v>220</v>
      </c>
      <c r="C586" s="11">
        <v>180.0</v>
      </c>
      <c r="D586" s="173" t="s">
        <v>4519</v>
      </c>
      <c r="E586" s="32" t="s">
        <v>4520</v>
      </c>
      <c r="F586" s="185">
        <f>IF('ПРАЙС_ЛИСТ'!F674 = G586, 0, 'ПРАЙС_ЛИСТ'!F674)</f>
        <v>0</v>
      </c>
      <c r="G586" s="186">
        <f>'БД_УСЛУГИ_РО'!P549</f>
        <v>4000</v>
      </c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170"/>
      <c r="W586" s="170"/>
      <c r="X586" s="170"/>
    </row>
    <row r="587">
      <c r="A587" s="2"/>
      <c r="B587" s="46" t="s">
        <v>220</v>
      </c>
      <c r="C587" s="11">
        <v>90.0</v>
      </c>
      <c r="D587" s="173" t="s">
        <v>4521</v>
      </c>
      <c r="E587" s="32" t="s">
        <v>4522</v>
      </c>
      <c r="F587" s="174">
        <f>'ПРАЙС_ЛИСТ'!F675</f>
        <v>4000</v>
      </c>
      <c r="G587" s="169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170"/>
      <c r="W587" s="170"/>
      <c r="X587" s="170"/>
    </row>
    <row r="588">
      <c r="A588" s="2"/>
      <c r="B588" s="46" t="s">
        <v>220</v>
      </c>
      <c r="C588" s="11">
        <v>90.0</v>
      </c>
      <c r="D588" s="173" t="s">
        <v>4523</v>
      </c>
      <c r="E588" s="32" t="s">
        <v>4524</v>
      </c>
      <c r="F588" s="174">
        <f>'ПРАЙС_ЛИСТ'!F676</f>
        <v>4700</v>
      </c>
      <c r="G588" s="169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170"/>
      <c r="W588" s="170"/>
      <c r="X588" s="170"/>
    </row>
    <row r="589">
      <c r="A589" s="2"/>
      <c r="B589" s="46" t="s">
        <v>220</v>
      </c>
      <c r="C589" s="11">
        <v>90.0</v>
      </c>
      <c r="D589" s="173" t="s">
        <v>4525</v>
      </c>
      <c r="E589" s="32" t="s">
        <v>4526</v>
      </c>
      <c r="F589" s="174">
        <f>'ПРАЙС_ЛИСТ'!F677</f>
        <v>5050</v>
      </c>
      <c r="G589" s="169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170"/>
      <c r="W589" s="170"/>
      <c r="X589" s="170"/>
    </row>
    <row r="590">
      <c r="A590" s="2"/>
      <c r="B590" s="46" t="s">
        <v>220</v>
      </c>
      <c r="C590" s="11">
        <v>90.0</v>
      </c>
      <c r="D590" s="173" t="s">
        <v>4527</v>
      </c>
      <c r="E590" s="32" t="s">
        <v>4528</v>
      </c>
      <c r="F590" s="174">
        <f>'ПРАЙС_ЛИСТ'!F678</f>
        <v>6400</v>
      </c>
      <c r="G590" s="169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170"/>
      <c r="W590" s="170"/>
      <c r="X590" s="170"/>
    </row>
    <row r="591">
      <c r="A591" s="2"/>
      <c r="B591" s="46" t="s">
        <v>220</v>
      </c>
      <c r="C591" s="11">
        <v>90.0</v>
      </c>
      <c r="D591" s="173" t="s">
        <v>1061</v>
      </c>
      <c r="E591" s="32" t="s">
        <v>4529</v>
      </c>
      <c r="F591" s="174">
        <f>'ПРАЙС_ЛИСТ'!F679</f>
        <v>3800</v>
      </c>
      <c r="G591" s="169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170"/>
      <c r="W591" s="170"/>
      <c r="X591" s="170"/>
    </row>
    <row r="592">
      <c r="A592" s="2"/>
      <c r="B592" s="46" t="s">
        <v>220</v>
      </c>
      <c r="C592" s="11">
        <v>90.0</v>
      </c>
      <c r="D592" s="173" t="s">
        <v>4530</v>
      </c>
      <c r="E592" s="32" t="s">
        <v>4531</v>
      </c>
      <c r="F592" s="174">
        <f>'ПРАЙС_ЛИСТ'!F680</f>
        <v>4500</v>
      </c>
      <c r="G592" s="169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170"/>
      <c r="W592" s="170"/>
      <c r="X592" s="170"/>
    </row>
    <row r="593">
      <c r="A593" s="2"/>
      <c r="B593" s="46" t="s">
        <v>220</v>
      </c>
      <c r="C593" s="11">
        <v>90.0</v>
      </c>
      <c r="D593" s="173" t="s">
        <v>4532</v>
      </c>
      <c r="E593" s="32" t="s">
        <v>4533</v>
      </c>
      <c r="F593" s="174">
        <f>'ПРАЙС_ЛИСТ'!F681</f>
        <v>11300</v>
      </c>
      <c r="G593" s="169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170"/>
      <c r="W593" s="170"/>
      <c r="X593" s="170"/>
    </row>
    <row r="594">
      <c r="A594" s="2"/>
      <c r="B594" s="48" t="s">
        <v>220</v>
      </c>
      <c r="C594" s="36">
        <v>90.0</v>
      </c>
      <c r="D594" s="178" t="s">
        <v>4534</v>
      </c>
      <c r="E594" s="49" t="s">
        <v>4535</v>
      </c>
      <c r="F594" s="179">
        <f>'ПРАЙС_ЛИСТ'!F682</f>
        <v>11800</v>
      </c>
      <c r="G594" s="169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170"/>
      <c r="W594" s="170"/>
      <c r="X594" s="170"/>
    </row>
    <row r="595">
      <c r="A595" s="2"/>
      <c r="B595" s="1"/>
      <c r="C595" s="1"/>
      <c r="D595" s="180"/>
      <c r="E595" s="30"/>
      <c r="F595" s="21"/>
      <c r="G595" s="169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170"/>
      <c r="W595" s="170"/>
      <c r="X595" s="170"/>
    </row>
    <row r="596">
      <c r="A596" s="2"/>
      <c r="B596" s="41" t="s">
        <v>228</v>
      </c>
      <c r="C596" s="42">
        <v>0.0</v>
      </c>
      <c r="D596" s="181"/>
      <c r="E596" s="43" t="s">
        <v>4536</v>
      </c>
      <c r="F596" s="182">
        <v>0.0</v>
      </c>
      <c r="G596" s="169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170"/>
      <c r="W596" s="170"/>
      <c r="X596" s="170"/>
    </row>
    <row r="597">
      <c r="A597" s="2"/>
      <c r="B597" s="46" t="s">
        <v>228</v>
      </c>
      <c r="C597" s="11">
        <v>0.0</v>
      </c>
      <c r="D597" s="173" t="s">
        <v>4537</v>
      </c>
      <c r="E597" s="32" t="s">
        <v>4538</v>
      </c>
      <c r="F597" s="174">
        <f>'ПРАЙС_ЛИСТ'!F686</f>
        <v>700</v>
      </c>
      <c r="G597" s="169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170"/>
      <c r="W597" s="170"/>
      <c r="X597" s="170"/>
    </row>
    <row r="598">
      <c r="A598" s="2"/>
      <c r="B598" s="46" t="s">
        <v>228</v>
      </c>
      <c r="C598" s="11">
        <v>0.0</v>
      </c>
      <c r="D598" s="173"/>
      <c r="E598" s="32" t="s">
        <v>4539</v>
      </c>
      <c r="F598" s="174">
        <f>'ПРАЙС_ЛИСТ'!F687</f>
        <v>3300</v>
      </c>
      <c r="G598" s="169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170"/>
      <c r="W598" s="170"/>
      <c r="X598" s="170"/>
    </row>
    <row r="599">
      <c r="A599" s="2"/>
      <c r="B599" s="46" t="s">
        <v>228</v>
      </c>
      <c r="C599" s="11">
        <v>180.0</v>
      </c>
      <c r="D599" s="173" t="s">
        <v>4540</v>
      </c>
      <c r="E599" s="32" t="s">
        <v>4541</v>
      </c>
      <c r="F599" s="174">
        <f>IFERROR(__xludf.DUMMYFUNCTION("MIN(FILTER('ПРАЙС_ЛИСТ'!F688:F693, 'ПРАЙС_ЛИСТ'!F688:F693 &lt;&gt; 'ПРАЙС_ЛИСТ'!H688:H693))"),5000.0)</f>
        <v>5000</v>
      </c>
      <c r="G599" s="169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170"/>
      <c r="W599" s="170"/>
      <c r="X599" s="170"/>
    </row>
    <row r="600">
      <c r="A600" s="2"/>
      <c r="B600" s="46" t="s">
        <v>228</v>
      </c>
      <c r="C600" s="11">
        <v>180.0</v>
      </c>
      <c r="D600" s="173"/>
      <c r="E600" s="32" t="s">
        <v>4542</v>
      </c>
      <c r="F600" s="174">
        <f>IFERROR(__xludf.DUMMYFUNCTION("MAX(FILTER('ПРАЙС_ЛИСТ'!F688:F693, 'ПРАЙС_ЛИСТ'!F688:F693 &lt;&gt; 'ПРАЙС_ЛИСТ'!H688:H693))"),10700.0)</f>
        <v>10700</v>
      </c>
      <c r="G600" s="169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170"/>
      <c r="W600" s="170"/>
      <c r="X600" s="170"/>
    </row>
    <row r="601">
      <c r="A601" s="2"/>
      <c r="B601" s="46" t="s">
        <v>228</v>
      </c>
      <c r="C601" s="11">
        <v>90.0</v>
      </c>
      <c r="D601" s="173" t="s">
        <v>4543</v>
      </c>
      <c r="E601" s="32" t="s">
        <v>4544</v>
      </c>
      <c r="F601" s="174">
        <f>'ПРАЙС_ЛИСТ'!F694</f>
        <v>6500</v>
      </c>
      <c r="G601" s="169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170"/>
      <c r="W601" s="170"/>
      <c r="X601" s="170"/>
    </row>
    <row r="602">
      <c r="A602" s="2"/>
      <c r="B602" s="46" t="s">
        <v>228</v>
      </c>
      <c r="C602" s="11">
        <v>90.0</v>
      </c>
      <c r="D602" s="173" t="s">
        <v>4545</v>
      </c>
      <c r="E602" s="32" t="s">
        <v>4546</v>
      </c>
      <c r="F602" s="174">
        <f>IFERROR(__xludf.DUMMYFUNCTION("MIN(FILTER('ПРАЙС_ЛИСТ'!F695:F701, 'ПРАЙС_ЛИСТ'!F695:F701 &lt;&gt; 'ПРАЙС_ЛИСТ'!H695:H701))"),16000.0)</f>
        <v>16000</v>
      </c>
      <c r="G602" s="169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170"/>
      <c r="W602" s="170"/>
      <c r="X602" s="170"/>
    </row>
    <row r="603">
      <c r="A603" s="2"/>
      <c r="B603" s="46" t="s">
        <v>228</v>
      </c>
      <c r="C603" s="11">
        <v>90.0</v>
      </c>
      <c r="D603" s="173"/>
      <c r="E603" s="32" t="s">
        <v>4547</v>
      </c>
      <c r="F603" s="174">
        <f>IFERROR(__xludf.DUMMYFUNCTION("MAX(FILTER('ПРАЙС_ЛИСТ'!F695:F701, 'ПРАЙС_ЛИСТ'!F695:F701 &lt;&gt; 'ПРАЙС_ЛИСТ'!H695:H701))"),16500.0)</f>
        <v>16500</v>
      </c>
      <c r="G603" s="169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170"/>
      <c r="W603" s="170"/>
      <c r="X603" s="170"/>
    </row>
    <row r="604">
      <c r="A604" s="2"/>
      <c r="B604" s="46" t="s">
        <v>228</v>
      </c>
      <c r="C604" s="11">
        <v>90.0</v>
      </c>
      <c r="D604" s="173" t="s">
        <v>4548</v>
      </c>
      <c r="E604" s="32" t="s">
        <v>4549</v>
      </c>
      <c r="F604" s="174">
        <f>'ПРАЙС_ЛИСТ'!F703</f>
        <v>8500</v>
      </c>
      <c r="G604" s="169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170"/>
      <c r="W604" s="170"/>
      <c r="X604" s="170"/>
    </row>
    <row r="605">
      <c r="A605" s="2"/>
      <c r="B605" s="46" t="s">
        <v>228</v>
      </c>
      <c r="C605" s="11">
        <v>90.0</v>
      </c>
      <c r="D605" s="173"/>
      <c r="E605" s="32" t="s">
        <v>4550</v>
      </c>
      <c r="F605" s="174">
        <f>'ПРАЙС_ЛИСТ'!F704</f>
        <v>10000</v>
      </c>
      <c r="G605" s="169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170"/>
      <c r="W605" s="170"/>
      <c r="X605" s="170"/>
    </row>
    <row r="606">
      <c r="A606" s="2"/>
      <c r="B606" s="46" t="s">
        <v>228</v>
      </c>
      <c r="C606" s="11">
        <v>90.0</v>
      </c>
      <c r="D606" s="173" t="s">
        <v>4551</v>
      </c>
      <c r="E606" s="32" t="s">
        <v>4552</v>
      </c>
      <c r="F606" s="174">
        <f>'ПРАЙС_ЛИСТ'!F705</f>
        <v>9500</v>
      </c>
      <c r="G606" s="169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170"/>
      <c r="W606" s="170"/>
      <c r="X606" s="170"/>
    </row>
    <row r="607">
      <c r="A607" s="2"/>
      <c r="B607" s="46" t="s">
        <v>228</v>
      </c>
      <c r="C607" s="11">
        <v>90.0</v>
      </c>
      <c r="D607" s="173" t="s">
        <v>4553</v>
      </c>
      <c r="E607" s="32" t="s">
        <v>4554</v>
      </c>
      <c r="F607" s="174">
        <f>'ПРАЙС_ЛИСТ'!F706</f>
        <v>6900</v>
      </c>
      <c r="G607" s="169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170"/>
      <c r="W607" s="170"/>
      <c r="X607" s="170"/>
    </row>
    <row r="608">
      <c r="A608" s="2"/>
      <c r="B608" s="46" t="s">
        <v>228</v>
      </c>
      <c r="C608" s="11">
        <v>90.0</v>
      </c>
      <c r="D608" s="173" t="s">
        <v>4555</v>
      </c>
      <c r="E608" s="32" t="s">
        <v>4556</v>
      </c>
      <c r="F608" s="174">
        <f>'ПРАЙС_ЛИСТ'!F707</f>
        <v>3100</v>
      </c>
      <c r="G608" s="169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170"/>
      <c r="W608" s="170"/>
      <c r="X608" s="170"/>
    </row>
    <row r="609">
      <c r="A609" s="2"/>
      <c r="B609" s="46" t="s">
        <v>228</v>
      </c>
      <c r="C609" s="11">
        <v>90.0</v>
      </c>
      <c r="D609" s="173" t="s">
        <v>4557</v>
      </c>
      <c r="E609" s="32" t="s">
        <v>4558</v>
      </c>
      <c r="F609" s="174">
        <f>'ПРАЙС_ЛИСТ'!F708</f>
        <v>5800</v>
      </c>
      <c r="G609" s="169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170"/>
      <c r="W609" s="170"/>
      <c r="X609" s="170"/>
    </row>
    <row r="610">
      <c r="A610" s="2"/>
      <c r="B610" s="46" t="s">
        <v>228</v>
      </c>
      <c r="C610" s="11">
        <v>180.0</v>
      </c>
      <c r="D610" s="173" t="s">
        <v>4559</v>
      </c>
      <c r="E610" s="32" t="s">
        <v>4560</v>
      </c>
      <c r="F610" s="174">
        <f>'ПРАЙС_ЛИСТ'!F709</f>
        <v>6000</v>
      </c>
      <c r="G610" s="169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170"/>
      <c r="W610" s="170"/>
      <c r="X610" s="170"/>
    </row>
    <row r="611">
      <c r="A611" s="2"/>
      <c r="B611" s="46" t="s">
        <v>228</v>
      </c>
      <c r="C611" s="11">
        <v>180.0</v>
      </c>
      <c r="D611" s="173" t="s">
        <v>4561</v>
      </c>
      <c r="E611" s="32" t="s">
        <v>4562</v>
      </c>
      <c r="F611" s="185">
        <f>IF('ПРАЙС_ЛИСТ'!F710 = G611, 0, 'ПРАЙС_ЛИСТ'!F710)</f>
        <v>0</v>
      </c>
      <c r="G611" s="186">
        <f>'БД_УСЛУГИ_РО'!P576</f>
        <v>4000</v>
      </c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170"/>
      <c r="W611" s="170"/>
      <c r="X611" s="170"/>
    </row>
    <row r="612">
      <c r="A612" s="2"/>
      <c r="B612" s="46" t="s">
        <v>228</v>
      </c>
      <c r="C612" s="11">
        <v>90.0</v>
      </c>
      <c r="D612" s="173" t="s">
        <v>4563</v>
      </c>
      <c r="E612" s="32" t="s">
        <v>4564</v>
      </c>
      <c r="F612" s="174">
        <f>'ПРАЙС_ЛИСТ'!F711</f>
        <v>4000</v>
      </c>
      <c r="G612" s="169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170"/>
      <c r="W612" s="170"/>
      <c r="X612" s="170"/>
    </row>
    <row r="613">
      <c r="A613" s="2"/>
      <c r="B613" s="46" t="s">
        <v>228</v>
      </c>
      <c r="C613" s="11">
        <v>90.0</v>
      </c>
      <c r="D613" s="173" t="s">
        <v>4565</v>
      </c>
      <c r="E613" s="32" t="s">
        <v>4566</v>
      </c>
      <c r="F613" s="174">
        <f>'ПРАЙС_ЛИСТ'!F712</f>
        <v>4700</v>
      </c>
      <c r="G613" s="169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170"/>
      <c r="W613" s="170"/>
      <c r="X613" s="170"/>
    </row>
    <row r="614">
      <c r="A614" s="2"/>
      <c r="B614" s="46" t="s">
        <v>228</v>
      </c>
      <c r="C614" s="11">
        <v>90.0</v>
      </c>
      <c r="D614" s="173" t="s">
        <v>4567</v>
      </c>
      <c r="E614" s="32" t="s">
        <v>4568</v>
      </c>
      <c r="F614" s="174">
        <f>'ПРАЙС_ЛИСТ'!F713</f>
        <v>4750</v>
      </c>
      <c r="G614" s="169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170"/>
      <c r="W614" s="170"/>
      <c r="X614" s="170"/>
    </row>
    <row r="615">
      <c r="A615" s="2"/>
      <c r="B615" s="46" t="s">
        <v>228</v>
      </c>
      <c r="C615" s="11">
        <v>90.0</v>
      </c>
      <c r="D615" s="173" t="s">
        <v>4569</v>
      </c>
      <c r="E615" s="32" t="s">
        <v>4570</v>
      </c>
      <c r="F615" s="174">
        <f>'ПРАЙС_ЛИСТ'!F714</f>
        <v>6900</v>
      </c>
      <c r="G615" s="169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170"/>
      <c r="W615" s="170"/>
      <c r="X615" s="170"/>
    </row>
    <row r="616">
      <c r="A616" s="2"/>
      <c r="B616" s="46" t="s">
        <v>228</v>
      </c>
      <c r="C616" s="11">
        <v>90.0</v>
      </c>
      <c r="D616" s="173" t="s">
        <v>1043</v>
      </c>
      <c r="E616" s="32" t="s">
        <v>4571</v>
      </c>
      <c r="F616" s="174">
        <f>'ПРАЙС_ЛИСТ'!F715</f>
        <v>3800</v>
      </c>
      <c r="G616" s="169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170"/>
      <c r="W616" s="170"/>
      <c r="X616" s="170"/>
    </row>
    <row r="617">
      <c r="A617" s="2"/>
      <c r="B617" s="46" t="s">
        <v>228</v>
      </c>
      <c r="C617" s="11">
        <v>90.0</v>
      </c>
      <c r="D617" s="173" t="s">
        <v>4572</v>
      </c>
      <c r="E617" s="32" t="s">
        <v>4573</v>
      </c>
      <c r="F617" s="174">
        <f>'ПРАЙС_ЛИСТ'!F716</f>
        <v>4500</v>
      </c>
      <c r="G617" s="169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170"/>
      <c r="W617" s="170"/>
      <c r="X617" s="170"/>
    </row>
    <row r="618">
      <c r="A618" s="2"/>
      <c r="B618" s="46" t="s">
        <v>228</v>
      </c>
      <c r="C618" s="11">
        <v>90.0</v>
      </c>
      <c r="D618" s="173" t="s">
        <v>4574</v>
      </c>
      <c r="E618" s="32" t="s">
        <v>4575</v>
      </c>
      <c r="F618" s="174">
        <f>'ПРАЙС_ЛИСТ'!F717</f>
        <v>11300</v>
      </c>
      <c r="G618" s="169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170"/>
      <c r="W618" s="170"/>
      <c r="X618" s="170"/>
    </row>
    <row r="619">
      <c r="A619" s="2"/>
      <c r="B619" s="48" t="s">
        <v>228</v>
      </c>
      <c r="C619" s="36">
        <v>90.0</v>
      </c>
      <c r="D619" s="178" t="s">
        <v>4576</v>
      </c>
      <c r="E619" s="49" t="s">
        <v>4577</v>
      </c>
      <c r="F619" s="179">
        <f>'ПРАЙС_ЛИСТ'!F718</f>
        <v>11800</v>
      </c>
      <c r="G619" s="169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170"/>
      <c r="W619" s="170"/>
      <c r="X619" s="170"/>
    </row>
    <row r="620">
      <c r="A620" s="2"/>
      <c r="B620" s="1"/>
      <c r="C620" s="1"/>
      <c r="D620" s="180"/>
      <c r="E620" s="30"/>
      <c r="F620" s="21"/>
      <c r="G620" s="169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170"/>
      <c r="W620" s="170"/>
      <c r="X620" s="170"/>
    </row>
    <row r="621">
      <c r="A621" s="2"/>
      <c r="B621" s="41" t="s">
        <v>236</v>
      </c>
      <c r="C621" s="42">
        <v>0.0</v>
      </c>
      <c r="D621" s="181"/>
      <c r="E621" s="43" t="s">
        <v>4578</v>
      </c>
      <c r="F621" s="182">
        <v>0.0</v>
      </c>
      <c r="G621" s="169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170"/>
      <c r="W621" s="170"/>
      <c r="X621" s="170"/>
    </row>
    <row r="622">
      <c r="A622" s="2"/>
      <c r="B622" s="46" t="s">
        <v>236</v>
      </c>
      <c r="C622" s="11">
        <v>0.0</v>
      </c>
      <c r="D622" s="173" t="s">
        <v>4579</v>
      </c>
      <c r="E622" s="32" t="s">
        <v>4580</v>
      </c>
      <c r="F622" s="174">
        <f>'ПРАЙС_ЛИСТ'!F722</f>
        <v>700</v>
      </c>
      <c r="G622" s="169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170"/>
      <c r="W622" s="170"/>
      <c r="X622" s="170"/>
    </row>
    <row r="623">
      <c r="A623" s="2"/>
      <c r="B623" s="46" t="s">
        <v>236</v>
      </c>
      <c r="C623" s="11">
        <v>0.0</v>
      </c>
      <c r="D623" s="173"/>
      <c r="E623" s="32" t="s">
        <v>4581</v>
      </c>
      <c r="F623" s="174">
        <f>'ПРАЙС_ЛИСТ'!F723</f>
        <v>3700</v>
      </c>
      <c r="G623" s="169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170"/>
      <c r="W623" s="170"/>
      <c r="X623" s="170"/>
    </row>
    <row r="624">
      <c r="A624" s="2"/>
      <c r="B624" s="46" t="s">
        <v>236</v>
      </c>
      <c r="C624" s="11">
        <v>180.0</v>
      </c>
      <c r="D624" s="173" t="s">
        <v>4582</v>
      </c>
      <c r="E624" s="32" t="s">
        <v>4583</v>
      </c>
      <c r="F624" s="174">
        <f>IFERROR(__xludf.DUMMYFUNCTION("MIN(FILTER('ПРАЙС_ЛИСТ'!F724:F729, 'ПРАЙС_ЛИСТ'!F724:F729 &lt;&gt; 'ПРАЙС_ЛИСТ'!H724:H729))"),5000.0)</f>
        <v>5000</v>
      </c>
      <c r="G624" s="169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170"/>
      <c r="W624" s="170"/>
      <c r="X624" s="170"/>
    </row>
    <row r="625">
      <c r="A625" s="2"/>
      <c r="B625" s="46" t="s">
        <v>236</v>
      </c>
      <c r="C625" s="11">
        <v>180.0</v>
      </c>
      <c r="D625" s="173"/>
      <c r="E625" s="32" t="s">
        <v>4584</v>
      </c>
      <c r="F625" s="174">
        <f>IFERROR(__xludf.DUMMYFUNCTION("MAX(FILTER('ПРАЙС_ЛИСТ'!F724:F729, 'ПРАЙС_ЛИСТ'!F724:F729 &lt;&gt; 'ПРАЙС_ЛИСТ'!H724:H729))"),11200.0)</f>
        <v>11200</v>
      </c>
      <c r="G625" s="169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170"/>
      <c r="W625" s="170"/>
      <c r="X625" s="170"/>
    </row>
    <row r="626">
      <c r="A626" s="2"/>
      <c r="B626" s="46" t="s">
        <v>236</v>
      </c>
      <c r="C626" s="11">
        <v>90.0</v>
      </c>
      <c r="D626" s="173" t="s">
        <v>4585</v>
      </c>
      <c r="E626" s="32" t="s">
        <v>4586</v>
      </c>
      <c r="F626" s="174">
        <f>'ПРАЙС_ЛИСТ'!F730</f>
        <v>6550</v>
      </c>
      <c r="G626" s="169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170"/>
      <c r="W626" s="170"/>
      <c r="X626" s="170"/>
    </row>
    <row r="627">
      <c r="A627" s="2"/>
      <c r="B627" s="46" t="s">
        <v>236</v>
      </c>
      <c r="C627" s="11">
        <v>90.0</v>
      </c>
      <c r="D627" s="173" t="s">
        <v>4587</v>
      </c>
      <c r="E627" s="32" t="s">
        <v>4588</v>
      </c>
      <c r="F627" s="174">
        <f>IFERROR(__xludf.DUMMYFUNCTION("MIN(FILTER('ПРАЙС_ЛИСТ'!F731:F737, 'ПРАЙС_ЛИСТ'!F731:F737 &lt;&gt; 'ПРАЙС_ЛИСТ'!H731:H737))"),10700.0)</f>
        <v>10700</v>
      </c>
      <c r="G627" s="169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170"/>
      <c r="W627" s="170"/>
      <c r="X627" s="170"/>
    </row>
    <row r="628">
      <c r="A628" s="2"/>
      <c r="B628" s="46" t="s">
        <v>236</v>
      </c>
      <c r="C628" s="11">
        <v>90.0</v>
      </c>
      <c r="D628" s="173"/>
      <c r="E628" s="32" t="s">
        <v>4589</v>
      </c>
      <c r="F628" s="174">
        <f>IFERROR(__xludf.DUMMYFUNCTION("MAX(FILTER('ПРАЙС_ЛИСТ'!F731:F737, 'ПРАЙС_ЛИСТ'!F731:F737 &lt;&gt; 'ПРАЙС_ЛИСТ'!H731:H737))"),12000.0)</f>
        <v>12000</v>
      </c>
      <c r="G628" s="169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170"/>
      <c r="W628" s="170"/>
      <c r="X628" s="170"/>
    </row>
    <row r="629">
      <c r="A629" s="2"/>
      <c r="B629" s="46" t="s">
        <v>236</v>
      </c>
      <c r="C629" s="11">
        <v>90.0</v>
      </c>
      <c r="D629" s="173" t="s">
        <v>4590</v>
      </c>
      <c r="E629" s="32" t="s">
        <v>4591</v>
      </c>
      <c r="F629" s="174">
        <f>'ПРАЙС_ЛИСТ'!F739</f>
        <v>8000</v>
      </c>
      <c r="G629" s="169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170"/>
      <c r="W629" s="170"/>
      <c r="X629" s="170"/>
    </row>
    <row r="630">
      <c r="A630" s="2"/>
      <c r="B630" s="46" t="s">
        <v>236</v>
      </c>
      <c r="C630" s="11">
        <v>90.0</v>
      </c>
      <c r="D630" s="173" t="s">
        <v>4592</v>
      </c>
      <c r="E630" s="32" t="s">
        <v>4593</v>
      </c>
      <c r="F630" s="174">
        <f>'ПРАЙС_ЛИСТ'!F741</f>
        <v>6500</v>
      </c>
      <c r="G630" s="169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170"/>
      <c r="W630" s="170"/>
      <c r="X630" s="170"/>
    </row>
    <row r="631">
      <c r="A631" s="2"/>
      <c r="B631" s="46" t="s">
        <v>236</v>
      </c>
      <c r="C631" s="11">
        <v>90.0</v>
      </c>
      <c r="D631" s="173" t="s">
        <v>4594</v>
      </c>
      <c r="E631" s="32" t="s">
        <v>4595</v>
      </c>
      <c r="F631" s="174">
        <f>'ПРАЙС_ЛИСТ'!F742</f>
        <v>7900</v>
      </c>
      <c r="G631" s="169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170"/>
      <c r="W631" s="170"/>
      <c r="X631" s="170"/>
    </row>
    <row r="632">
      <c r="A632" s="2"/>
      <c r="B632" s="46" t="s">
        <v>236</v>
      </c>
      <c r="C632" s="11">
        <v>90.0</v>
      </c>
      <c r="D632" s="173" t="s">
        <v>4596</v>
      </c>
      <c r="E632" s="32" t="s">
        <v>4597</v>
      </c>
      <c r="F632" s="174">
        <f>'ПРАЙС_ЛИСТ'!F743</f>
        <v>3200</v>
      </c>
      <c r="G632" s="169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170"/>
      <c r="W632" s="170"/>
      <c r="X632" s="170"/>
    </row>
    <row r="633">
      <c r="A633" s="2"/>
      <c r="B633" s="46" t="s">
        <v>236</v>
      </c>
      <c r="C633" s="11">
        <v>90.0</v>
      </c>
      <c r="D633" s="173" t="s">
        <v>4598</v>
      </c>
      <c r="E633" s="32" t="s">
        <v>4599</v>
      </c>
      <c r="F633" s="174">
        <f>'ПРАЙС_ЛИСТ'!F744</f>
        <v>6700</v>
      </c>
      <c r="G633" s="169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170"/>
      <c r="W633" s="170"/>
      <c r="X633" s="170"/>
    </row>
    <row r="634">
      <c r="A634" s="2"/>
      <c r="B634" s="46" t="s">
        <v>236</v>
      </c>
      <c r="C634" s="11">
        <v>180.0</v>
      </c>
      <c r="D634" s="173" t="s">
        <v>4600</v>
      </c>
      <c r="E634" s="32" t="s">
        <v>4601</v>
      </c>
      <c r="F634" s="174">
        <f>'ПРАЙС_ЛИСТ'!F745</f>
        <v>6500</v>
      </c>
      <c r="G634" s="169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170"/>
      <c r="W634" s="170"/>
      <c r="X634" s="170"/>
    </row>
    <row r="635">
      <c r="A635" s="2"/>
      <c r="B635" s="46" t="s">
        <v>236</v>
      </c>
      <c r="C635" s="11">
        <v>180.0</v>
      </c>
      <c r="D635" s="173" t="s">
        <v>4602</v>
      </c>
      <c r="E635" s="32" t="s">
        <v>4603</v>
      </c>
      <c r="F635" s="185">
        <f>IF('ПРАЙС_ЛИСТ'!F746 = G635, 0, 'ПРАЙС_ЛИСТ'!F746)</f>
        <v>0</v>
      </c>
      <c r="G635" s="186">
        <f>'БД_УСЛУГИ_РО'!P603</f>
        <v>4600</v>
      </c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170"/>
      <c r="W635" s="170"/>
      <c r="X635" s="170"/>
    </row>
    <row r="636">
      <c r="A636" s="2"/>
      <c r="B636" s="46" t="s">
        <v>236</v>
      </c>
      <c r="C636" s="11">
        <v>90.0</v>
      </c>
      <c r="D636" s="173" t="s">
        <v>4604</v>
      </c>
      <c r="E636" s="32" t="s">
        <v>4605</v>
      </c>
      <c r="F636" s="174">
        <f>'ПРАЙС_ЛИСТ'!F747</f>
        <v>5000</v>
      </c>
      <c r="G636" s="169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170"/>
      <c r="W636" s="170"/>
      <c r="X636" s="170"/>
    </row>
    <row r="637">
      <c r="A637" s="2"/>
      <c r="B637" s="46" t="s">
        <v>236</v>
      </c>
      <c r="C637" s="11">
        <v>90.0</v>
      </c>
      <c r="D637" s="173" t="s">
        <v>4606</v>
      </c>
      <c r="E637" s="32" t="s">
        <v>4607</v>
      </c>
      <c r="F637" s="174">
        <f>'ПРАЙС_ЛИСТ'!F748</f>
        <v>4500</v>
      </c>
      <c r="G637" s="169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170"/>
      <c r="W637" s="170"/>
      <c r="X637" s="170"/>
    </row>
    <row r="638">
      <c r="A638" s="2"/>
      <c r="B638" s="46" t="s">
        <v>236</v>
      </c>
      <c r="C638" s="11">
        <v>90.0</v>
      </c>
      <c r="D638" s="173" t="s">
        <v>4608</v>
      </c>
      <c r="E638" s="32" t="s">
        <v>4609</v>
      </c>
      <c r="F638" s="174">
        <f>'ПРАЙС_ЛИСТ'!F749</f>
        <v>4650</v>
      </c>
      <c r="G638" s="169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170"/>
      <c r="W638" s="170"/>
      <c r="X638" s="170"/>
    </row>
    <row r="639">
      <c r="A639" s="2"/>
      <c r="B639" s="46" t="s">
        <v>236</v>
      </c>
      <c r="C639" s="11">
        <v>90.0</v>
      </c>
      <c r="D639" s="173" t="s">
        <v>4610</v>
      </c>
      <c r="E639" s="32" t="s">
        <v>4611</v>
      </c>
      <c r="F639" s="174">
        <f>'ПРАЙС_ЛИСТ'!F750</f>
        <v>6750</v>
      </c>
      <c r="G639" s="169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170"/>
      <c r="W639" s="170"/>
      <c r="X639" s="170"/>
    </row>
    <row r="640">
      <c r="A640" s="2"/>
      <c r="B640" s="46" t="s">
        <v>236</v>
      </c>
      <c r="C640" s="11">
        <v>90.0</v>
      </c>
      <c r="D640" s="173" t="s">
        <v>1025</v>
      </c>
      <c r="E640" s="32" t="s">
        <v>4612</v>
      </c>
      <c r="F640" s="174">
        <f>'ПРАЙС_ЛИСТ'!F751</f>
        <v>4700</v>
      </c>
      <c r="G640" s="169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170"/>
      <c r="W640" s="170"/>
      <c r="X640" s="170"/>
    </row>
    <row r="641">
      <c r="A641" s="2"/>
      <c r="B641" s="46" t="s">
        <v>236</v>
      </c>
      <c r="C641" s="11">
        <v>90.0</v>
      </c>
      <c r="D641" s="173" t="s">
        <v>4613</v>
      </c>
      <c r="E641" s="32" t="s">
        <v>4614</v>
      </c>
      <c r="F641" s="174">
        <f>'ПРАЙС_ЛИСТ'!F752</f>
        <v>5500</v>
      </c>
      <c r="G641" s="169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170"/>
      <c r="W641" s="170"/>
      <c r="X641" s="170"/>
    </row>
    <row r="642">
      <c r="A642" s="2"/>
      <c r="B642" s="46" t="s">
        <v>236</v>
      </c>
      <c r="C642" s="11">
        <v>90.0</v>
      </c>
      <c r="D642" s="173" t="s">
        <v>4615</v>
      </c>
      <c r="E642" s="32" t="s">
        <v>4616</v>
      </c>
      <c r="F642" s="174">
        <f>'ПРАЙС_ЛИСТ'!F753</f>
        <v>12700</v>
      </c>
      <c r="G642" s="169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170"/>
      <c r="W642" s="170"/>
      <c r="X642" s="170"/>
    </row>
    <row r="643">
      <c r="A643" s="2"/>
      <c r="B643" s="48" t="s">
        <v>236</v>
      </c>
      <c r="C643" s="36">
        <v>90.0</v>
      </c>
      <c r="D643" s="178" t="s">
        <v>4617</v>
      </c>
      <c r="E643" s="49" t="s">
        <v>4618</v>
      </c>
      <c r="F643" s="179">
        <f>'ПРАЙС_ЛИСТ'!F754</f>
        <v>13200</v>
      </c>
      <c r="G643" s="169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170"/>
      <c r="W643" s="170"/>
      <c r="X643" s="170"/>
    </row>
    <row r="644">
      <c r="A644" s="2"/>
      <c r="B644" s="1"/>
      <c r="C644" s="1"/>
      <c r="D644" s="180"/>
      <c r="E644" s="30"/>
      <c r="F644" s="21"/>
      <c r="G644" s="169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170"/>
      <c r="W644" s="170"/>
      <c r="X644" s="170"/>
    </row>
    <row r="645">
      <c r="A645" s="2"/>
      <c r="B645" s="41" t="s">
        <v>238</v>
      </c>
      <c r="C645" s="42">
        <v>0.0</v>
      </c>
      <c r="D645" s="181"/>
      <c r="E645" s="43" t="s">
        <v>4619</v>
      </c>
      <c r="F645" s="182">
        <v>0.0</v>
      </c>
      <c r="G645" s="169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170"/>
      <c r="W645" s="170"/>
      <c r="X645" s="170"/>
    </row>
    <row r="646">
      <c r="A646" s="2"/>
      <c r="B646" s="46" t="s">
        <v>238</v>
      </c>
      <c r="C646" s="11">
        <v>0.0</v>
      </c>
      <c r="D646" s="173" t="s">
        <v>4620</v>
      </c>
      <c r="E646" s="32" t="s">
        <v>4621</v>
      </c>
      <c r="F646" s="174">
        <f>'ПРАЙС_ЛИСТ'!F758</f>
        <v>700</v>
      </c>
      <c r="G646" s="169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170"/>
      <c r="W646" s="170"/>
      <c r="X646" s="170"/>
    </row>
    <row r="647">
      <c r="A647" s="2"/>
      <c r="B647" s="46" t="s">
        <v>238</v>
      </c>
      <c r="C647" s="11">
        <v>0.0</v>
      </c>
      <c r="D647" s="173"/>
      <c r="E647" s="32" t="s">
        <v>4622</v>
      </c>
      <c r="F647" s="174">
        <f>'ПРАЙС_ЛИСТ'!F759</f>
        <v>3700</v>
      </c>
      <c r="G647" s="169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170"/>
      <c r="W647" s="170"/>
      <c r="X647" s="170"/>
    </row>
    <row r="648">
      <c r="A648" s="2"/>
      <c r="B648" s="46" t="s">
        <v>238</v>
      </c>
      <c r="C648" s="11">
        <v>180.0</v>
      </c>
      <c r="D648" s="173" t="s">
        <v>4623</v>
      </c>
      <c r="E648" s="32" t="s">
        <v>4624</v>
      </c>
      <c r="F648" s="174">
        <f>IFERROR(__xludf.DUMMYFUNCTION("MIN(FILTER('ПРАЙС_ЛИСТ'!F760:F764, 'ПРАЙС_ЛИСТ'!F760:F764 &lt;&gt; 'ПРАЙС_ЛИСТ'!H760:H764))"),5000.0)</f>
        <v>5000</v>
      </c>
      <c r="G648" s="169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170"/>
      <c r="W648" s="170"/>
      <c r="X648" s="170"/>
    </row>
    <row r="649">
      <c r="A649" s="2"/>
      <c r="B649" s="46" t="s">
        <v>238</v>
      </c>
      <c r="C649" s="11">
        <v>180.0</v>
      </c>
      <c r="D649" s="173"/>
      <c r="E649" s="32" t="s">
        <v>4625</v>
      </c>
      <c r="F649" s="174">
        <f>IFERROR(__xludf.DUMMYFUNCTION("MAX(FILTER('ПРАЙС_ЛИСТ'!F760:F764, 'ПРАЙС_ЛИСТ'!F760:F764 &lt;&gt; 'ПРАЙС_ЛИСТ'!H760:H764))"),12300.0)</f>
        <v>12300</v>
      </c>
      <c r="G649" s="169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170"/>
      <c r="W649" s="170"/>
      <c r="X649" s="170"/>
    </row>
    <row r="650">
      <c r="A650" s="2"/>
      <c r="B650" s="46" t="s">
        <v>238</v>
      </c>
      <c r="C650" s="11">
        <v>90.0</v>
      </c>
      <c r="D650" s="173" t="s">
        <v>4626</v>
      </c>
      <c r="E650" s="32" t="s">
        <v>4627</v>
      </c>
      <c r="F650" s="174">
        <f>'ПРАЙС_ЛИСТ'!F765</f>
        <v>6600</v>
      </c>
      <c r="G650" s="169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170"/>
      <c r="W650" s="170"/>
      <c r="X650" s="170"/>
    </row>
    <row r="651">
      <c r="A651" s="2"/>
      <c r="B651" s="46" t="s">
        <v>238</v>
      </c>
      <c r="C651" s="11">
        <v>90.0</v>
      </c>
      <c r="D651" s="173" t="s">
        <v>4628</v>
      </c>
      <c r="E651" s="32" t="s">
        <v>4629</v>
      </c>
      <c r="F651" s="174">
        <f>IFERROR(__xludf.DUMMYFUNCTION("MIN(FILTER('ПРАЙС_ЛИСТ'!F766:F772, 'ПРАЙС_ЛИСТ'!F766:F772 &lt;&gt; 'ПРАЙС_ЛИСТ'!H766:H772))"),15650.0)</f>
        <v>15650</v>
      </c>
      <c r="G651" s="169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170"/>
      <c r="W651" s="170"/>
      <c r="X651" s="170"/>
    </row>
    <row r="652">
      <c r="A652" s="2"/>
      <c r="B652" s="46" t="s">
        <v>238</v>
      </c>
      <c r="C652" s="11">
        <v>90.0</v>
      </c>
      <c r="D652" s="173"/>
      <c r="E652" s="32" t="s">
        <v>4630</v>
      </c>
      <c r="F652" s="174">
        <f>IFERROR(__xludf.DUMMYFUNCTION("MAX(FILTER('ПРАЙС_ЛИСТ'!F766:F772, 'ПРАЙС_ЛИСТ'!F766:F772 &lt;&gt; 'ПРАЙС_ЛИСТ'!H766:H772))"),18650.0)</f>
        <v>18650</v>
      </c>
      <c r="G652" s="169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170"/>
      <c r="W652" s="170"/>
      <c r="X652" s="170"/>
    </row>
    <row r="653">
      <c r="A653" s="2"/>
      <c r="B653" s="46" t="s">
        <v>238</v>
      </c>
      <c r="C653" s="11">
        <v>90.0</v>
      </c>
      <c r="D653" s="173" t="s">
        <v>4631</v>
      </c>
      <c r="E653" s="32" t="s">
        <v>4632</v>
      </c>
      <c r="F653" s="174">
        <f>'ПРАЙС_ЛИСТ'!F774</f>
        <v>8500</v>
      </c>
      <c r="G653" s="169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170"/>
      <c r="W653" s="170"/>
      <c r="X653" s="170"/>
    </row>
    <row r="654">
      <c r="A654" s="2"/>
      <c r="B654" s="46" t="s">
        <v>238</v>
      </c>
      <c r="C654" s="11">
        <v>90.0</v>
      </c>
      <c r="D654" s="173" t="s">
        <v>4633</v>
      </c>
      <c r="E654" s="32" t="s">
        <v>4634</v>
      </c>
      <c r="F654" s="174">
        <f>'ПРАЙС_ЛИСТ'!F776</f>
        <v>6500</v>
      </c>
      <c r="G654" s="169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170"/>
      <c r="W654" s="170"/>
      <c r="X654" s="170"/>
    </row>
    <row r="655">
      <c r="A655" s="2"/>
      <c r="B655" s="46" t="s">
        <v>238</v>
      </c>
      <c r="C655" s="11">
        <v>90.0</v>
      </c>
      <c r="D655" s="173" t="s">
        <v>4635</v>
      </c>
      <c r="E655" s="32" t="s">
        <v>4636</v>
      </c>
      <c r="F655" s="185">
        <f>IF('ПРАЙС_ЛИСТ'!F777 = G655, 0, 'ПРАЙС_ЛИСТ'!F777)</f>
        <v>0</v>
      </c>
      <c r="G655" s="186">
        <f>'БД_УСЛУГИ_РО'!P626</f>
        <v>4700</v>
      </c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170"/>
      <c r="W655" s="170"/>
      <c r="X655" s="170"/>
    </row>
    <row r="656">
      <c r="A656" s="2"/>
      <c r="B656" s="46" t="s">
        <v>238</v>
      </c>
      <c r="C656" s="11">
        <v>90.0</v>
      </c>
      <c r="D656" s="173" t="s">
        <v>4637</v>
      </c>
      <c r="E656" s="32" t="s">
        <v>4638</v>
      </c>
      <c r="F656" s="174">
        <f>'ПРАЙС_ЛИСТ'!F778</f>
        <v>3200</v>
      </c>
      <c r="G656" s="169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170"/>
      <c r="W656" s="170"/>
      <c r="X656" s="170"/>
    </row>
    <row r="657">
      <c r="A657" s="2"/>
      <c r="B657" s="46" t="s">
        <v>238</v>
      </c>
      <c r="C657" s="11">
        <v>90.0</v>
      </c>
      <c r="D657" s="173" t="s">
        <v>4639</v>
      </c>
      <c r="E657" s="32" t="s">
        <v>4640</v>
      </c>
      <c r="F657" s="174">
        <f>'ПРАЙС_ЛИСТ'!F779</f>
        <v>6700</v>
      </c>
      <c r="G657" s="169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170"/>
      <c r="W657" s="170"/>
      <c r="X657" s="170"/>
    </row>
    <row r="658">
      <c r="A658" s="2"/>
      <c r="B658" s="46" t="s">
        <v>238</v>
      </c>
      <c r="C658" s="11">
        <v>180.0</v>
      </c>
      <c r="D658" s="173" t="s">
        <v>4641</v>
      </c>
      <c r="E658" s="32" t="s">
        <v>4642</v>
      </c>
      <c r="F658" s="174">
        <f>'ПРАЙС_ЛИСТ'!F780</f>
        <v>6450</v>
      </c>
      <c r="G658" s="169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170"/>
      <c r="W658" s="170"/>
      <c r="X658" s="170"/>
    </row>
    <row r="659">
      <c r="A659" s="2"/>
      <c r="B659" s="46" t="s">
        <v>238</v>
      </c>
      <c r="C659" s="11">
        <v>180.0</v>
      </c>
      <c r="D659" s="173" t="s">
        <v>4643</v>
      </c>
      <c r="E659" s="32" t="s">
        <v>4644</v>
      </c>
      <c r="F659" s="185">
        <f>IF('ПРАЙС_ЛИСТ'!F781 = G659, 0, 'ПРАЙС_ЛИСТ'!F781)</f>
        <v>0</v>
      </c>
      <c r="G659" s="186">
        <f>'БД_УСЛУГИ_РО'!P630</f>
        <v>4600</v>
      </c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170"/>
      <c r="W659" s="170"/>
      <c r="X659" s="170"/>
    </row>
    <row r="660">
      <c r="A660" s="2"/>
      <c r="B660" s="46" t="s">
        <v>238</v>
      </c>
      <c r="C660" s="11">
        <v>90.0</v>
      </c>
      <c r="D660" s="173" t="s">
        <v>4645</v>
      </c>
      <c r="E660" s="32" t="s">
        <v>4646</v>
      </c>
      <c r="F660" s="174">
        <f>'ПРАЙС_ЛИСТ'!F782</f>
        <v>5000</v>
      </c>
      <c r="G660" s="169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170"/>
      <c r="W660" s="170"/>
      <c r="X660" s="170"/>
    </row>
    <row r="661">
      <c r="A661" s="2"/>
      <c r="B661" s="46" t="s">
        <v>238</v>
      </c>
      <c r="C661" s="11">
        <v>90.0</v>
      </c>
      <c r="D661" s="173" t="s">
        <v>4647</v>
      </c>
      <c r="E661" s="32" t="s">
        <v>4648</v>
      </c>
      <c r="F661" s="185">
        <f>IF('ПРАЙС_ЛИСТ'!F783 = G661, 0, 'ПРАЙС_ЛИСТ'!F783)</f>
        <v>0</v>
      </c>
      <c r="G661" s="186">
        <f>'БД_УСЛУГИ_РО'!P632</f>
        <v>3600</v>
      </c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170"/>
      <c r="W661" s="170"/>
      <c r="X661" s="170"/>
    </row>
    <row r="662">
      <c r="A662" s="2"/>
      <c r="B662" s="46" t="s">
        <v>238</v>
      </c>
      <c r="C662" s="11">
        <v>90.0</v>
      </c>
      <c r="D662" s="173" t="s">
        <v>4649</v>
      </c>
      <c r="E662" s="32" t="s">
        <v>4650</v>
      </c>
      <c r="F662" s="185">
        <f>IF('ПРАЙС_ЛИСТ'!F784 = G662, 0, 'ПРАЙС_ЛИСТ'!F784)</f>
        <v>0</v>
      </c>
      <c r="G662" s="186">
        <f>'БД_УСЛУГИ_РО'!P633</f>
        <v>3600</v>
      </c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170"/>
      <c r="W662" s="170"/>
      <c r="X662" s="170"/>
    </row>
    <row r="663">
      <c r="A663" s="2"/>
      <c r="B663" s="46" t="s">
        <v>238</v>
      </c>
      <c r="C663" s="11">
        <v>90.0</v>
      </c>
      <c r="D663" s="173" t="s">
        <v>4651</v>
      </c>
      <c r="E663" s="32" t="s">
        <v>4652</v>
      </c>
      <c r="F663" s="174">
        <f>'ПРАЙС_ЛИСТ'!F785</f>
        <v>6800</v>
      </c>
      <c r="G663" s="169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170"/>
      <c r="W663" s="170"/>
      <c r="X663" s="170"/>
    </row>
    <row r="664">
      <c r="A664" s="2"/>
      <c r="B664" s="46" t="s">
        <v>238</v>
      </c>
      <c r="C664" s="11">
        <v>90.0</v>
      </c>
      <c r="D664" s="173" t="s">
        <v>1007</v>
      </c>
      <c r="E664" s="32" t="s">
        <v>4653</v>
      </c>
      <c r="F664" s="174">
        <f>'ПРАЙС_ЛИСТ'!F786</f>
        <v>4700</v>
      </c>
      <c r="G664" s="169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170"/>
      <c r="W664" s="170"/>
      <c r="X664" s="170"/>
    </row>
    <row r="665">
      <c r="A665" s="2"/>
      <c r="B665" s="46" t="s">
        <v>238</v>
      </c>
      <c r="C665" s="11">
        <v>90.0</v>
      </c>
      <c r="D665" s="173" t="s">
        <v>4654</v>
      </c>
      <c r="E665" s="32" t="s">
        <v>4655</v>
      </c>
      <c r="F665" s="174">
        <f>'ПРАЙС_ЛИСТ'!F787</f>
        <v>5500</v>
      </c>
      <c r="G665" s="169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170"/>
      <c r="W665" s="170"/>
      <c r="X665" s="170"/>
    </row>
    <row r="666">
      <c r="A666" s="2"/>
      <c r="B666" s="46" t="s">
        <v>238</v>
      </c>
      <c r="C666" s="11">
        <v>90.0</v>
      </c>
      <c r="D666" s="173" t="s">
        <v>4656</v>
      </c>
      <c r="E666" s="32" t="s">
        <v>4657</v>
      </c>
      <c r="F666" s="174">
        <f>'ПРАЙС_ЛИСТ'!F788</f>
        <v>12700</v>
      </c>
      <c r="G666" s="169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170"/>
      <c r="W666" s="170"/>
      <c r="X666" s="170"/>
    </row>
    <row r="667">
      <c r="A667" s="2"/>
      <c r="B667" s="48" t="s">
        <v>238</v>
      </c>
      <c r="C667" s="36">
        <v>90.0</v>
      </c>
      <c r="D667" s="178" t="s">
        <v>4658</v>
      </c>
      <c r="E667" s="49" t="s">
        <v>4659</v>
      </c>
      <c r="F667" s="179">
        <f>'ПРАЙС_ЛИСТ'!F789</f>
        <v>13200</v>
      </c>
      <c r="G667" s="169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170"/>
      <c r="W667" s="170"/>
      <c r="X667" s="170"/>
    </row>
    <row r="668">
      <c r="A668" s="2"/>
      <c r="B668" s="1"/>
      <c r="C668" s="1"/>
      <c r="D668" s="180"/>
      <c r="E668" s="30"/>
      <c r="F668" s="21"/>
      <c r="G668" s="169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170"/>
      <c r="W668" s="170"/>
      <c r="X668" s="170"/>
    </row>
    <row r="669">
      <c r="A669" s="2"/>
      <c r="B669" s="41" t="s">
        <v>246</v>
      </c>
      <c r="C669" s="42">
        <v>0.0</v>
      </c>
      <c r="D669" s="181"/>
      <c r="E669" s="43" t="s">
        <v>4660</v>
      </c>
      <c r="F669" s="182">
        <v>0.0</v>
      </c>
      <c r="G669" s="169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170"/>
      <c r="W669" s="170"/>
      <c r="X669" s="170"/>
    </row>
    <row r="670">
      <c r="A670" s="2"/>
      <c r="B670" s="46" t="s">
        <v>246</v>
      </c>
      <c r="C670" s="11">
        <v>0.0</v>
      </c>
      <c r="D670" s="173" t="s">
        <v>4661</v>
      </c>
      <c r="E670" s="32" t="s">
        <v>4662</v>
      </c>
      <c r="F670" s="174">
        <f>'ПРАЙС_ЛИСТ'!F793</f>
        <v>700</v>
      </c>
      <c r="G670" s="169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170"/>
      <c r="W670" s="170"/>
      <c r="X670" s="170"/>
    </row>
    <row r="671">
      <c r="A671" s="2"/>
      <c r="B671" s="46" t="s">
        <v>246</v>
      </c>
      <c r="C671" s="11">
        <v>0.0</v>
      </c>
      <c r="D671" s="173"/>
      <c r="E671" s="32" t="s">
        <v>4663</v>
      </c>
      <c r="F671" s="174">
        <f>'ПРАЙС_ЛИСТ'!F794</f>
        <v>4200</v>
      </c>
      <c r="G671" s="169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170"/>
      <c r="W671" s="170"/>
      <c r="X671" s="170"/>
    </row>
    <row r="672">
      <c r="A672" s="2"/>
      <c r="B672" s="46" t="s">
        <v>246</v>
      </c>
      <c r="C672" s="11">
        <v>180.0</v>
      </c>
      <c r="D672" s="173" t="s">
        <v>4664</v>
      </c>
      <c r="E672" s="32" t="s">
        <v>4665</v>
      </c>
      <c r="F672" s="174">
        <f>IFERROR(__xludf.DUMMYFUNCTION("MIN(FILTER('ПРАЙС_ЛИСТ'!F795:F800, 'ПРАЙС_ЛИСТ'!F795:F800 &lt;&gt; 'ПРАЙС_ЛИСТ'!H795:H800))"),5500.0)</f>
        <v>5500</v>
      </c>
      <c r="G672" s="169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170"/>
      <c r="W672" s="170"/>
      <c r="X672" s="170"/>
    </row>
    <row r="673">
      <c r="A673" s="2"/>
      <c r="B673" s="46" t="s">
        <v>246</v>
      </c>
      <c r="C673" s="11">
        <v>180.0</v>
      </c>
      <c r="D673" s="173"/>
      <c r="E673" s="32" t="s">
        <v>4666</v>
      </c>
      <c r="F673" s="174">
        <f>IFERROR(__xludf.DUMMYFUNCTION("MAX(FILTER('ПРАЙС_ЛИСТ'!F795:F800, 'ПРАЙС_ЛИСТ'!F795:F800 &lt;&gt; 'ПРАЙС_ЛИСТ'!H795:H800))"),12600.0)</f>
        <v>12600</v>
      </c>
      <c r="G673" s="169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170"/>
      <c r="W673" s="170"/>
      <c r="X673" s="170"/>
    </row>
    <row r="674">
      <c r="A674" s="2"/>
      <c r="B674" s="46" t="s">
        <v>246</v>
      </c>
      <c r="C674" s="11">
        <v>90.0</v>
      </c>
      <c r="D674" s="173" t="s">
        <v>4667</v>
      </c>
      <c r="E674" s="32" t="s">
        <v>4668</v>
      </c>
      <c r="F674" s="174">
        <f>'ПРАЙС_ЛИСТ'!F801</f>
        <v>7500</v>
      </c>
      <c r="G674" s="169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170"/>
      <c r="W674" s="170"/>
      <c r="X674" s="170"/>
    </row>
    <row r="675">
      <c r="A675" s="2"/>
      <c r="B675" s="46" t="s">
        <v>246</v>
      </c>
      <c r="C675" s="11">
        <v>90.0</v>
      </c>
      <c r="D675" s="173" t="s">
        <v>4669</v>
      </c>
      <c r="E675" s="32" t="s">
        <v>4670</v>
      </c>
      <c r="F675" s="174">
        <f>IFERROR(__xludf.DUMMYFUNCTION("MIN(FILTER('ПРАЙС_ЛИСТ'!F802:F808, 'ПРАЙС_ЛИСТ'!F802:F808 &lt;&gt; 'ПРАЙС_ЛИСТ'!H802:H808))"),15000.0)</f>
        <v>15000</v>
      </c>
      <c r="G675" s="169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170"/>
      <c r="W675" s="170"/>
      <c r="X675" s="170"/>
    </row>
    <row r="676">
      <c r="A676" s="2"/>
      <c r="B676" s="46" t="s">
        <v>246</v>
      </c>
      <c r="C676" s="11">
        <v>90.0</v>
      </c>
      <c r="D676" s="173"/>
      <c r="E676" s="32" t="s">
        <v>4671</v>
      </c>
      <c r="F676" s="174">
        <f>IFERROR(__xludf.DUMMYFUNCTION("MAX(FILTER('ПРАЙС_ЛИСТ'!F802:F808, 'ПРАЙС_ЛИСТ'!F802:F808 &lt;&gt; 'ПРАЙС_ЛИСТ'!H802:H808))"),26100.0)</f>
        <v>26100</v>
      </c>
      <c r="G676" s="169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170"/>
      <c r="W676" s="170"/>
      <c r="X676" s="170"/>
    </row>
    <row r="677">
      <c r="A677" s="2"/>
      <c r="B677" s="46" t="s">
        <v>246</v>
      </c>
      <c r="C677" s="11">
        <v>90.0</v>
      </c>
      <c r="D677" s="173" t="s">
        <v>4672</v>
      </c>
      <c r="E677" s="32" t="s">
        <v>4673</v>
      </c>
      <c r="F677" s="174">
        <f>'ПРАЙС_ЛИСТ'!F810</f>
        <v>10000</v>
      </c>
      <c r="G677" s="169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170"/>
      <c r="W677" s="170"/>
      <c r="X677" s="170"/>
    </row>
    <row r="678">
      <c r="A678" s="2"/>
      <c r="B678" s="46" t="s">
        <v>246</v>
      </c>
      <c r="C678" s="11">
        <v>90.0</v>
      </c>
      <c r="D678" s="173" t="s">
        <v>4674</v>
      </c>
      <c r="E678" s="32" t="s">
        <v>4675</v>
      </c>
      <c r="F678" s="174">
        <f>'ПРАЙС_ЛИСТ'!F812</f>
        <v>9900</v>
      </c>
      <c r="G678" s="169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170"/>
      <c r="W678" s="170"/>
      <c r="X678" s="170"/>
    </row>
    <row r="679">
      <c r="A679" s="2"/>
      <c r="B679" s="46" t="s">
        <v>246</v>
      </c>
      <c r="C679" s="11">
        <v>90.0</v>
      </c>
      <c r="D679" s="173" t="s">
        <v>4676</v>
      </c>
      <c r="E679" s="32" t="s">
        <v>4677</v>
      </c>
      <c r="F679" s="174">
        <f>'ПРАЙС_ЛИСТ'!F813</f>
        <v>7900</v>
      </c>
      <c r="G679" s="169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170"/>
      <c r="W679" s="170"/>
      <c r="X679" s="170"/>
    </row>
    <row r="680">
      <c r="A680" s="2"/>
      <c r="B680" s="46" t="s">
        <v>246</v>
      </c>
      <c r="C680" s="11">
        <v>90.0</v>
      </c>
      <c r="D680" s="173" t="s">
        <v>4678</v>
      </c>
      <c r="E680" s="32" t="s">
        <v>4679</v>
      </c>
      <c r="F680" s="174">
        <f>'ПРАЙС_ЛИСТ'!F814</f>
        <v>3750</v>
      </c>
      <c r="G680" s="169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170"/>
      <c r="W680" s="170"/>
      <c r="X680" s="170"/>
    </row>
    <row r="681">
      <c r="A681" s="2"/>
      <c r="B681" s="46" t="s">
        <v>246</v>
      </c>
      <c r="C681" s="11">
        <v>90.0</v>
      </c>
      <c r="D681" s="173" t="s">
        <v>4680</v>
      </c>
      <c r="E681" s="32" t="s">
        <v>4681</v>
      </c>
      <c r="F681" s="174">
        <f>'ПРАЙС_ЛИСТ'!F815</f>
        <v>6700</v>
      </c>
      <c r="G681" s="169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170"/>
      <c r="W681" s="170"/>
      <c r="X681" s="170"/>
    </row>
    <row r="682">
      <c r="A682" s="2"/>
      <c r="B682" s="46" t="s">
        <v>246</v>
      </c>
      <c r="C682" s="11">
        <v>180.0</v>
      </c>
      <c r="D682" s="173" t="s">
        <v>4682</v>
      </c>
      <c r="E682" s="32" t="s">
        <v>4683</v>
      </c>
      <c r="F682" s="174">
        <f>'ПРАЙС_ЛИСТ'!F816</f>
        <v>7000</v>
      </c>
      <c r="G682" s="169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170"/>
      <c r="W682" s="170"/>
      <c r="X682" s="170"/>
    </row>
    <row r="683">
      <c r="A683" s="2"/>
      <c r="B683" s="46" t="s">
        <v>246</v>
      </c>
      <c r="C683" s="11">
        <v>180.0</v>
      </c>
      <c r="D683" s="173" t="s">
        <v>4684</v>
      </c>
      <c r="E683" s="32" t="s">
        <v>4685</v>
      </c>
      <c r="F683" s="185">
        <f>IF('ПРАЙС_ЛИСТ'!F817 = G683, 0, 'ПРАЙС_ЛИСТ'!F817)</f>
        <v>0</v>
      </c>
      <c r="G683" s="186">
        <f>'БД_УСЛУГИ_РО'!P657</f>
        <v>4600</v>
      </c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170"/>
      <c r="W683" s="170"/>
      <c r="X683" s="170"/>
    </row>
    <row r="684">
      <c r="A684" s="2"/>
      <c r="B684" s="46" t="s">
        <v>246</v>
      </c>
      <c r="C684" s="11">
        <v>90.0</v>
      </c>
      <c r="D684" s="173" t="s">
        <v>4686</v>
      </c>
      <c r="E684" s="32" t="s">
        <v>4687</v>
      </c>
      <c r="F684" s="174">
        <f>'ПРАЙС_ЛИСТ'!F818</f>
        <v>5000</v>
      </c>
      <c r="G684" s="169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170"/>
      <c r="W684" s="170"/>
      <c r="X684" s="170"/>
    </row>
    <row r="685">
      <c r="A685" s="2"/>
      <c r="B685" s="46" t="s">
        <v>246</v>
      </c>
      <c r="C685" s="11">
        <v>90.0</v>
      </c>
      <c r="D685" s="173" t="s">
        <v>4688</v>
      </c>
      <c r="E685" s="32" t="s">
        <v>4689</v>
      </c>
      <c r="F685" s="174">
        <f>'ПРАЙС_ЛИСТ'!F819</f>
        <v>5350</v>
      </c>
      <c r="G685" s="169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170"/>
      <c r="W685" s="170"/>
      <c r="X685" s="170"/>
    </row>
    <row r="686">
      <c r="A686" s="2"/>
      <c r="B686" s="46" t="s">
        <v>246</v>
      </c>
      <c r="C686" s="11">
        <v>90.0</v>
      </c>
      <c r="D686" s="173" t="s">
        <v>4690</v>
      </c>
      <c r="E686" s="32" t="s">
        <v>4691</v>
      </c>
      <c r="F686" s="174">
        <f>'ПРАЙС_ЛИСТ'!F820</f>
        <v>5350</v>
      </c>
      <c r="G686" s="169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170"/>
      <c r="W686" s="170"/>
      <c r="X686" s="170"/>
    </row>
    <row r="687">
      <c r="A687" s="2"/>
      <c r="B687" s="46" t="s">
        <v>246</v>
      </c>
      <c r="C687" s="11">
        <v>90.0</v>
      </c>
      <c r="D687" s="173" t="s">
        <v>4692</v>
      </c>
      <c r="E687" s="32" t="s">
        <v>4693</v>
      </c>
      <c r="F687" s="174">
        <f>'ПРАЙС_ЛИСТ'!F821</f>
        <v>7900</v>
      </c>
      <c r="G687" s="169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170"/>
      <c r="W687" s="170"/>
      <c r="X687" s="170"/>
    </row>
    <row r="688">
      <c r="A688" s="2"/>
      <c r="B688" s="46" t="s">
        <v>246</v>
      </c>
      <c r="C688" s="11">
        <v>90.0</v>
      </c>
      <c r="D688" s="173" t="s">
        <v>988</v>
      </c>
      <c r="E688" s="32" t="s">
        <v>4694</v>
      </c>
      <c r="F688" s="174">
        <f>'ПРАЙС_ЛИСТ'!F822</f>
        <v>4700</v>
      </c>
      <c r="G688" s="169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170"/>
      <c r="W688" s="170"/>
      <c r="X688" s="170"/>
    </row>
    <row r="689">
      <c r="A689" s="2"/>
      <c r="B689" s="46" t="s">
        <v>246</v>
      </c>
      <c r="C689" s="11">
        <v>90.0</v>
      </c>
      <c r="D689" s="173" t="s">
        <v>4695</v>
      </c>
      <c r="E689" s="32" t="s">
        <v>4696</v>
      </c>
      <c r="F689" s="174">
        <f>'ПРАЙС_ЛИСТ'!F823</f>
        <v>5500</v>
      </c>
      <c r="G689" s="169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170"/>
      <c r="W689" s="170"/>
      <c r="X689" s="170"/>
    </row>
    <row r="690">
      <c r="A690" s="2"/>
      <c r="B690" s="46" t="s">
        <v>246</v>
      </c>
      <c r="C690" s="11">
        <v>90.0</v>
      </c>
      <c r="D690" s="173" t="s">
        <v>4697</v>
      </c>
      <c r="E690" s="32" t="s">
        <v>4698</v>
      </c>
      <c r="F690" s="174">
        <f>'ПРАЙС_ЛИСТ'!F824</f>
        <v>13200</v>
      </c>
      <c r="G690" s="169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170"/>
      <c r="W690" s="170"/>
      <c r="X690" s="170"/>
    </row>
    <row r="691">
      <c r="A691" s="2"/>
      <c r="B691" s="48" t="s">
        <v>246</v>
      </c>
      <c r="C691" s="36">
        <v>90.0</v>
      </c>
      <c r="D691" s="178" t="s">
        <v>4699</v>
      </c>
      <c r="E691" s="49" t="s">
        <v>4700</v>
      </c>
      <c r="F691" s="179">
        <f>'ПРАЙС_ЛИСТ'!F825</f>
        <v>13700</v>
      </c>
      <c r="G691" s="169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170"/>
      <c r="W691" s="170"/>
      <c r="X691" s="170"/>
    </row>
    <row r="692">
      <c r="A692" s="2"/>
      <c r="B692" s="1"/>
      <c r="C692" s="1"/>
      <c r="D692" s="180"/>
      <c r="E692" s="30"/>
      <c r="F692" s="21"/>
      <c r="G692" s="169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170"/>
      <c r="W692" s="170"/>
      <c r="X692" s="170"/>
    </row>
    <row r="693">
      <c r="A693" s="2"/>
      <c r="B693" s="41" t="s">
        <v>254</v>
      </c>
      <c r="C693" s="42">
        <v>0.0</v>
      </c>
      <c r="D693" s="181"/>
      <c r="E693" s="43" t="s">
        <v>4701</v>
      </c>
      <c r="F693" s="182">
        <v>0.0</v>
      </c>
      <c r="G693" s="169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170"/>
      <c r="W693" s="170"/>
      <c r="X693" s="170"/>
    </row>
    <row r="694">
      <c r="A694" s="2"/>
      <c r="B694" s="46" t="s">
        <v>254</v>
      </c>
      <c r="C694" s="11">
        <v>0.0</v>
      </c>
      <c r="D694" s="173" t="s">
        <v>4702</v>
      </c>
      <c r="E694" s="32" t="s">
        <v>4703</v>
      </c>
      <c r="F694" s="174">
        <f>'ПРАЙС_ЛИСТ'!F829</f>
        <v>700</v>
      </c>
      <c r="G694" s="169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170"/>
      <c r="W694" s="170"/>
      <c r="X694" s="170"/>
    </row>
    <row r="695">
      <c r="A695" s="2"/>
      <c r="B695" s="46" t="s">
        <v>254</v>
      </c>
      <c r="C695" s="11">
        <v>0.0</v>
      </c>
      <c r="D695" s="173"/>
      <c r="E695" s="32" t="s">
        <v>4704</v>
      </c>
      <c r="F695" s="174">
        <f>'ПРАЙС_ЛИСТ'!F830</f>
        <v>4200</v>
      </c>
      <c r="G695" s="169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170"/>
      <c r="W695" s="170"/>
      <c r="X695" s="170"/>
    </row>
    <row r="696">
      <c r="A696" s="2"/>
      <c r="B696" s="46" t="s">
        <v>254</v>
      </c>
      <c r="C696" s="11">
        <v>180.0</v>
      </c>
      <c r="D696" s="173" t="s">
        <v>4705</v>
      </c>
      <c r="E696" s="32" t="s">
        <v>4706</v>
      </c>
      <c r="F696" s="174">
        <f>IFERROR(__xludf.DUMMYFUNCTION("MIN(FILTER('ПРАЙС_ЛИСТ'!F831:F836, 'ПРАЙС_ЛИСТ'!F831:F836 &lt;&gt; 'ПРАЙС_ЛИСТ'!H831:H836))"),6000.0)</f>
        <v>6000</v>
      </c>
      <c r="G696" s="169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170"/>
      <c r="W696" s="170"/>
      <c r="X696" s="170"/>
    </row>
    <row r="697">
      <c r="A697" s="2"/>
      <c r="B697" s="46" t="s">
        <v>254</v>
      </c>
      <c r="C697" s="11">
        <v>180.0</v>
      </c>
      <c r="D697" s="173"/>
      <c r="E697" s="32" t="s">
        <v>4707</v>
      </c>
      <c r="F697" s="174">
        <f>IFERROR(__xludf.DUMMYFUNCTION("MAX(FILTER('ПРАЙС_ЛИСТ'!F831:F836, 'ПРАЙС_ЛИСТ'!F831:F836 &lt;&gt; 'ПРАЙС_ЛИСТ'!H831:H836))"),12600.0)</f>
        <v>12600</v>
      </c>
      <c r="G697" s="169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170"/>
      <c r="W697" s="170"/>
      <c r="X697" s="170"/>
    </row>
    <row r="698">
      <c r="A698" s="2"/>
      <c r="B698" s="46" t="s">
        <v>254</v>
      </c>
      <c r="C698" s="11">
        <v>90.0</v>
      </c>
      <c r="D698" s="173" t="s">
        <v>4708</v>
      </c>
      <c r="E698" s="32" t="s">
        <v>4709</v>
      </c>
      <c r="F698" s="174">
        <f>'ПРАЙС_ЛИСТ'!F837</f>
        <v>8000</v>
      </c>
      <c r="G698" s="169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170"/>
      <c r="W698" s="170"/>
      <c r="X698" s="170"/>
    </row>
    <row r="699">
      <c r="A699" s="2"/>
      <c r="B699" s="46" t="s">
        <v>254</v>
      </c>
      <c r="C699" s="11">
        <v>90.0</v>
      </c>
      <c r="D699" s="173" t="s">
        <v>4710</v>
      </c>
      <c r="E699" s="32" t="s">
        <v>4711</v>
      </c>
      <c r="F699" s="174">
        <f>IFERROR(__xludf.DUMMYFUNCTION("MIN(FILTER('ПРАЙС_ЛИСТ'!F838:F844, 'ПРАЙС_ЛИСТ'!F838:F844 &lt;&gt; 'ПРАЙС_ЛИСТ'!H838:H844))"),15000.0)</f>
        <v>15000</v>
      </c>
      <c r="G699" s="169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170"/>
      <c r="W699" s="170"/>
      <c r="X699" s="170"/>
    </row>
    <row r="700">
      <c r="A700" s="2"/>
      <c r="B700" s="46" t="s">
        <v>254</v>
      </c>
      <c r="C700" s="11">
        <v>90.0</v>
      </c>
      <c r="D700" s="173"/>
      <c r="E700" s="32" t="s">
        <v>4712</v>
      </c>
      <c r="F700" s="174">
        <f>IFERROR(__xludf.DUMMYFUNCTION("MAX(FILTER('ПРАЙС_ЛИСТ'!F838:F844, 'ПРАЙС_ЛИСТ'!F838:F844 &lt;&gt; 'ПРАЙС_ЛИСТ'!H838:H844))"),27550.0)</f>
        <v>27550</v>
      </c>
      <c r="G700" s="169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170"/>
      <c r="W700" s="170"/>
      <c r="X700" s="170"/>
    </row>
    <row r="701">
      <c r="A701" s="2"/>
      <c r="B701" s="46" t="s">
        <v>254</v>
      </c>
      <c r="C701" s="11">
        <v>90.0</v>
      </c>
      <c r="D701" s="173" t="s">
        <v>4713</v>
      </c>
      <c r="E701" s="32" t="s">
        <v>4714</v>
      </c>
      <c r="F701" s="174">
        <f>'ПРАЙС_ЛИСТ'!F846</f>
        <v>12000</v>
      </c>
      <c r="G701" s="169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170"/>
      <c r="W701" s="170"/>
      <c r="X701" s="170"/>
    </row>
    <row r="702">
      <c r="A702" s="2"/>
      <c r="B702" s="46" t="s">
        <v>254</v>
      </c>
      <c r="C702" s="11">
        <v>90.0</v>
      </c>
      <c r="D702" s="173" t="s">
        <v>4715</v>
      </c>
      <c r="E702" s="32" t="s">
        <v>4716</v>
      </c>
      <c r="F702" s="174">
        <f>'ПРАЙС_ЛИСТ'!F848</f>
        <v>9900</v>
      </c>
      <c r="G702" s="169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170"/>
      <c r="W702" s="170"/>
      <c r="X702" s="170"/>
    </row>
    <row r="703">
      <c r="A703" s="2"/>
      <c r="B703" s="46" t="s">
        <v>254</v>
      </c>
      <c r="C703" s="11">
        <v>90.0</v>
      </c>
      <c r="D703" s="173" t="s">
        <v>4717</v>
      </c>
      <c r="E703" s="32" t="s">
        <v>4718</v>
      </c>
      <c r="F703" s="174">
        <f>'ПРАЙС_ЛИСТ'!F849</f>
        <v>7900</v>
      </c>
      <c r="G703" s="169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170"/>
      <c r="W703" s="170"/>
      <c r="X703" s="170"/>
    </row>
    <row r="704">
      <c r="A704" s="2"/>
      <c r="B704" s="46" t="s">
        <v>254</v>
      </c>
      <c r="C704" s="11">
        <v>90.0</v>
      </c>
      <c r="D704" s="173" t="s">
        <v>4719</v>
      </c>
      <c r="E704" s="32" t="s">
        <v>4720</v>
      </c>
      <c r="F704" s="174">
        <f>'ПРАЙС_ЛИСТ'!F850</f>
        <v>3750</v>
      </c>
      <c r="G704" s="169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170"/>
      <c r="W704" s="170"/>
      <c r="X704" s="170"/>
    </row>
    <row r="705">
      <c r="A705" s="2"/>
      <c r="B705" s="46" t="s">
        <v>254</v>
      </c>
      <c r="C705" s="11">
        <v>90.0</v>
      </c>
      <c r="D705" s="173" t="s">
        <v>4721</v>
      </c>
      <c r="E705" s="32" t="s">
        <v>4722</v>
      </c>
      <c r="F705" s="174">
        <f>'ПРАЙС_ЛИСТ'!F851</f>
        <v>6700</v>
      </c>
      <c r="G705" s="169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170"/>
      <c r="W705" s="170"/>
      <c r="X705" s="170"/>
    </row>
    <row r="706">
      <c r="A706" s="2"/>
      <c r="B706" s="46" t="s">
        <v>254</v>
      </c>
      <c r="C706" s="11">
        <v>180.0</v>
      </c>
      <c r="D706" s="173" t="s">
        <v>4723</v>
      </c>
      <c r="E706" s="32" t="s">
        <v>4724</v>
      </c>
      <c r="F706" s="174">
        <f>'ПРАЙС_ЛИСТ'!F852</f>
        <v>7050</v>
      </c>
      <c r="G706" s="169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170"/>
      <c r="W706" s="170"/>
      <c r="X706" s="170"/>
    </row>
    <row r="707">
      <c r="A707" s="2"/>
      <c r="B707" s="46" t="s">
        <v>254</v>
      </c>
      <c r="C707" s="11">
        <v>180.0</v>
      </c>
      <c r="D707" s="173" t="s">
        <v>4725</v>
      </c>
      <c r="E707" s="32" t="s">
        <v>4726</v>
      </c>
      <c r="F707" s="185">
        <f>IF('ПРАЙС_ЛИСТ'!F853 = G707, 0, 'ПРАЙС_ЛИСТ'!F853)</f>
        <v>0</v>
      </c>
      <c r="G707" s="186">
        <f>'БД_УСЛУГИ_РО'!P684</f>
        <v>4600</v>
      </c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170"/>
      <c r="W707" s="170"/>
      <c r="X707" s="170"/>
    </row>
    <row r="708">
      <c r="A708" s="2"/>
      <c r="B708" s="46" t="s">
        <v>254</v>
      </c>
      <c r="C708" s="11">
        <v>90.0</v>
      </c>
      <c r="D708" s="173" t="s">
        <v>4727</v>
      </c>
      <c r="E708" s="32" t="s">
        <v>4728</v>
      </c>
      <c r="F708" s="174">
        <f>'ПРАЙС_ЛИСТ'!F854</f>
        <v>5000</v>
      </c>
      <c r="G708" s="169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170"/>
      <c r="W708" s="170"/>
      <c r="X708" s="170"/>
    </row>
    <row r="709">
      <c r="A709" s="2"/>
      <c r="B709" s="46" t="s">
        <v>254</v>
      </c>
      <c r="C709" s="11">
        <v>90.0</v>
      </c>
      <c r="D709" s="173" t="s">
        <v>4729</v>
      </c>
      <c r="E709" s="32" t="s">
        <v>4730</v>
      </c>
      <c r="F709" s="174">
        <f>'ПРАЙС_ЛИСТ'!F855</f>
        <v>5500</v>
      </c>
      <c r="G709" s="169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170"/>
      <c r="W709" s="170"/>
      <c r="X709" s="170"/>
    </row>
    <row r="710">
      <c r="A710" s="2"/>
      <c r="B710" s="46" t="s">
        <v>254</v>
      </c>
      <c r="C710" s="11">
        <v>90.0</v>
      </c>
      <c r="D710" s="173" t="s">
        <v>4731</v>
      </c>
      <c r="E710" s="32" t="s">
        <v>4732</v>
      </c>
      <c r="F710" s="174">
        <f>'ПРАЙС_ЛИСТ'!F856</f>
        <v>5500</v>
      </c>
      <c r="G710" s="169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170"/>
      <c r="W710" s="170"/>
      <c r="X710" s="170"/>
    </row>
    <row r="711">
      <c r="A711" s="2"/>
      <c r="B711" s="46" t="s">
        <v>254</v>
      </c>
      <c r="C711" s="11">
        <v>90.0</v>
      </c>
      <c r="D711" s="173" t="s">
        <v>4733</v>
      </c>
      <c r="E711" s="32" t="s">
        <v>4734</v>
      </c>
      <c r="F711" s="174">
        <f>'ПРАЙС_ЛИСТ'!F857</f>
        <v>8400</v>
      </c>
      <c r="G711" s="169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170"/>
      <c r="W711" s="170"/>
      <c r="X711" s="170"/>
    </row>
    <row r="712">
      <c r="A712" s="2"/>
      <c r="B712" s="46" t="s">
        <v>254</v>
      </c>
      <c r="C712" s="11">
        <v>90.0</v>
      </c>
      <c r="D712" s="173" t="s">
        <v>970</v>
      </c>
      <c r="E712" s="32" t="s">
        <v>4735</v>
      </c>
      <c r="F712" s="174">
        <f>'ПРАЙС_ЛИСТ'!F858</f>
        <v>4700</v>
      </c>
      <c r="G712" s="169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170"/>
      <c r="W712" s="170"/>
      <c r="X712" s="170"/>
    </row>
    <row r="713">
      <c r="A713" s="2"/>
      <c r="B713" s="46" t="s">
        <v>254</v>
      </c>
      <c r="C713" s="11">
        <v>90.0</v>
      </c>
      <c r="D713" s="173" t="s">
        <v>4736</v>
      </c>
      <c r="E713" s="32" t="s">
        <v>4737</v>
      </c>
      <c r="F713" s="174">
        <f>'ПРАЙС_ЛИСТ'!F859</f>
        <v>5500</v>
      </c>
      <c r="G713" s="169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170"/>
      <c r="W713" s="170"/>
      <c r="X713" s="170"/>
    </row>
    <row r="714">
      <c r="A714" s="2"/>
      <c r="B714" s="46" t="s">
        <v>254</v>
      </c>
      <c r="C714" s="11">
        <v>90.0</v>
      </c>
      <c r="D714" s="173" t="s">
        <v>4738</v>
      </c>
      <c r="E714" s="32" t="s">
        <v>4739</v>
      </c>
      <c r="F714" s="174">
        <f>'ПРАЙС_ЛИСТ'!F860</f>
        <v>13200</v>
      </c>
      <c r="G714" s="169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170"/>
      <c r="W714" s="170"/>
      <c r="X714" s="170"/>
    </row>
    <row r="715">
      <c r="A715" s="2"/>
      <c r="B715" s="48" t="s">
        <v>254</v>
      </c>
      <c r="C715" s="36">
        <v>90.0</v>
      </c>
      <c r="D715" s="178" t="s">
        <v>4740</v>
      </c>
      <c r="E715" s="49" t="s">
        <v>4741</v>
      </c>
      <c r="F715" s="179">
        <f>'ПРАЙС_ЛИСТ'!F861</f>
        <v>13700</v>
      </c>
      <c r="G715" s="169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170"/>
      <c r="W715" s="170"/>
      <c r="X715" s="170"/>
    </row>
    <row r="716">
      <c r="A716" s="2"/>
      <c r="B716" s="1"/>
      <c r="C716" s="1"/>
      <c r="D716" s="180"/>
      <c r="E716" s="30"/>
      <c r="F716" s="21"/>
      <c r="G716" s="169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170"/>
      <c r="W716" s="170"/>
      <c r="X716" s="170"/>
    </row>
    <row r="717">
      <c r="A717" s="2"/>
      <c r="B717" s="41" t="s">
        <v>262</v>
      </c>
      <c r="C717" s="42">
        <v>0.0</v>
      </c>
      <c r="D717" s="181"/>
      <c r="E717" s="43" t="s">
        <v>4742</v>
      </c>
      <c r="F717" s="182">
        <v>0.0</v>
      </c>
      <c r="G717" s="169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170"/>
      <c r="W717" s="170"/>
      <c r="X717" s="170"/>
    </row>
    <row r="718">
      <c r="A718" s="2"/>
      <c r="B718" s="46" t="s">
        <v>262</v>
      </c>
      <c r="C718" s="11">
        <v>0.0</v>
      </c>
      <c r="D718" s="173" t="s">
        <v>4743</v>
      </c>
      <c r="E718" s="32" t="s">
        <v>4744</v>
      </c>
      <c r="F718" s="174">
        <f>'ПРАЙС_ЛИСТ'!F865</f>
        <v>700</v>
      </c>
      <c r="G718" s="169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170"/>
      <c r="W718" s="170"/>
      <c r="X718" s="170"/>
    </row>
    <row r="719">
      <c r="A719" s="2"/>
      <c r="B719" s="46" t="s">
        <v>262</v>
      </c>
      <c r="C719" s="11">
        <v>0.0</v>
      </c>
      <c r="D719" s="173"/>
      <c r="E719" s="32" t="s">
        <v>4745</v>
      </c>
      <c r="F719" s="174">
        <f>'ПРАЙС_ЛИСТ'!F866</f>
        <v>4500</v>
      </c>
      <c r="G719" s="169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170"/>
      <c r="W719" s="170"/>
      <c r="X719" s="170"/>
    </row>
    <row r="720">
      <c r="A720" s="2"/>
      <c r="B720" s="46" t="s">
        <v>262</v>
      </c>
      <c r="C720" s="11">
        <v>180.0</v>
      </c>
      <c r="D720" s="173" t="s">
        <v>4746</v>
      </c>
      <c r="E720" s="32" t="s">
        <v>4747</v>
      </c>
      <c r="F720" s="174">
        <f>IFERROR(__xludf.DUMMYFUNCTION("MIN(FILTER('ПРАЙС_ЛИСТ'!F867:F871, 'ПРАЙС_ЛИСТ'!F867:F871 &lt;&gt; 'ПРАЙС_ЛИСТ'!H867:H871))"),7000.0)</f>
        <v>7000</v>
      </c>
      <c r="G720" s="169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170"/>
      <c r="W720" s="170"/>
      <c r="X720" s="170"/>
    </row>
    <row r="721">
      <c r="A721" s="2"/>
      <c r="B721" s="46" t="s">
        <v>262</v>
      </c>
      <c r="C721" s="11">
        <v>180.0</v>
      </c>
      <c r="D721" s="173"/>
      <c r="E721" s="32" t="s">
        <v>4748</v>
      </c>
      <c r="F721" s="174">
        <f>IFERROR(__xludf.DUMMYFUNCTION("MAX(FILTER('ПРАЙС_ЛИСТ'!F867:F871, 'ПРАЙС_ЛИСТ'!F867:F871 &lt;&gt; 'ПРАЙС_ЛИСТ'!H867:H871))"),14400.0)</f>
        <v>14400</v>
      </c>
      <c r="G721" s="169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170"/>
      <c r="W721" s="170"/>
      <c r="X721" s="170"/>
    </row>
    <row r="722">
      <c r="A722" s="2"/>
      <c r="B722" s="46" t="s">
        <v>262</v>
      </c>
      <c r="C722" s="11">
        <v>90.0</v>
      </c>
      <c r="D722" s="173" t="s">
        <v>4749</v>
      </c>
      <c r="E722" s="32" t="s">
        <v>4750</v>
      </c>
      <c r="F722" s="174">
        <f>'ПРАЙС_ЛИСТ'!F873</f>
        <v>7450</v>
      </c>
      <c r="G722" s="169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170"/>
      <c r="W722" s="170"/>
      <c r="X722" s="170"/>
    </row>
    <row r="723">
      <c r="A723" s="2"/>
      <c r="B723" s="46" t="s">
        <v>262</v>
      </c>
      <c r="C723" s="11">
        <v>90.0</v>
      </c>
      <c r="D723" s="173" t="s">
        <v>4751</v>
      </c>
      <c r="E723" s="32" t="s">
        <v>4752</v>
      </c>
      <c r="F723" s="174">
        <f>IFERROR(__xludf.DUMMYFUNCTION("MIN(FILTER('ПРАЙС_ЛИСТ'!F874:F880, 'ПРАЙС_ЛИСТ'!F874:F880 &lt;&gt; 'ПРАЙС_ЛИСТ'!H874:H880))"),13000.0)</f>
        <v>13000</v>
      </c>
      <c r="G723" s="169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170"/>
      <c r="W723" s="170"/>
      <c r="X723" s="170"/>
    </row>
    <row r="724">
      <c r="A724" s="2"/>
      <c r="B724" s="46" t="s">
        <v>262</v>
      </c>
      <c r="C724" s="11">
        <v>90.0</v>
      </c>
      <c r="D724" s="173"/>
      <c r="E724" s="32" t="s">
        <v>4753</v>
      </c>
      <c r="F724" s="174">
        <f>IFERROR(__xludf.DUMMYFUNCTION("MAX(FILTER('ПРАЙС_ЛИСТ'!F874:F880, 'ПРАЙС_ЛИСТ'!F874:F880 &lt;&gt; 'ПРАЙС_ЛИСТ'!H874:H880))"),14600.0)</f>
        <v>14600</v>
      </c>
      <c r="G724" s="169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170"/>
      <c r="W724" s="170"/>
      <c r="X724" s="170"/>
    </row>
    <row r="725">
      <c r="A725" s="2"/>
      <c r="B725" s="46" t="s">
        <v>262</v>
      </c>
      <c r="C725" s="11">
        <v>90.0</v>
      </c>
      <c r="D725" s="173" t="s">
        <v>4754</v>
      </c>
      <c r="E725" s="32" t="s">
        <v>4755</v>
      </c>
      <c r="F725" s="174">
        <f>'ПРАЙС_ЛИСТ'!F882</f>
        <v>9000</v>
      </c>
      <c r="G725" s="169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170"/>
      <c r="W725" s="170"/>
      <c r="X725" s="170"/>
    </row>
    <row r="726">
      <c r="A726" s="2"/>
      <c r="B726" s="46" t="s">
        <v>262</v>
      </c>
      <c r="C726" s="11">
        <v>90.0</v>
      </c>
      <c r="D726" s="173" t="s">
        <v>4756</v>
      </c>
      <c r="E726" s="32" t="s">
        <v>4757</v>
      </c>
      <c r="F726" s="174">
        <f>'ПРАЙС_ЛИСТ'!F883</f>
        <v>10000</v>
      </c>
      <c r="G726" s="169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170"/>
      <c r="W726" s="170"/>
      <c r="X726" s="170"/>
    </row>
    <row r="727">
      <c r="A727" s="2"/>
      <c r="B727" s="46" t="s">
        <v>262</v>
      </c>
      <c r="C727" s="11">
        <v>90.0</v>
      </c>
      <c r="D727" s="173" t="s">
        <v>4758</v>
      </c>
      <c r="E727" s="32" t="s">
        <v>4759</v>
      </c>
      <c r="F727" s="174">
        <f>'ПРАЙС_ЛИСТ'!F884</f>
        <v>8900</v>
      </c>
      <c r="G727" s="169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170"/>
      <c r="W727" s="170"/>
      <c r="X727" s="170"/>
    </row>
    <row r="728">
      <c r="A728" s="2"/>
      <c r="B728" s="46" t="s">
        <v>262</v>
      </c>
      <c r="C728" s="11">
        <v>90.0</v>
      </c>
      <c r="D728" s="173" t="s">
        <v>4760</v>
      </c>
      <c r="E728" s="32" t="s">
        <v>4761</v>
      </c>
      <c r="F728" s="174">
        <f>'ПРАЙС_ЛИСТ'!F885</f>
        <v>3900</v>
      </c>
      <c r="G728" s="169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170"/>
      <c r="W728" s="170"/>
      <c r="X728" s="170"/>
    </row>
    <row r="729">
      <c r="A729" s="2"/>
      <c r="B729" s="46" t="s">
        <v>262</v>
      </c>
      <c r="C729" s="11">
        <v>90.0</v>
      </c>
      <c r="D729" s="173" t="s">
        <v>4762</v>
      </c>
      <c r="E729" s="32" t="s">
        <v>4763</v>
      </c>
      <c r="F729" s="174">
        <f>'ПРАЙС_ЛИСТ'!F886</f>
        <v>7500</v>
      </c>
      <c r="G729" s="169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170"/>
      <c r="W729" s="170"/>
      <c r="X729" s="170"/>
    </row>
    <row r="730">
      <c r="A730" s="2"/>
      <c r="B730" s="46" t="s">
        <v>262</v>
      </c>
      <c r="C730" s="11">
        <v>180.0</v>
      </c>
      <c r="D730" s="173" t="s">
        <v>4764</v>
      </c>
      <c r="E730" s="32" t="s">
        <v>4765</v>
      </c>
      <c r="F730" s="174">
        <f>'ПРАЙС_ЛИСТ'!F888</f>
        <v>8000</v>
      </c>
      <c r="G730" s="169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170"/>
      <c r="W730" s="170"/>
      <c r="X730" s="170"/>
    </row>
    <row r="731">
      <c r="A731" s="2"/>
      <c r="B731" s="46" t="s">
        <v>262</v>
      </c>
      <c r="C731" s="11">
        <v>180.0</v>
      </c>
      <c r="D731" s="173" t="s">
        <v>4766</v>
      </c>
      <c r="E731" s="32" t="s">
        <v>4767</v>
      </c>
      <c r="F731" s="185">
        <f>IF('ПРАЙС_ЛИСТ'!F889 = G731, 0, 'ПРАЙС_ЛИСТ'!F889)</f>
        <v>0</v>
      </c>
      <c r="G731" s="186">
        <f>'БД_УСЛУГИ_РО'!P710</f>
        <v>7500</v>
      </c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170"/>
      <c r="W731" s="170"/>
      <c r="X731" s="170"/>
    </row>
    <row r="732">
      <c r="A732" s="2"/>
      <c r="B732" s="46" t="s">
        <v>262</v>
      </c>
      <c r="C732" s="11">
        <v>90.0</v>
      </c>
      <c r="D732" s="173" t="s">
        <v>4768</v>
      </c>
      <c r="E732" s="32" t="s">
        <v>4769</v>
      </c>
      <c r="F732" s="188">
        <f>'ПРАЙС_ЛИСТ'!F891</f>
        <v>5000</v>
      </c>
      <c r="G732" s="169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170"/>
      <c r="W732" s="170"/>
      <c r="X732" s="170"/>
    </row>
    <row r="733">
      <c r="A733" s="2"/>
      <c r="B733" s="46" t="s">
        <v>262</v>
      </c>
      <c r="C733" s="11">
        <v>90.0</v>
      </c>
      <c r="D733" s="173" t="s">
        <v>4770</v>
      </c>
      <c r="E733" s="32" t="s">
        <v>4771</v>
      </c>
      <c r="F733" s="174">
        <f>'ПРАЙС_ЛИСТ'!F892</f>
        <v>5050</v>
      </c>
      <c r="G733" s="169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170"/>
      <c r="W733" s="170"/>
      <c r="X733" s="170"/>
    </row>
    <row r="734">
      <c r="A734" s="2"/>
      <c r="B734" s="46" t="s">
        <v>262</v>
      </c>
      <c r="C734" s="11">
        <v>90.0</v>
      </c>
      <c r="D734" s="173" t="s">
        <v>4772</v>
      </c>
      <c r="E734" s="32" t="s">
        <v>4773</v>
      </c>
      <c r="F734" s="185">
        <f>IF('ПРАЙС_ЛИСТ'!F893 = G734, 0, 'ПРАЙС_ЛИСТ'!F893)</f>
        <v>0</v>
      </c>
      <c r="G734" s="186">
        <f>'БД_УСЛУГИ_РО'!P714</f>
        <v>4300</v>
      </c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170"/>
      <c r="W734" s="170"/>
      <c r="X734" s="170"/>
    </row>
    <row r="735">
      <c r="A735" s="2"/>
      <c r="B735" s="46" t="s">
        <v>262</v>
      </c>
      <c r="C735" s="11">
        <v>90.0</v>
      </c>
      <c r="D735" s="173" t="s">
        <v>4774</v>
      </c>
      <c r="E735" s="32" t="s">
        <v>4775</v>
      </c>
      <c r="F735" s="174">
        <f>'ПРАЙС_ЛИСТ'!F894</f>
        <v>7650</v>
      </c>
      <c r="G735" s="169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170"/>
      <c r="W735" s="170"/>
      <c r="X735" s="170"/>
    </row>
    <row r="736">
      <c r="A736" s="2"/>
      <c r="B736" s="46" t="s">
        <v>262</v>
      </c>
      <c r="C736" s="11">
        <v>90.0</v>
      </c>
      <c r="D736" s="173" t="s">
        <v>952</v>
      </c>
      <c r="E736" s="32" t="s">
        <v>4776</v>
      </c>
      <c r="F736" s="174">
        <f>'ПРАЙС_ЛИСТ'!F895</f>
        <v>5500</v>
      </c>
      <c r="G736" s="169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170"/>
      <c r="W736" s="170"/>
      <c r="X736" s="170"/>
    </row>
    <row r="737">
      <c r="A737" s="2"/>
      <c r="B737" s="46" t="s">
        <v>262</v>
      </c>
      <c r="C737" s="11">
        <v>90.0</v>
      </c>
      <c r="D737" s="173" t="s">
        <v>4777</v>
      </c>
      <c r="E737" s="32" t="s">
        <v>4778</v>
      </c>
      <c r="F737" s="174">
        <f>'ПРАЙС_ЛИСТ'!F896</f>
        <v>6500</v>
      </c>
      <c r="G737" s="169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170"/>
      <c r="W737" s="170"/>
      <c r="X737" s="170"/>
    </row>
    <row r="738">
      <c r="A738" s="2"/>
      <c r="B738" s="46" t="s">
        <v>262</v>
      </c>
      <c r="C738" s="11">
        <v>90.0</v>
      </c>
      <c r="D738" s="173" t="s">
        <v>4779</v>
      </c>
      <c r="E738" s="32" t="s">
        <v>4780</v>
      </c>
      <c r="F738" s="174">
        <f>'ПРАЙС_ЛИСТ'!F897</f>
        <v>14500</v>
      </c>
      <c r="G738" s="169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170"/>
      <c r="W738" s="170"/>
      <c r="X738" s="170"/>
    </row>
    <row r="739">
      <c r="A739" s="2"/>
      <c r="B739" s="48" t="s">
        <v>262</v>
      </c>
      <c r="C739" s="36">
        <v>90.0</v>
      </c>
      <c r="D739" s="178" t="s">
        <v>4781</v>
      </c>
      <c r="E739" s="49" t="s">
        <v>4782</v>
      </c>
      <c r="F739" s="179">
        <f>'ПРАЙС_ЛИСТ'!F898</f>
        <v>15000</v>
      </c>
      <c r="G739" s="169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170"/>
      <c r="W739" s="170"/>
      <c r="X739" s="170"/>
    </row>
    <row r="740">
      <c r="A740" s="2"/>
      <c r="B740" s="1"/>
      <c r="C740" s="1"/>
      <c r="D740" s="180"/>
      <c r="E740" s="30"/>
      <c r="F740" s="21"/>
      <c r="G740" s="169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170"/>
      <c r="W740" s="170"/>
      <c r="X740" s="170"/>
    </row>
    <row r="741">
      <c r="A741" s="2"/>
      <c r="B741" s="41" t="s">
        <v>269</v>
      </c>
      <c r="C741" s="42">
        <v>0.0</v>
      </c>
      <c r="D741" s="181"/>
      <c r="E741" s="43" t="s">
        <v>4783</v>
      </c>
      <c r="F741" s="182">
        <v>0.0</v>
      </c>
      <c r="G741" s="169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170"/>
      <c r="W741" s="170"/>
      <c r="X741" s="170"/>
    </row>
    <row r="742">
      <c r="A742" s="2"/>
      <c r="B742" s="46" t="s">
        <v>269</v>
      </c>
      <c r="C742" s="11">
        <v>0.0</v>
      </c>
      <c r="D742" s="173" t="s">
        <v>4784</v>
      </c>
      <c r="E742" s="32" t="s">
        <v>4785</v>
      </c>
      <c r="F742" s="174">
        <f>'ПРАЙС_ЛИСТ'!F902</f>
        <v>700</v>
      </c>
      <c r="G742" s="169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170"/>
      <c r="W742" s="170"/>
      <c r="X742" s="170"/>
    </row>
    <row r="743">
      <c r="A743" s="2"/>
      <c r="B743" s="46" t="s">
        <v>269</v>
      </c>
      <c r="C743" s="11">
        <v>0.0</v>
      </c>
      <c r="D743" s="173"/>
      <c r="E743" s="32" t="s">
        <v>4786</v>
      </c>
      <c r="F743" s="174">
        <f>'ПРАЙС_ЛИСТ'!F903</f>
        <v>4500</v>
      </c>
      <c r="G743" s="169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170"/>
      <c r="W743" s="170"/>
      <c r="X743" s="170"/>
    </row>
    <row r="744">
      <c r="A744" s="2"/>
      <c r="B744" s="46" t="s">
        <v>269</v>
      </c>
      <c r="C744" s="11">
        <v>180.0</v>
      </c>
      <c r="D744" s="173" t="s">
        <v>4787</v>
      </c>
      <c r="E744" s="32" t="s">
        <v>4788</v>
      </c>
      <c r="F744" s="174">
        <f>IFERROR(__xludf.DUMMYFUNCTION("MIN(FILTER('ПРАЙС_ЛИСТ'!F904:F909, 'ПРАЙС_ЛИСТ'!F904:F909 &lt;&gt; 'ПРАЙС_ЛИСТ'!H904:H909))"),7000.0)</f>
        <v>7000</v>
      </c>
      <c r="G744" s="169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170"/>
      <c r="W744" s="170"/>
      <c r="X744" s="170"/>
    </row>
    <row r="745">
      <c r="A745" s="2"/>
      <c r="B745" s="46" t="s">
        <v>269</v>
      </c>
      <c r="C745" s="11">
        <v>180.0</v>
      </c>
      <c r="D745" s="173"/>
      <c r="E745" s="32" t="s">
        <v>4789</v>
      </c>
      <c r="F745" s="174">
        <f>IFERROR(__xludf.DUMMYFUNCTION("MAX(FILTER('ПРАЙС_ЛИСТ'!F904:F909, 'ПРАЙС_ЛИСТ'!F904:F909 &lt;&gt; 'ПРАЙС_ЛИСТ'!H904:H909))"),14400.0)</f>
        <v>14400</v>
      </c>
      <c r="G745" s="169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170"/>
      <c r="W745" s="170"/>
      <c r="X745" s="170"/>
    </row>
    <row r="746">
      <c r="A746" s="2"/>
      <c r="B746" s="46" t="s">
        <v>269</v>
      </c>
      <c r="C746" s="11">
        <v>90.0</v>
      </c>
      <c r="D746" s="173" t="s">
        <v>4790</v>
      </c>
      <c r="E746" s="32" t="s">
        <v>4791</v>
      </c>
      <c r="F746" s="174">
        <f>'ПРАЙС_ЛИСТ'!F910</f>
        <v>7950</v>
      </c>
      <c r="G746" s="169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170"/>
      <c r="W746" s="170"/>
      <c r="X746" s="170"/>
    </row>
    <row r="747">
      <c r="A747" s="2"/>
      <c r="B747" s="46" t="s">
        <v>269</v>
      </c>
      <c r="C747" s="11">
        <v>90.0</v>
      </c>
      <c r="D747" s="173" t="s">
        <v>4792</v>
      </c>
      <c r="E747" s="32" t="s">
        <v>4793</v>
      </c>
      <c r="F747" s="174">
        <f>IFERROR(__xludf.DUMMYFUNCTION("MIN(FILTER('ПРАЙС_ЛИСТ'!F911:F917, 'ПРАЙС_ЛИСТ'!F911:F917 &lt;&gt; 'ПРАЙС_ЛИСТ'!H911:H917))"),18800.0)</f>
        <v>18800</v>
      </c>
      <c r="G747" s="169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170"/>
      <c r="W747" s="170"/>
      <c r="X747" s="170"/>
    </row>
    <row r="748">
      <c r="A748" s="2"/>
      <c r="B748" s="46" t="s">
        <v>269</v>
      </c>
      <c r="C748" s="11">
        <v>90.0</v>
      </c>
      <c r="D748" s="173"/>
      <c r="E748" s="32" t="s">
        <v>4794</v>
      </c>
      <c r="F748" s="174">
        <f>IFERROR(__xludf.DUMMYFUNCTION("MAX(FILTER('ПРАЙС_ЛИСТ'!F911:F917, 'ПРАЙС_ЛИСТ'!F911:F917 &lt;&gt; 'ПРАЙС_ЛИСТ'!H911:H917))"),18800.0)</f>
        <v>18800</v>
      </c>
      <c r="G748" s="169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170"/>
      <c r="W748" s="170"/>
      <c r="X748" s="170"/>
    </row>
    <row r="749">
      <c r="A749" s="2"/>
      <c r="B749" s="46" t="s">
        <v>269</v>
      </c>
      <c r="C749" s="11">
        <v>90.0</v>
      </c>
      <c r="D749" s="173" t="s">
        <v>4795</v>
      </c>
      <c r="E749" s="32" t="s">
        <v>4796</v>
      </c>
      <c r="F749" s="174">
        <f>'ПРАЙС_ЛИСТ'!F919</f>
        <v>10000</v>
      </c>
      <c r="G749" s="169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170"/>
      <c r="W749" s="170"/>
      <c r="X749" s="170"/>
    </row>
    <row r="750">
      <c r="A750" s="2"/>
      <c r="B750" s="46" t="s">
        <v>269</v>
      </c>
      <c r="C750" s="11">
        <v>90.0</v>
      </c>
      <c r="D750" s="173" t="s">
        <v>4797</v>
      </c>
      <c r="E750" s="32" t="s">
        <v>4798</v>
      </c>
      <c r="F750" s="174">
        <f>'ПРАЙС_ЛИСТ'!F920</f>
        <v>9000</v>
      </c>
      <c r="G750" s="169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170"/>
      <c r="W750" s="170"/>
      <c r="X750" s="170"/>
    </row>
    <row r="751">
      <c r="A751" s="2"/>
      <c r="B751" s="46" t="s">
        <v>269</v>
      </c>
      <c r="C751" s="11">
        <v>90.0</v>
      </c>
      <c r="D751" s="173" t="s">
        <v>4799</v>
      </c>
      <c r="E751" s="32" t="s">
        <v>4800</v>
      </c>
      <c r="F751" s="174">
        <f>'ПРАЙС_ЛИСТ'!F921</f>
        <v>8900</v>
      </c>
      <c r="G751" s="169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170"/>
      <c r="W751" s="170"/>
      <c r="X751" s="170"/>
    </row>
    <row r="752">
      <c r="A752" s="2"/>
      <c r="B752" s="46" t="s">
        <v>269</v>
      </c>
      <c r="C752" s="11">
        <v>90.0</v>
      </c>
      <c r="D752" s="173" t="s">
        <v>4801</v>
      </c>
      <c r="E752" s="32" t="s">
        <v>4802</v>
      </c>
      <c r="F752" s="174">
        <f>'ПРАЙС_ЛИСТ'!F922</f>
        <v>3900</v>
      </c>
      <c r="G752" s="169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170"/>
      <c r="W752" s="170"/>
      <c r="X752" s="170"/>
    </row>
    <row r="753">
      <c r="A753" s="2"/>
      <c r="B753" s="46" t="s">
        <v>269</v>
      </c>
      <c r="C753" s="11">
        <v>90.0</v>
      </c>
      <c r="D753" s="173" t="s">
        <v>4803</v>
      </c>
      <c r="E753" s="32" t="s">
        <v>4804</v>
      </c>
      <c r="F753" s="174">
        <f>'ПРАЙС_ЛИСТ'!F923</f>
        <v>7500</v>
      </c>
      <c r="G753" s="169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170"/>
      <c r="W753" s="170"/>
      <c r="X753" s="170"/>
    </row>
    <row r="754">
      <c r="A754" s="2"/>
      <c r="B754" s="46" t="s">
        <v>269</v>
      </c>
      <c r="C754" s="11">
        <v>180.0</v>
      </c>
      <c r="D754" s="173" t="s">
        <v>4805</v>
      </c>
      <c r="E754" s="32" t="s">
        <v>4806</v>
      </c>
      <c r="F754" s="174">
        <f>'ПРАЙС_ЛИСТ'!F925</f>
        <v>8000</v>
      </c>
      <c r="G754" s="169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170"/>
      <c r="W754" s="170"/>
      <c r="X754" s="170"/>
    </row>
    <row r="755">
      <c r="A755" s="2"/>
      <c r="B755" s="46" t="s">
        <v>269</v>
      </c>
      <c r="C755" s="11">
        <v>180.0</v>
      </c>
      <c r="D755" s="173" t="s">
        <v>4807</v>
      </c>
      <c r="E755" s="32" t="s">
        <v>4808</v>
      </c>
      <c r="F755" s="185">
        <f>IF('ПРАЙС_ЛИСТ'!F926 = G755, 0, 'ПРАЙС_ЛИСТ'!F926)</f>
        <v>0</v>
      </c>
      <c r="G755" s="186">
        <f>'БД_УСЛУГИ_РО'!P737</f>
        <v>7500</v>
      </c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170"/>
      <c r="W755" s="170"/>
      <c r="X755" s="170"/>
    </row>
    <row r="756">
      <c r="A756" s="2"/>
      <c r="B756" s="46" t="s">
        <v>269</v>
      </c>
      <c r="C756" s="11">
        <v>90.0</v>
      </c>
      <c r="D756" s="173" t="s">
        <v>4809</v>
      </c>
      <c r="E756" s="32" t="s">
        <v>4810</v>
      </c>
      <c r="F756" s="188">
        <f>'ПРАЙС_ЛИСТ'!F928</f>
        <v>5000</v>
      </c>
      <c r="G756" s="169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170"/>
      <c r="W756" s="170"/>
      <c r="X756" s="170"/>
    </row>
    <row r="757">
      <c r="A757" s="2"/>
      <c r="B757" s="46" t="s">
        <v>269</v>
      </c>
      <c r="C757" s="11">
        <v>90.0</v>
      </c>
      <c r="D757" s="173" t="s">
        <v>4811</v>
      </c>
      <c r="E757" s="32" t="s">
        <v>4812</v>
      </c>
      <c r="F757" s="174">
        <f>'ПРАЙС_ЛИСТ'!F916</f>
        <v>4800</v>
      </c>
      <c r="G757" s="169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170"/>
      <c r="W757" s="170"/>
      <c r="X757" s="170"/>
    </row>
    <row r="758">
      <c r="A758" s="2"/>
      <c r="B758" s="46" t="s">
        <v>269</v>
      </c>
      <c r="C758" s="11">
        <v>90.0</v>
      </c>
      <c r="D758" s="173" t="s">
        <v>4813</v>
      </c>
      <c r="E758" s="32" t="s">
        <v>4814</v>
      </c>
      <c r="F758" s="185">
        <f>IF('ПРАЙС_ЛИСТ'!F929 = G758, 0, 'ПРАЙС_ЛИСТ'!F929)</f>
        <v>0</v>
      </c>
      <c r="G758" s="186">
        <f>'БД_УСЛУГИ_РО'!P740</f>
        <v>4300</v>
      </c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170"/>
      <c r="W758" s="170"/>
      <c r="X758" s="170"/>
    </row>
    <row r="759">
      <c r="A759" s="2"/>
      <c r="B759" s="46" t="s">
        <v>269</v>
      </c>
      <c r="C759" s="11">
        <v>90.0</v>
      </c>
      <c r="D759" s="173" t="s">
        <v>4815</v>
      </c>
      <c r="E759" s="32" t="s">
        <v>4816</v>
      </c>
      <c r="F759" s="174">
        <f>'ПРАЙС_ЛИСТ'!F930</f>
        <v>5650</v>
      </c>
      <c r="G759" s="169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170"/>
      <c r="W759" s="170"/>
      <c r="X759" s="170"/>
    </row>
    <row r="760">
      <c r="A760" s="2"/>
      <c r="B760" s="46" t="s">
        <v>269</v>
      </c>
      <c r="C760" s="11">
        <v>90.0</v>
      </c>
      <c r="D760" s="173" t="s">
        <v>934</v>
      </c>
      <c r="E760" s="32" t="s">
        <v>4817</v>
      </c>
      <c r="F760" s="174">
        <f>'ПРАЙС_ЛИСТ'!F932</f>
        <v>5500</v>
      </c>
      <c r="G760" s="169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170"/>
      <c r="W760" s="170"/>
      <c r="X760" s="170"/>
    </row>
    <row r="761">
      <c r="A761" s="2"/>
      <c r="B761" s="46" t="s">
        <v>269</v>
      </c>
      <c r="C761" s="11">
        <v>90.0</v>
      </c>
      <c r="D761" s="173" t="s">
        <v>4818</v>
      </c>
      <c r="E761" s="32" t="s">
        <v>4819</v>
      </c>
      <c r="F761" s="174">
        <f>'ПРАЙС_ЛИСТ'!F933</f>
        <v>6500</v>
      </c>
      <c r="G761" s="169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170"/>
      <c r="W761" s="170"/>
      <c r="X761" s="170"/>
    </row>
    <row r="762">
      <c r="A762" s="2"/>
      <c r="B762" s="46" t="s">
        <v>269</v>
      </c>
      <c r="C762" s="11">
        <v>90.0</v>
      </c>
      <c r="D762" s="173" t="s">
        <v>4820</v>
      </c>
      <c r="E762" s="32" t="s">
        <v>4821</v>
      </c>
      <c r="F762" s="174">
        <f>'ПРАЙС_ЛИСТ'!F934</f>
        <v>14500</v>
      </c>
      <c r="G762" s="169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170"/>
      <c r="W762" s="170"/>
      <c r="X762" s="170"/>
    </row>
    <row r="763">
      <c r="A763" s="2"/>
      <c r="B763" s="48" t="s">
        <v>269</v>
      </c>
      <c r="C763" s="36">
        <v>90.0</v>
      </c>
      <c r="D763" s="178" t="s">
        <v>4822</v>
      </c>
      <c r="E763" s="49" t="s">
        <v>4823</v>
      </c>
      <c r="F763" s="179">
        <f>'ПРАЙС_ЛИСТ'!F935</f>
        <v>15000</v>
      </c>
      <c r="G763" s="169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170"/>
      <c r="W763" s="170"/>
      <c r="X763" s="170"/>
    </row>
    <row r="764">
      <c r="A764" s="2"/>
      <c r="B764" s="1"/>
      <c r="C764" s="1"/>
      <c r="D764" s="180"/>
      <c r="E764" s="30"/>
      <c r="F764" s="21"/>
      <c r="G764" s="169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170"/>
      <c r="W764" s="170"/>
      <c r="X764" s="170"/>
    </row>
    <row r="765">
      <c r="A765" s="2"/>
      <c r="B765" s="41" t="s">
        <v>276</v>
      </c>
      <c r="C765" s="42">
        <v>0.0</v>
      </c>
      <c r="D765" s="181"/>
      <c r="E765" s="43" t="s">
        <v>4824</v>
      </c>
      <c r="F765" s="182">
        <v>0.0</v>
      </c>
      <c r="G765" s="169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170"/>
      <c r="W765" s="170"/>
      <c r="X765" s="170"/>
    </row>
    <row r="766">
      <c r="A766" s="2"/>
      <c r="B766" s="46" t="s">
        <v>276</v>
      </c>
      <c r="C766" s="11">
        <v>0.0</v>
      </c>
      <c r="D766" s="173" t="s">
        <v>4825</v>
      </c>
      <c r="E766" s="32" t="s">
        <v>4826</v>
      </c>
      <c r="F766" s="174">
        <f>'ПРАЙС_ЛИСТ'!F939</f>
        <v>700</v>
      </c>
      <c r="G766" s="169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170"/>
      <c r="W766" s="170"/>
      <c r="X766" s="170"/>
    </row>
    <row r="767">
      <c r="A767" s="2"/>
      <c r="B767" s="46" t="s">
        <v>276</v>
      </c>
      <c r="C767" s="11">
        <v>0.0</v>
      </c>
      <c r="D767" s="173"/>
      <c r="E767" s="32" t="s">
        <v>4827</v>
      </c>
      <c r="F767" s="174">
        <f>'ПРАЙС_ЛИСТ'!F940</f>
        <v>5000</v>
      </c>
      <c r="G767" s="169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170"/>
      <c r="W767" s="170"/>
      <c r="X767" s="170"/>
    </row>
    <row r="768">
      <c r="A768" s="2"/>
      <c r="B768" s="46" t="s">
        <v>276</v>
      </c>
      <c r="C768" s="11">
        <v>180.0</v>
      </c>
      <c r="D768" s="173" t="s">
        <v>4828</v>
      </c>
      <c r="E768" s="32" t="s">
        <v>4829</v>
      </c>
      <c r="F768" s="174">
        <f>IFERROR(__xludf.DUMMYFUNCTION("MIN(FILTER('ПРАЙС_ЛИСТ'!F941:F946, 'ПРАЙС_ЛИСТ'!F941:F946 &lt;&gt; 'ПРАЙС_ЛИСТ'!H941:H946))"),7500.0)</f>
        <v>7500</v>
      </c>
      <c r="G768" s="169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170"/>
      <c r="W768" s="170"/>
      <c r="X768" s="170"/>
    </row>
    <row r="769">
      <c r="A769" s="2"/>
      <c r="B769" s="46" t="s">
        <v>276</v>
      </c>
      <c r="C769" s="11">
        <v>180.0</v>
      </c>
      <c r="D769" s="173"/>
      <c r="E769" s="32" t="s">
        <v>4830</v>
      </c>
      <c r="F769" s="174">
        <f>IFERROR(__xludf.DUMMYFUNCTION("MAX(FILTER('ПРАЙС_ЛИСТ'!F941:F946, 'ПРАЙС_ЛИСТ'!F941:F946 &lt;&gt; 'ПРАЙС_ЛИСТ'!H941:H946))"),14700.0)</f>
        <v>14700</v>
      </c>
      <c r="G769" s="169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170"/>
      <c r="W769" s="170"/>
      <c r="X769" s="170"/>
    </row>
    <row r="770">
      <c r="A770" s="2"/>
      <c r="B770" s="46" t="s">
        <v>276</v>
      </c>
      <c r="C770" s="11">
        <v>90.0</v>
      </c>
      <c r="D770" s="173" t="s">
        <v>4831</v>
      </c>
      <c r="E770" s="32" t="s">
        <v>4832</v>
      </c>
      <c r="F770" s="174">
        <f>'ПРАЙС_ЛИСТ'!F947</f>
        <v>9200</v>
      </c>
      <c r="G770" s="169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170"/>
      <c r="W770" s="170"/>
      <c r="X770" s="170"/>
    </row>
    <row r="771">
      <c r="A771" s="2"/>
      <c r="B771" s="46" t="s">
        <v>276</v>
      </c>
      <c r="C771" s="11">
        <v>90.0</v>
      </c>
      <c r="D771" s="173" t="s">
        <v>4833</v>
      </c>
      <c r="E771" s="32" t="s">
        <v>4834</v>
      </c>
      <c r="F771" s="174">
        <f>IFERROR(__xludf.DUMMYFUNCTION("MIN(FILTER('ПРАЙС_ЛИСТ'!F948:F954, 'ПРАЙС_ЛИСТ'!F948:F954 &lt;&gt; 'ПРАЙС_ЛИСТ'!H948:H954))"),20000.0)</f>
        <v>20000</v>
      </c>
      <c r="G771" s="169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170"/>
      <c r="W771" s="170"/>
      <c r="X771" s="170"/>
    </row>
    <row r="772">
      <c r="A772" s="2"/>
      <c r="B772" s="46" t="s">
        <v>276</v>
      </c>
      <c r="C772" s="11">
        <v>90.0</v>
      </c>
      <c r="D772" s="173"/>
      <c r="E772" s="32" t="s">
        <v>4835</v>
      </c>
      <c r="F772" s="174">
        <f>IFERROR(__xludf.DUMMYFUNCTION("MAX(FILTER('ПРАЙС_ЛИСТ'!F948:F954, 'ПРАЙС_ЛИСТ'!F948:F954 &lt;&gt; 'ПРАЙС_ЛИСТ'!H948:H954))"),31900.0)</f>
        <v>31900</v>
      </c>
      <c r="G772" s="169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170"/>
      <c r="W772" s="170"/>
      <c r="X772" s="170"/>
    </row>
    <row r="773">
      <c r="A773" s="2"/>
      <c r="B773" s="46" t="s">
        <v>276</v>
      </c>
      <c r="C773" s="11">
        <v>90.0</v>
      </c>
      <c r="D773" s="173" t="s">
        <v>4836</v>
      </c>
      <c r="E773" s="32" t="s">
        <v>4837</v>
      </c>
      <c r="F773" s="174">
        <f>'ПРАЙС_ЛИСТ'!F956</f>
        <v>13000</v>
      </c>
      <c r="G773" s="169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170"/>
      <c r="W773" s="170"/>
      <c r="X773" s="170"/>
    </row>
    <row r="774">
      <c r="A774" s="2"/>
      <c r="B774" s="46" t="s">
        <v>276</v>
      </c>
      <c r="C774" s="11">
        <v>90.0</v>
      </c>
      <c r="D774" s="173" t="s">
        <v>4838</v>
      </c>
      <c r="E774" s="32" t="s">
        <v>4839</v>
      </c>
      <c r="F774" s="174">
        <f>'ПРАЙС_ЛИСТ'!F957</f>
        <v>12000</v>
      </c>
      <c r="G774" s="169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170"/>
      <c r="W774" s="170"/>
      <c r="X774" s="170"/>
    </row>
    <row r="775">
      <c r="A775" s="2"/>
      <c r="B775" s="46" t="s">
        <v>276</v>
      </c>
      <c r="C775" s="11">
        <v>90.0</v>
      </c>
      <c r="D775" s="173" t="s">
        <v>4840</v>
      </c>
      <c r="E775" s="32" t="s">
        <v>4841</v>
      </c>
      <c r="F775" s="174">
        <f>'ПРАЙС_ЛИСТ'!F958</f>
        <v>8900</v>
      </c>
      <c r="G775" s="169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170"/>
      <c r="W775" s="170"/>
      <c r="X775" s="170"/>
    </row>
    <row r="776">
      <c r="A776" s="2"/>
      <c r="B776" s="46" t="s">
        <v>276</v>
      </c>
      <c r="C776" s="11">
        <v>90.0</v>
      </c>
      <c r="D776" s="173" t="s">
        <v>4842</v>
      </c>
      <c r="E776" s="32" t="s">
        <v>4843</v>
      </c>
      <c r="F776" s="174">
        <f>'ПРАЙС_ЛИСТ'!F959</f>
        <v>4450</v>
      </c>
      <c r="G776" s="169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170"/>
      <c r="W776" s="170"/>
      <c r="X776" s="170"/>
    </row>
    <row r="777">
      <c r="A777" s="2"/>
      <c r="B777" s="46" t="s">
        <v>276</v>
      </c>
      <c r="C777" s="11">
        <v>90.0</v>
      </c>
      <c r="D777" s="173" t="s">
        <v>4844</v>
      </c>
      <c r="E777" s="32" t="s">
        <v>4845</v>
      </c>
      <c r="F777" s="174">
        <f>'ПРАЙС_ЛИСТ'!F960</f>
        <v>7500</v>
      </c>
      <c r="G777" s="169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170"/>
      <c r="W777" s="170"/>
      <c r="X777" s="170"/>
    </row>
    <row r="778">
      <c r="A778" s="2"/>
      <c r="B778" s="46" t="s">
        <v>276</v>
      </c>
      <c r="C778" s="11">
        <v>180.0</v>
      </c>
      <c r="D778" s="173" t="s">
        <v>4846</v>
      </c>
      <c r="E778" s="32" t="s">
        <v>4847</v>
      </c>
      <c r="F778" s="174">
        <f>'ПРАЙС_ЛИСТ'!F961</f>
        <v>8150</v>
      </c>
      <c r="G778" s="169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170"/>
      <c r="W778" s="170"/>
      <c r="X778" s="170"/>
    </row>
    <row r="779">
      <c r="A779" s="2"/>
      <c r="B779" s="46" t="s">
        <v>276</v>
      </c>
      <c r="C779" s="11">
        <v>180.0</v>
      </c>
      <c r="D779" s="173" t="s">
        <v>4848</v>
      </c>
      <c r="E779" s="32" t="s">
        <v>4849</v>
      </c>
      <c r="F779" s="185">
        <f>IF('ПРАЙС_ЛИСТ'!F962 = G779, 0, 'ПРАЙС_ЛИСТ'!F962)</f>
        <v>0</v>
      </c>
      <c r="G779" s="186">
        <f>'БД_УСЛУГИ_РО'!P764</f>
        <v>5300</v>
      </c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170"/>
      <c r="W779" s="170"/>
      <c r="X779" s="170"/>
    </row>
    <row r="780">
      <c r="A780" s="2"/>
      <c r="B780" s="46" t="s">
        <v>276</v>
      </c>
      <c r="C780" s="11">
        <v>90.0</v>
      </c>
      <c r="D780" s="173" t="s">
        <v>4850</v>
      </c>
      <c r="E780" s="32" t="s">
        <v>4851</v>
      </c>
      <c r="F780" s="174">
        <f>'ПРАЙС_ЛИСТ'!F963</f>
        <v>6000</v>
      </c>
      <c r="G780" s="169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170"/>
      <c r="W780" s="170"/>
      <c r="X780" s="170"/>
    </row>
    <row r="781">
      <c r="A781" s="2"/>
      <c r="B781" s="46" t="s">
        <v>276</v>
      </c>
      <c r="C781" s="11">
        <v>90.0</v>
      </c>
      <c r="D781" s="173" t="s">
        <v>4852</v>
      </c>
      <c r="E781" s="32" t="s">
        <v>4853</v>
      </c>
      <c r="F781" s="174">
        <f>'ПРАЙС_ЛИСТ'!F964</f>
        <v>6350</v>
      </c>
      <c r="G781" s="169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170"/>
      <c r="W781" s="170"/>
      <c r="X781" s="170"/>
    </row>
    <row r="782">
      <c r="A782" s="2"/>
      <c r="B782" s="46" t="s">
        <v>276</v>
      </c>
      <c r="C782" s="11">
        <v>90.0</v>
      </c>
      <c r="D782" s="173" t="s">
        <v>4854</v>
      </c>
      <c r="E782" s="32" t="s">
        <v>4855</v>
      </c>
      <c r="F782" s="174">
        <f>'ПРАЙС_ЛИСТ'!F965</f>
        <v>6200</v>
      </c>
      <c r="G782" s="169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170"/>
      <c r="W782" s="170"/>
      <c r="X782" s="170"/>
    </row>
    <row r="783">
      <c r="A783" s="2"/>
      <c r="B783" s="46" t="s">
        <v>276</v>
      </c>
      <c r="C783" s="11">
        <v>90.0</v>
      </c>
      <c r="D783" s="173" t="s">
        <v>4856</v>
      </c>
      <c r="E783" s="32" t="s">
        <v>4857</v>
      </c>
      <c r="F783" s="174">
        <f>'ПРАЙС_ЛИСТ'!F966</f>
        <v>9600</v>
      </c>
      <c r="G783" s="169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170"/>
      <c r="W783" s="170"/>
      <c r="X783" s="170"/>
    </row>
    <row r="784">
      <c r="A784" s="2"/>
      <c r="B784" s="46" t="s">
        <v>276</v>
      </c>
      <c r="C784" s="11">
        <v>90.0</v>
      </c>
      <c r="D784" s="173" t="s">
        <v>916</v>
      </c>
      <c r="E784" s="32" t="s">
        <v>4858</v>
      </c>
      <c r="F784" s="174">
        <f>'ПРАЙС_ЛИСТ'!F967</f>
        <v>5500</v>
      </c>
      <c r="G784" s="169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170"/>
      <c r="W784" s="170"/>
      <c r="X784" s="170"/>
    </row>
    <row r="785">
      <c r="A785" s="2"/>
      <c r="B785" s="46" t="s">
        <v>276</v>
      </c>
      <c r="C785" s="11">
        <v>90.0</v>
      </c>
      <c r="D785" s="173" t="s">
        <v>4859</v>
      </c>
      <c r="E785" s="32" t="s">
        <v>4860</v>
      </c>
      <c r="F785" s="174">
        <f>'ПРАЙС_ЛИСТ'!F968</f>
        <v>6500</v>
      </c>
      <c r="G785" s="169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170"/>
      <c r="W785" s="170"/>
      <c r="X785" s="170"/>
    </row>
    <row r="786">
      <c r="A786" s="2"/>
      <c r="B786" s="46" t="s">
        <v>276</v>
      </c>
      <c r="C786" s="11">
        <v>90.0</v>
      </c>
      <c r="D786" s="173" t="s">
        <v>4861</v>
      </c>
      <c r="E786" s="32" t="s">
        <v>4862</v>
      </c>
      <c r="F786" s="174">
        <f>'ПРАЙС_ЛИСТ'!F969</f>
        <v>15000</v>
      </c>
      <c r="G786" s="169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170"/>
      <c r="W786" s="170"/>
      <c r="X786" s="170"/>
    </row>
    <row r="787">
      <c r="A787" s="2"/>
      <c r="B787" s="48" t="s">
        <v>276</v>
      </c>
      <c r="C787" s="36">
        <v>90.0</v>
      </c>
      <c r="D787" s="178" t="s">
        <v>4863</v>
      </c>
      <c r="E787" s="49" t="s">
        <v>4864</v>
      </c>
      <c r="F787" s="179">
        <f>'ПРАЙС_ЛИСТ'!F970</f>
        <v>15500</v>
      </c>
      <c r="G787" s="169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170"/>
      <c r="W787" s="170"/>
      <c r="X787" s="170"/>
    </row>
    <row r="788">
      <c r="A788" s="2"/>
      <c r="B788" s="1"/>
      <c r="C788" s="1"/>
      <c r="D788" s="180"/>
      <c r="E788" s="30"/>
      <c r="F788" s="21"/>
      <c r="G788" s="169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170"/>
      <c r="W788" s="170"/>
      <c r="X788" s="170"/>
    </row>
    <row r="789">
      <c r="A789" s="2"/>
      <c r="B789" s="41" t="s">
        <v>283</v>
      </c>
      <c r="C789" s="42">
        <v>0.0</v>
      </c>
      <c r="D789" s="181"/>
      <c r="E789" s="43" t="s">
        <v>4865</v>
      </c>
      <c r="F789" s="182">
        <v>0.0</v>
      </c>
      <c r="G789" s="169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170"/>
      <c r="W789" s="170"/>
      <c r="X789" s="170"/>
    </row>
    <row r="790">
      <c r="A790" s="2"/>
      <c r="B790" s="46" t="s">
        <v>283</v>
      </c>
      <c r="C790" s="11">
        <v>0.0</v>
      </c>
      <c r="D790" s="173" t="s">
        <v>4866</v>
      </c>
      <c r="E790" s="32" t="s">
        <v>4867</v>
      </c>
      <c r="F790" s="174">
        <f>'ПРАЙС_ЛИСТ'!F974</f>
        <v>700</v>
      </c>
      <c r="G790" s="169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170"/>
      <c r="W790" s="170"/>
      <c r="X790" s="170"/>
    </row>
    <row r="791">
      <c r="A791" s="2"/>
      <c r="B791" s="46" t="s">
        <v>283</v>
      </c>
      <c r="C791" s="11">
        <v>0.0</v>
      </c>
      <c r="D791" s="173"/>
      <c r="E791" s="32" t="s">
        <v>4868</v>
      </c>
      <c r="F791" s="174">
        <f>'ПРАЙС_ЛИСТ'!F975</f>
        <v>5000</v>
      </c>
      <c r="G791" s="169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170"/>
      <c r="W791" s="170"/>
      <c r="X791" s="170"/>
    </row>
    <row r="792">
      <c r="A792" s="2"/>
      <c r="B792" s="46" t="s">
        <v>283</v>
      </c>
      <c r="C792" s="11">
        <v>180.0</v>
      </c>
      <c r="D792" s="173" t="s">
        <v>4869</v>
      </c>
      <c r="E792" s="32" t="s">
        <v>4870</v>
      </c>
      <c r="F792" s="174">
        <f>IFERROR(__xludf.DUMMYFUNCTION("MIN(FILTER('ПРАЙС_ЛИСТ'!F976:F981, 'ПРАЙС_ЛИСТ'!F976:F981 &lt;&gt; 'ПРАЙС_ЛИСТ'!H976:H981))"),7500.0)</f>
        <v>7500</v>
      </c>
      <c r="G792" s="169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170"/>
      <c r="W792" s="170"/>
      <c r="X792" s="170"/>
    </row>
    <row r="793">
      <c r="A793" s="2"/>
      <c r="B793" s="46" t="s">
        <v>283</v>
      </c>
      <c r="C793" s="11">
        <v>180.0</v>
      </c>
      <c r="D793" s="173"/>
      <c r="E793" s="32" t="s">
        <v>4871</v>
      </c>
      <c r="F793" s="174">
        <f>IFERROR(__xludf.DUMMYFUNCTION("MAX(FILTER('ПРАЙС_ЛИСТ'!F976:F981, 'ПРАЙС_ЛИСТ'!F976:F981 &lt;&gt; 'ПРАЙС_ЛИСТ'!H976:H981))"),14700.0)</f>
        <v>14700</v>
      </c>
      <c r="G793" s="169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170"/>
      <c r="W793" s="170"/>
      <c r="X793" s="170"/>
    </row>
    <row r="794">
      <c r="A794" s="2"/>
      <c r="B794" s="46" t="s">
        <v>283</v>
      </c>
      <c r="C794" s="11">
        <v>90.0</v>
      </c>
      <c r="D794" s="173" t="s">
        <v>4872</v>
      </c>
      <c r="E794" s="32" t="s">
        <v>4873</v>
      </c>
      <c r="F794" s="174">
        <f>'ПРАЙС_ЛИСТ'!F982</f>
        <v>9850</v>
      </c>
      <c r="G794" s="169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170"/>
      <c r="W794" s="170"/>
      <c r="X794" s="170"/>
    </row>
    <row r="795">
      <c r="A795" s="2"/>
      <c r="B795" s="46" t="s">
        <v>283</v>
      </c>
      <c r="C795" s="11">
        <v>90.0</v>
      </c>
      <c r="D795" s="173" t="s">
        <v>4874</v>
      </c>
      <c r="E795" s="32" t="s">
        <v>4875</v>
      </c>
      <c r="F795" s="174">
        <f>IFERROR(__xludf.DUMMYFUNCTION("MIN(FILTER('ПРАЙС_ЛИСТ'!F983:F989, 'ПРАЙС_ЛИСТ'!F983:F989 &lt;&gt; 'ПРАЙС_ЛИСТ'!H983:H989))"),20000.0)</f>
        <v>20000</v>
      </c>
      <c r="G795" s="169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170"/>
      <c r="W795" s="170"/>
      <c r="X795" s="170"/>
    </row>
    <row r="796">
      <c r="A796" s="2"/>
      <c r="B796" s="46" t="s">
        <v>283</v>
      </c>
      <c r="C796" s="11">
        <v>90.0</v>
      </c>
      <c r="D796" s="173"/>
      <c r="E796" s="32" t="s">
        <v>4876</v>
      </c>
      <c r="F796" s="174">
        <f>IFERROR(__xludf.DUMMYFUNCTION("MAX(FILTER('ПРАЙС_ЛИСТ'!F983:F989, 'ПРАЙС_ЛИСТ'!F983:F989 &lt;&gt; 'ПРАЙС_ЛИСТ'!H983:H989))"),36400.0)</f>
        <v>36400</v>
      </c>
      <c r="G796" s="169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170"/>
      <c r="W796" s="170"/>
      <c r="X796" s="170"/>
    </row>
    <row r="797">
      <c r="A797" s="2"/>
      <c r="B797" s="46" t="s">
        <v>283</v>
      </c>
      <c r="C797" s="11">
        <v>90.0</v>
      </c>
      <c r="D797" s="173" t="s">
        <v>4877</v>
      </c>
      <c r="E797" s="32" t="s">
        <v>4878</v>
      </c>
      <c r="F797" s="174">
        <f>'ПРАЙС_ЛИСТ'!F991</f>
        <v>15000</v>
      </c>
      <c r="G797" s="169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170"/>
      <c r="W797" s="170"/>
      <c r="X797" s="170"/>
    </row>
    <row r="798">
      <c r="A798" s="2"/>
      <c r="B798" s="46" t="s">
        <v>283</v>
      </c>
      <c r="C798" s="11">
        <v>90.0</v>
      </c>
      <c r="D798" s="173" t="s">
        <v>4879</v>
      </c>
      <c r="E798" s="32" t="s">
        <v>4880</v>
      </c>
      <c r="F798" s="174">
        <f>'ПРАЙС_ЛИСТ'!F992</f>
        <v>12000</v>
      </c>
      <c r="G798" s="169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170"/>
      <c r="W798" s="170"/>
      <c r="X798" s="170"/>
    </row>
    <row r="799">
      <c r="A799" s="2"/>
      <c r="B799" s="46" t="s">
        <v>283</v>
      </c>
      <c r="C799" s="11">
        <v>90.0</v>
      </c>
      <c r="D799" s="173" t="s">
        <v>4881</v>
      </c>
      <c r="E799" s="32" t="s">
        <v>4882</v>
      </c>
      <c r="F799" s="174">
        <f>'ПРАЙС_ЛИСТ'!F993</f>
        <v>9600</v>
      </c>
      <c r="G799" s="169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170"/>
      <c r="W799" s="170"/>
      <c r="X799" s="170"/>
    </row>
    <row r="800">
      <c r="A800" s="2"/>
      <c r="B800" s="46" t="s">
        <v>283</v>
      </c>
      <c r="C800" s="11">
        <v>90.0</v>
      </c>
      <c r="D800" s="173" t="s">
        <v>4883</v>
      </c>
      <c r="E800" s="32" t="s">
        <v>4884</v>
      </c>
      <c r="F800" s="174">
        <f>'ПРАЙС_ЛИСТ'!F994</f>
        <v>4450</v>
      </c>
      <c r="G800" s="169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170"/>
      <c r="W800" s="170"/>
      <c r="X800" s="170"/>
    </row>
    <row r="801">
      <c r="A801" s="2"/>
      <c r="B801" s="46" t="s">
        <v>283</v>
      </c>
      <c r="C801" s="11">
        <v>90.0</v>
      </c>
      <c r="D801" s="173" t="s">
        <v>4885</v>
      </c>
      <c r="E801" s="32" t="s">
        <v>4886</v>
      </c>
      <c r="F801" s="174">
        <f>'ПРАЙС_ЛИСТ'!F995</f>
        <v>7500</v>
      </c>
      <c r="G801" s="169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170"/>
      <c r="W801" s="170"/>
      <c r="X801" s="170"/>
    </row>
    <row r="802">
      <c r="A802" s="2"/>
      <c r="B802" s="46" t="s">
        <v>283</v>
      </c>
      <c r="C802" s="11">
        <v>180.0</v>
      </c>
      <c r="D802" s="173" t="s">
        <v>4887</v>
      </c>
      <c r="E802" s="32" t="s">
        <v>4888</v>
      </c>
      <c r="F802" s="174">
        <f>'ПРАЙС_ЛИСТ'!F996</f>
        <v>8200</v>
      </c>
      <c r="G802" s="169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170"/>
      <c r="W802" s="170"/>
      <c r="X802" s="170"/>
    </row>
    <row r="803">
      <c r="A803" s="2"/>
      <c r="B803" s="46" t="s">
        <v>283</v>
      </c>
      <c r="C803" s="11">
        <v>180.0</v>
      </c>
      <c r="D803" s="173" t="s">
        <v>4889</v>
      </c>
      <c r="E803" s="32" t="s">
        <v>4890</v>
      </c>
      <c r="F803" s="185">
        <f>IF('ПРАЙС_ЛИСТ'!F997 = G803, 0, 'ПРАЙС_ЛИСТ'!F997)</f>
        <v>0</v>
      </c>
      <c r="G803" s="186">
        <f>'БД_УСЛУГИ_РО'!P790</f>
        <v>5300</v>
      </c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170"/>
      <c r="W803" s="170"/>
      <c r="X803" s="170"/>
    </row>
    <row r="804">
      <c r="A804" s="2"/>
      <c r="B804" s="46" t="s">
        <v>283</v>
      </c>
      <c r="C804" s="11">
        <v>90.0</v>
      </c>
      <c r="D804" s="173" t="s">
        <v>4891</v>
      </c>
      <c r="E804" s="32" t="s">
        <v>4892</v>
      </c>
      <c r="F804" s="174">
        <f>'ПРАЙС_ЛИСТ'!F998</f>
        <v>6000</v>
      </c>
      <c r="G804" s="169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170"/>
      <c r="W804" s="170"/>
      <c r="X804" s="170"/>
    </row>
    <row r="805">
      <c r="A805" s="2"/>
      <c r="B805" s="46" t="s">
        <v>283</v>
      </c>
      <c r="C805" s="11">
        <v>90.0</v>
      </c>
      <c r="D805" s="173" t="s">
        <v>4893</v>
      </c>
      <c r="E805" s="32" t="s">
        <v>4894</v>
      </c>
      <c r="F805" s="174">
        <f>'ПРАЙС_ЛИСТ'!F999</f>
        <v>6350</v>
      </c>
      <c r="G805" s="169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170"/>
      <c r="W805" s="170"/>
      <c r="X805" s="170"/>
    </row>
    <row r="806">
      <c r="A806" s="2"/>
      <c r="B806" s="46" t="s">
        <v>283</v>
      </c>
      <c r="C806" s="11">
        <v>90.0</v>
      </c>
      <c r="D806" s="173" t="s">
        <v>4895</v>
      </c>
      <c r="E806" s="32" t="s">
        <v>4896</v>
      </c>
      <c r="F806" s="174">
        <f>'ПРАЙС_ЛИСТ'!F1000</f>
        <v>6200</v>
      </c>
      <c r="G806" s="169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170"/>
      <c r="W806" s="170"/>
      <c r="X806" s="170"/>
    </row>
    <row r="807">
      <c r="A807" s="2"/>
      <c r="B807" s="46" t="s">
        <v>283</v>
      </c>
      <c r="C807" s="11">
        <v>90.0</v>
      </c>
      <c r="D807" s="173" t="s">
        <v>4897</v>
      </c>
      <c r="E807" s="32" t="s">
        <v>4898</v>
      </c>
      <c r="F807" s="174">
        <f>'ПРАЙС_ЛИСТ'!F1001</f>
        <v>10250</v>
      </c>
      <c r="G807" s="169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170"/>
      <c r="W807" s="170"/>
      <c r="X807" s="170"/>
    </row>
    <row r="808">
      <c r="A808" s="2"/>
      <c r="B808" s="46" t="s">
        <v>283</v>
      </c>
      <c r="C808" s="11">
        <v>90.0</v>
      </c>
      <c r="D808" s="173" t="s">
        <v>898</v>
      </c>
      <c r="E808" s="32" t="s">
        <v>4899</v>
      </c>
      <c r="F808" s="174">
        <f>'ПРАЙС_ЛИСТ'!F1002</f>
        <v>5500</v>
      </c>
      <c r="G808" s="169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170"/>
      <c r="W808" s="170"/>
      <c r="X808" s="170"/>
    </row>
    <row r="809">
      <c r="A809" s="2"/>
      <c r="B809" s="46" t="s">
        <v>283</v>
      </c>
      <c r="C809" s="11">
        <v>90.0</v>
      </c>
      <c r="D809" s="173" t="s">
        <v>4900</v>
      </c>
      <c r="E809" s="32" t="s">
        <v>4901</v>
      </c>
      <c r="F809" s="174">
        <f>'ПРАЙС_ЛИСТ'!F1003</f>
        <v>6500</v>
      </c>
      <c r="G809" s="169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170"/>
      <c r="W809" s="170"/>
      <c r="X809" s="170"/>
    </row>
    <row r="810">
      <c r="A810" s="2"/>
      <c r="B810" s="46" t="s">
        <v>283</v>
      </c>
      <c r="C810" s="11">
        <v>90.0</v>
      </c>
      <c r="D810" s="173" t="s">
        <v>4902</v>
      </c>
      <c r="E810" s="32" t="s">
        <v>4903</v>
      </c>
      <c r="F810" s="174">
        <f>'ПРАЙС_ЛИСТ'!F1004</f>
        <v>15000</v>
      </c>
      <c r="G810" s="169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170"/>
      <c r="W810" s="170"/>
      <c r="X810" s="170"/>
    </row>
    <row r="811">
      <c r="A811" s="2"/>
      <c r="B811" s="48" t="s">
        <v>283</v>
      </c>
      <c r="C811" s="36">
        <v>90.0</v>
      </c>
      <c r="D811" s="178" t="s">
        <v>4904</v>
      </c>
      <c r="E811" s="49" t="s">
        <v>4905</v>
      </c>
      <c r="F811" s="179">
        <f>'ПРАЙС_ЛИСТ'!F1005</f>
        <v>15500</v>
      </c>
      <c r="G811" s="169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170"/>
      <c r="W811" s="170"/>
      <c r="X811" s="170"/>
    </row>
    <row r="812">
      <c r="A812" s="2"/>
      <c r="B812" s="1"/>
      <c r="C812" s="1"/>
      <c r="D812" s="180"/>
      <c r="E812" s="30"/>
      <c r="F812" s="21"/>
      <c r="G812" s="169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170"/>
      <c r="W812" s="170"/>
      <c r="X812" s="170"/>
    </row>
    <row r="813">
      <c r="A813" s="2"/>
      <c r="B813" s="41" t="s">
        <v>290</v>
      </c>
      <c r="C813" s="42">
        <v>0.0</v>
      </c>
      <c r="D813" s="181"/>
      <c r="E813" s="43" t="s">
        <v>4906</v>
      </c>
      <c r="F813" s="182">
        <v>0.0</v>
      </c>
      <c r="G813" s="169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170"/>
      <c r="W813" s="170"/>
      <c r="X813" s="170"/>
    </row>
    <row r="814">
      <c r="A814" s="2"/>
      <c r="B814" s="46" t="s">
        <v>290</v>
      </c>
      <c r="C814" s="11">
        <v>0.0</v>
      </c>
      <c r="D814" s="173" t="s">
        <v>4907</v>
      </c>
      <c r="E814" s="32" t="s">
        <v>4908</v>
      </c>
      <c r="F814" s="174">
        <f>'ПРАЙС_ЛИСТ'!F1009</f>
        <v>700</v>
      </c>
      <c r="G814" s="169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170"/>
      <c r="W814" s="170"/>
      <c r="X814" s="170"/>
    </row>
    <row r="815">
      <c r="A815" s="2"/>
      <c r="B815" s="46" t="s">
        <v>290</v>
      </c>
      <c r="C815" s="11">
        <v>0.0</v>
      </c>
      <c r="D815" s="173"/>
      <c r="E815" s="32" t="s">
        <v>4909</v>
      </c>
      <c r="F815" s="174">
        <f>'ПРАЙС_ЛИСТ'!F1010</f>
        <v>5500</v>
      </c>
      <c r="G815" s="169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170"/>
      <c r="W815" s="170"/>
      <c r="X815" s="170"/>
    </row>
    <row r="816">
      <c r="A816" s="2"/>
      <c r="B816" s="46" t="s">
        <v>290</v>
      </c>
      <c r="C816" s="11">
        <v>180.0</v>
      </c>
      <c r="D816" s="173" t="s">
        <v>859</v>
      </c>
      <c r="E816" s="32" t="s">
        <v>4910</v>
      </c>
      <c r="F816" s="174">
        <f>IFERROR(__xludf.DUMMYFUNCTION("MIN(FILTER('ПРАЙС_ЛИСТ'!F1011:F1016, 'ПРАЙС_ЛИСТ'!F1011:F1016 &lt;&gt; 'ПРАЙС_ЛИСТ'!H1011:H1016))"),9000.0)</f>
        <v>9000</v>
      </c>
      <c r="G816" s="169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170"/>
      <c r="W816" s="170"/>
      <c r="X816" s="170"/>
    </row>
    <row r="817">
      <c r="A817" s="2"/>
      <c r="B817" s="46" t="s">
        <v>290</v>
      </c>
      <c r="C817" s="11">
        <v>180.0</v>
      </c>
      <c r="D817" s="173"/>
      <c r="E817" s="32" t="s">
        <v>4911</v>
      </c>
      <c r="F817" s="174">
        <f>IFERROR(__xludf.DUMMYFUNCTION("MAX(FILTER('ПРАЙС_ЛИСТ'!F1011:F1016, 'ПРАЙС_ЛИСТ'!F1011:F1016 &lt;&gt; 'ПРАЙС_ЛИСТ'!H1011:H1016))"),15650.0)</f>
        <v>15650</v>
      </c>
      <c r="G817" s="169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170"/>
      <c r="W817" s="170"/>
      <c r="X817" s="170"/>
    </row>
    <row r="818">
      <c r="A818" s="2"/>
      <c r="B818" s="46" t="s">
        <v>290</v>
      </c>
      <c r="C818" s="11">
        <v>90.0</v>
      </c>
      <c r="D818" s="173" t="s">
        <v>861</v>
      </c>
      <c r="E818" s="32" t="s">
        <v>4912</v>
      </c>
      <c r="F818" s="174">
        <f>'ПРАЙС_ЛИСТ'!F1017</f>
        <v>7950</v>
      </c>
      <c r="G818" s="169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170"/>
      <c r="W818" s="170"/>
      <c r="X818" s="170"/>
    </row>
    <row r="819">
      <c r="A819" s="2"/>
      <c r="B819" s="46" t="s">
        <v>290</v>
      </c>
      <c r="C819" s="11">
        <v>90.0</v>
      </c>
      <c r="D819" s="173" t="s">
        <v>853</v>
      </c>
      <c r="E819" s="32" t="s">
        <v>4913</v>
      </c>
      <c r="F819" s="174">
        <f>IFERROR(__xludf.DUMMYFUNCTION("MIN(FILTER('ПРАЙС_ЛИСТ'!F1018:F1024, 'ПРАЙС_ЛИСТ'!F1018:F1024 &lt;&gt; 'ПРАЙС_ЛИСТ'!H1018:H1024))"),20000.0)</f>
        <v>20000</v>
      </c>
      <c r="G819" s="169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170"/>
      <c r="W819" s="170"/>
      <c r="X819" s="170"/>
    </row>
    <row r="820">
      <c r="A820" s="2"/>
      <c r="B820" s="46" t="s">
        <v>290</v>
      </c>
      <c r="C820" s="11">
        <v>90.0</v>
      </c>
      <c r="D820" s="173"/>
      <c r="E820" s="32" t="s">
        <v>4914</v>
      </c>
      <c r="F820" s="174">
        <f>IFERROR(__xludf.DUMMYFUNCTION("MAX(FILTER('ПРАЙС_ЛИСТ'!F1018:F1024, 'ПРАЙС_ЛИСТ'!F1018:F1024 &lt;&gt; 'ПРАЙС_ЛИСТ'!H1018:H1024))"),22500.0)</f>
        <v>22500</v>
      </c>
      <c r="G820" s="169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170"/>
      <c r="W820" s="170"/>
      <c r="X820" s="170"/>
    </row>
    <row r="821">
      <c r="A821" s="2"/>
      <c r="B821" s="46" t="s">
        <v>290</v>
      </c>
      <c r="C821" s="11">
        <v>90.0</v>
      </c>
      <c r="D821" s="173" t="s">
        <v>849</v>
      </c>
      <c r="E821" s="32" t="s">
        <v>4915</v>
      </c>
      <c r="F821" s="174">
        <f>'ПРАЙС_ЛИСТ'!F1026</f>
        <v>14000</v>
      </c>
      <c r="G821" s="169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170"/>
      <c r="W821" s="170"/>
      <c r="X821" s="170"/>
    </row>
    <row r="822">
      <c r="A822" s="2"/>
      <c r="B822" s="46" t="s">
        <v>290</v>
      </c>
      <c r="C822" s="11">
        <v>90.0</v>
      </c>
      <c r="D822" s="173" t="s">
        <v>869</v>
      </c>
      <c r="E822" s="32" t="s">
        <v>4916</v>
      </c>
      <c r="F822" s="174">
        <f>'ПРАЙС_ЛИСТ'!F1027</f>
        <v>12000</v>
      </c>
      <c r="G822" s="169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170"/>
      <c r="W822" s="170"/>
      <c r="X822" s="170"/>
    </row>
    <row r="823">
      <c r="A823" s="2"/>
      <c r="B823" s="46" t="s">
        <v>290</v>
      </c>
      <c r="C823" s="11">
        <v>90.0</v>
      </c>
      <c r="D823" s="173" t="s">
        <v>871</v>
      </c>
      <c r="E823" s="32" t="s">
        <v>4917</v>
      </c>
      <c r="F823" s="174">
        <f>'ПРАЙС_ЛИСТ'!F1028</f>
        <v>9900</v>
      </c>
      <c r="G823" s="169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170"/>
      <c r="W823" s="170"/>
      <c r="X823" s="170"/>
    </row>
    <row r="824">
      <c r="A824" s="2"/>
      <c r="B824" s="46" t="s">
        <v>290</v>
      </c>
      <c r="C824" s="11">
        <v>90.0</v>
      </c>
      <c r="D824" s="173" t="s">
        <v>873</v>
      </c>
      <c r="E824" s="32" t="s">
        <v>4918</v>
      </c>
      <c r="F824" s="174">
        <f>'ПРАЙС_ЛИСТ'!F1029</f>
        <v>5000</v>
      </c>
      <c r="G824" s="169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170"/>
      <c r="W824" s="170"/>
      <c r="X824" s="170"/>
    </row>
    <row r="825">
      <c r="A825" s="2"/>
      <c r="B825" s="46" t="s">
        <v>290</v>
      </c>
      <c r="C825" s="11">
        <v>90.0</v>
      </c>
      <c r="D825" s="173" t="s">
        <v>881</v>
      </c>
      <c r="E825" s="32" t="s">
        <v>4919</v>
      </c>
      <c r="F825" s="174">
        <f>'ПРАЙС_ЛИСТ'!F1030</f>
        <v>8500</v>
      </c>
      <c r="G825" s="169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170"/>
      <c r="W825" s="170"/>
      <c r="X825" s="170"/>
    </row>
    <row r="826">
      <c r="A826" s="2"/>
      <c r="B826" s="46" t="s">
        <v>290</v>
      </c>
      <c r="C826" s="11">
        <v>180.0</v>
      </c>
      <c r="D826" s="173" t="s">
        <v>855</v>
      </c>
      <c r="E826" s="32" t="s">
        <v>4920</v>
      </c>
      <c r="F826" s="174">
        <f>'ПРАЙС_ЛИСТ'!F1032</f>
        <v>8000</v>
      </c>
      <c r="G826" s="169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170"/>
      <c r="W826" s="170"/>
      <c r="X826" s="170"/>
    </row>
    <row r="827">
      <c r="A827" s="2"/>
      <c r="B827" s="46" t="s">
        <v>290</v>
      </c>
      <c r="C827" s="11">
        <v>180.0</v>
      </c>
      <c r="D827" s="173"/>
      <c r="E827" s="32" t="s">
        <v>4921</v>
      </c>
      <c r="F827" s="174">
        <f>'ПРАЙС_ЛИСТ'!F1031</f>
        <v>12000</v>
      </c>
      <c r="G827" s="169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170"/>
      <c r="W827" s="170"/>
      <c r="X827" s="170"/>
    </row>
    <row r="828">
      <c r="A828" s="2"/>
      <c r="B828" s="46" t="s">
        <v>290</v>
      </c>
      <c r="C828" s="11">
        <v>180.0</v>
      </c>
      <c r="D828" s="173" t="s">
        <v>875</v>
      </c>
      <c r="E828" s="32" t="s">
        <v>4922</v>
      </c>
      <c r="F828" s="185">
        <f>IF('ПРАЙС_ЛИСТ'!F1033 = G828, 0, 'ПРАЙС_ЛИСТ'!F1033)</f>
        <v>0</v>
      </c>
      <c r="G828" s="186">
        <f>'БД_УСЛУГИ_РО'!P816</f>
        <v>8600</v>
      </c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170"/>
      <c r="W828" s="170"/>
      <c r="X828" s="170"/>
    </row>
    <row r="829">
      <c r="A829" s="2"/>
      <c r="B829" s="46" t="s">
        <v>290</v>
      </c>
      <c r="C829" s="11">
        <v>90.0</v>
      </c>
      <c r="D829" s="173" t="s">
        <v>877</v>
      </c>
      <c r="E829" s="32" t="s">
        <v>4923</v>
      </c>
      <c r="F829" s="188">
        <f>'ПРАЙС_ЛИСТ'!F1035</f>
        <v>7200</v>
      </c>
      <c r="G829" s="169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170"/>
      <c r="W829" s="170"/>
      <c r="X829" s="170"/>
    </row>
    <row r="830">
      <c r="A830" s="2"/>
      <c r="B830" s="46" t="s">
        <v>290</v>
      </c>
      <c r="C830" s="11">
        <v>90.0</v>
      </c>
      <c r="D830" s="173" t="s">
        <v>865</v>
      </c>
      <c r="E830" s="32" t="s">
        <v>4924</v>
      </c>
      <c r="F830" s="174">
        <f>'ПРАЙС_ЛИСТ'!F1036</f>
        <v>6650</v>
      </c>
      <c r="G830" s="169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170"/>
      <c r="W830" s="170"/>
      <c r="X830" s="170"/>
    </row>
    <row r="831">
      <c r="A831" s="2"/>
      <c r="B831" s="46" t="s">
        <v>290</v>
      </c>
      <c r="C831" s="11">
        <v>90.0</v>
      </c>
      <c r="D831" s="173" t="s">
        <v>867</v>
      </c>
      <c r="E831" s="32" t="s">
        <v>4925</v>
      </c>
      <c r="F831" s="174">
        <f>IF('ПРАЙС_ЛИСТ'!F1037 = G831, 0, 'ПРАЙС_ЛИСТ'!F1037)</f>
        <v>6650</v>
      </c>
      <c r="G831" s="169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170"/>
      <c r="W831" s="170"/>
      <c r="X831" s="170"/>
    </row>
    <row r="832">
      <c r="A832" s="2"/>
      <c r="B832" s="46" t="s">
        <v>290</v>
      </c>
      <c r="C832" s="11">
        <v>90.0</v>
      </c>
      <c r="D832" s="173" t="s">
        <v>863</v>
      </c>
      <c r="E832" s="32" t="s">
        <v>4926</v>
      </c>
      <c r="F832" s="174">
        <f>'ПРАЙС_ЛИСТ'!F1038</f>
        <v>9650</v>
      </c>
      <c r="G832" s="169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170"/>
      <c r="W832" s="170"/>
      <c r="X832" s="170"/>
    </row>
    <row r="833">
      <c r="A833" s="2"/>
      <c r="B833" s="46" t="s">
        <v>290</v>
      </c>
      <c r="C833" s="11">
        <v>90.0</v>
      </c>
      <c r="D833" s="173" t="s">
        <v>879</v>
      </c>
      <c r="E833" s="32" t="s">
        <v>4927</v>
      </c>
      <c r="F833" s="174">
        <f>'ПРАЙС_ЛИСТ'!F1039</f>
        <v>6500</v>
      </c>
      <c r="G833" s="169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170"/>
      <c r="W833" s="170"/>
      <c r="X833" s="170"/>
    </row>
    <row r="834">
      <c r="A834" s="2"/>
      <c r="B834" s="46" t="s">
        <v>290</v>
      </c>
      <c r="C834" s="11">
        <v>90.0</v>
      </c>
      <c r="D834" s="173" t="s">
        <v>857</v>
      </c>
      <c r="E834" s="32" t="s">
        <v>4928</v>
      </c>
      <c r="F834" s="174">
        <f>'ПРАЙС_ЛИСТ'!F1040</f>
        <v>7700</v>
      </c>
      <c r="G834" s="169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170"/>
      <c r="W834" s="170"/>
      <c r="X834" s="170"/>
    </row>
    <row r="835">
      <c r="A835" s="2"/>
      <c r="B835" s="46" t="s">
        <v>290</v>
      </c>
      <c r="C835" s="11">
        <v>90.0</v>
      </c>
      <c r="D835" s="173" t="s">
        <v>4929</v>
      </c>
      <c r="E835" s="32" t="s">
        <v>4930</v>
      </c>
      <c r="F835" s="174">
        <f>'ПРАЙС_ЛИСТ'!F1041</f>
        <v>16700</v>
      </c>
      <c r="G835" s="169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170"/>
      <c r="W835" s="170"/>
      <c r="X835" s="170"/>
    </row>
    <row r="836">
      <c r="A836" s="2"/>
      <c r="B836" s="48" t="s">
        <v>290</v>
      </c>
      <c r="C836" s="36">
        <v>90.0</v>
      </c>
      <c r="D836" s="178" t="s">
        <v>4931</v>
      </c>
      <c r="E836" s="49" t="s">
        <v>4932</v>
      </c>
      <c r="F836" s="179">
        <f>'ПРАЙС_ЛИСТ'!F1042</f>
        <v>17200</v>
      </c>
      <c r="G836" s="169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170"/>
      <c r="W836" s="170"/>
      <c r="X836" s="170"/>
    </row>
    <row r="837">
      <c r="A837" s="2"/>
      <c r="B837" s="1"/>
      <c r="C837" s="1"/>
      <c r="D837" s="180"/>
      <c r="E837" s="30"/>
      <c r="F837" s="21"/>
      <c r="G837" s="169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170"/>
      <c r="W837" s="170"/>
      <c r="X837" s="170"/>
    </row>
    <row r="838">
      <c r="A838" s="2"/>
      <c r="B838" s="41" t="s">
        <v>297</v>
      </c>
      <c r="C838" s="42">
        <v>0.0</v>
      </c>
      <c r="D838" s="181"/>
      <c r="E838" s="43" t="s">
        <v>4933</v>
      </c>
      <c r="F838" s="182">
        <v>0.0</v>
      </c>
      <c r="G838" s="169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170"/>
      <c r="W838" s="170"/>
      <c r="X838" s="170"/>
    </row>
    <row r="839">
      <c r="A839" s="2"/>
      <c r="B839" s="46" t="s">
        <v>297</v>
      </c>
      <c r="C839" s="11">
        <v>0.0</v>
      </c>
      <c r="D839" s="173" t="s">
        <v>4934</v>
      </c>
      <c r="E839" s="32" t="s">
        <v>4935</v>
      </c>
      <c r="F839" s="174">
        <f>'ПРАЙС_ЛИСТ'!F1046</f>
        <v>700</v>
      </c>
      <c r="G839" s="169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170"/>
      <c r="W839" s="170"/>
      <c r="X839" s="170"/>
    </row>
    <row r="840">
      <c r="A840" s="2"/>
      <c r="B840" s="46" t="s">
        <v>297</v>
      </c>
      <c r="C840" s="11">
        <v>0.0</v>
      </c>
      <c r="D840" s="173"/>
      <c r="E840" s="32" t="s">
        <v>4936</v>
      </c>
      <c r="F840" s="174">
        <f>'ПРАЙС_ЛИСТ'!F1047</f>
        <v>5500</v>
      </c>
      <c r="G840" s="169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170"/>
      <c r="W840" s="170"/>
      <c r="X840" s="170"/>
    </row>
    <row r="841">
      <c r="A841" s="2"/>
      <c r="B841" s="46" t="s">
        <v>297</v>
      </c>
      <c r="C841" s="11">
        <v>180.0</v>
      </c>
      <c r="D841" s="173" t="s">
        <v>825</v>
      </c>
      <c r="E841" s="32" t="s">
        <v>4937</v>
      </c>
      <c r="F841" s="174">
        <f>IFERROR(__xludf.DUMMYFUNCTION("MIN(FILTER('ПРАЙС_ЛИСТ'!F1048:F1053, 'ПРАЙС_ЛИСТ'!F1048:F1053 &lt;&gt; 'ПРАЙС_ЛИСТ'!H1048:H1053))"),9000.0)</f>
        <v>9000</v>
      </c>
      <c r="G841" s="169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170"/>
      <c r="W841" s="170"/>
      <c r="X841" s="170"/>
    </row>
    <row r="842">
      <c r="A842" s="2"/>
      <c r="B842" s="46" t="s">
        <v>297</v>
      </c>
      <c r="C842" s="11">
        <v>180.0</v>
      </c>
      <c r="D842" s="173"/>
      <c r="E842" s="32" t="s">
        <v>4938</v>
      </c>
      <c r="F842" s="174">
        <f>IFERROR(__xludf.DUMMYFUNCTION("MAX(FILTER('ПРАЙС_ЛИСТ'!F1048:F1053, 'ПРАЙС_ЛИСТ'!F1048:F1053 &lt;&gt; 'ПРАЙС_ЛИСТ'!H1048:H1053))"),15650.0)</f>
        <v>15650</v>
      </c>
      <c r="G842" s="169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170"/>
      <c r="W842" s="170"/>
      <c r="X842" s="170"/>
    </row>
    <row r="843">
      <c r="A843" s="2"/>
      <c r="B843" s="46" t="s">
        <v>297</v>
      </c>
      <c r="C843" s="11">
        <v>90.0</v>
      </c>
      <c r="D843" s="173" t="s">
        <v>827</v>
      </c>
      <c r="E843" s="32" t="s">
        <v>4939</v>
      </c>
      <c r="F843" s="174">
        <f>'ПРАЙС_ЛИСТ'!F1054</f>
        <v>10750</v>
      </c>
      <c r="G843" s="169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170"/>
      <c r="W843" s="170"/>
      <c r="X843" s="170"/>
    </row>
    <row r="844">
      <c r="A844" s="2"/>
      <c r="B844" s="46" t="s">
        <v>297</v>
      </c>
      <c r="C844" s="11">
        <v>90.0</v>
      </c>
      <c r="D844" s="173" t="s">
        <v>819</v>
      </c>
      <c r="E844" s="32" t="s">
        <v>4940</v>
      </c>
      <c r="F844" s="174">
        <f>IFERROR(__xludf.DUMMYFUNCTION("MIN(FILTER('ПРАЙС_ЛИСТ'!F1055:F1061, 'ПРАЙС_ЛИСТ'!F1055:F1061 &lt;&gt; 'ПРАЙС_ЛИСТ'!H1055:H1061))"),20600.0)</f>
        <v>20600</v>
      </c>
      <c r="G844" s="169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170"/>
      <c r="W844" s="170"/>
      <c r="X844" s="170"/>
    </row>
    <row r="845">
      <c r="A845" s="2"/>
      <c r="B845" s="46" t="s">
        <v>297</v>
      </c>
      <c r="C845" s="11">
        <v>90.0</v>
      </c>
      <c r="D845" s="173" t="s">
        <v>815</v>
      </c>
      <c r="E845" s="32" t="s">
        <v>4941</v>
      </c>
      <c r="F845" s="174">
        <f>'ПРАЙС_ЛИСТ'!F1051</f>
        <v>9500</v>
      </c>
      <c r="G845" s="169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170"/>
      <c r="W845" s="170"/>
      <c r="X845" s="170"/>
    </row>
    <row r="846">
      <c r="A846" s="2"/>
      <c r="B846" s="46" t="s">
        <v>297</v>
      </c>
      <c r="C846" s="11">
        <v>90.0</v>
      </c>
      <c r="D846" s="173" t="s">
        <v>835</v>
      </c>
      <c r="E846" s="32" t="s">
        <v>4942</v>
      </c>
      <c r="F846" s="174">
        <f>'ПРАЙС_ЛИСТ'!F1064</f>
        <v>12000</v>
      </c>
      <c r="G846" s="169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170"/>
      <c r="W846" s="170"/>
      <c r="X846" s="170"/>
    </row>
    <row r="847">
      <c r="A847" s="2"/>
      <c r="B847" s="46" t="s">
        <v>297</v>
      </c>
      <c r="C847" s="11">
        <v>90.0</v>
      </c>
      <c r="D847" s="173" t="s">
        <v>837</v>
      </c>
      <c r="E847" s="32" t="s">
        <v>4943</v>
      </c>
      <c r="F847" s="174">
        <f>'ПРАЙС_ЛИСТ'!F1065</f>
        <v>9900</v>
      </c>
      <c r="G847" s="169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170"/>
      <c r="W847" s="170"/>
      <c r="X847" s="170"/>
    </row>
    <row r="848">
      <c r="A848" s="2"/>
      <c r="B848" s="46" t="s">
        <v>297</v>
      </c>
      <c r="C848" s="11">
        <v>90.0</v>
      </c>
      <c r="D848" s="173" t="s">
        <v>839</v>
      </c>
      <c r="E848" s="32" t="s">
        <v>4944</v>
      </c>
      <c r="F848" s="174">
        <f>'ПРАЙС_ЛИСТ'!F1066</f>
        <v>5000</v>
      </c>
      <c r="G848" s="169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170"/>
      <c r="W848" s="170"/>
      <c r="X848" s="170"/>
    </row>
    <row r="849">
      <c r="A849" s="2"/>
      <c r="B849" s="46" t="s">
        <v>297</v>
      </c>
      <c r="C849" s="11">
        <v>90.0</v>
      </c>
      <c r="D849" s="173" t="s">
        <v>847</v>
      </c>
      <c r="E849" s="32" t="s">
        <v>4945</v>
      </c>
      <c r="F849" s="174">
        <f>'ПРАЙС_ЛИСТ'!F1067</f>
        <v>8500</v>
      </c>
      <c r="G849" s="169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170"/>
      <c r="W849" s="170"/>
      <c r="X849" s="170"/>
    </row>
    <row r="850">
      <c r="A850" s="2"/>
      <c r="B850" s="46" t="s">
        <v>297</v>
      </c>
      <c r="C850" s="11">
        <v>180.0</v>
      </c>
      <c r="D850" s="173" t="s">
        <v>821</v>
      </c>
      <c r="E850" s="32" t="s">
        <v>4946</v>
      </c>
      <c r="F850" s="174">
        <f>'ПРАЙС_ЛИСТ'!F1069</f>
        <v>8000</v>
      </c>
      <c r="G850" s="169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170"/>
      <c r="W850" s="170"/>
      <c r="X850" s="170"/>
    </row>
    <row r="851">
      <c r="A851" s="2"/>
      <c r="B851" s="46" t="s">
        <v>297</v>
      </c>
      <c r="C851" s="11">
        <v>180.0</v>
      </c>
      <c r="D851" s="173"/>
      <c r="E851" s="32" t="s">
        <v>4947</v>
      </c>
      <c r="F851" s="185">
        <f>IF('ПРАЙС_ЛИСТ'!F1070 = G851, 0, 'ПРАЙС_ЛИСТ'!F1070)</f>
        <v>0</v>
      </c>
      <c r="G851" s="186">
        <f>'БД_УСЛУГИ_РО'!P843</f>
        <v>8600</v>
      </c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170"/>
      <c r="W851" s="170"/>
      <c r="X851" s="170"/>
    </row>
    <row r="852">
      <c r="A852" s="2"/>
      <c r="B852" s="46" t="s">
        <v>297</v>
      </c>
      <c r="C852" s="11">
        <v>90.0</v>
      </c>
      <c r="D852" s="173" t="s">
        <v>843</v>
      </c>
      <c r="E852" s="32" t="s">
        <v>4948</v>
      </c>
      <c r="F852" s="188">
        <f>'ПРАЙС_ЛИСТ'!F1072</f>
        <v>7200</v>
      </c>
      <c r="G852" s="169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170"/>
      <c r="W852" s="170"/>
      <c r="X852" s="170"/>
    </row>
    <row r="853">
      <c r="A853" s="2"/>
      <c r="B853" s="46" t="s">
        <v>297</v>
      </c>
      <c r="C853" s="11">
        <v>90.0</v>
      </c>
      <c r="D853" s="173" t="s">
        <v>831</v>
      </c>
      <c r="E853" s="32" t="s">
        <v>4949</v>
      </c>
      <c r="F853" s="185">
        <f>IF('ПРАЙС_ЛИСТ'!F1073 = G853, 0, 'ПРАЙС_ЛИСТ'!F1073)</f>
        <v>0</v>
      </c>
      <c r="G853" s="186">
        <f>'БД_УСЛУГИ_РО'!P846</f>
        <v>5300</v>
      </c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170"/>
      <c r="W853" s="170"/>
      <c r="X853" s="170"/>
    </row>
    <row r="854">
      <c r="A854" s="2"/>
      <c r="B854" s="46" t="s">
        <v>297</v>
      </c>
      <c r="C854" s="11">
        <v>90.0</v>
      </c>
      <c r="D854" s="173" t="s">
        <v>833</v>
      </c>
      <c r="E854" s="32" t="s">
        <v>4950</v>
      </c>
      <c r="F854" s="174">
        <f>IF('ПРАЙС_ЛИСТ'!F1074 = G854, 0, 'ПРАЙС_ЛИСТ'!F1074)</f>
        <v>6650</v>
      </c>
      <c r="G854" s="169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170"/>
      <c r="W854" s="170"/>
      <c r="X854" s="170"/>
    </row>
    <row r="855">
      <c r="A855" s="2"/>
      <c r="B855" s="46" t="s">
        <v>297</v>
      </c>
      <c r="C855" s="11">
        <v>90.0</v>
      </c>
      <c r="D855" s="173" t="s">
        <v>829</v>
      </c>
      <c r="E855" s="32" t="s">
        <v>4951</v>
      </c>
      <c r="F855" s="174">
        <f>'ПРАЙС_ЛИСТ'!F1075</f>
        <v>10650</v>
      </c>
      <c r="G855" s="169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170"/>
      <c r="W855" s="170"/>
      <c r="X855" s="170"/>
    </row>
    <row r="856">
      <c r="A856" s="2"/>
      <c r="B856" s="46" t="s">
        <v>297</v>
      </c>
      <c r="C856" s="11">
        <v>90.0</v>
      </c>
      <c r="D856" s="173" t="s">
        <v>845</v>
      </c>
      <c r="E856" s="32" t="s">
        <v>4952</v>
      </c>
      <c r="F856" s="174">
        <f>'ПРАЙС_ЛИСТ'!F1076</f>
        <v>6500</v>
      </c>
      <c r="G856" s="169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170"/>
      <c r="W856" s="170"/>
      <c r="X856" s="170"/>
    </row>
    <row r="857">
      <c r="A857" s="2"/>
      <c r="B857" s="46" t="s">
        <v>297</v>
      </c>
      <c r="C857" s="11">
        <v>90.0</v>
      </c>
      <c r="D857" s="173" t="s">
        <v>823</v>
      </c>
      <c r="E857" s="32" t="s">
        <v>4953</v>
      </c>
      <c r="F857" s="174">
        <f>'ПРАЙС_ЛИСТ'!F1077</f>
        <v>7700</v>
      </c>
      <c r="G857" s="169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170"/>
      <c r="W857" s="170"/>
      <c r="X857" s="170"/>
    </row>
    <row r="858">
      <c r="A858" s="2"/>
      <c r="B858" s="46" t="s">
        <v>297</v>
      </c>
      <c r="C858" s="11">
        <v>90.0</v>
      </c>
      <c r="D858" s="173" t="s">
        <v>4954</v>
      </c>
      <c r="E858" s="32" t="s">
        <v>4955</v>
      </c>
      <c r="F858" s="174">
        <f>'ПРАЙС_ЛИСТ'!F1078</f>
        <v>16700</v>
      </c>
      <c r="G858" s="169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170"/>
      <c r="W858" s="170"/>
      <c r="X858" s="170"/>
    </row>
    <row r="859">
      <c r="A859" s="2"/>
      <c r="B859" s="48" t="s">
        <v>297</v>
      </c>
      <c r="C859" s="36">
        <v>90.0</v>
      </c>
      <c r="D859" s="178" t="s">
        <v>4956</v>
      </c>
      <c r="E859" s="49" t="s">
        <v>4957</v>
      </c>
      <c r="F859" s="179">
        <f>'ПРАЙС_ЛИСТ'!F1079</f>
        <v>17200</v>
      </c>
      <c r="G859" s="169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170"/>
      <c r="W859" s="170"/>
      <c r="X859" s="170"/>
    </row>
    <row r="860">
      <c r="A860" s="2"/>
      <c r="B860" s="1"/>
      <c r="C860" s="1"/>
      <c r="D860" s="180"/>
      <c r="E860" s="30"/>
      <c r="F860" s="21"/>
      <c r="G860" s="169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170"/>
      <c r="W860" s="170"/>
      <c r="X860" s="170"/>
    </row>
    <row r="861">
      <c r="A861" s="2"/>
      <c r="B861" s="41" t="s">
        <v>304</v>
      </c>
      <c r="C861" s="42">
        <v>0.0</v>
      </c>
      <c r="D861" s="181"/>
      <c r="E861" s="43" t="s">
        <v>4958</v>
      </c>
      <c r="F861" s="182">
        <v>0.0</v>
      </c>
      <c r="G861" s="169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170"/>
      <c r="W861" s="170"/>
      <c r="X861" s="170"/>
    </row>
    <row r="862">
      <c r="A862" s="2"/>
      <c r="B862" s="46" t="s">
        <v>304</v>
      </c>
      <c r="C862" s="11">
        <v>0.0</v>
      </c>
      <c r="D862" s="173" t="s">
        <v>4959</v>
      </c>
      <c r="E862" s="32" t="s">
        <v>4960</v>
      </c>
      <c r="F862" s="174">
        <f>'ПРАЙС_ЛИСТ'!F1083</f>
        <v>700</v>
      </c>
      <c r="G862" s="169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170"/>
      <c r="W862" s="170"/>
      <c r="X862" s="170"/>
    </row>
    <row r="863">
      <c r="A863" s="2"/>
      <c r="B863" s="46" t="s">
        <v>304</v>
      </c>
      <c r="C863" s="11">
        <v>0.0</v>
      </c>
      <c r="D863" s="173"/>
      <c r="E863" s="32" t="s">
        <v>4961</v>
      </c>
      <c r="F863" s="174">
        <f>'ПРАЙС_ЛИСТ'!F1084</f>
        <v>6000</v>
      </c>
      <c r="G863" s="169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170"/>
      <c r="W863" s="170"/>
      <c r="X863" s="170"/>
    </row>
    <row r="864">
      <c r="A864" s="2"/>
      <c r="B864" s="46" t="s">
        <v>304</v>
      </c>
      <c r="C864" s="11">
        <v>180.0</v>
      </c>
      <c r="D864" s="173" t="s">
        <v>791</v>
      </c>
      <c r="E864" s="32" t="s">
        <v>4962</v>
      </c>
      <c r="F864" s="174">
        <f>IFERROR(__xludf.DUMMYFUNCTION("MIN(FILTER('ПРАЙС_ЛИСТ'!F1085:F1090, 'ПРАЙС_ЛИСТ'!F1085:F1090 &lt;&gt; 'ПРАЙС_ЛИСТ'!H1085:H1090))"),9000.0)</f>
        <v>9000</v>
      </c>
      <c r="G864" s="169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170"/>
      <c r="W864" s="170"/>
      <c r="X864" s="170"/>
    </row>
    <row r="865">
      <c r="A865" s="2"/>
      <c r="B865" s="46" t="s">
        <v>304</v>
      </c>
      <c r="C865" s="11">
        <v>180.0</v>
      </c>
      <c r="D865" s="173"/>
      <c r="E865" s="32" t="s">
        <v>4963</v>
      </c>
      <c r="F865" s="174">
        <f>IFERROR(__xludf.DUMMYFUNCTION("MAX(FILTER('ПРАЙС_ЛИСТ'!F1085:FF1090, 'ПРАЙС_ЛИСТ'!F1085:F1090 &lt;&gt; 'ПРАЙС_ЛИСТ'!H1085:H1090))"),15950.0)</f>
        <v>15950</v>
      </c>
      <c r="G865" s="169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170"/>
      <c r="W865" s="170"/>
      <c r="X865" s="170"/>
    </row>
    <row r="866">
      <c r="A866" s="2"/>
      <c r="B866" s="46" t="s">
        <v>304</v>
      </c>
      <c r="C866" s="11">
        <v>90.0</v>
      </c>
      <c r="D866" s="173" t="s">
        <v>793</v>
      </c>
      <c r="E866" s="32" t="s">
        <v>4964</v>
      </c>
      <c r="F866" s="174">
        <f>'ПРАЙС_ЛИСТ'!F1091</f>
        <v>11000</v>
      </c>
      <c r="G866" s="169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170"/>
      <c r="W866" s="170"/>
      <c r="X866" s="170"/>
    </row>
    <row r="867">
      <c r="A867" s="2"/>
      <c r="B867" s="46" t="s">
        <v>304</v>
      </c>
      <c r="C867" s="11">
        <v>90.0</v>
      </c>
      <c r="D867" s="173" t="s">
        <v>785</v>
      </c>
      <c r="E867" s="32" t="s">
        <v>4965</v>
      </c>
      <c r="F867" s="174">
        <f>IFERROR(__xludf.DUMMYFUNCTION("MIN(FILTER('ПРАЙС_ЛИСТ'!F1092:F1098, 'ПРАЙС_ЛИСТ'!F1092:F1098 &lt;&gt; 'ПРАЙС_ЛИСТ'!H1092:H1098))"),25000.0)</f>
        <v>25000</v>
      </c>
      <c r="G867" s="169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170"/>
      <c r="W867" s="170"/>
      <c r="X867" s="170"/>
    </row>
    <row r="868">
      <c r="A868" s="2"/>
      <c r="B868" s="46" t="s">
        <v>304</v>
      </c>
      <c r="C868" s="11">
        <v>90.0</v>
      </c>
      <c r="D868" s="173"/>
      <c r="E868" s="32" t="s">
        <v>4966</v>
      </c>
      <c r="F868" s="174">
        <f>IFERROR(__xludf.DUMMYFUNCTION("MAX(FILTER('ПРАЙС_ЛИСТ'!F1092:F1098, 'ПРАЙС_ЛИСТ'!F1092:F1098 &lt;&gt; 'ПРАЙС_ЛИСТ'!H1092:H1098))"),32700.0)</f>
        <v>32700</v>
      </c>
      <c r="G868" s="169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170"/>
      <c r="W868" s="170"/>
      <c r="X868" s="170"/>
    </row>
    <row r="869">
      <c r="A869" s="2"/>
      <c r="B869" s="46" t="s">
        <v>304</v>
      </c>
      <c r="C869" s="11">
        <v>90.0</v>
      </c>
      <c r="D869" s="173" t="s">
        <v>781</v>
      </c>
      <c r="E869" s="32" t="s">
        <v>4967</v>
      </c>
      <c r="F869" s="174">
        <f>'ПРАЙС_ЛИСТ'!F1100</f>
        <v>18000</v>
      </c>
      <c r="G869" s="169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170"/>
      <c r="W869" s="170"/>
      <c r="X869" s="170"/>
    </row>
    <row r="870">
      <c r="A870" s="2"/>
      <c r="B870" s="46" t="s">
        <v>304</v>
      </c>
      <c r="C870" s="11">
        <v>90.0</v>
      </c>
      <c r="D870" s="173" t="s">
        <v>801</v>
      </c>
      <c r="E870" s="32" t="s">
        <v>4968</v>
      </c>
      <c r="F870" s="174">
        <f>'ПРАЙС_ЛИСТ'!F1101</f>
        <v>13900</v>
      </c>
      <c r="G870" s="169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170"/>
      <c r="W870" s="170"/>
      <c r="X870" s="170"/>
    </row>
    <row r="871">
      <c r="A871" s="2"/>
      <c r="B871" s="46" t="s">
        <v>304</v>
      </c>
      <c r="C871" s="11">
        <v>90.0</v>
      </c>
      <c r="D871" s="173" t="s">
        <v>803</v>
      </c>
      <c r="E871" s="32" t="s">
        <v>4969</v>
      </c>
      <c r="F871" s="174">
        <f>'ПРАЙС_ЛИСТ'!F1102</f>
        <v>11900</v>
      </c>
      <c r="G871" s="169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170"/>
      <c r="W871" s="170"/>
      <c r="X871" s="170"/>
    </row>
    <row r="872">
      <c r="A872" s="2"/>
      <c r="B872" s="46" t="s">
        <v>304</v>
      </c>
      <c r="C872" s="11">
        <v>90.0</v>
      </c>
      <c r="D872" s="173" t="s">
        <v>805</v>
      </c>
      <c r="E872" s="32" t="s">
        <v>4970</v>
      </c>
      <c r="F872" s="174">
        <f>'ПРАЙС_ЛИСТ'!F1103</f>
        <v>5500</v>
      </c>
      <c r="G872" s="169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170"/>
      <c r="W872" s="170"/>
      <c r="X872" s="170"/>
    </row>
    <row r="873">
      <c r="A873" s="2"/>
      <c r="B873" s="46" t="s">
        <v>304</v>
      </c>
      <c r="C873" s="11">
        <v>90.0</v>
      </c>
      <c r="D873" s="173" t="s">
        <v>813</v>
      </c>
      <c r="E873" s="32" t="s">
        <v>4971</v>
      </c>
      <c r="F873" s="174">
        <f>'ПРАЙС_ЛИСТ'!F1104</f>
        <v>8500</v>
      </c>
      <c r="G873" s="169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170"/>
      <c r="W873" s="170"/>
      <c r="X873" s="170"/>
    </row>
    <row r="874">
      <c r="A874" s="2"/>
      <c r="B874" s="46" t="s">
        <v>304</v>
      </c>
      <c r="C874" s="11">
        <v>180.0</v>
      </c>
      <c r="D874" s="173" t="s">
        <v>787</v>
      </c>
      <c r="E874" s="32" t="s">
        <v>4972</v>
      </c>
      <c r="F874" s="174">
        <f>'ПРАЙС_ЛИСТ'!F1106</f>
        <v>8000</v>
      </c>
      <c r="G874" s="169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170"/>
      <c r="W874" s="170"/>
      <c r="X874" s="170"/>
    </row>
    <row r="875">
      <c r="A875" s="2"/>
      <c r="B875" s="46" t="s">
        <v>304</v>
      </c>
      <c r="C875" s="11">
        <v>180.0</v>
      </c>
      <c r="D875" s="173"/>
      <c r="E875" s="32" t="s">
        <v>4973</v>
      </c>
      <c r="F875" s="174">
        <f>'ПРАЙС_ЛИСТ'!F1105</f>
        <v>13000</v>
      </c>
      <c r="G875" s="169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170"/>
      <c r="W875" s="170"/>
      <c r="X875" s="170"/>
    </row>
    <row r="876">
      <c r="A876" s="2"/>
      <c r="B876" s="46" t="s">
        <v>304</v>
      </c>
      <c r="C876" s="11">
        <v>180.0</v>
      </c>
      <c r="D876" s="173" t="s">
        <v>807</v>
      </c>
      <c r="E876" s="32" t="s">
        <v>4974</v>
      </c>
      <c r="F876" s="185">
        <f>IF('ПРАЙС_ЛИСТ'!F1107 = G876, 0, 'ПРАЙС_ЛИСТ'!F1107)</f>
        <v>0</v>
      </c>
      <c r="G876" s="186">
        <f>'БД_УСЛУГИ_РО'!P870</f>
        <v>8650</v>
      </c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170"/>
      <c r="W876" s="170"/>
      <c r="X876" s="170"/>
    </row>
    <row r="877">
      <c r="A877" s="2"/>
      <c r="B877" s="46" t="s">
        <v>304</v>
      </c>
      <c r="C877" s="11">
        <v>90.0</v>
      </c>
      <c r="D877" s="173" t="s">
        <v>809</v>
      </c>
      <c r="E877" s="32" t="s">
        <v>4975</v>
      </c>
      <c r="F877" s="188">
        <f>'ПРАЙС_ЛИСТ'!F1109</f>
        <v>7200</v>
      </c>
      <c r="G877" s="169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170"/>
      <c r="W877" s="170"/>
      <c r="X877" s="170"/>
    </row>
    <row r="878">
      <c r="A878" s="2"/>
      <c r="B878" s="46" t="s">
        <v>304</v>
      </c>
      <c r="C878" s="11">
        <v>90.0</v>
      </c>
      <c r="D878" s="173" t="s">
        <v>797</v>
      </c>
      <c r="E878" s="32" t="s">
        <v>4976</v>
      </c>
      <c r="F878" s="174">
        <f>'ПРАЙС_ЛИСТ'!F1110</f>
        <v>7350</v>
      </c>
      <c r="G878" s="169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170"/>
      <c r="W878" s="170"/>
      <c r="X878" s="170"/>
    </row>
    <row r="879">
      <c r="A879" s="2"/>
      <c r="B879" s="46" t="s">
        <v>304</v>
      </c>
      <c r="C879" s="11">
        <v>90.0</v>
      </c>
      <c r="D879" s="173" t="s">
        <v>799</v>
      </c>
      <c r="E879" s="32" t="s">
        <v>4977</v>
      </c>
      <c r="F879" s="174">
        <f>IF('ПРАЙС_ЛИСТ'!F1111 = G879, 0, 'ПРАЙС_ЛИСТ'!F1111)</f>
        <v>7350</v>
      </c>
      <c r="G879" s="169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170"/>
      <c r="W879" s="170"/>
      <c r="X879" s="170"/>
    </row>
    <row r="880">
      <c r="A880" s="2"/>
      <c r="B880" s="46" t="s">
        <v>304</v>
      </c>
      <c r="C880" s="11">
        <v>90.0</v>
      </c>
      <c r="D880" s="173" t="s">
        <v>795</v>
      </c>
      <c r="E880" s="32" t="s">
        <v>4978</v>
      </c>
      <c r="F880" s="174">
        <f>'ПРАЙС_ЛИСТ'!F1112</f>
        <v>11100</v>
      </c>
      <c r="G880" s="169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170"/>
      <c r="W880" s="170"/>
      <c r="X880" s="170"/>
    </row>
    <row r="881">
      <c r="A881" s="2"/>
      <c r="B881" s="46" t="s">
        <v>304</v>
      </c>
      <c r="C881" s="11">
        <v>90.0</v>
      </c>
      <c r="D881" s="173" t="s">
        <v>811</v>
      </c>
      <c r="E881" s="32" t="s">
        <v>4979</v>
      </c>
      <c r="F881" s="174">
        <f>'ПРАЙС_ЛИСТ'!F1113</f>
        <v>6500</v>
      </c>
      <c r="G881" s="169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170"/>
      <c r="W881" s="170"/>
      <c r="X881" s="170"/>
    </row>
    <row r="882">
      <c r="A882" s="2"/>
      <c r="B882" s="46" t="s">
        <v>304</v>
      </c>
      <c r="C882" s="11">
        <v>90.0</v>
      </c>
      <c r="D882" s="173" t="s">
        <v>789</v>
      </c>
      <c r="E882" s="32" t="s">
        <v>4980</v>
      </c>
      <c r="F882" s="174">
        <f>'ПРАЙС_ЛИСТ'!F1114</f>
        <v>7700</v>
      </c>
      <c r="G882" s="169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170"/>
      <c r="W882" s="170"/>
      <c r="X882" s="170"/>
    </row>
    <row r="883">
      <c r="A883" s="2"/>
      <c r="B883" s="46" t="s">
        <v>304</v>
      </c>
      <c r="C883" s="11">
        <v>90.0</v>
      </c>
      <c r="D883" s="173" t="s">
        <v>4981</v>
      </c>
      <c r="E883" s="32" t="s">
        <v>4982</v>
      </c>
      <c r="F883" s="174">
        <f>'ПРАЙС_ЛИСТ'!F1115</f>
        <v>17200</v>
      </c>
      <c r="G883" s="169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170"/>
      <c r="W883" s="170"/>
      <c r="X883" s="170"/>
    </row>
    <row r="884">
      <c r="A884" s="2"/>
      <c r="B884" s="48" t="s">
        <v>304</v>
      </c>
      <c r="C884" s="36">
        <v>90.0</v>
      </c>
      <c r="D884" s="178" t="s">
        <v>4983</v>
      </c>
      <c r="E884" s="49" t="s">
        <v>4984</v>
      </c>
      <c r="F884" s="179">
        <f>'ПРАЙС_ЛИСТ'!F1116</f>
        <v>17700</v>
      </c>
      <c r="G884" s="169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170"/>
      <c r="W884" s="170"/>
      <c r="X884" s="170"/>
    </row>
    <row r="885">
      <c r="A885" s="2"/>
      <c r="B885" s="1"/>
      <c r="C885" s="1"/>
      <c r="D885" s="180"/>
      <c r="E885" s="30"/>
      <c r="F885" s="21"/>
      <c r="G885" s="169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170"/>
      <c r="W885" s="170"/>
      <c r="X885" s="170"/>
    </row>
    <row r="886">
      <c r="A886" s="2"/>
      <c r="B886" s="41" t="s">
        <v>311</v>
      </c>
      <c r="C886" s="42">
        <v>0.0</v>
      </c>
      <c r="D886" s="181"/>
      <c r="E886" s="43" t="s">
        <v>4985</v>
      </c>
      <c r="F886" s="182">
        <v>0.0</v>
      </c>
      <c r="G886" s="169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170"/>
      <c r="W886" s="170"/>
      <c r="X886" s="170"/>
    </row>
    <row r="887">
      <c r="A887" s="2"/>
      <c r="B887" s="46" t="s">
        <v>311</v>
      </c>
      <c r="C887" s="11">
        <v>0.0</v>
      </c>
      <c r="D887" s="173" t="s">
        <v>4986</v>
      </c>
      <c r="E887" s="32" t="s">
        <v>4987</v>
      </c>
      <c r="F887" s="174">
        <f>'ПРАЙС_ЛИСТ'!F1120</f>
        <v>700</v>
      </c>
      <c r="G887" s="169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170"/>
      <c r="W887" s="170"/>
      <c r="X887" s="170"/>
    </row>
    <row r="888">
      <c r="A888" s="2"/>
      <c r="B888" s="46" t="s">
        <v>311</v>
      </c>
      <c r="C888" s="11">
        <v>0.0</v>
      </c>
      <c r="D888" s="173"/>
      <c r="E888" s="32" t="s">
        <v>4988</v>
      </c>
      <c r="F888" s="174">
        <f>'ПРАЙС_ЛИСТ'!F1121</f>
        <v>6000</v>
      </c>
      <c r="G888" s="169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170"/>
      <c r="W888" s="170"/>
      <c r="X888" s="170"/>
    </row>
    <row r="889">
      <c r="A889" s="2"/>
      <c r="B889" s="46" t="s">
        <v>311</v>
      </c>
      <c r="C889" s="11">
        <v>180.0</v>
      </c>
      <c r="D889" s="173" t="s">
        <v>757</v>
      </c>
      <c r="E889" s="32" t="s">
        <v>4989</v>
      </c>
      <c r="F889" s="174">
        <f>IFERROR(__xludf.DUMMYFUNCTION("MIN(FILTER('ПРАЙС_ЛИСТ'!F1122:F1127, 'ПРАЙС_ЛИСТ'!F1122:F1127 &lt;&gt; 'ПРАЙС_ЛИСТ'!H1122:H1127))"),10000.0)</f>
        <v>10000</v>
      </c>
      <c r="G889" s="169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170"/>
      <c r="W889" s="170"/>
      <c r="X889" s="170"/>
    </row>
    <row r="890">
      <c r="A890" s="2"/>
      <c r="B890" s="46" t="s">
        <v>311</v>
      </c>
      <c r="C890" s="11">
        <v>180.0</v>
      </c>
      <c r="D890" s="173"/>
      <c r="E890" s="32" t="s">
        <v>4990</v>
      </c>
      <c r="F890" s="174">
        <f>IFERROR(__xludf.DUMMYFUNCTION("MAX(FILTER('ПРАЙС_ЛИСТ'!F1122:F1127, 'ПРАЙС_ЛИСТ'!F1122:F1127 &lt;&gt; 'ПРАЙС_ЛИСТ'!H1122:H1127))"),15950.0)</f>
        <v>15950</v>
      </c>
      <c r="G890" s="169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170"/>
      <c r="W890" s="170"/>
      <c r="X890" s="170"/>
    </row>
    <row r="891">
      <c r="A891" s="2"/>
      <c r="B891" s="46" t="s">
        <v>311</v>
      </c>
      <c r="C891" s="11">
        <v>90.0</v>
      </c>
      <c r="D891" s="173" t="s">
        <v>759</v>
      </c>
      <c r="E891" s="32" t="s">
        <v>4991</v>
      </c>
      <c r="F891" s="174">
        <f>'ПРАЙС_ЛИСТ'!F1128</f>
        <v>11500</v>
      </c>
      <c r="G891" s="169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170"/>
      <c r="W891" s="170"/>
      <c r="X891" s="170"/>
    </row>
    <row r="892">
      <c r="A892" s="2"/>
      <c r="B892" s="46" t="s">
        <v>311</v>
      </c>
      <c r="C892" s="11">
        <v>90.0</v>
      </c>
      <c r="D892" s="173" t="s">
        <v>751</v>
      </c>
      <c r="E892" s="32" t="s">
        <v>4992</v>
      </c>
      <c r="F892" s="174">
        <f>IFERROR(__xludf.DUMMYFUNCTION("MIN(FILTER('ПРАЙС_ЛИСТ'!F1129:F1135, 'ПРАЙС_ЛИСТ'!F1129:F1135 &lt;&gt; 'ПРАЙС_ЛИСТ'!H1129:H1135))"),25000.0)</f>
        <v>25000</v>
      </c>
      <c r="G892" s="169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170"/>
      <c r="W892" s="170"/>
      <c r="X892" s="170"/>
    </row>
    <row r="893">
      <c r="A893" s="2"/>
      <c r="B893" s="46" t="s">
        <v>311</v>
      </c>
      <c r="C893" s="11">
        <v>90.0</v>
      </c>
      <c r="D893" s="173"/>
      <c r="E893" s="32" t="s">
        <v>4993</v>
      </c>
      <c r="F893" s="174">
        <f>IFERROR(__xludf.DUMMYFUNCTION("MAX(FILTER('ПРАЙС_ЛИСТ'!F1129:F1135, 'ПРАЙС_ЛИСТ'!F1129:F1135 &lt;&gt; 'ПРАЙС_ЛИСТ'!H1129:H1135))"),36500.0)</f>
        <v>36500</v>
      </c>
      <c r="G893" s="169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170"/>
      <c r="W893" s="170"/>
      <c r="X893" s="170"/>
    </row>
    <row r="894">
      <c r="A894" s="2"/>
      <c r="B894" s="46" t="s">
        <v>311</v>
      </c>
      <c r="C894" s="11">
        <v>90.0</v>
      </c>
      <c r="D894" s="173" t="s">
        <v>747</v>
      </c>
      <c r="E894" s="32" t="s">
        <v>4994</v>
      </c>
      <c r="F894" s="174">
        <f>'ПРАЙС_ЛИСТ'!F1137</f>
        <v>20000</v>
      </c>
      <c r="G894" s="169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170"/>
      <c r="W894" s="170"/>
      <c r="X894" s="170"/>
    </row>
    <row r="895">
      <c r="A895" s="2"/>
      <c r="B895" s="46" t="s">
        <v>311</v>
      </c>
      <c r="C895" s="11">
        <v>90.0</v>
      </c>
      <c r="D895" s="173" t="s">
        <v>767</v>
      </c>
      <c r="E895" s="32" t="s">
        <v>4995</v>
      </c>
      <c r="F895" s="174">
        <f>'ПРАЙС_ЛИСТ'!F1138</f>
        <v>14100</v>
      </c>
      <c r="G895" s="169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170"/>
      <c r="W895" s="170"/>
      <c r="X895" s="170"/>
    </row>
    <row r="896">
      <c r="A896" s="2"/>
      <c r="B896" s="46" t="s">
        <v>311</v>
      </c>
      <c r="C896" s="11">
        <v>90.0</v>
      </c>
      <c r="D896" s="173" t="s">
        <v>769</v>
      </c>
      <c r="E896" s="32" t="s">
        <v>4996</v>
      </c>
      <c r="F896" s="174">
        <f>'ПРАЙС_ЛИСТ'!F1139</f>
        <v>11900</v>
      </c>
      <c r="G896" s="169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170"/>
      <c r="W896" s="170"/>
      <c r="X896" s="170"/>
    </row>
    <row r="897">
      <c r="A897" s="2"/>
      <c r="B897" s="46" t="s">
        <v>311</v>
      </c>
      <c r="C897" s="11">
        <v>90.0</v>
      </c>
      <c r="D897" s="173" t="s">
        <v>771</v>
      </c>
      <c r="E897" s="32" t="s">
        <v>4997</v>
      </c>
      <c r="F897" s="174">
        <f>'ПРАЙС_ЛИСТ'!F1140</f>
        <v>5500</v>
      </c>
      <c r="G897" s="169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170"/>
      <c r="W897" s="170"/>
      <c r="X897" s="170"/>
    </row>
    <row r="898">
      <c r="A898" s="2"/>
      <c r="B898" s="46" t="s">
        <v>311</v>
      </c>
      <c r="C898" s="11">
        <v>90.0</v>
      </c>
      <c r="D898" s="173" t="s">
        <v>779</v>
      </c>
      <c r="E898" s="32" t="s">
        <v>4998</v>
      </c>
      <c r="F898" s="174">
        <f>'ПРАЙС_ЛИСТ'!F1141</f>
        <v>8500</v>
      </c>
      <c r="G898" s="169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170"/>
      <c r="W898" s="170"/>
      <c r="X898" s="170"/>
    </row>
    <row r="899">
      <c r="A899" s="2"/>
      <c r="B899" s="46" t="s">
        <v>311</v>
      </c>
      <c r="C899" s="11">
        <v>180.0</v>
      </c>
      <c r="D899" s="173" t="s">
        <v>753</v>
      </c>
      <c r="E899" s="32" t="s">
        <v>4999</v>
      </c>
      <c r="F899" s="174">
        <f>'ПРАЙС_ЛИСТ'!F1142</f>
        <v>14000</v>
      </c>
      <c r="G899" s="169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170"/>
      <c r="W899" s="170"/>
      <c r="X899" s="170"/>
    </row>
    <row r="900">
      <c r="A900" s="2"/>
      <c r="B900" s="46" t="s">
        <v>311</v>
      </c>
      <c r="C900" s="11">
        <v>180.0</v>
      </c>
      <c r="D900" s="173"/>
      <c r="E900" s="32" t="s">
        <v>5000</v>
      </c>
      <c r="F900" s="174">
        <f>'ПРАЙС_ЛИСТ'!F1143</f>
        <v>8000</v>
      </c>
      <c r="G900" s="169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170"/>
      <c r="W900" s="170"/>
      <c r="X900" s="170"/>
    </row>
    <row r="901">
      <c r="A901" s="2"/>
      <c r="B901" s="46" t="s">
        <v>311</v>
      </c>
      <c r="C901" s="11">
        <v>180.0</v>
      </c>
      <c r="D901" s="173" t="s">
        <v>773</v>
      </c>
      <c r="E901" s="32" t="s">
        <v>5001</v>
      </c>
      <c r="F901" s="185">
        <f>IF('ПРАЙС_ЛИСТ'!F1144 = G901, 0, 'ПРАЙС_ЛИСТ'!F1144)</f>
        <v>0</v>
      </c>
      <c r="G901" s="186">
        <f>'БД_УСЛУГИ_РО'!P897</f>
        <v>8650</v>
      </c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170"/>
      <c r="W901" s="170"/>
      <c r="X901" s="170"/>
    </row>
    <row r="902">
      <c r="A902" s="2"/>
      <c r="B902" s="46" t="s">
        <v>311</v>
      </c>
      <c r="C902" s="11">
        <v>90.0</v>
      </c>
      <c r="D902" s="173" t="s">
        <v>775</v>
      </c>
      <c r="E902" s="32" t="s">
        <v>5002</v>
      </c>
      <c r="F902" s="188">
        <f>'ПРАЙС_ЛИСТ'!F1146</f>
        <v>7200</v>
      </c>
      <c r="G902" s="169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170"/>
      <c r="W902" s="170"/>
      <c r="X902" s="170"/>
    </row>
    <row r="903">
      <c r="A903" s="2"/>
      <c r="B903" s="46" t="s">
        <v>311</v>
      </c>
      <c r="C903" s="11">
        <v>90.0</v>
      </c>
      <c r="D903" s="173" t="s">
        <v>763</v>
      </c>
      <c r="E903" s="32" t="s">
        <v>5003</v>
      </c>
      <c r="F903" s="174">
        <f>'ПРАЙС_ЛИСТ'!F1147</f>
        <v>7350</v>
      </c>
      <c r="G903" s="169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170"/>
      <c r="W903" s="170"/>
      <c r="X903" s="170"/>
    </row>
    <row r="904">
      <c r="A904" s="2"/>
      <c r="B904" s="46" t="s">
        <v>311</v>
      </c>
      <c r="C904" s="11">
        <v>90.0</v>
      </c>
      <c r="D904" s="173" t="s">
        <v>765</v>
      </c>
      <c r="E904" s="32" t="s">
        <v>5004</v>
      </c>
      <c r="F904" s="174">
        <f>IF('ПРАЙС_ЛИСТ'!F1148 = G904, 0, 'ПРАЙС_ЛИСТ'!F1148)</f>
        <v>7350</v>
      </c>
      <c r="G904" s="169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170"/>
      <c r="W904" s="170"/>
      <c r="X904" s="170"/>
    </row>
    <row r="905">
      <c r="A905" s="2"/>
      <c r="B905" s="46" t="s">
        <v>311</v>
      </c>
      <c r="C905" s="11">
        <v>90.0</v>
      </c>
      <c r="D905" s="173" t="s">
        <v>761</v>
      </c>
      <c r="E905" s="32" t="s">
        <v>5005</v>
      </c>
      <c r="F905" s="174">
        <f>'ПРАЙС_ЛИСТ'!F1149</f>
        <v>11600</v>
      </c>
      <c r="G905" s="169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170"/>
      <c r="W905" s="170"/>
      <c r="X905" s="170"/>
    </row>
    <row r="906">
      <c r="A906" s="2"/>
      <c r="B906" s="46" t="s">
        <v>311</v>
      </c>
      <c r="C906" s="11">
        <v>90.0</v>
      </c>
      <c r="D906" s="173" t="s">
        <v>777</v>
      </c>
      <c r="E906" s="32" t="s">
        <v>5006</v>
      </c>
      <c r="F906" s="174">
        <f>'ПРАЙС_ЛИСТ'!F1150</f>
        <v>6500</v>
      </c>
      <c r="G906" s="169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170"/>
      <c r="W906" s="170"/>
      <c r="X906" s="170"/>
    </row>
    <row r="907">
      <c r="A907" s="2"/>
      <c r="B907" s="46" t="s">
        <v>311</v>
      </c>
      <c r="C907" s="11">
        <v>90.0</v>
      </c>
      <c r="D907" s="173" t="s">
        <v>755</v>
      </c>
      <c r="E907" s="32" t="s">
        <v>5007</v>
      </c>
      <c r="F907" s="174">
        <f>'ПРАЙС_ЛИСТ'!F1151</f>
        <v>7700</v>
      </c>
      <c r="G907" s="169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170"/>
      <c r="W907" s="170"/>
      <c r="X907" s="170"/>
    </row>
    <row r="908">
      <c r="A908" s="2"/>
      <c r="B908" s="46" t="s">
        <v>311</v>
      </c>
      <c r="C908" s="11">
        <v>90.0</v>
      </c>
      <c r="D908" s="173" t="s">
        <v>5008</v>
      </c>
      <c r="E908" s="32" t="s">
        <v>5009</v>
      </c>
      <c r="F908" s="174">
        <f>'ПРАЙС_ЛИСТ'!F1152</f>
        <v>17200</v>
      </c>
      <c r="G908" s="169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170"/>
      <c r="W908" s="170"/>
      <c r="X908" s="170"/>
    </row>
    <row r="909">
      <c r="A909" s="2"/>
      <c r="B909" s="48" t="s">
        <v>311</v>
      </c>
      <c r="C909" s="36">
        <v>90.0</v>
      </c>
      <c r="D909" s="178" t="s">
        <v>5010</v>
      </c>
      <c r="E909" s="49" t="s">
        <v>5011</v>
      </c>
      <c r="F909" s="179">
        <f>'ПРАЙС_ЛИСТ'!F1153</f>
        <v>17700</v>
      </c>
      <c r="G909" s="169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170"/>
      <c r="W909" s="170"/>
      <c r="X909" s="170"/>
    </row>
    <row r="910">
      <c r="A910" s="2"/>
      <c r="B910" s="1"/>
      <c r="C910" s="1"/>
      <c r="D910" s="180"/>
      <c r="E910" s="30"/>
      <c r="F910" s="21"/>
      <c r="G910" s="169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170"/>
      <c r="W910" s="170"/>
      <c r="X910" s="170"/>
    </row>
    <row r="911">
      <c r="A911" s="2"/>
      <c r="B911" s="41" t="s">
        <v>318</v>
      </c>
      <c r="C911" s="42">
        <v>0.0</v>
      </c>
      <c r="D911" s="181"/>
      <c r="E911" s="43" t="s">
        <v>5012</v>
      </c>
      <c r="F911" s="182">
        <v>0.0</v>
      </c>
      <c r="G911" s="169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170"/>
      <c r="W911" s="170"/>
      <c r="X911" s="170"/>
    </row>
    <row r="912">
      <c r="A912" s="2"/>
      <c r="B912" s="46" t="s">
        <v>318</v>
      </c>
      <c r="C912" s="11">
        <v>0.0</v>
      </c>
      <c r="D912" s="173" t="s">
        <v>5013</v>
      </c>
      <c r="E912" s="32" t="s">
        <v>5014</v>
      </c>
      <c r="F912" s="174">
        <f>'ПРАЙС_ЛИСТ'!F1157</f>
        <v>700</v>
      </c>
      <c r="G912" s="169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170"/>
      <c r="W912" s="170"/>
      <c r="X912" s="170"/>
    </row>
    <row r="913">
      <c r="A913" s="2"/>
      <c r="B913" s="46" t="s">
        <v>318</v>
      </c>
      <c r="C913" s="11">
        <v>0.0</v>
      </c>
      <c r="D913" s="173"/>
      <c r="E913" s="32" t="s">
        <v>5015</v>
      </c>
      <c r="F913" s="174">
        <f>'ПРАЙС_ЛИСТ'!F1158</f>
        <v>6700</v>
      </c>
      <c r="G913" s="169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170"/>
      <c r="W913" s="170"/>
      <c r="X913" s="170"/>
    </row>
    <row r="914">
      <c r="A914" s="2"/>
      <c r="B914" s="46" t="s">
        <v>318</v>
      </c>
      <c r="C914" s="11">
        <v>180.0</v>
      </c>
      <c r="D914" s="173" t="s">
        <v>723</v>
      </c>
      <c r="E914" s="32" t="s">
        <v>5016</v>
      </c>
      <c r="F914" s="174">
        <f>IFERROR(__xludf.DUMMYFUNCTION("MIN(FILTER('ПРАЙС_ЛИСТ'!F1159:F1164, 'ПРАЙС_ЛИСТ'!F1159:F1164 &lt;&gt; 'ПРАЙС_ЛИСТ'!H1159:H1164))"),12000.0)</f>
        <v>12000</v>
      </c>
      <c r="G914" s="169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170"/>
      <c r="W914" s="170"/>
      <c r="X914" s="170"/>
    </row>
    <row r="915">
      <c r="A915" s="2"/>
      <c r="B915" s="46" t="s">
        <v>318</v>
      </c>
      <c r="C915" s="11">
        <v>180.0</v>
      </c>
      <c r="D915" s="173"/>
      <c r="E915" s="32" t="s">
        <v>5017</v>
      </c>
      <c r="F915" s="174">
        <f>IFERROR(__xludf.DUMMYFUNCTION("MAX(FILTER('ПРАЙС_ЛИСТ'!F1159:F1164, 'ПРАЙС_ЛИСТ'!F1159:F1164 &lt;&gt; 'ПРАЙС_ЛИСТ'!H1159:H1164))"),19200.0)</f>
        <v>19200</v>
      </c>
      <c r="G915" s="169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170"/>
      <c r="W915" s="170"/>
      <c r="X915" s="170"/>
    </row>
    <row r="916">
      <c r="A916" s="2"/>
      <c r="B916" s="46" t="s">
        <v>318</v>
      </c>
      <c r="C916" s="11">
        <v>90.0</v>
      </c>
      <c r="D916" s="173" t="s">
        <v>725</v>
      </c>
      <c r="E916" s="32" t="s">
        <v>5018</v>
      </c>
      <c r="F916" s="174">
        <f>'ПРАЙС_ЛИСТ'!F1165</f>
        <v>12500</v>
      </c>
      <c r="G916" s="169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170"/>
      <c r="W916" s="170"/>
      <c r="X916" s="170"/>
    </row>
    <row r="917">
      <c r="A917" s="2"/>
      <c r="B917" s="46" t="s">
        <v>318</v>
      </c>
      <c r="C917" s="11">
        <v>90.0</v>
      </c>
      <c r="D917" s="173" t="s">
        <v>717</v>
      </c>
      <c r="E917" s="32" t="s">
        <v>5019</v>
      </c>
      <c r="F917" s="174">
        <f>IFERROR(__xludf.DUMMYFUNCTION("MIN(FILTER('ПРАЙС_ЛИСТ'!F1166:F1172, 'ПРАЙС_ЛИСТ'!F1166:F1172 &lt;&gt; 'ПРАЙС_ЛИСТ'!H1166:H1172))"),22350.0)</f>
        <v>22350</v>
      </c>
      <c r="G917" s="169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170"/>
      <c r="W917" s="170"/>
      <c r="X917" s="170"/>
    </row>
    <row r="918">
      <c r="A918" s="2"/>
      <c r="B918" s="46" t="s">
        <v>318</v>
      </c>
      <c r="C918" s="11">
        <v>90.0</v>
      </c>
      <c r="D918" s="173"/>
      <c r="E918" s="32" t="s">
        <v>5020</v>
      </c>
      <c r="F918" s="174">
        <f>IFERROR(__xludf.DUMMYFUNCTION("MAX(FILTER('ПРАЙС_ЛИСТ'!F1166:F1172, 'ПРАЙС_ЛИСТ'!F1166:F1172 &lt;&gt; 'ПРАЙС_ЛИСТ'!H1166:H1172))"),23300.0)</f>
        <v>23300</v>
      </c>
      <c r="G918" s="169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170"/>
      <c r="W918" s="170"/>
      <c r="X918" s="170"/>
    </row>
    <row r="919">
      <c r="A919" s="2"/>
      <c r="B919" s="46" t="s">
        <v>318</v>
      </c>
      <c r="C919" s="11">
        <v>90.0</v>
      </c>
      <c r="D919" s="173" t="s">
        <v>713</v>
      </c>
      <c r="E919" s="32" t="s">
        <v>5021</v>
      </c>
      <c r="F919" s="174">
        <f>'ПРАЙС_ЛИСТ'!F1174</f>
        <v>20000</v>
      </c>
      <c r="G919" s="169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170"/>
      <c r="W919" s="170"/>
      <c r="X919" s="170"/>
    </row>
    <row r="920">
      <c r="A920" s="2"/>
      <c r="B920" s="46" t="s">
        <v>318</v>
      </c>
      <c r="C920" s="11">
        <v>90.0</v>
      </c>
      <c r="D920" s="173" t="s">
        <v>733</v>
      </c>
      <c r="E920" s="32" t="s">
        <v>5022</v>
      </c>
      <c r="F920" s="174">
        <f>'ПРАЙС_ЛИСТ'!F1175</f>
        <v>14200</v>
      </c>
      <c r="G920" s="169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170"/>
      <c r="W920" s="170"/>
      <c r="X920" s="170"/>
    </row>
    <row r="921">
      <c r="A921" s="2"/>
      <c r="B921" s="46" t="s">
        <v>318</v>
      </c>
      <c r="C921" s="11">
        <v>90.0</v>
      </c>
      <c r="D921" s="173" t="s">
        <v>735</v>
      </c>
      <c r="E921" s="32" t="s">
        <v>5023</v>
      </c>
      <c r="F921" s="174">
        <f>'ПРАЙС_ЛИСТ'!F1176</f>
        <v>10900</v>
      </c>
      <c r="G921" s="169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170"/>
      <c r="W921" s="170"/>
      <c r="X921" s="170"/>
    </row>
    <row r="922">
      <c r="A922" s="2"/>
      <c r="B922" s="46" t="s">
        <v>318</v>
      </c>
      <c r="C922" s="11">
        <v>90.0</v>
      </c>
      <c r="D922" s="173" t="s">
        <v>737</v>
      </c>
      <c r="E922" s="32" t="s">
        <v>5024</v>
      </c>
      <c r="F922" s="174">
        <f>'ПРАЙС_ЛИСТ'!F1177</f>
        <v>6550</v>
      </c>
      <c r="G922" s="169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170"/>
      <c r="W922" s="170"/>
      <c r="X922" s="170"/>
    </row>
    <row r="923">
      <c r="A923" s="2"/>
      <c r="B923" s="46" t="s">
        <v>318</v>
      </c>
      <c r="C923" s="11">
        <v>90.0</v>
      </c>
      <c r="D923" s="173" t="s">
        <v>745</v>
      </c>
      <c r="E923" s="32" t="s">
        <v>5025</v>
      </c>
      <c r="F923" s="174">
        <f>'ПРАЙС_ЛИСТ'!F1178</f>
        <v>9700</v>
      </c>
      <c r="G923" s="169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170"/>
      <c r="W923" s="170"/>
      <c r="X923" s="170"/>
    </row>
    <row r="924">
      <c r="A924" s="2"/>
      <c r="B924" s="46" t="s">
        <v>318</v>
      </c>
      <c r="C924" s="11">
        <v>180.0</v>
      </c>
      <c r="D924" s="173" t="s">
        <v>719</v>
      </c>
      <c r="E924" s="32" t="s">
        <v>5026</v>
      </c>
      <c r="F924" s="174">
        <f>'ПРАЙС_ЛИСТ'!F1180</f>
        <v>8000</v>
      </c>
      <c r="G924" s="169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170"/>
      <c r="W924" s="170"/>
      <c r="X924" s="170"/>
    </row>
    <row r="925">
      <c r="A925" s="2"/>
      <c r="B925" s="46" t="s">
        <v>318</v>
      </c>
      <c r="C925" s="11">
        <v>180.0</v>
      </c>
      <c r="D925" s="173"/>
      <c r="E925" s="32" t="s">
        <v>5027</v>
      </c>
      <c r="F925" s="174">
        <f>'ПРАЙС_ЛИСТ'!F1179</f>
        <v>12000</v>
      </c>
      <c r="G925" s="169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170"/>
      <c r="W925" s="170"/>
      <c r="X925" s="170"/>
    </row>
    <row r="926">
      <c r="A926" s="2"/>
      <c r="B926" s="46" t="s">
        <v>318</v>
      </c>
      <c r="C926" s="11">
        <v>180.0</v>
      </c>
      <c r="D926" s="173" t="s">
        <v>739</v>
      </c>
      <c r="E926" s="32" t="s">
        <v>5028</v>
      </c>
      <c r="F926" s="185">
        <f>IF('ПРАЙС_ЛИСТ'!F1181 = G926, 0, 'ПРАЙС_ЛИСТ'!F1181)</f>
        <v>0</v>
      </c>
      <c r="G926" s="186">
        <f>'БД_УСЛУГИ_РО'!P924</f>
        <v>11450</v>
      </c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170"/>
      <c r="W926" s="170"/>
      <c r="X926" s="170"/>
    </row>
    <row r="927">
      <c r="A927" s="2"/>
      <c r="B927" s="46" t="s">
        <v>318</v>
      </c>
      <c r="C927" s="11">
        <v>90.0</v>
      </c>
      <c r="D927" s="173" t="s">
        <v>741</v>
      </c>
      <c r="E927" s="32" t="s">
        <v>5029</v>
      </c>
      <c r="F927" s="188">
        <f>'ПРАЙС_ЛИСТ'!F1183</f>
        <v>8500</v>
      </c>
      <c r="G927" s="169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170"/>
      <c r="W927" s="170"/>
      <c r="X927" s="170"/>
    </row>
    <row r="928">
      <c r="A928" s="2"/>
      <c r="B928" s="46" t="s">
        <v>318</v>
      </c>
      <c r="C928" s="11">
        <v>90.0</v>
      </c>
      <c r="D928" s="173" t="s">
        <v>729</v>
      </c>
      <c r="E928" s="32" t="s">
        <v>5030</v>
      </c>
      <c r="F928" s="185">
        <f>IF('ПРАЙС_ЛИСТ'!F1184 = G928, 0, 'ПРАЙС_ЛИСТ'!F1184)</f>
        <v>0</v>
      </c>
      <c r="G928" s="186">
        <f>'БД_УСЛУГИ_РО'!P927</f>
        <v>6600</v>
      </c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170"/>
      <c r="W928" s="170"/>
      <c r="X928" s="170"/>
    </row>
    <row r="929">
      <c r="A929" s="2"/>
      <c r="B929" s="46" t="s">
        <v>318</v>
      </c>
      <c r="C929" s="11">
        <v>90.0</v>
      </c>
      <c r="D929" s="173" t="s">
        <v>731</v>
      </c>
      <c r="E929" s="32" t="s">
        <v>5031</v>
      </c>
      <c r="F929" s="174">
        <f>IF('ПРАЙС_ЛИСТ'!F1185 = G929, 0, 'ПРАЙС_ЛИСТ'!F1185)</f>
        <v>9850</v>
      </c>
      <c r="G929" s="169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170"/>
      <c r="W929" s="170"/>
      <c r="X929" s="170"/>
    </row>
    <row r="930">
      <c r="A930" s="2"/>
      <c r="B930" s="46" t="s">
        <v>318</v>
      </c>
      <c r="C930" s="11">
        <v>90.0</v>
      </c>
      <c r="D930" s="173" t="s">
        <v>727</v>
      </c>
      <c r="E930" s="32" t="s">
        <v>5032</v>
      </c>
      <c r="F930" s="174">
        <f>'ПРАЙС_ЛИСТ'!F1186</f>
        <v>12200</v>
      </c>
      <c r="G930" s="169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170"/>
      <c r="W930" s="170"/>
      <c r="X930" s="170"/>
    </row>
    <row r="931">
      <c r="A931" s="2"/>
      <c r="B931" s="46" t="s">
        <v>318</v>
      </c>
      <c r="C931" s="11">
        <v>90.0</v>
      </c>
      <c r="D931" s="173" t="s">
        <v>743</v>
      </c>
      <c r="E931" s="32" t="s">
        <v>5033</v>
      </c>
      <c r="F931" s="174">
        <f>'ПРАЙС_ЛИСТ'!F1187</f>
        <v>7700</v>
      </c>
      <c r="G931" s="169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170"/>
      <c r="W931" s="170"/>
      <c r="X931" s="170"/>
    </row>
    <row r="932">
      <c r="A932" s="2"/>
      <c r="B932" s="46" t="s">
        <v>318</v>
      </c>
      <c r="C932" s="11">
        <v>90.0</v>
      </c>
      <c r="D932" s="173" t="s">
        <v>721</v>
      </c>
      <c r="E932" s="32" t="s">
        <v>5034</v>
      </c>
      <c r="F932" s="174">
        <f>'ПРАЙС_ЛИСТ'!F1188</f>
        <v>9000</v>
      </c>
      <c r="G932" s="169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170"/>
      <c r="W932" s="170"/>
      <c r="X932" s="170"/>
    </row>
    <row r="933">
      <c r="A933" s="2"/>
      <c r="B933" s="46" t="s">
        <v>318</v>
      </c>
      <c r="C933" s="11">
        <v>90.0</v>
      </c>
      <c r="D933" s="173" t="s">
        <v>5035</v>
      </c>
      <c r="E933" s="32" t="s">
        <v>5036</v>
      </c>
      <c r="F933" s="174">
        <f>'ПРАЙС_ЛИСТ'!F1189</f>
        <v>19200</v>
      </c>
      <c r="G933" s="169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170"/>
      <c r="W933" s="170"/>
      <c r="X933" s="170"/>
    </row>
    <row r="934">
      <c r="A934" s="2"/>
      <c r="B934" s="48" t="s">
        <v>318</v>
      </c>
      <c r="C934" s="36">
        <v>90.0</v>
      </c>
      <c r="D934" s="178" t="s">
        <v>5037</v>
      </c>
      <c r="E934" s="49" t="s">
        <v>5038</v>
      </c>
      <c r="F934" s="179">
        <f>'ПРАЙС_ЛИСТ'!F1190</f>
        <v>19700</v>
      </c>
      <c r="G934" s="169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170"/>
      <c r="W934" s="170"/>
      <c r="X934" s="170"/>
    </row>
    <row r="935">
      <c r="A935" s="2"/>
      <c r="B935" s="1"/>
      <c r="C935" s="1"/>
      <c r="D935" s="180"/>
      <c r="E935" s="30"/>
      <c r="F935" s="21"/>
      <c r="G935" s="169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170"/>
      <c r="W935" s="170"/>
      <c r="X935" s="170"/>
    </row>
    <row r="936">
      <c r="A936" s="2"/>
      <c r="B936" s="41" t="s">
        <v>325</v>
      </c>
      <c r="C936" s="42">
        <v>0.0</v>
      </c>
      <c r="D936" s="181"/>
      <c r="E936" s="43" t="s">
        <v>5039</v>
      </c>
      <c r="F936" s="182">
        <v>0.0</v>
      </c>
      <c r="G936" s="169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170"/>
      <c r="W936" s="170"/>
      <c r="X936" s="170"/>
    </row>
    <row r="937">
      <c r="A937" s="2"/>
      <c r="B937" s="46" t="s">
        <v>325</v>
      </c>
      <c r="C937" s="11">
        <v>0.0</v>
      </c>
      <c r="D937" s="173" t="s">
        <v>5040</v>
      </c>
      <c r="E937" s="32" t="s">
        <v>5041</v>
      </c>
      <c r="F937" s="174">
        <f>'ПРАЙС_ЛИСТ'!F1194</f>
        <v>700</v>
      </c>
      <c r="G937" s="169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170"/>
      <c r="W937" s="170"/>
      <c r="X937" s="170"/>
    </row>
    <row r="938">
      <c r="A938" s="2"/>
      <c r="B938" s="46" t="s">
        <v>325</v>
      </c>
      <c r="C938" s="11">
        <v>0.0</v>
      </c>
      <c r="D938" s="173"/>
      <c r="E938" s="32" t="s">
        <v>5042</v>
      </c>
      <c r="F938" s="174">
        <f>'ПРАЙС_ЛИСТ'!F1195</f>
        <v>6700</v>
      </c>
      <c r="G938" s="169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170"/>
      <c r="W938" s="170"/>
      <c r="X938" s="170"/>
    </row>
    <row r="939">
      <c r="A939" s="2"/>
      <c r="B939" s="46" t="s">
        <v>325</v>
      </c>
      <c r="C939" s="11">
        <v>180.0</v>
      </c>
      <c r="D939" s="173" t="s">
        <v>689</v>
      </c>
      <c r="E939" s="32" t="s">
        <v>5043</v>
      </c>
      <c r="F939" s="190">
        <v>0.0</v>
      </c>
      <c r="G939" s="169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170"/>
      <c r="W939" s="170"/>
      <c r="X939" s="170"/>
    </row>
    <row r="940">
      <c r="A940" s="2"/>
      <c r="B940" s="46" t="s">
        <v>325</v>
      </c>
      <c r="C940" s="11">
        <v>90.0</v>
      </c>
      <c r="D940" s="173" t="s">
        <v>691</v>
      </c>
      <c r="E940" s="32" t="s">
        <v>5044</v>
      </c>
      <c r="F940" s="185">
        <f>IF('ПРАЙС_ЛИСТ'!F1202 = G940, 0, 'ПРАЙС_ЛИСТ'!F1202)</f>
        <v>0</v>
      </c>
      <c r="G940" s="186">
        <f>'БД_УСЛУГИ_РО'!P942</f>
        <v>7500</v>
      </c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170"/>
      <c r="W940" s="170"/>
      <c r="X940" s="170"/>
    </row>
    <row r="941">
      <c r="A941" s="2"/>
      <c r="B941" s="46" t="s">
        <v>325</v>
      </c>
      <c r="C941" s="11">
        <v>90.0</v>
      </c>
      <c r="D941" s="173" t="s">
        <v>683</v>
      </c>
      <c r="E941" s="32" t="s">
        <v>5045</v>
      </c>
      <c r="F941" s="174">
        <f>IFERROR(__xludf.DUMMYFUNCTION("MIN(FILTER('ПРАЙС_ЛИСТ'!F1203:F1209, 'ПРАЙС_ЛИСТ'!F1203:F1209 &lt;&gt; 'ПРАЙС_ЛИСТ'!H1203:H1209))"),17000.0)</f>
        <v>17000</v>
      </c>
      <c r="G941" s="169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170"/>
      <c r="W941" s="170"/>
      <c r="X941" s="170"/>
    </row>
    <row r="942">
      <c r="A942" s="2"/>
      <c r="B942" s="46" t="s">
        <v>325</v>
      </c>
      <c r="C942" s="11">
        <v>90.0</v>
      </c>
      <c r="D942" s="173" t="s">
        <v>679</v>
      </c>
      <c r="E942" s="32" t="s">
        <v>5046</v>
      </c>
      <c r="F942" s="190">
        <v>0.0</v>
      </c>
      <c r="G942" s="169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170"/>
      <c r="W942" s="170"/>
      <c r="X942" s="170"/>
    </row>
    <row r="943">
      <c r="A943" s="2"/>
      <c r="B943" s="46" t="s">
        <v>325</v>
      </c>
      <c r="C943" s="11">
        <v>90.0</v>
      </c>
      <c r="D943" s="173" t="s">
        <v>699</v>
      </c>
      <c r="E943" s="32" t="s">
        <v>5047</v>
      </c>
      <c r="F943" s="185">
        <f>IF('ПРАЙС_ЛИСТ'!F1212 = G943, 0, 'ПРАЙС_ЛИСТ'!F1212)</f>
        <v>0</v>
      </c>
      <c r="G943" s="186">
        <f>'БД_УСЛУГИ_РО'!P946</f>
        <v>7000</v>
      </c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170"/>
      <c r="W943" s="170"/>
      <c r="X943" s="170"/>
    </row>
    <row r="944">
      <c r="A944" s="2"/>
      <c r="B944" s="46" t="s">
        <v>325</v>
      </c>
      <c r="C944" s="11">
        <v>90.0</v>
      </c>
      <c r="D944" s="173" t="s">
        <v>701</v>
      </c>
      <c r="E944" s="32" t="s">
        <v>5048</v>
      </c>
      <c r="F944" s="185">
        <f>IF('ПРАЙС_ЛИСТ'!F1213 = G944, 0, 'ПРАЙС_ЛИСТ'!F1213)</f>
        <v>0</v>
      </c>
      <c r="G944" s="186">
        <f>'БД_УСЛУГИ_РО'!P947</f>
        <v>7600</v>
      </c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170"/>
      <c r="W944" s="170"/>
      <c r="X944" s="170"/>
    </row>
    <row r="945">
      <c r="A945" s="2"/>
      <c r="B945" s="46" t="s">
        <v>325</v>
      </c>
      <c r="C945" s="11">
        <v>90.0</v>
      </c>
      <c r="D945" s="173" t="s">
        <v>703</v>
      </c>
      <c r="E945" s="32" t="s">
        <v>5049</v>
      </c>
      <c r="F945" s="185">
        <f>IF('ПРАЙС_ЛИСТ'!F1214 = G945, 0, 'ПРАЙС_ЛИСТ'!F1214)</f>
        <v>0</v>
      </c>
      <c r="G945" s="186">
        <f>'БД_УСЛУГИ_РО'!P948</f>
        <v>4300</v>
      </c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170"/>
      <c r="W945" s="170"/>
      <c r="X945" s="170"/>
    </row>
    <row r="946">
      <c r="A946" s="2"/>
      <c r="B946" s="46" t="s">
        <v>325</v>
      </c>
      <c r="C946" s="11">
        <v>90.0</v>
      </c>
      <c r="D946" s="173" t="s">
        <v>711</v>
      </c>
      <c r="E946" s="32" t="s">
        <v>5050</v>
      </c>
      <c r="F946" s="174">
        <f>'ПРАЙС_ЛИСТ'!F1215</f>
        <v>9700</v>
      </c>
      <c r="G946" s="169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170"/>
      <c r="W946" s="170"/>
      <c r="X946" s="170"/>
    </row>
    <row r="947">
      <c r="A947" s="2"/>
      <c r="B947" s="46" t="s">
        <v>325</v>
      </c>
      <c r="C947" s="11">
        <v>180.0</v>
      </c>
      <c r="D947" s="173" t="s">
        <v>685</v>
      </c>
      <c r="E947" s="32" t="s">
        <v>5051</v>
      </c>
      <c r="F947" s="185">
        <f>IF('ПРАЙС_ЛИСТ'!F1217 = G947, 0, 'ПРАЙС_ЛИСТ'!F1217)</f>
        <v>0</v>
      </c>
      <c r="G947" s="186">
        <f>'БД_УСЛУГИ_РО'!P950</f>
        <v>4900</v>
      </c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170"/>
      <c r="W947" s="170"/>
      <c r="X947" s="170"/>
    </row>
    <row r="948">
      <c r="A948" s="2"/>
      <c r="B948" s="46" t="s">
        <v>325</v>
      </c>
      <c r="C948" s="11">
        <v>180.0</v>
      </c>
      <c r="D948" s="173" t="s">
        <v>705</v>
      </c>
      <c r="E948" s="32" t="s">
        <v>5052</v>
      </c>
      <c r="F948" s="185">
        <f>IF('ПРАЙС_ЛИСТ'!F1218 = G948, 0, 'ПРАЙС_ЛИСТ'!F1218)</f>
        <v>0</v>
      </c>
      <c r="G948" s="186">
        <f>'БД_УСЛУГИ_РО'!P951</f>
        <v>11450</v>
      </c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170"/>
      <c r="W948" s="170"/>
      <c r="X948" s="170"/>
    </row>
    <row r="949">
      <c r="A949" s="2"/>
      <c r="B949" s="46" t="s">
        <v>325</v>
      </c>
      <c r="C949" s="11">
        <v>90.0</v>
      </c>
      <c r="D949" s="173" t="s">
        <v>707</v>
      </c>
      <c r="E949" s="32" t="s">
        <v>5053</v>
      </c>
      <c r="F949" s="188">
        <f>'ПРАЙС_ЛИСТ'!F1220</f>
        <v>8500</v>
      </c>
      <c r="G949" s="169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170"/>
      <c r="W949" s="170"/>
      <c r="X949" s="170"/>
    </row>
    <row r="950">
      <c r="A950" s="2"/>
      <c r="B950" s="46" t="s">
        <v>325</v>
      </c>
      <c r="C950" s="11">
        <v>90.0</v>
      </c>
      <c r="D950" s="173" t="s">
        <v>695</v>
      </c>
      <c r="E950" s="32" t="s">
        <v>5054</v>
      </c>
      <c r="F950" s="185">
        <f>IF('ПРАЙС_ЛИСТ'!F1221 = G950, 0, 'ПРАЙС_ЛИСТ'!F1221)</f>
        <v>0</v>
      </c>
      <c r="G950" s="186">
        <f>'БД_УСЛУГИ_РО'!P954</f>
        <v>6600</v>
      </c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170"/>
      <c r="W950" s="170"/>
      <c r="X950" s="170"/>
    </row>
    <row r="951">
      <c r="A951" s="2"/>
      <c r="B951" s="46" t="s">
        <v>325</v>
      </c>
      <c r="C951" s="11">
        <v>90.0</v>
      </c>
      <c r="D951" s="173" t="s">
        <v>697</v>
      </c>
      <c r="E951" s="32" t="s">
        <v>5055</v>
      </c>
      <c r="F951" s="185">
        <f>IF('ПРАЙС_ЛИСТ'!F1222 = G951, 0, 'ПРАЙС_ЛИСТ'!F1222)</f>
        <v>0</v>
      </c>
      <c r="G951" s="186">
        <f>'БД_УСЛУГИ_РО'!P955</f>
        <v>6600</v>
      </c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170"/>
      <c r="W951" s="170"/>
      <c r="X951" s="170"/>
    </row>
    <row r="952">
      <c r="A952" s="2"/>
      <c r="B952" s="46" t="s">
        <v>325</v>
      </c>
      <c r="C952" s="11">
        <v>90.0</v>
      </c>
      <c r="D952" s="173" t="s">
        <v>693</v>
      </c>
      <c r="E952" s="32" t="s">
        <v>5056</v>
      </c>
      <c r="F952" s="185">
        <f>IF('ПРАЙС_ЛИСТ'!F1223 = G952, 0, 'ПРАЙС_ЛИСТ'!F1223)</f>
        <v>0</v>
      </c>
      <c r="G952" s="186">
        <f>'БД_УСЛУГИ_РО'!P956</f>
        <v>7200</v>
      </c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170"/>
      <c r="W952" s="170"/>
      <c r="X952" s="170"/>
    </row>
    <row r="953">
      <c r="A953" s="2"/>
      <c r="B953" s="46" t="s">
        <v>325</v>
      </c>
      <c r="C953" s="11">
        <v>90.0</v>
      </c>
      <c r="D953" s="173" t="s">
        <v>709</v>
      </c>
      <c r="E953" s="32" t="s">
        <v>5057</v>
      </c>
      <c r="F953" s="174">
        <f>'ПРАЙС_ЛИСТ'!F1224</f>
        <v>7700</v>
      </c>
      <c r="G953" s="169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170"/>
      <c r="W953" s="170"/>
      <c r="X953" s="170"/>
    </row>
    <row r="954">
      <c r="A954" s="2"/>
      <c r="B954" s="46" t="s">
        <v>325</v>
      </c>
      <c r="C954" s="11">
        <v>90.0</v>
      </c>
      <c r="D954" s="173" t="s">
        <v>687</v>
      </c>
      <c r="E954" s="32" t="s">
        <v>5058</v>
      </c>
      <c r="F954" s="174">
        <f>'ПРАЙС_ЛИСТ'!F1225</f>
        <v>9000</v>
      </c>
      <c r="G954" s="169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170"/>
      <c r="W954" s="170"/>
      <c r="X954" s="170"/>
    </row>
    <row r="955">
      <c r="A955" s="2"/>
      <c r="B955" s="46" t="s">
        <v>325</v>
      </c>
      <c r="C955" s="11">
        <v>90.0</v>
      </c>
      <c r="D955" s="173" t="s">
        <v>5059</v>
      </c>
      <c r="E955" s="32" t="s">
        <v>5060</v>
      </c>
      <c r="F955" s="174">
        <f>'ПРАЙС_ЛИСТ'!F1226</f>
        <v>19200</v>
      </c>
      <c r="G955" s="169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170"/>
      <c r="W955" s="170"/>
      <c r="X955" s="170"/>
    </row>
    <row r="956">
      <c r="A956" s="2"/>
      <c r="B956" s="48" t="s">
        <v>325</v>
      </c>
      <c r="C956" s="36">
        <v>90.0</v>
      </c>
      <c r="D956" s="178" t="s">
        <v>5061</v>
      </c>
      <c r="E956" s="49" t="s">
        <v>5062</v>
      </c>
      <c r="F956" s="179">
        <f>'ПРАЙС_ЛИСТ'!F1227</f>
        <v>19700</v>
      </c>
      <c r="G956" s="169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170"/>
      <c r="W956" s="170"/>
      <c r="X956" s="170"/>
    </row>
    <row r="957">
      <c r="A957" s="2"/>
      <c r="B957" s="1"/>
      <c r="C957" s="1"/>
      <c r="D957" s="180"/>
      <c r="E957" s="30"/>
      <c r="F957" s="21"/>
      <c r="G957" s="169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170"/>
      <c r="W957" s="170"/>
      <c r="X957" s="170"/>
    </row>
    <row r="958">
      <c r="A958" s="2"/>
      <c r="B958" s="41" t="s">
        <v>332</v>
      </c>
      <c r="C958" s="42">
        <v>0.0</v>
      </c>
      <c r="D958" s="181"/>
      <c r="E958" s="43" t="s">
        <v>5063</v>
      </c>
      <c r="F958" s="182">
        <v>0.0</v>
      </c>
      <c r="G958" s="169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170"/>
      <c r="W958" s="170"/>
      <c r="X958" s="170"/>
    </row>
    <row r="959">
      <c r="A959" s="2"/>
      <c r="B959" s="46" t="s">
        <v>332</v>
      </c>
      <c r="C959" s="11">
        <v>0.0</v>
      </c>
      <c r="D959" s="173" t="s">
        <v>5064</v>
      </c>
      <c r="E959" s="32" t="s">
        <v>5065</v>
      </c>
      <c r="F959" s="174">
        <f>'ПРАЙС_ЛИСТ'!F1231</f>
        <v>700</v>
      </c>
      <c r="G959" s="169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170"/>
      <c r="W959" s="170"/>
      <c r="X959" s="170"/>
    </row>
    <row r="960">
      <c r="A960" s="2"/>
      <c r="B960" s="46" t="s">
        <v>332</v>
      </c>
      <c r="C960" s="11">
        <v>0.0</v>
      </c>
      <c r="D960" s="173"/>
      <c r="E960" s="32" t="s">
        <v>5066</v>
      </c>
      <c r="F960" s="174">
        <f>'ПРАЙС_ЛИСТ'!F1232</f>
        <v>6700</v>
      </c>
      <c r="G960" s="169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170"/>
      <c r="W960" s="170"/>
      <c r="X960" s="170"/>
    </row>
    <row r="961">
      <c r="A961" s="2"/>
      <c r="B961" s="46" t="s">
        <v>332</v>
      </c>
      <c r="C961" s="11">
        <v>180.0</v>
      </c>
      <c r="D961" s="173" t="s">
        <v>655</v>
      </c>
      <c r="E961" s="32" t="s">
        <v>5067</v>
      </c>
      <c r="F961" s="174">
        <f>IFERROR(__xludf.DUMMYFUNCTION("MIN(FILTER('ПРАЙС_ЛИСТ'!F1233:F1238, 'ПРАЙС_ЛИСТ'!F1233:F1238 &lt;&gt; 'ПРАЙС_ЛИСТ'!H1233:H1238))"),12000.0)</f>
        <v>12000</v>
      </c>
      <c r="G961" s="169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170"/>
      <c r="W961" s="170"/>
      <c r="X961" s="170"/>
    </row>
    <row r="962">
      <c r="A962" s="2"/>
      <c r="B962" s="46" t="s">
        <v>332</v>
      </c>
      <c r="C962" s="11">
        <v>180.0</v>
      </c>
      <c r="D962" s="173"/>
      <c r="E962" s="32" t="s">
        <v>5068</v>
      </c>
      <c r="F962" s="174">
        <f>IFERROR(__xludf.DUMMYFUNCTION("MAX(FILTER('ПРАЙС_ЛИСТ'!F1233:F1238, 'ПРАЙС_ЛИСТ'!F1233:F1238 &lt;&gt; 'ПРАЙС_ЛИСТ'!H1233:H1238))"),19800.0)</f>
        <v>19800</v>
      </c>
      <c r="G962" s="169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170"/>
      <c r="W962" s="170"/>
      <c r="X962" s="170"/>
    </row>
    <row r="963">
      <c r="A963" s="2"/>
      <c r="B963" s="46" t="s">
        <v>332</v>
      </c>
      <c r="C963" s="11">
        <v>90.0</v>
      </c>
      <c r="D963" s="173" t="s">
        <v>657</v>
      </c>
      <c r="E963" s="32" t="s">
        <v>5069</v>
      </c>
      <c r="F963" s="174">
        <f>'ПРАЙС_ЛИСТ'!F1239</f>
        <v>13250</v>
      </c>
      <c r="G963" s="169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170"/>
      <c r="W963" s="170"/>
      <c r="X963" s="170"/>
    </row>
    <row r="964">
      <c r="A964" s="2"/>
      <c r="B964" s="46" t="s">
        <v>332</v>
      </c>
      <c r="C964" s="11">
        <v>90.0</v>
      </c>
      <c r="D964" s="173" t="s">
        <v>649</v>
      </c>
      <c r="E964" s="32" t="s">
        <v>5070</v>
      </c>
      <c r="F964" s="174">
        <f>IFERROR(__xludf.DUMMYFUNCTION("MIN(FILTER('ПРАЙС_ЛИСТ'!F1240:F1246, 'ПРАЙС_ЛИСТ'!F1240:F1246 &lt;&gt; 'ПРАЙС_ЛИСТ'!H1240:H1246))"),26600.0)</f>
        <v>26600</v>
      </c>
      <c r="G964" s="169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170"/>
      <c r="W964" s="170"/>
      <c r="X964" s="170"/>
    </row>
    <row r="965">
      <c r="A965" s="2"/>
      <c r="B965" s="46" t="s">
        <v>332</v>
      </c>
      <c r="C965" s="11">
        <v>90.0</v>
      </c>
      <c r="D965" s="173" t="s">
        <v>645</v>
      </c>
      <c r="E965" s="32" t="s">
        <v>5071</v>
      </c>
      <c r="F965" s="174">
        <f>'ПРАЙС_ЛИСТ'!F1248</f>
        <v>20000</v>
      </c>
      <c r="G965" s="169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170"/>
      <c r="W965" s="170"/>
      <c r="X965" s="170"/>
    </row>
    <row r="966">
      <c r="A966" s="2"/>
      <c r="B966" s="46" t="s">
        <v>332</v>
      </c>
      <c r="C966" s="11">
        <v>90.0</v>
      </c>
      <c r="D966" s="173" t="s">
        <v>665</v>
      </c>
      <c r="E966" s="32" t="s">
        <v>5072</v>
      </c>
      <c r="F966" s="174">
        <f>'ПРАЙС_ЛИСТ'!F1249</f>
        <v>14100</v>
      </c>
      <c r="G966" s="169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170"/>
      <c r="W966" s="170"/>
      <c r="X966" s="170"/>
    </row>
    <row r="967">
      <c r="A967" s="2"/>
      <c r="B967" s="46" t="s">
        <v>332</v>
      </c>
      <c r="C967" s="11">
        <v>90.0</v>
      </c>
      <c r="D967" s="173" t="s">
        <v>667</v>
      </c>
      <c r="E967" s="32" t="s">
        <v>5073</v>
      </c>
      <c r="F967" s="174">
        <f>'ПРАЙС_ЛИСТ'!F1250</f>
        <v>11500</v>
      </c>
      <c r="G967" s="169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170"/>
      <c r="W967" s="170"/>
      <c r="X967" s="170"/>
    </row>
    <row r="968">
      <c r="A968" s="2"/>
      <c r="B968" s="46" t="s">
        <v>332</v>
      </c>
      <c r="C968" s="11">
        <v>90.0</v>
      </c>
      <c r="D968" s="173" t="s">
        <v>669</v>
      </c>
      <c r="E968" s="32" t="s">
        <v>5074</v>
      </c>
      <c r="F968" s="174">
        <f>'ПРАЙС_ЛИСТ'!F1251</f>
        <v>6550</v>
      </c>
      <c r="G968" s="169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170"/>
      <c r="W968" s="170"/>
      <c r="X968" s="170"/>
    </row>
    <row r="969">
      <c r="A969" s="2"/>
      <c r="B969" s="46" t="s">
        <v>332</v>
      </c>
      <c r="C969" s="11">
        <v>90.0</v>
      </c>
      <c r="D969" s="173" t="s">
        <v>677</v>
      </c>
      <c r="E969" s="32" t="s">
        <v>5075</v>
      </c>
      <c r="F969" s="174">
        <f>'ПРАЙС_ЛИСТ'!F1252</f>
        <v>9700</v>
      </c>
      <c r="G969" s="169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170"/>
      <c r="W969" s="170"/>
      <c r="X969" s="170"/>
    </row>
    <row r="970">
      <c r="A970" s="2"/>
      <c r="B970" s="46" t="s">
        <v>332</v>
      </c>
      <c r="C970" s="11">
        <v>180.0</v>
      </c>
      <c r="D970" s="173" t="s">
        <v>651</v>
      </c>
      <c r="E970" s="32" t="s">
        <v>5076</v>
      </c>
      <c r="F970" s="174">
        <f>'ПРАЙС_ЛИСТ'!F1254</f>
        <v>8000</v>
      </c>
      <c r="G970" s="169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170"/>
      <c r="W970" s="170"/>
      <c r="X970" s="170"/>
    </row>
    <row r="971">
      <c r="A971" s="2"/>
      <c r="B971" s="46" t="s">
        <v>332</v>
      </c>
      <c r="C971" s="11">
        <v>180.0</v>
      </c>
      <c r="D971" s="173" t="s">
        <v>671</v>
      </c>
      <c r="E971" s="32" t="s">
        <v>5077</v>
      </c>
      <c r="F971" s="185">
        <f>IF('ПРАЙС_ЛИСТ'!F1255 = G971, 0, 'ПРАЙС_ЛИСТ'!F1255)</f>
        <v>0</v>
      </c>
      <c r="G971" s="186">
        <f>'БД_УСЛУГИ_РО'!P978</f>
        <v>11450</v>
      </c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170"/>
      <c r="W971" s="170"/>
      <c r="X971" s="170"/>
    </row>
    <row r="972">
      <c r="A972" s="2"/>
      <c r="B972" s="46" t="s">
        <v>332</v>
      </c>
      <c r="C972" s="11">
        <v>90.0</v>
      </c>
      <c r="D972" s="173" t="s">
        <v>673</v>
      </c>
      <c r="E972" s="32" t="s">
        <v>5078</v>
      </c>
      <c r="F972" s="188">
        <f>'ПРАЙС_ЛИСТ'!F1257</f>
        <v>8500</v>
      </c>
      <c r="G972" s="169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170"/>
      <c r="W972" s="170"/>
      <c r="X972" s="170"/>
    </row>
    <row r="973">
      <c r="A973" s="2"/>
      <c r="B973" s="46" t="s">
        <v>332</v>
      </c>
      <c r="C973" s="11">
        <v>90.0</v>
      </c>
      <c r="D973" s="173" t="s">
        <v>661</v>
      </c>
      <c r="E973" s="32" t="s">
        <v>5079</v>
      </c>
      <c r="F973" s="185">
        <f>IF('ПРАЙС_ЛИСТ'!F1258 = G973, 0, 'ПРАЙС_ЛИСТ'!F1258)</f>
        <v>0</v>
      </c>
      <c r="G973" s="186">
        <f>'БД_УСЛУГИ_РО'!P981</f>
        <v>6600</v>
      </c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170"/>
      <c r="W973" s="170"/>
      <c r="X973" s="170"/>
    </row>
    <row r="974">
      <c r="A974" s="2"/>
      <c r="B974" s="46" t="s">
        <v>332</v>
      </c>
      <c r="C974" s="11">
        <v>90.0</v>
      </c>
      <c r="D974" s="173" t="s">
        <v>663</v>
      </c>
      <c r="E974" s="32" t="s">
        <v>5080</v>
      </c>
      <c r="F974" s="174">
        <f>IF('ПРАЙС_ЛИСТ'!F1259 = G974, 0, 'ПРАЙС_ЛИСТ'!F1259)</f>
        <v>10000</v>
      </c>
      <c r="G974" s="169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170"/>
      <c r="W974" s="170"/>
      <c r="X974" s="170"/>
    </row>
    <row r="975">
      <c r="A975" s="2"/>
      <c r="B975" s="46" t="s">
        <v>332</v>
      </c>
      <c r="C975" s="11">
        <v>90.0</v>
      </c>
      <c r="D975" s="173" t="s">
        <v>659</v>
      </c>
      <c r="E975" s="32" t="s">
        <v>5081</v>
      </c>
      <c r="F975" s="174">
        <f>IF('ПРАЙС_ЛИСТ'!F1260 = G975, 0, 'ПРАЙС_ЛИСТ'!F1260)</f>
        <v>12950</v>
      </c>
      <c r="G975" s="169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170"/>
      <c r="W975" s="170"/>
      <c r="X975" s="170"/>
    </row>
    <row r="976">
      <c r="A976" s="2"/>
      <c r="B976" s="46" t="s">
        <v>332</v>
      </c>
      <c r="C976" s="11">
        <v>90.0</v>
      </c>
      <c r="D976" s="173" t="s">
        <v>675</v>
      </c>
      <c r="E976" s="32" t="s">
        <v>5082</v>
      </c>
      <c r="F976" s="174">
        <f>IF('ПРАЙС_ЛИСТ'!F1261 = G976, 0, 'ПРАЙС_ЛИСТ'!F1261)</f>
        <v>7700</v>
      </c>
      <c r="G976" s="169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170"/>
      <c r="W976" s="170"/>
      <c r="X976" s="170"/>
    </row>
    <row r="977">
      <c r="A977" s="2"/>
      <c r="B977" s="46" t="s">
        <v>332</v>
      </c>
      <c r="C977" s="11">
        <v>90.0</v>
      </c>
      <c r="D977" s="173" t="s">
        <v>653</v>
      </c>
      <c r="E977" s="32" t="s">
        <v>5083</v>
      </c>
      <c r="F977" s="174">
        <f>IF('ПРАЙС_ЛИСТ'!F1262 = G977, 0, 'ПРАЙС_ЛИСТ'!F1262)</f>
        <v>9000</v>
      </c>
      <c r="G977" s="169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170"/>
      <c r="W977" s="170"/>
      <c r="X977" s="170"/>
    </row>
    <row r="978">
      <c r="A978" s="2"/>
      <c r="B978" s="46" t="s">
        <v>332</v>
      </c>
      <c r="C978" s="11">
        <v>90.0</v>
      </c>
      <c r="D978" s="173" t="s">
        <v>5084</v>
      </c>
      <c r="E978" s="32" t="s">
        <v>5085</v>
      </c>
      <c r="F978" s="174">
        <f>IF('ПРАЙС_ЛИСТ'!F1263 = G978, 0, 'ПРАЙС_ЛИСТ'!F1263)</f>
        <v>19200</v>
      </c>
      <c r="G978" s="169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170"/>
      <c r="W978" s="170"/>
      <c r="X978" s="170"/>
    </row>
    <row r="979">
      <c r="A979" s="2"/>
      <c r="B979" s="48" t="s">
        <v>332</v>
      </c>
      <c r="C979" s="36">
        <v>90.0</v>
      </c>
      <c r="D979" s="178" t="s">
        <v>5086</v>
      </c>
      <c r="E979" s="49" t="s">
        <v>5087</v>
      </c>
      <c r="F979" s="179">
        <f>'ПРАЙС_ЛИСТ'!F1264</f>
        <v>19700</v>
      </c>
      <c r="G979" s="169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170"/>
      <c r="W979" s="170"/>
      <c r="X979" s="170"/>
    </row>
    <row r="980">
      <c r="A980" s="2"/>
      <c r="B980" s="1"/>
      <c r="C980" s="1"/>
      <c r="D980" s="180"/>
      <c r="E980" s="30"/>
      <c r="F980" s="21"/>
      <c r="G980" s="169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170"/>
      <c r="W980" s="170"/>
      <c r="X980" s="170"/>
    </row>
    <row r="981">
      <c r="A981" s="2"/>
      <c r="B981" s="41" t="s">
        <v>339</v>
      </c>
      <c r="C981" s="42">
        <v>0.0</v>
      </c>
      <c r="D981" s="181"/>
      <c r="E981" s="43" t="s">
        <v>5088</v>
      </c>
      <c r="F981" s="182">
        <v>0.0</v>
      </c>
      <c r="G981" s="169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170"/>
      <c r="W981" s="170"/>
      <c r="X981" s="170"/>
    </row>
    <row r="982">
      <c r="A982" s="2"/>
      <c r="B982" s="46" t="s">
        <v>339</v>
      </c>
      <c r="C982" s="11">
        <v>0.0</v>
      </c>
      <c r="D982" s="173" t="s">
        <v>5089</v>
      </c>
      <c r="E982" s="32" t="s">
        <v>5090</v>
      </c>
      <c r="F982" s="174">
        <f>'ПРАЙС_ЛИСТ'!F1268</f>
        <v>700</v>
      </c>
      <c r="G982" s="169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170"/>
      <c r="W982" s="170"/>
      <c r="X982" s="170"/>
    </row>
    <row r="983">
      <c r="A983" s="2"/>
      <c r="B983" s="46" t="s">
        <v>339</v>
      </c>
      <c r="C983" s="11">
        <v>0.0</v>
      </c>
      <c r="D983" s="173"/>
      <c r="E983" s="32" t="s">
        <v>5091</v>
      </c>
      <c r="F983" s="174">
        <f>'ПРАЙС_ЛИСТ'!F1269</f>
        <v>7200</v>
      </c>
      <c r="G983" s="169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170"/>
      <c r="W983" s="170"/>
      <c r="X983" s="170"/>
    </row>
    <row r="984">
      <c r="A984" s="2"/>
      <c r="B984" s="46" t="s">
        <v>339</v>
      </c>
      <c r="C984" s="11">
        <v>180.0</v>
      </c>
      <c r="D984" s="173" t="s">
        <v>621</v>
      </c>
      <c r="E984" s="32" t="s">
        <v>5092</v>
      </c>
      <c r="F984" s="174">
        <f>IFERROR(__xludf.DUMMYFUNCTION("MIN(FILTER('ПРАЙС_ЛИСТ'!F1270:F1275, 'ПРАЙС_ЛИСТ'!F1270:F1275 &lt;&gt; 'ПРАЙС_ЛИСТ'!H1270:H1275))"),12000.0)</f>
        <v>12000</v>
      </c>
      <c r="G984" s="169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170"/>
      <c r="W984" s="170"/>
      <c r="X984" s="170"/>
    </row>
    <row r="985">
      <c r="A985" s="2"/>
      <c r="B985" s="46" t="s">
        <v>339</v>
      </c>
      <c r="C985" s="11">
        <v>180.0</v>
      </c>
      <c r="D985" s="173"/>
      <c r="E985" s="32" t="s">
        <v>5093</v>
      </c>
      <c r="F985" s="174">
        <f>IFERROR(__xludf.DUMMYFUNCTION("MAX(FILTER('ПРАЙС_ЛИСТ'!F1270:F1275, 'ПРАЙС_ЛИСТ'!F1270:F1275 &lt;&gt; 'ПРАЙС_ЛИСТ'!H1270:H1275))"),20700.0)</f>
        <v>20700</v>
      </c>
      <c r="G985" s="169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170"/>
      <c r="W985" s="170"/>
      <c r="X985" s="170"/>
    </row>
    <row r="986">
      <c r="A986" s="2"/>
      <c r="B986" s="46" t="s">
        <v>339</v>
      </c>
      <c r="C986" s="11">
        <v>90.0</v>
      </c>
      <c r="D986" s="173" t="s">
        <v>623</v>
      </c>
      <c r="E986" s="32" t="s">
        <v>5094</v>
      </c>
      <c r="F986" s="174">
        <f>'ПРАЙС_ЛИСТ'!F1276</f>
        <v>13000</v>
      </c>
      <c r="G986" s="169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170"/>
      <c r="W986" s="170"/>
      <c r="X986" s="170"/>
    </row>
    <row r="987">
      <c r="A987" s="2"/>
      <c r="B987" s="46" t="s">
        <v>339</v>
      </c>
      <c r="C987" s="11">
        <v>90.0</v>
      </c>
      <c r="D987" s="173" t="s">
        <v>615</v>
      </c>
      <c r="E987" s="32" t="s">
        <v>5095</v>
      </c>
      <c r="F987" s="174">
        <f>IFERROR(__xludf.DUMMYFUNCTION("MIN(FILTER('ПРАЙС_ЛИСТ'!F1277:F1283, 'ПРАЙС_ЛИСТ'!F1277:F1283 &lt;&gt; 'ПРАЙС_ЛИСТ'!H1277:H1283))"),30000.0)</f>
        <v>30000</v>
      </c>
      <c r="G987" s="169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170"/>
      <c r="W987" s="170"/>
      <c r="X987" s="170"/>
    </row>
    <row r="988">
      <c r="A988" s="2"/>
      <c r="B988" s="46" t="s">
        <v>339</v>
      </c>
      <c r="C988" s="11">
        <v>90.0</v>
      </c>
      <c r="D988" s="173"/>
      <c r="E988" s="32" t="s">
        <v>5096</v>
      </c>
      <c r="F988" s="174">
        <f>IFERROR(__xludf.DUMMYFUNCTION("MAX(FILTER('ПРАЙС_ЛИСТ'!F1277:F1283, 'ПРАЙС_ЛИСТ'!F1277:F1283 &lt;&gt; 'ПРАЙС_ЛИСТ'!H1277:H1283))"),34650.0)</f>
        <v>34650</v>
      </c>
      <c r="G988" s="169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170"/>
      <c r="W988" s="170"/>
      <c r="X988" s="170"/>
    </row>
    <row r="989">
      <c r="A989" s="2"/>
      <c r="B989" s="46" t="s">
        <v>339</v>
      </c>
      <c r="C989" s="11">
        <v>90.0</v>
      </c>
      <c r="D989" s="173" t="s">
        <v>611</v>
      </c>
      <c r="E989" s="32" t="s">
        <v>5097</v>
      </c>
      <c r="F989" s="174">
        <f>'ПРАЙС_ЛИСТ'!F1285</f>
        <v>25000</v>
      </c>
      <c r="G989" s="169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170"/>
      <c r="W989" s="170"/>
      <c r="X989" s="170"/>
    </row>
    <row r="990">
      <c r="A990" s="2"/>
      <c r="B990" s="46" t="s">
        <v>339</v>
      </c>
      <c r="C990" s="11">
        <v>90.0</v>
      </c>
      <c r="D990" s="173" t="s">
        <v>631</v>
      </c>
      <c r="E990" s="32" t="s">
        <v>5098</v>
      </c>
      <c r="F990" s="174">
        <f>'ПРАЙС_ЛИСТ'!F1286</f>
        <v>15900</v>
      </c>
      <c r="G990" s="169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170"/>
      <c r="W990" s="170"/>
      <c r="X990" s="170"/>
    </row>
    <row r="991">
      <c r="A991" s="2"/>
      <c r="B991" s="46" t="s">
        <v>339</v>
      </c>
      <c r="C991" s="11">
        <v>90.0</v>
      </c>
      <c r="D991" s="173" t="s">
        <v>633</v>
      </c>
      <c r="E991" s="32" t="s">
        <v>5099</v>
      </c>
      <c r="F991" s="174">
        <f>'ПРАЙС_ЛИСТ'!F1287</f>
        <v>12000</v>
      </c>
      <c r="G991" s="169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170"/>
      <c r="W991" s="170"/>
      <c r="X991" s="170"/>
    </row>
    <row r="992">
      <c r="A992" s="2"/>
      <c r="B992" s="46" t="s">
        <v>339</v>
      </c>
      <c r="C992" s="11">
        <v>90.0</v>
      </c>
      <c r="D992" s="173" t="s">
        <v>635</v>
      </c>
      <c r="E992" s="32" t="s">
        <v>5100</v>
      </c>
      <c r="F992" s="174">
        <f>'ПРАЙС_ЛИСТ'!F1288</f>
        <v>6500</v>
      </c>
      <c r="G992" s="169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170"/>
      <c r="W992" s="170"/>
      <c r="X992" s="170"/>
    </row>
    <row r="993">
      <c r="A993" s="2"/>
      <c r="B993" s="46" t="s">
        <v>339</v>
      </c>
      <c r="C993" s="11">
        <v>90.0</v>
      </c>
      <c r="D993" s="173" t="s">
        <v>643</v>
      </c>
      <c r="E993" s="32" t="s">
        <v>5101</v>
      </c>
      <c r="F993" s="174">
        <f>'ПРАЙС_ЛИСТ'!F1289</f>
        <v>9700</v>
      </c>
      <c r="G993" s="169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170"/>
      <c r="W993" s="170"/>
      <c r="X993" s="170"/>
    </row>
    <row r="994">
      <c r="A994" s="2"/>
      <c r="B994" s="46" t="s">
        <v>339</v>
      </c>
      <c r="C994" s="11">
        <v>180.0</v>
      </c>
      <c r="D994" s="173" t="s">
        <v>617</v>
      </c>
      <c r="E994" s="32" t="s">
        <v>5102</v>
      </c>
      <c r="F994" s="174">
        <f>'ПРАЙС_ЛИСТ'!F1291</f>
        <v>8000</v>
      </c>
      <c r="G994" s="169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170"/>
      <c r="W994" s="170"/>
      <c r="X994" s="170"/>
    </row>
    <row r="995">
      <c r="A995" s="2"/>
      <c r="B995" s="46" t="s">
        <v>339</v>
      </c>
      <c r="C995" s="11">
        <v>180.0</v>
      </c>
      <c r="D995" s="173"/>
      <c r="E995" s="32" t="s">
        <v>5103</v>
      </c>
      <c r="F995" s="174">
        <f>'ПРАЙС_ЛИСТ'!F1290</f>
        <v>13000</v>
      </c>
      <c r="G995" s="169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170"/>
      <c r="W995" s="170"/>
      <c r="X995" s="170"/>
    </row>
    <row r="996">
      <c r="A996" s="2"/>
      <c r="B996" s="46" t="s">
        <v>339</v>
      </c>
      <c r="C996" s="11">
        <v>180.0</v>
      </c>
      <c r="D996" s="173" t="s">
        <v>637</v>
      </c>
      <c r="E996" s="32" t="s">
        <v>5104</v>
      </c>
      <c r="F996" s="185">
        <f>IF('ПРАЙС_ЛИСТ'!F1292 = G996, 0, 'ПРАЙС_ЛИСТ'!F1292)</f>
        <v>0</v>
      </c>
      <c r="G996" s="186">
        <f>'БД_УСЛУГИ_РО'!P1005</f>
        <v>12100</v>
      </c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170"/>
      <c r="W996" s="170"/>
      <c r="X996" s="170"/>
    </row>
    <row r="997">
      <c r="A997" s="2"/>
      <c r="B997" s="46" t="s">
        <v>339</v>
      </c>
      <c r="C997" s="11">
        <v>90.0</v>
      </c>
      <c r="D997" s="173" t="s">
        <v>639</v>
      </c>
      <c r="E997" s="32" t="s">
        <v>5105</v>
      </c>
      <c r="F997" s="188">
        <f>'ПРАЙС_ЛИСТ'!F1294</f>
        <v>8500</v>
      </c>
      <c r="G997" s="169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170"/>
      <c r="W997" s="170"/>
      <c r="X997" s="170"/>
    </row>
    <row r="998">
      <c r="A998" s="2"/>
      <c r="B998" s="46" t="s">
        <v>339</v>
      </c>
      <c r="C998" s="11">
        <v>90.0</v>
      </c>
      <c r="D998" s="173" t="s">
        <v>627</v>
      </c>
      <c r="E998" s="32" t="s">
        <v>5106</v>
      </c>
      <c r="F998" s="185">
        <f>IF('ПРАЙС_ЛИСТ'!F1295 = G998, 0, 'ПРАЙС_ЛИСТ'!F1295)</f>
        <v>0</v>
      </c>
      <c r="G998" s="186">
        <f>'БД_УСЛУГИ_РО'!P1008</f>
        <v>7300</v>
      </c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170"/>
      <c r="W998" s="170"/>
      <c r="X998" s="170"/>
    </row>
    <row r="999">
      <c r="A999" s="2"/>
      <c r="B999" s="46" t="s">
        <v>339</v>
      </c>
      <c r="C999" s="11">
        <v>90.0</v>
      </c>
      <c r="D999" s="173" t="s">
        <v>629</v>
      </c>
      <c r="E999" s="32" t="s">
        <v>5107</v>
      </c>
      <c r="F999" s="174">
        <f>IF('ПРАЙС_ЛИСТ'!F1296 = G999, 0, 'ПРАЙС_ЛИСТ'!F1296)</f>
        <v>10500</v>
      </c>
      <c r="G999" s="169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170"/>
      <c r="W999" s="170"/>
      <c r="X999" s="170"/>
    </row>
    <row r="1000">
      <c r="A1000" s="2"/>
      <c r="B1000" s="46" t="s">
        <v>339</v>
      </c>
      <c r="C1000" s="11">
        <v>90.0</v>
      </c>
      <c r="D1000" s="173" t="s">
        <v>625</v>
      </c>
      <c r="E1000" s="32" t="s">
        <v>5108</v>
      </c>
      <c r="F1000" s="174">
        <f>'ПРАЙС_ЛИСТ'!F1297</f>
        <v>12900</v>
      </c>
      <c r="G1000" s="169"/>
      <c r="H1000" s="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170"/>
      <c r="W1000" s="170"/>
      <c r="X1000" s="170"/>
    </row>
    <row r="1001">
      <c r="A1001" s="2"/>
      <c r="B1001" s="46" t="s">
        <v>339</v>
      </c>
      <c r="C1001" s="11">
        <v>90.0</v>
      </c>
      <c r="D1001" s="173" t="s">
        <v>641</v>
      </c>
      <c r="E1001" s="32" t="s">
        <v>5109</v>
      </c>
      <c r="F1001" s="174">
        <f>'ПРАЙС_ЛИСТ'!F1298</f>
        <v>7700</v>
      </c>
      <c r="G1001" s="169"/>
      <c r="H1001" s="3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170"/>
      <c r="W1001" s="170"/>
      <c r="X1001" s="170"/>
    </row>
    <row r="1002">
      <c r="A1002" s="2"/>
      <c r="B1002" s="46" t="s">
        <v>339</v>
      </c>
      <c r="C1002" s="11">
        <v>90.0</v>
      </c>
      <c r="D1002" s="173" t="s">
        <v>619</v>
      </c>
      <c r="E1002" s="32" t="s">
        <v>5110</v>
      </c>
      <c r="F1002" s="174">
        <f>'ПРАЙС_ЛИСТ'!F1299</f>
        <v>9000</v>
      </c>
      <c r="G1002" s="169"/>
      <c r="H1002" s="3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170"/>
      <c r="W1002" s="170"/>
      <c r="X1002" s="170"/>
    </row>
    <row r="1003">
      <c r="A1003" s="2"/>
      <c r="B1003" s="46" t="s">
        <v>339</v>
      </c>
      <c r="C1003" s="11">
        <v>90.0</v>
      </c>
      <c r="D1003" s="173" t="s">
        <v>5111</v>
      </c>
      <c r="E1003" s="32" t="s">
        <v>5112</v>
      </c>
      <c r="F1003" s="174">
        <f>'ПРАЙС_ЛИСТ'!F1300</f>
        <v>19700</v>
      </c>
      <c r="G1003" s="169"/>
      <c r="H1003" s="3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170"/>
      <c r="W1003" s="170"/>
      <c r="X1003" s="170"/>
    </row>
    <row r="1004">
      <c r="A1004" s="2"/>
      <c r="B1004" s="48" t="s">
        <v>339</v>
      </c>
      <c r="C1004" s="36">
        <v>90.0</v>
      </c>
      <c r="D1004" s="178" t="s">
        <v>5113</v>
      </c>
      <c r="E1004" s="49" t="s">
        <v>5114</v>
      </c>
      <c r="F1004" s="179">
        <f>'ПРАЙС_ЛИСТ'!F1301</f>
        <v>20200</v>
      </c>
      <c r="G1004" s="169"/>
      <c r="H1004" s="3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170"/>
      <c r="W1004" s="170"/>
      <c r="X1004" s="170"/>
    </row>
    <row r="1005">
      <c r="A1005" s="2"/>
      <c r="B1005" s="1"/>
      <c r="C1005" s="1"/>
      <c r="D1005" s="180"/>
      <c r="E1005" s="30"/>
      <c r="F1005" s="21"/>
      <c r="G1005" s="169"/>
      <c r="H1005" s="3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170"/>
      <c r="W1005" s="170"/>
      <c r="X1005" s="170"/>
    </row>
    <row r="1006">
      <c r="A1006" s="2"/>
      <c r="B1006" s="41" t="s">
        <v>346</v>
      </c>
      <c r="C1006" s="42">
        <v>0.0</v>
      </c>
      <c r="D1006" s="181"/>
      <c r="E1006" s="43" t="s">
        <v>5115</v>
      </c>
      <c r="F1006" s="182">
        <v>0.0</v>
      </c>
      <c r="G1006" s="169"/>
      <c r="H1006" s="3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170"/>
      <c r="W1006" s="170"/>
      <c r="X1006" s="170"/>
    </row>
    <row r="1007">
      <c r="A1007" s="2"/>
      <c r="B1007" s="46" t="s">
        <v>346</v>
      </c>
      <c r="C1007" s="11">
        <v>0.0</v>
      </c>
      <c r="D1007" s="173" t="s">
        <v>5116</v>
      </c>
      <c r="E1007" s="32" t="s">
        <v>5117</v>
      </c>
      <c r="F1007" s="174">
        <f>'ПРАЙС_ЛИСТ'!F1305</f>
        <v>700</v>
      </c>
      <c r="G1007" s="169"/>
      <c r="H1007" s="3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170"/>
      <c r="W1007" s="170"/>
      <c r="X1007" s="170"/>
    </row>
    <row r="1008">
      <c r="A1008" s="2"/>
      <c r="B1008" s="46" t="s">
        <v>346</v>
      </c>
      <c r="C1008" s="11">
        <v>0.0</v>
      </c>
      <c r="D1008" s="173"/>
      <c r="E1008" s="32" t="s">
        <v>5118</v>
      </c>
      <c r="F1008" s="174">
        <f>'ПРАЙС_ЛИСТ'!F1306</f>
        <v>7200</v>
      </c>
      <c r="G1008" s="169"/>
      <c r="H1008" s="3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170"/>
      <c r="W1008" s="170"/>
      <c r="X1008" s="170"/>
    </row>
    <row r="1009">
      <c r="A1009" s="2"/>
      <c r="B1009" s="46" t="s">
        <v>346</v>
      </c>
      <c r="C1009" s="11">
        <v>180.0</v>
      </c>
      <c r="D1009" s="173" t="s">
        <v>587</v>
      </c>
      <c r="E1009" s="32" t="s">
        <v>5119</v>
      </c>
      <c r="F1009" s="174">
        <f>IFERROR(__xludf.DUMMYFUNCTION("MIN(FILTER('ПРАЙС_ЛИСТ'!F1307:F1312, 'ПРАЙС_ЛИСТ'!F1307:F1312 &lt;&gt; 'ПРАЙС_ЛИСТ'!H1307:H1312))"),12000.0)</f>
        <v>12000</v>
      </c>
      <c r="G1009" s="169"/>
      <c r="H1009" s="3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170"/>
      <c r="W1009" s="170"/>
      <c r="X1009" s="170"/>
    </row>
    <row r="1010">
      <c r="A1010" s="2"/>
      <c r="B1010" s="46" t="s">
        <v>346</v>
      </c>
      <c r="C1010" s="11">
        <v>180.0</v>
      </c>
      <c r="D1010" s="173"/>
      <c r="E1010" s="32" t="s">
        <v>5120</v>
      </c>
      <c r="F1010" s="174">
        <f>IFERROR(__xludf.DUMMYFUNCTION("MAX(FILTER('ПРАЙС_ЛИСТ'!F1307:F1312, 'ПРАЙС_ЛИСТ'!F1307:F1312 &lt;&gt; 'ПРАЙС_ЛИСТ'!H1307:H1312))"),20700.0)</f>
        <v>20700</v>
      </c>
      <c r="G1010" s="169"/>
      <c r="H1010" s="3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170"/>
      <c r="W1010" s="170"/>
      <c r="X1010" s="170"/>
    </row>
    <row r="1011">
      <c r="A1011" s="2"/>
      <c r="B1011" s="46" t="s">
        <v>346</v>
      </c>
      <c r="C1011" s="11">
        <v>90.0</v>
      </c>
      <c r="D1011" s="173" t="s">
        <v>589</v>
      </c>
      <c r="E1011" s="32" t="s">
        <v>5121</v>
      </c>
      <c r="F1011" s="174">
        <f>'ПРАЙС_ЛИСТ'!F1313</f>
        <v>13750</v>
      </c>
      <c r="G1011" s="169"/>
      <c r="H1011" s="3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170"/>
      <c r="W1011" s="170"/>
      <c r="X1011" s="170"/>
    </row>
    <row r="1012">
      <c r="A1012" s="2"/>
      <c r="B1012" s="46" t="s">
        <v>346</v>
      </c>
      <c r="C1012" s="11">
        <v>90.0</v>
      </c>
      <c r="D1012" s="173" t="s">
        <v>581</v>
      </c>
      <c r="E1012" s="32" t="s">
        <v>5122</v>
      </c>
      <c r="F1012" s="174">
        <f>IFERROR(__xludf.DUMMYFUNCTION("MIN(FILTER('ПРАЙС_ЛИСТ'!F1314:F1320, 'ПРАЙС_ЛИСТ'!F1314:F1320 &lt;&gt; 'ПРАЙС_ЛИСТ'!H1314:H1320))"),35000.0)</f>
        <v>35000</v>
      </c>
      <c r="G1012" s="169"/>
      <c r="H1012" s="3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170"/>
      <c r="W1012" s="170"/>
      <c r="X1012" s="170"/>
    </row>
    <row r="1013">
      <c r="A1013" s="2"/>
      <c r="B1013" s="46" t="s">
        <v>346</v>
      </c>
      <c r="C1013" s="11">
        <v>90.0</v>
      </c>
      <c r="D1013" s="173"/>
      <c r="E1013" s="32" t="s">
        <v>5123</v>
      </c>
      <c r="F1013" s="174">
        <f>IFERROR(__xludf.DUMMYFUNCTION("MAX(FILTER('ПРАЙС_ЛИСТ'!F1314:F1320, 'ПРАЙС_ЛИСТ'!F1314:F1320 &lt;&gt; 'ПРАЙС_ЛИСТ'!H1314:H1320))"),41900.0)</f>
        <v>41900</v>
      </c>
      <c r="G1013" s="169"/>
      <c r="H1013" s="3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170"/>
      <c r="W1013" s="170"/>
      <c r="X1013" s="170"/>
    </row>
    <row r="1014">
      <c r="A1014" s="2"/>
      <c r="B1014" s="46" t="s">
        <v>346</v>
      </c>
      <c r="C1014" s="11">
        <v>90.0</v>
      </c>
      <c r="D1014" s="173" t="s">
        <v>577</v>
      </c>
      <c r="E1014" s="32" t="s">
        <v>5124</v>
      </c>
      <c r="F1014" s="174">
        <f>'ПРАЙС_ЛИСТ'!F1322</f>
        <v>26000</v>
      </c>
      <c r="G1014" s="169"/>
      <c r="H1014" s="3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170"/>
      <c r="W1014" s="170"/>
      <c r="X1014" s="170"/>
    </row>
    <row r="1015">
      <c r="A1015" s="2"/>
      <c r="B1015" s="46" t="s">
        <v>346</v>
      </c>
      <c r="C1015" s="11">
        <v>90.0</v>
      </c>
      <c r="D1015" s="173" t="s">
        <v>597</v>
      </c>
      <c r="E1015" s="32" t="s">
        <v>5125</v>
      </c>
      <c r="F1015" s="174">
        <f>'ПРАЙС_ЛИСТ'!F1323</f>
        <v>16100</v>
      </c>
      <c r="G1015" s="169"/>
      <c r="H1015" s="3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170"/>
      <c r="W1015" s="170"/>
      <c r="X1015" s="170"/>
    </row>
    <row r="1016">
      <c r="A1016" s="2"/>
      <c r="B1016" s="46" t="s">
        <v>346</v>
      </c>
      <c r="C1016" s="11">
        <v>90.0</v>
      </c>
      <c r="D1016" s="173" t="s">
        <v>599</v>
      </c>
      <c r="E1016" s="32" t="s">
        <v>5126</v>
      </c>
      <c r="F1016" s="174">
        <f>'ПРАЙС_ЛИСТ'!F1324</f>
        <v>12000</v>
      </c>
      <c r="G1016" s="169"/>
      <c r="H1016" s="3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170"/>
      <c r="W1016" s="170"/>
      <c r="X1016" s="170"/>
    </row>
    <row r="1017">
      <c r="A1017" s="2"/>
      <c r="B1017" s="46" t="s">
        <v>346</v>
      </c>
      <c r="C1017" s="11">
        <v>90.0</v>
      </c>
      <c r="D1017" s="173" t="s">
        <v>601</v>
      </c>
      <c r="E1017" s="32" t="s">
        <v>5127</v>
      </c>
      <c r="F1017" s="174">
        <f>'ПРАЙС_ЛИСТ'!F1325</f>
        <v>6500</v>
      </c>
      <c r="G1017" s="169"/>
      <c r="H1017" s="3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170"/>
      <c r="W1017" s="170"/>
      <c r="X1017" s="170"/>
    </row>
    <row r="1018">
      <c r="A1018" s="2"/>
      <c r="B1018" s="46" t="s">
        <v>346</v>
      </c>
      <c r="C1018" s="11">
        <v>90.0</v>
      </c>
      <c r="D1018" s="173" t="s">
        <v>609</v>
      </c>
      <c r="E1018" s="32" t="s">
        <v>5128</v>
      </c>
      <c r="F1018" s="174">
        <f>'ПРАЙС_ЛИСТ'!F1326</f>
        <v>9700</v>
      </c>
      <c r="G1018" s="169"/>
      <c r="H1018" s="3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170"/>
      <c r="W1018" s="170"/>
      <c r="X1018" s="170"/>
    </row>
    <row r="1019">
      <c r="A1019" s="2"/>
      <c r="B1019" s="46" t="s">
        <v>346</v>
      </c>
      <c r="C1019" s="11">
        <v>180.0</v>
      </c>
      <c r="D1019" s="173" t="s">
        <v>583</v>
      </c>
      <c r="E1019" s="32" t="s">
        <v>5129</v>
      </c>
      <c r="F1019" s="174">
        <f>'ПРАЙС_ЛИСТ'!F1328</f>
        <v>8000</v>
      </c>
      <c r="G1019" s="169"/>
      <c r="H1019" s="3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170"/>
      <c r="W1019" s="170"/>
      <c r="X1019" s="170"/>
    </row>
    <row r="1020">
      <c r="A1020" s="2"/>
      <c r="B1020" s="46" t="s">
        <v>346</v>
      </c>
      <c r="C1020" s="11">
        <v>180.0</v>
      </c>
      <c r="D1020" s="173"/>
      <c r="E1020" s="32" t="s">
        <v>5130</v>
      </c>
      <c r="F1020" s="174">
        <f>'ПРАЙС_ЛИСТ'!F1327</f>
        <v>14000</v>
      </c>
      <c r="G1020" s="169"/>
      <c r="H1020" s="3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170"/>
      <c r="W1020" s="170"/>
      <c r="X1020" s="170"/>
    </row>
    <row r="1021">
      <c r="A1021" s="2"/>
      <c r="B1021" s="46" t="s">
        <v>346</v>
      </c>
      <c r="C1021" s="11">
        <v>180.0</v>
      </c>
      <c r="D1021" s="173" t="s">
        <v>603</v>
      </c>
      <c r="E1021" s="32" t="s">
        <v>5131</v>
      </c>
      <c r="F1021" s="185">
        <f>IF('ПРАЙС_ЛИСТ'!F1329 = G1021, 0, 'ПРАЙС_ЛИСТ'!F1329)</f>
        <v>0</v>
      </c>
      <c r="G1021" s="186">
        <f>'БД_УСЛУГИ_РО'!P1032</f>
        <v>12100</v>
      </c>
      <c r="H1021" s="3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170"/>
      <c r="W1021" s="170"/>
      <c r="X1021" s="170"/>
    </row>
    <row r="1022">
      <c r="A1022" s="2"/>
      <c r="B1022" s="46" t="s">
        <v>346</v>
      </c>
      <c r="C1022" s="11">
        <v>90.0</v>
      </c>
      <c r="D1022" s="173" t="s">
        <v>605</v>
      </c>
      <c r="E1022" s="32" t="s">
        <v>5132</v>
      </c>
      <c r="F1022" s="188">
        <f>'ПРАЙС_ЛИСТ'!F1331</f>
        <v>8500</v>
      </c>
      <c r="G1022" s="169"/>
      <c r="H1022" s="3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170"/>
      <c r="W1022" s="170"/>
      <c r="X1022" s="170"/>
    </row>
    <row r="1023">
      <c r="A1023" s="2"/>
      <c r="B1023" s="46" t="s">
        <v>346</v>
      </c>
      <c r="C1023" s="11">
        <v>90.0</v>
      </c>
      <c r="D1023" s="173" t="s">
        <v>593</v>
      </c>
      <c r="E1023" s="32" t="s">
        <v>5133</v>
      </c>
      <c r="F1023" s="185">
        <f>IF('ПРАЙС_ЛИСТ'!F1332 = G1023, 0, 'ПРАЙС_ЛИСТ'!F1332)</f>
        <v>0</v>
      </c>
      <c r="G1023" s="186">
        <f>'БД_УСЛУГИ_РО'!P1035</f>
        <v>7300</v>
      </c>
      <c r="H1023" s="3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170"/>
      <c r="W1023" s="170"/>
      <c r="X1023" s="170"/>
    </row>
    <row r="1024">
      <c r="A1024" s="2"/>
      <c r="B1024" s="46" t="s">
        <v>346</v>
      </c>
      <c r="C1024" s="11">
        <v>90.0</v>
      </c>
      <c r="D1024" s="173" t="s">
        <v>595</v>
      </c>
      <c r="E1024" s="32" t="s">
        <v>5134</v>
      </c>
      <c r="F1024" s="174">
        <f>IF('ПРАЙС_ЛИСТ'!F1333 = G1024, 0, 'ПРАЙС_ЛИСТ'!F1333)</f>
        <v>10900</v>
      </c>
      <c r="G1024" s="169"/>
      <c r="H1024" s="3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170"/>
      <c r="W1024" s="170"/>
      <c r="X1024" s="170"/>
    </row>
    <row r="1025">
      <c r="A1025" s="2"/>
      <c r="B1025" s="46" t="s">
        <v>346</v>
      </c>
      <c r="C1025" s="11">
        <v>90.0</v>
      </c>
      <c r="D1025" s="173" t="s">
        <v>591</v>
      </c>
      <c r="E1025" s="32" t="s">
        <v>5135</v>
      </c>
      <c r="F1025" s="174">
        <f>'ПРАЙС_ЛИСТ'!F1334</f>
        <v>13650</v>
      </c>
      <c r="G1025" s="169"/>
      <c r="H1025" s="3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170"/>
      <c r="W1025" s="170"/>
      <c r="X1025" s="170"/>
    </row>
    <row r="1026">
      <c r="A1026" s="2"/>
      <c r="B1026" s="46" t="s">
        <v>346</v>
      </c>
      <c r="C1026" s="11">
        <v>90.0</v>
      </c>
      <c r="D1026" s="173" t="s">
        <v>607</v>
      </c>
      <c r="E1026" s="32" t="s">
        <v>5136</v>
      </c>
      <c r="F1026" s="174">
        <f>'ПРАЙС_ЛИСТ'!F1335</f>
        <v>7700</v>
      </c>
      <c r="G1026" s="169"/>
      <c r="H1026" s="3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170"/>
      <c r="W1026" s="170"/>
      <c r="X1026" s="170"/>
    </row>
    <row r="1027">
      <c r="A1027" s="2"/>
      <c r="B1027" s="46" t="s">
        <v>346</v>
      </c>
      <c r="C1027" s="11">
        <v>90.0</v>
      </c>
      <c r="D1027" s="173" t="s">
        <v>585</v>
      </c>
      <c r="E1027" s="32" t="s">
        <v>5137</v>
      </c>
      <c r="F1027" s="174">
        <f>'ПРАЙС_ЛИСТ'!F1336</f>
        <v>9000</v>
      </c>
      <c r="G1027" s="169"/>
      <c r="H1027" s="3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170"/>
      <c r="W1027" s="170"/>
      <c r="X1027" s="170"/>
    </row>
    <row r="1028">
      <c r="A1028" s="2"/>
      <c r="B1028" s="46" t="s">
        <v>346</v>
      </c>
      <c r="C1028" s="11">
        <v>90.0</v>
      </c>
      <c r="D1028" s="173" t="s">
        <v>5138</v>
      </c>
      <c r="E1028" s="32" t="s">
        <v>5139</v>
      </c>
      <c r="F1028" s="174">
        <f>'ПРАЙС_ЛИСТ'!F1337</f>
        <v>19700</v>
      </c>
      <c r="G1028" s="169"/>
      <c r="H1028" s="3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170"/>
      <c r="W1028" s="170"/>
      <c r="X1028" s="170"/>
    </row>
    <row r="1029">
      <c r="A1029" s="2"/>
      <c r="B1029" s="48" t="s">
        <v>346</v>
      </c>
      <c r="C1029" s="36">
        <v>90.0</v>
      </c>
      <c r="D1029" s="178" t="s">
        <v>5140</v>
      </c>
      <c r="E1029" s="49" t="s">
        <v>5141</v>
      </c>
      <c r="F1029" s="179">
        <f>'ПРАЙС_ЛИСТ'!F1338</f>
        <v>20200</v>
      </c>
      <c r="G1029" s="169"/>
      <c r="H1029" s="3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170"/>
      <c r="W1029" s="170"/>
      <c r="X1029" s="170"/>
    </row>
    <row r="1030">
      <c r="A1030" s="2"/>
      <c r="B1030" s="1"/>
      <c r="C1030" s="1"/>
      <c r="D1030" s="180"/>
      <c r="E1030" s="30"/>
      <c r="F1030" s="21"/>
      <c r="G1030" s="169"/>
      <c r="H1030" s="3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170"/>
      <c r="W1030" s="170"/>
      <c r="X1030" s="170"/>
    </row>
    <row r="1031">
      <c r="A1031" s="2"/>
      <c r="B1031" s="41" t="s">
        <v>353</v>
      </c>
      <c r="C1031" s="42">
        <v>0.0</v>
      </c>
      <c r="D1031" s="181"/>
      <c r="E1031" s="43" t="s">
        <v>5142</v>
      </c>
      <c r="F1031" s="182">
        <v>0.0</v>
      </c>
      <c r="G1031" s="169"/>
      <c r="H1031" s="3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170"/>
      <c r="W1031" s="170"/>
      <c r="X1031" s="170"/>
    </row>
    <row r="1032">
      <c r="A1032" s="2"/>
      <c r="B1032" s="46" t="s">
        <v>353</v>
      </c>
      <c r="C1032" s="11">
        <v>0.0</v>
      </c>
      <c r="D1032" s="173" t="s">
        <v>5143</v>
      </c>
      <c r="E1032" s="32" t="s">
        <v>5144</v>
      </c>
      <c r="F1032" s="174">
        <f>'ПРАЙС_ЛИСТ'!F1342</f>
        <v>700</v>
      </c>
      <c r="G1032" s="169"/>
      <c r="H1032" s="3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170"/>
      <c r="W1032" s="170"/>
      <c r="X1032" s="170"/>
    </row>
    <row r="1033">
      <c r="A1033" s="2"/>
      <c r="B1033" s="46" t="s">
        <v>353</v>
      </c>
      <c r="C1033" s="11">
        <v>0.0</v>
      </c>
      <c r="D1033" s="173"/>
      <c r="E1033" s="32" t="s">
        <v>5145</v>
      </c>
      <c r="F1033" s="174">
        <f>'ПРАЙС_ЛИСТ'!F1343</f>
        <v>7800</v>
      </c>
      <c r="G1033" s="169"/>
      <c r="H1033" s="3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170"/>
      <c r="W1033" s="170"/>
      <c r="X1033" s="170"/>
    </row>
    <row r="1034">
      <c r="A1034" s="2"/>
      <c r="B1034" s="46" t="s">
        <v>353</v>
      </c>
      <c r="C1034" s="11">
        <v>180.0</v>
      </c>
      <c r="D1034" s="173" t="s">
        <v>553</v>
      </c>
      <c r="E1034" s="32" t="s">
        <v>5146</v>
      </c>
      <c r="F1034" s="183" t="str">
        <f>IFERROR(__xludf.DUMMYFUNCTION("MIN(FILTER('ПРАЙС_ЛИСТ'!F1344:F1349, 'ПРАЙС_ЛИСТ'!F1344:F1349 &lt;&gt; 'ПРАЙС_ЛИСТ'!H1344:H1349))"),"#N/A")</f>
        <v>#N/A</v>
      </c>
      <c r="G1034" s="169"/>
      <c r="H1034" s="3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170"/>
      <c r="W1034" s="170"/>
      <c r="X1034" s="170"/>
    </row>
    <row r="1035">
      <c r="A1035" s="2"/>
      <c r="B1035" s="46" t="s">
        <v>353</v>
      </c>
      <c r="C1035" s="11">
        <v>90.0</v>
      </c>
      <c r="D1035" s="173" t="s">
        <v>555</v>
      </c>
      <c r="E1035" s="32" t="s">
        <v>5147</v>
      </c>
      <c r="F1035" s="174">
        <f>'ПРАЙС_ЛИСТ'!F1350</f>
        <v>15250</v>
      </c>
      <c r="G1035" s="169"/>
      <c r="H1035" s="3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170"/>
      <c r="W1035" s="170"/>
      <c r="X1035" s="170"/>
    </row>
    <row r="1036">
      <c r="A1036" s="2"/>
      <c r="B1036" s="46" t="s">
        <v>353</v>
      </c>
      <c r="C1036" s="11">
        <v>90.0</v>
      </c>
      <c r="D1036" s="173" t="s">
        <v>547</v>
      </c>
      <c r="E1036" s="32" t="s">
        <v>5148</v>
      </c>
      <c r="F1036" s="174">
        <f>IFERROR(__xludf.DUMMYFUNCTION("MIN(FILTER('ПРАЙС_ЛИСТ'!F1351:F1357, 'ПРАЙС_ЛИСТ'!F1351:F1357 &lt;&gt; 'ПРАЙС_ЛИСТ'!H1351:H1357))"),38700.0)</f>
        <v>38700</v>
      </c>
      <c r="G1036" s="169"/>
      <c r="H1036" s="3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170"/>
      <c r="W1036" s="170"/>
      <c r="X1036" s="170"/>
    </row>
    <row r="1037">
      <c r="A1037" s="2"/>
      <c r="B1037" s="46" t="s">
        <v>353</v>
      </c>
      <c r="C1037" s="11">
        <v>90.0</v>
      </c>
      <c r="D1037" s="173"/>
      <c r="E1037" s="32" t="s">
        <v>5149</v>
      </c>
      <c r="F1037" s="174">
        <f>IFERROR(__xludf.DUMMYFUNCTION("MAX(FILTER('ПРАЙС_ЛИСТ'!F1351:F1357, 'ПРАЙС_ЛИСТ'!F1351:F1357 &lt;&gt; 'ПРАЙС_ЛИСТ'!H1351:H1357))"),42900.0)</f>
        <v>42900</v>
      </c>
      <c r="G1037" s="169"/>
      <c r="H1037" s="3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170"/>
      <c r="W1037" s="170"/>
      <c r="X1037" s="170"/>
    </row>
    <row r="1038">
      <c r="A1038" s="2"/>
      <c r="B1038" s="46" t="s">
        <v>353</v>
      </c>
      <c r="C1038" s="11">
        <v>90.0</v>
      </c>
      <c r="D1038" s="173" t="s">
        <v>543</v>
      </c>
      <c r="E1038" s="32" t="s">
        <v>5150</v>
      </c>
      <c r="F1038" s="190">
        <v>0.0</v>
      </c>
      <c r="G1038" s="169"/>
      <c r="H1038" s="3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170"/>
      <c r="W1038" s="170"/>
      <c r="X1038" s="170"/>
    </row>
    <row r="1039">
      <c r="A1039" s="2"/>
      <c r="B1039" s="46" t="s">
        <v>353</v>
      </c>
      <c r="C1039" s="11">
        <v>90.0</v>
      </c>
      <c r="D1039" s="173" t="s">
        <v>563</v>
      </c>
      <c r="E1039" s="32" t="s">
        <v>5151</v>
      </c>
      <c r="F1039" s="174">
        <f>'ПРАЙС_ЛИСТ'!F1360</f>
        <v>16200</v>
      </c>
      <c r="G1039" s="169"/>
      <c r="H1039" s="3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170"/>
      <c r="W1039" s="170"/>
      <c r="X1039" s="170"/>
    </row>
    <row r="1040">
      <c r="A1040" s="2"/>
      <c r="B1040" s="46" t="s">
        <v>353</v>
      </c>
      <c r="C1040" s="11">
        <v>90.0</v>
      </c>
      <c r="D1040" s="173" t="s">
        <v>565</v>
      </c>
      <c r="E1040" s="32" t="s">
        <v>5152</v>
      </c>
      <c r="F1040" s="174">
        <f>'ПРАЙС_ЛИСТ'!F1361</f>
        <v>16000</v>
      </c>
      <c r="G1040" s="169"/>
      <c r="H1040" s="3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170"/>
      <c r="W1040" s="170"/>
      <c r="X1040" s="170"/>
    </row>
    <row r="1041">
      <c r="A1041" s="2"/>
      <c r="B1041" s="46" t="s">
        <v>353</v>
      </c>
      <c r="C1041" s="11">
        <v>90.0</v>
      </c>
      <c r="D1041" s="173" t="s">
        <v>567</v>
      </c>
      <c r="E1041" s="32" t="s">
        <v>5153</v>
      </c>
      <c r="F1041" s="174">
        <f>'ПРАЙС_ЛИСТ'!F1362</f>
        <v>7700</v>
      </c>
      <c r="G1041" s="169"/>
      <c r="H1041" s="3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170"/>
      <c r="W1041" s="170"/>
      <c r="X1041" s="170"/>
    </row>
    <row r="1042">
      <c r="A1042" s="2"/>
      <c r="B1042" s="46" t="s">
        <v>353</v>
      </c>
      <c r="C1042" s="11">
        <v>90.0</v>
      </c>
      <c r="D1042" s="173" t="s">
        <v>575</v>
      </c>
      <c r="E1042" s="32" t="s">
        <v>5154</v>
      </c>
      <c r="F1042" s="174">
        <f>'ПРАЙС_ЛИСТ'!F1363</f>
        <v>10800</v>
      </c>
      <c r="G1042" s="169"/>
      <c r="H1042" s="3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170"/>
      <c r="W1042" s="170"/>
      <c r="X1042" s="170"/>
    </row>
    <row r="1043">
      <c r="A1043" s="2"/>
      <c r="B1043" s="46" t="s">
        <v>353</v>
      </c>
      <c r="C1043" s="11">
        <v>180.0</v>
      </c>
      <c r="D1043" s="173" t="s">
        <v>549</v>
      </c>
      <c r="E1043" s="32" t="s">
        <v>5155</v>
      </c>
      <c r="F1043" s="174">
        <f>'ПРАЙС_ЛИСТ'!F1365</f>
        <v>10000</v>
      </c>
      <c r="G1043" s="169"/>
      <c r="H1043" s="3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170"/>
      <c r="W1043" s="170"/>
      <c r="X1043" s="170"/>
    </row>
    <row r="1044">
      <c r="A1044" s="2"/>
      <c r="B1044" s="46" t="s">
        <v>353</v>
      </c>
      <c r="C1044" s="11">
        <v>180.0</v>
      </c>
      <c r="D1044" s="173"/>
      <c r="E1044" s="32" t="s">
        <v>5156</v>
      </c>
      <c r="F1044" s="174">
        <f>'ПРАЙС_ЛИСТ'!F1364</f>
        <v>16000</v>
      </c>
      <c r="G1044" s="169"/>
      <c r="H1044" s="3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170"/>
      <c r="W1044" s="170"/>
      <c r="X1044" s="170"/>
    </row>
    <row r="1045">
      <c r="A1045" s="2"/>
      <c r="B1045" s="46" t="s">
        <v>353</v>
      </c>
      <c r="C1045" s="11">
        <v>180.0</v>
      </c>
      <c r="D1045" s="173" t="s">
        <v>569</v>
      </c>
      <c r="E1045" s="32" t="s">
        <v>5157</v>
      </c>
      <c r="F1045" s="188">
        <f>IF('ПРАЙС_ЛИСТ'!F1366 = G1045, 0, 'ПРАЙС_ЛИСТ'!F1366)</f>
        <v>13100</v>
      </c>
      <c r="G1045" s="169"/>
      <c r="H1045" s="3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170"/>
      <c r="W1045" s="170"/>
      <c r="X1045" s="170"/>
    </row>
    <row r="1046">
      <c r="A1046" s="2"/>
      <c r="B1046" s="46" t="s">
        <v>353</v>
      </c>
      <c r="C1046" s="11">
        <v>90.0</v>
      </c>
      <c r="D1046" s="173" t="s">
        <v>571</v>
      </c>
      <c r="E1046" s="32" t="s">
        <v>5158</v>
      </c>
      <c r="F1046" s="188">
        <f>'ПРАЙС_ЛИСТ'!F1368</f>
        <v>9800</v>
      </c>
      <c r="G1046" s="169"/>
      <c r="H1046" s="3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170"/>
      <c r="W1046" s="170"/>
      <c r="X1046" s="170"/>
    </row>
    <row r="1047">
      <c r="A1047" s="2"/>
      <c r="B1047" s="46" t="s">
        <v>353</v>
      </c>
      <c r="C1047" s="11">
        <v>90.0</v>
      </c>
      <c r="D1047" s="173" t="s">
        <v>559</v>
      </c>
      <c r="E1047" s="32" t="s">
        <v>5159</v>
      </c>
      <c r="F1047" s="185">
        <f>IF('ПРАЙС_ЛИСТ'!F1369 = G1047, 0, 'ПРАЙС_ЛИСТ'!F1369)</f>
        <v>0</v>
      </c>
      <c r="G1047" s="186">
        <f>'БД_УСЛУГИ_РО'!P1062</f>
        <v>8000</v>
      </c>
      <c r="H1047" s="3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170"/>
      <c r="W1047" s="170"/>
      <c r="X1047" s="170"/>
    </row>
    <row r="1048">
      <c r="A1048" s="2"/>
      <c r="B1048" s="46" t="s">
        <v>353</v>
      </c>
      <c r="C1048" s="11">
        <v>90.0</v>
      </c>
      <c r="D1048" s="173" t="s">
        <v>561</v>
      </c>
      <c r="E1048" s="32" t="s">
        <v>5160</v>
      </c>
      <c r="F1048" s="185">
        <f>IF('ПРАЙС_ЛИСТ'!F1370 = G1048, 0, 'ПРАЙС_ЛИСТ'!F1370)</f>
        <v>0</v>
      </c>
      <c r="G1048" s="186">
        <f>'БД_УСЛУГИ_РО'!P1063</f>
        <v>8000</v>
      </c>
      <c r="H1048" s="3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170"/>
      <c r="W1048" s="170"/>
      <c r="X1048" s="170"/>
    </row>
    <row r="1049">
      <c r="A1049" s="2"/>
      <c r="B1049" s="46" t="s">
        <v>353</v>
      </c>
      <c r="C1049" s="11">
        <v>90.0</v>
      </c>
      <c r="D1049" s="173" t="s">
        <v>557</v>
      </c>
      <c r="E1049" s="32" t="s">
        <v>5161</v>
      </c>
      <c r="F1049" s="174">
        <f>'ПРАЙС_ЛИСТ'!F1371</f>
        <v>13550</v>
      </c>
      <c r="G1049" s="169"/>
      <c r="H1049" s="3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170"/>
      <c r="W1049" s="170"/>
      <c r="X1049" s="170"/>
    </row>
    <row r="1050">
      <c r="A1050" s="2"/>
      <c r="B1050" s="46" t="s">
        <v>353</v>
      </c>
      <c r="C1050" s="11">
        <v>90.0</v>
      </c>
      <c r="D1050" s="173" t="s">
        <v>573</v>
      </c>
      <c r="E1050" s="32" t="s">
        <v>5162</v>
      </c>
      <c r="F1050" s="174">
        <f>'ПРАЙС_ЛИСТ'!F1372</f>
        <v>8800</v>
      </c>
      <c r="G1050" s="169"/>
      <c r="H1050" s="3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170"/>
      <c r="W1050" s="170"/>
      <c r="X1050" s="170"/>
    </row>
    <row r="1051">
      <c r="A1051" s="2"/>
      <c r="B1051" s="46" t="s">
        <v>353</v>
      </c>
      <c r="C1051" s="11">
        <v>90.0</v>
      </c>
      <c r="D1051" s="173" t="s">
        <v>551</v>
      </c>
      <c r="E1051" s="32" t="s">
        <v>5163</v>
      </c>
      <c r="F1051" s="174">
        <f>'ПРАЙС_ЛИСТ'!F1373</f>
        <v>10300</v>
      </c>
      <c r="G1051" s="169"/>
      <c r="H1051" s="3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170"/>
      <c r="W1051" s="170"/>
      <c r="X1051" s="170"/>
    </row>
    <row r="1052">
      <c r="A1052" s="2"/>
      <c r="B1052" s="46" t="s">
        <v>353</v>
      </c>
      <c r="C1052" s="11">
        <v>90.0</v>
      </c>
      <c r="D1052" s="173" t="s">
        <v>5164</v>
      </c>
      <c r="E1052" s="32" t="s">
        <v>5165</v>
      </c>
      <c r="F1052" s="174">
        <f>'ПРАЙС_ЛИСТ'!F1374</f>
        <v>21600</v>
      </c>
      <c r="G1052" s="169"/>
      <c r="H1052" s="3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170"/>
      <c r="W1052" s="170"/>
      <c r="X1052" s="170"/>
    </row>
    <row r="1053">
      <c r="A1053" s="2"/>
      <c r="B1053" s="48" t="s">
        <v>353</v>
      </c>
      <c r="C1053" s="36">
        <v>90.0</v>
      </c>
      <c r="D1053" s="178" t="s">
        <v>5166</v>
      </c>
      <c r="E1053" s="49" t="s">
        <v>5167</v>
      </c>
      <c r="F1053" s="179">
        <f>'ПРАЙС_ЛИСТ'!F1375</f>
        <v>22100</v>
      </c>
      <c r="G1053" s="169"/>
      <c r="H1053" s="3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170"/>
      <c r="W1053" s="170"/>
      <c r="X1053" s="170"/>
    </row>
    <row r="1054">
      <c r="A1054" s="2"/>
      <c r="B1054" s="1"/>
      <c r="C1054" s="1"/>
      <c r="D1054" s="180"/>
      <c r="E1054" s="30"/>
      <c r="F1054" s="21"/>
      <c r="G1054" s="169"/>
      <c r="H1054" s="3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170"/>
      <c r="W1054" s="170"/>
      <c r="X1054" s="170"/>
    </row>
    <row r="1055">
      <c r="A1055" s="2"/>
      <c r="B1055" s="41" t="s">
        <v>360</v>
      </c>
      <c r="C1055" s="42">
        <v>0.0</v>
      </c>
      <c r="D1055" s="181"/>
      <c r="E1055" s="43" t="s">
        <v>5168</v>
      </c>
      <c r="F1055" s="182">
        <v>0.0</v>
      </c>
      <c r="G1055" s="169"/>
      <c r="H1055" s="3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170"/>
      <c r="W1055" s="170"/>
      <c r="X1055" s="170"/>
    </row>
    <row r="1056">
      <c r="A1056" s="2"/>
      <c r="B1056" s="46" t="s">
        <v>360</v>
      </c>
      <c r="C1056" s="11">
        <v>0.0</v>
      </c>
      <c r="D1056" s="173" t="s">
        <v>5169</v>
      </c>
      <c r="E1056" s="32" t="s">
        <v>5170</v>
      </c>
      <c r="F1056" s="174">
        <f>'ПРАЙС_ЛИСТ'!F1379</f>
        <v>700</v>
      </c>
      <c r="G1056" s="169"/>
      <c r="H1056" s="3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170"/>
      <c r="W1056" s="170"/>
      <c r="X1056" s="170"/>
    </row>
    <row r="1057">
      <c r="A1057" s="2"/>
      <c r="B1057" s="46" t="s">
        <v>360</v>
      </c>
      <c r="C1057" s="11">
        <v>0.0</v>
      </c>
      <c r="D1057" s="173"/>
      <c r="E1057" s="32" t="s">
        <v>5171</v>
      </c>
      <c r="F1057" s="174">
        <f>'ПРАЙС_ЛИСТ'!F1380</f>
        <v>7800</v>
      </c>
      <c r="G1057" s="169"/>
      <c r="H1057" s="3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170"/>
      <c r="W1057" s="170"/>
      <c r="X1057" s="170"/>
    </row>
    <row r="1058">
      <c r="A1058" s="2"/>
      <c r="B1058" s="46" t="s">
        <v>360</v>
      </c>
      <c r="C1058" s="11">
        <v>180.0</v>
      </c>
      <c r="D1058" s="173" t="s">
        <v>519</v>
      </c>
      <c r="E1058" s="32" t="s">
        <v>5172</v>
      </c>
      <c r="F1058" s="190">
        <v>0.0</v>
      </c>
      <c r="G1058" s="169"/>
      <c r="H1058" s="3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170"/>
      <c r="W1058" s="170"/>
      <c r="X1058" s="170"/>
    </row>
    <row r="1059">
      <c r="A1059" s="2"/>
      <c r="B1059" s="46" t="s">
        <v>360</v>
      </c>
      <c r="C1059" s="11">
        <v>90.0</v>
      </c>
      <c r="D1059" s="173" t="s">
        <v>521</v>
      </c>
      <c r="E1059" s="32" t="s">
        <v>5173</v>
      </c>
      <c r="F1059" s="174">
        <f>'ПРАЙС_ЛИСТ'!F1387</f>
        <v>16800</v>
      </c>
      <c r="G1059" s="169"/>
      <c r="H1059" s="3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170"/>
      <c r="W1059" s="170"/>
      <c r="X1059" s="170"/>
    </row>
    <row r="1060">
      <c r="A1060" s="2"/>
      <c r="B1060" s="46" t="s">
        <v>360</v>
      </c>
      <c r="C1060" s="11">
        <v>90.0</v>
      </c>
      <c r="D1060" s="173" t="s">
        <v>513</v>
      </c>
      <c r="E1060" s="32" t="s">
        <v>5174</v>
      </c>
      <c r="F1060" s="174">
        <f>IFERROR(__xludf.DUMMYFUNCTION("MIN(FILTER('ПРАЙС_ЛИСТ'!F1388:F1394, 'ПРАЙС_ЛИСТ'!F1388:F1394 &lt;&gt; 'ПРАЙС_ЛИСТ'!H1388:H1394))"),39200.0)</f>
        <v>39200</v>
      </c>
      <c r="G1060" s="169"/>
      <c r="H1060" s="3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170"/>
      <c r="W1060" s="170"/>
      <c r="X1060" s="170"/>
    </row>
    <row r="1061">
      <c r="A1061" s="2"/>
      <c r="B1061" s="46" t="s">
        <v>360</v>
      </c>
      <c r="C1061" s="11">
        <v>90.0</v>
      </c>
      <c r="D1061" s="173"/>
      <c r="E1061" s="32" t="s">
        <v>5175</v>
      </c>
      <c r="F1061" s="174">
        <f>IFERROR(__xludf.DUMMYFUNCTION("MAX(FILTER('ПРАЙС_ЛИСТ'!F1388:F1394, 'ПРАЙС_ЛИСТ'!F1388:F1394 &lt;&gt; 'ПРАЙС_ЛИСТ'!H1388:H1394))"),41700.0)</f>
        <v>41700</v>
      </c>
      <c r="G1061" s="169"/>
      <c r="H1061" s="3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170"/>
      <c r="W1061" s="170"/>
      <c r="X1061" s="170"/>
    </row>
    <row r="1062">
      <c r="A1062" s="2"/>
      <c r="B1062" s="46" t="s">
        <v>360</v>
      </c>
      <c r="C1062" s="11">
        <v>90.0</v>
      </c>
      <c r="D1062" s="173" t="s">
        <v>509</v>
      </c>
      <c r="E1062" s="32" t="s">
        <v>5176</v>
      </c>
      <c r="F1062" s="190">
        <v>0.0</v>
      </c>
      <c r="G1062" s="169"/>
      <c r="H1062" s="3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170"/>
      <c r="W1062" s="170"/>
      <c r="X1062" s="170"/>
    </row>
    <row r="1063">
      <c r="A1063" s="2"/>
      <c r="B1063" s="46" t="s">
        <v>360</v>
      </c>
      <c r="C1063" s="11">
        <v>90.0</v>
      </c>
      <c r="D1063" s="173" t="s">
        <v>529</v>
      </c>
      <c r="E1063" s="32" t="s">
        <v>5177</v>
      </c>
      <c r="F1063" s="174">
        <f>'ПРАЙС_ЛИСТ'!F1397</f>
        <v>15100</v>
      </c>
      <c r="G1063" s="169"/>
      <c r="H1063" s="3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170"/>
      <c r="W1063" s="170"/>
      <c r="X1063" s="170"/>
    </row>
    <row r="1064">
      <c r="A1064" s="2"/>
      <c r="B1064" s="46" t="s">
        <v>360</v>
      </c>
      <c r="C1064" s="11">
        <v>90.0</v>
      </c>
      <c r="D1064" s="173" t="s">
        <v>531</v>
      </c>
      <c r="E1064" s="32" t="s">
        <v>5178</v>
      </c>
      <c r="F1064" s="188">
        <f>IF('ПРАЙС_ЛИСТ'!F1398 = G1064, 0, 'ПРАЙС_ЛИСТ'!F1398)</f>
        <v>16500</v>
      </c>
      <c r="G1064" s="186">
        <f>'БД_УСЛУГИ_РО'!P1082</f>
        <v>8700</v>
      </c>
      <c r="H1064" s="3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170"/>
      <c r="W1064" s="170"/>
      <c r="X1064" s="170"/>
    </row>
    <row r="1065">
      <c r="A1065" s="2"/>
      <c r="B1065" s="46" t="s">
        <v>360</v>
      </c>
      <c r="C1065" s="11">
        <v>90.0</v>
      </c>
      <c r="D1065" s="173" t="s">
        <v>533</v>
      </c>
      <c r="E1065" s="32" t="s">
        <v>5179</v>
      </c>
      <c r="F1065" s="174">
        <f>'ПРАЙС_ЛИСТ'!F1399</f>
        <v>7800</v>
      </c>
      <c r="G1065" s="169"/>
      <c r="H1065" s="3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170"/>
      <c r="W1065" s="170"/>
      <c r="X1065" s="170"/>
    </row>
    <row r="1066">
      <c r="A1066" s="2"/>
      <c r="B1066" s="46" t="s">
        <v>360</v>
      </c>
      <c r="C1066" s="11">
        <v>90.0</v>
      </c>
      <c r="D1066" s="173" t="s">
        <v>541</v>
      </c>
      <c r="E1066" s="32" t="s">
        <v>5180</v>
      </c>
      <c r="F1066" s="174">
        <f>'ПРАЙС_ЛИСТ'!F1400</f>
        <v>10800</v>
      </c>
      <c r="G1066" s="169"/>
      <c r="H1066" s="3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170"/>
      <c r="W1066" s="170"/>
      <c r="X1066" s="170"/>
    </row>
    <row r="1067">
      <c r="A1067" s="2"/>
      <c r="B1067" s="46" t="s">
        <v>360</v>
      </c>
      <c r="C1067" s="11">
        <v>180.0</v>
      </c>
      <c r="D1067" s="173" t="s">
        <v>515</v>
      </c>
      <c r="E1067" s="32" t="s">
        <v>5181</v>
      </c>
      <c r="F1067" s="174">
        <f>'ПРАЙС_ЛИСТ'!F1401</f>
        <v>19000</v>
      </c>
      <c r="G1067" s="169"/>
      <c r="H1067" s="30" t="s">
        <v>5182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170"/>
      <c r="W1067" s="170"/>
      <c r="X1067" s="170"/>
    </row>
    <row r="1068">
      <c r="A1068" s="2"/>
      <c r="B1068" s="46" t="s">
        <v>360</v>
      </c>
      <c r="C1068" s="11">
        <v>180.0</v>
      </c>
      <c r="D1068" s="173" t="s">
        <v>535</v>
      </c>
      <c r="E1068" s="32" t="s">
        <v>5183</v>
      </c>
      <c r="F1068" s="185">
        <f>IF('ПРАЙС_ЛИСТ'!F1403 = G1068, 0, 'ПРАЙС_ЛИСТ'!F1403)</f>
        <v>0</v>
      </c>
      <c r="G1068" s="186">
        <f>'БД_УСЛУГИ_РО'!P1086</f>
        <v>13100</v>
      </c>
      <c r="H1068" s="3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170"/>
      <c r="W1068" s="170"/>
      <c r="X1068" s="170"/>
    </row>
    <row r="1069">
      <c r="A1069" s="2"/>
      <c r="B1069" s="46" t="s">
        <v>360</v>
      </c>
      <c r="C1069" s="11">
        <v>90.0</v>
      </c>
      <c r="D1069" s="173" t="s">
        <v>537</v>
      </c>
      <c r="E1069" s="32" t="s">
        <v>5184</v>
      </c>
      <c r="F1069" s="188">
        <f>'ПРАЙС_ЛИСТ'!F1405</f>
        <v>9800</v>
      </c>
      <c r="G1069" s="169"/>
      <c r="H1069" s="3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170"/>
      <c r="W1069" s="170"/>
      <c r="X1069" s="170"/>
    </row>
    <row r="1070">
      <c r="A1070" s="2"/>
      <c r="B1070" s="46" t="s">
        <v>360</v>
      </c>
      <c r="C1070" s="11">
        <v>90.0</v>
      </c>
      <c r="D1070" s="173" t="s">
        <v>525</v>
      </c>
      <c r="E1070" s="32" t="s">
        <v>5185</v>
      </c>
      <c r="F1070" s="185">
        <f>IF('ПРАЙС_ЛИСТ'!F1406 = G1070, 0, 'ПРАЙС_ЛИСТ'!F1406)</f>
        <v>0</v>
      </c>
      <c r="G1070" s="186">
        <f>'БД_УСЛУГИ_РО'!P1089</f>
        <v>8000</v>
      </c>
      <c r="H1070" s="3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170"/>
      <c r="W1070" s="170"/>
      <c r="X1070" s="170"/>
    </row>
    <row r="1071">
      <c r="A1071" s="2"/>
      <c r="B1071" s="46" t="s">
        <v>360</v>
      </c>
      <c r="C1071" s="11">
        <v>90.0</v>
      </c>
      <c r="D1071" s="173" t="s">
        <v>527</v>
      </c>
      <c r="E1071" s="32" t="s">
        <v>5186</v>
      </c>
      <c r="F1071" s="185">
        <f>IF('ПРАЙС_ЛИСТ'!F1407 = G1071, 0, 'ПРАЙС_ЛИСТ'!F1407)</f>
        <v>0</v>
      </c>
      <c r="G1071" s="186">
        <f>'БД_УСЛУГИ_РО'!P1090</f>
        <v>8000</v>
      </c>
      <c r="H1071" s="3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170"/>
      <c r="W1071" s="170"/>
      <c r="X1071" s="170"/>
    </row>
    <row r="1072">
      <c r="A1072" s="2"/>
      <c r="B1072" s="46" t="s">
        <v>360</v>
      </c>
      <c r="C1072" s="11">
        <v>90.0</v>
      </c>
      <c r="D1072" s="173" t="s">
        <v>523</v>
      </c>
      <c r="E1072" s="32" t="s">
        <v>5187</v>
      </c>
      <c r="F1072" s="174">
        <f>'ПРАЙС_ЛИСТ'!F1408</f>
        <v>15100</v>
      </c>
      <c r="G1072" s="169"/>
      <c r="H1072" s="3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170"/>
      <c r="W1072" s="170"/>
      <c r="X1072" s="170"/>
    </row>
    <row r="1073">
      <c r="A1073" s="2"/>
      <c r="B1073" s="46" t="s">
        <v>360</v>
      </c>
      <c r="C1073" s="11">
        <v>90.0</v>
      </c>
      <c r="D1073" s="173" t="s">
        <v>539</v>
      </c>
      <c r="E1073" s="32" t="s">
        <v>5188</v>
      </c>
      <c r="F1073" s="174">
        <f>'ПРАЙС_ЛИСТ'!F1409</f>
        <v>8800</v>
      </c>
      <c r="G1073" s="169"/>
      <c r="H1073" s="3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170"/>
      <c r="W1073" s="170"/>
      <c r="X1073" s="170"/>
    </row>
    <row r="1074">
      <c r="A1074" s="2"/>
      <c r="B1074" s="46" t="s">
        <v>360</v>
      </c>
      <c r="C1074" s="11">
        <v>90.0</v>
      </c>
      <c r="D1074" s="173" t="s">
        <v>517</v>
      </c>
      <c r="E1074" s="32" t="s">
        <v>5189</v>
      </c>
      <c r="F1074" s="174">
        <f>'ПРАЙС_ЛИСТ'!F1410</f>
        <v>10300</v>
      </c>
      <c r="G1074" s="169"/>
      <c r="H1074" s="3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170"/>
      <c r="W1074" s="170"/>
      <c r="X1074" s="170"/>
    </row>
    <row r="1075">
      <c r="A1075" s="2"/>
      <c r="B1075" s="46" t="s">
        <v>360</v>
      </c>
      <c r="C1075" s="11">
        <v>90.0</v>
      </c>
      <c r="D1075" s="173" t="s">
        <v>5190</v>
      </c>
      <c r="E1075" s="32" t="s">
        <v>5191</v>
      </c>
      <c r="F1075" s="174">
        <f>'ПРАЙС_ЛИСТ'!F1411</f>
        <v>21600</v>
      </c>
      <c r="G1075" s="169"/>
      <c r="H1075" s="3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170"/>
      <c r="W1075" s="170"/>
      <c r="X1075" s="170"/>
    </row>
    <row r="1076">
      <c r="A1076" s="2"/>
      <c r="B1076" s="48" t="s">
        <v>360</v>
      </c>
      <c r="C1076" s="36">
        <v>90.0</v>
      </c>
      <c r="D1076" s="178" t="s">
        <v>5192</v>
      </c>
      <c r="E1076" s="49" t="s">
        <v>5193</v>
      </c>
      <c r="F1076" s="179">
        <f>'ПРАЙС_ЛИСТ'!F1412</f>
        <v>22100</v>
      </c>
      <c r="G1076" s="169"/>
      <c r="H1076" s="3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170"/>
      <c r="W1076" s="170"/>
      <c r="X1076" s="170"/>
    </row>
    <row r="1077">
      <c r="A1077" s="2"/>
      <c r="B1077" s="1"/>
      <c r="C1077" s="1"/>
      <c r="D1077" s="180"/>
      <c r="E1077" s="30"/>
      <c r="F1077" s="21"/>
      <c r="G1077" s="169"/>
      <c r="H1077" s="3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170"/>
      <c r="W1077" s="170"/>
      <c r="X1077" s="170"/>
    </row>
    <row r="1078">
      <c r="A1078" s="2"/>
      <c r="B1078" s="41" t="s">
        <v>367</v>
      </c>
      <c r="C1078" s="42">
        <v>0.0</v>
      </c>
      <c r="D1078" s="181"/>
      <c r="E1078" s="43" t="s">
        <v>5194</v>
      </c>
      <c r="F1078" s="182">
        <v>0.0</v>
      </c>
      <c r="G1078" s="169"/>
      <c r="H1078" s="3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170"/>
      <c r="W1078" s="170"/>
      <c r="X1078" s="170"/>
    </row>
    <row r="1079">
      <c r="A1079" s="2"/>
      <c r="B1079" s="46" t="s">
        <v>367</v>
      </c>
      <c r="C1079" s="11">
        <v>0.0</v>
      </c>
      <c r="D1079" s="173" t="s">
        <v>5195</v>
      </c>
      <c r="E1079" s="32" t="s">
        <v>5196</v>
      </c>
      <c r="F1079" s="174">
        <f>'ПРАЙС_ЛИСТ'!F1416</f>
        <v>700</v>
      </c>
      <c r="G1079" s="169"/>
      <c r="H1079" s="3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170"/>
      <c r="W1079" s="170"/>
      <c r="X1079" s="170"/>
    </row>
    <row r="1080">
      <c r="A1080" s="2"/>
      <c r="B1080" s="46" t="s">
        <v>367</v>
      </c>
      <c r="C1080" s="11">
        <v>0.0</v>
      </c>
      <c r="D1080" s="173"/>
      <c r="E1080" s="32" t="s">
        <v>5197</v>
      </c>
      <c r="F1080" s="174">
        <f>'ПРАЙС_ЛИСТ'!F1417</f>
        <v>8300</v>
      </c>
      <c r="G1080" s="169"/>
      <c r="H1080" s="3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170"/>
      <c r="W1080" s="170"/>
      <c r="X1080" s="170"/>
    </row>
    <row r="1081">
      <c r="A1081" s="2"/>
      <c r="B1081" s="46" t="s">
        <v>367</v>
      </c>
      <c r="C1081" s="11">
        <v>180.0</v>
      </c>
      <c r="D1081" s="173" t="s">
        <v>485</v>
      </c>
      <c r="E1081" s="32" t="s">
        <v>5198</v>
      </c>
      <c r="F1081" s="190">
        <v>0.0</v>
      </c>
      <c r="G1081" s="169"/>
      <c r="H1081" s="3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170"/>
      <c r="W1081" s="170"/>
      <c r="X1081" s="170"/>
    </row>
    <row r="1082">
      <c r="A1082" s="2"/>
      <c r="B1082" s="46" t="s">
        <v>367</v>
      </c>
      <c r="C1082" s="11">
        <v>90.0</v>
      </c>
      <c r="D1082" s="173" t="s">
        <v>487</v>
      </c>
      <c r="E1082" s="32" t="s">
        <v>5199</v>
      </c>
      <c r="F1082" s="174">
        <f>'ПРАЙС_ЛИСТ'!F1424</f>
        <v>18200</v>
      </c>
      <c r="G1082" s="169"/>
      <c r="H1082" s="3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170"/>
      <c r="W1082" s="170"/>
      <c r="X1082" s="170"/>
    </row>
    <row r="1083">
      <c r="A1083" s="2"/>
      <c r="B1083" s="46" t="s">
        <v>367</v>
      </c>
      <c r="C1083" s="11">
        <v>90.0</v>
      </c>
      <c r="D1083" s="173" t="s">
        <v>479</v>
      </c>
      <c r="E1083" s="32" t="s">
        <v>5200</v>
      </c>
      <c r="F1083" s="174">
        <f>IFERROR(__xludf.DUMMYFUNCTION("MIN(FILTER('ПРАЙС_ЛИСТ'!F1425:F1431, 'ПРАЙС_ЛИСТ'!F1425:F1431 &lt;&gt; 'ПРАЙС_ЛИСТ'!H1425:H1431))"),38650.0)</f>
        <v>38650</v>
      </c>
      <c r="G1083" s="169"/>
      <c r="H1083" s="3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170"/>
      <c r="W1083" s="170"/>
      <c r="X1083" s="170"/>
    </row>
    <row r="1084">
      <c r="A1084" s="2"/>
      <c r="B1084" s="46" t="s">
        <v>367</v>
      </c>
      <c r="C1084" s="11">
        <v>90.0</v>
      </c>
      <c r="D1084" s="173"/>
      <c r="E1084" s="32" t="s">
        <v>5201</v>
      </c>
      <c r="F1084" s="174">
        <f>IFERROR(__xludf.DUMMYFUNCTION("MAX(FILTER('ПРАЙС_ЛИСТ'!F1425:F1431, 'ПРАЙС_ЛИСТ'!F1425:F1431 &lt;&gt; 'ПРАЙС_ЛИСТ'!H1425:H1431))"),43200.0)</f>
        <v>43200</v>
      </c>
      <c r="G1084" s="169"/>
      <c r="H1084" s="3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170"/>
      <c r="W1084" s="170"/>
      <c r="X1084" s="170"/>
    </row>
    <row r="1085">
      <c r="A1085" s="2"/>
      <c r="B1085" s="46" t="s">
        <v>367</v>
      </c>
      <c r="C1085" s="11">
        <v>90.0</v>
      </c>
      <c r="D1085" s="173" t="s">
        <v>475</v>
      </c>
      <c r="E1085" s="32" t="s">
        <v>5202</v>
      </c>
      <c r="F1085" s="190">
        <v>0.0</v>
      </c>
      <c r="G1085" s="169"/>
      <c r="H1085" s="3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170"/>
      <c r="W1085" s="170"/>
      <c r="X1085" s="170"/>
    </row>
    <row r="1086">
      <c r="A1086" s="2"/>
      <c r="B1086" s="46" t="s">
        <v>367</v>
      </c>
      <c r="C1086" s="11">
        <v>90.0</v>
      </c>
      <c r="D1086" s="173" t="s">
        <v>495</v>
      </c>
      <c r="E1086" s="32" t="s">
        <v>5203</v>
      </c>
      <c r="F1086" s="174">
        <f>'ПРАЙС_ЛИСТ'!F1434</f>
        <v>16650</v>
      </c>
      <c r="G1086" s="169"/>
      <c r="H1086" s="3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170"/>
      <c r="W1086" s="170"/>
      <c r="X1086" s="170"/>
    </row>
    <row r="1087">
      <c r="A1087" s="2"/>
      <c r="B1087" s="46" t="s">
        <v>367</v>
      </c>
      <c r="C1087" s="11">
        <v>90.0</v>
      </c>
      <c r="D1087" s="173" t="s">
        <v>497</v>
      </c>
      <c r="E1087" s="32" t="s">
        <v>5204</v>
      </c>
      <c r="F1087" s="174">
        <f>IF('ПРАЙС_ЛИСТ'!F1435 = G1087, 0, 'ПРАЙС_ЛИСТ'!F1435)</f>
        <v>17300</v>
      </c>
      <c r="G1087" s="169"/>
      <c r="H1087" s="3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170"/>
      <c r="W1087" s="170"/>
      <c r="X1087" s="170"/>
    </row>
    <row r="1088">
      <c r="A1088" s="2"/>
      <c r="B1088" s="46" t="s">
        <v>367</v>
      </c>
      <c r="C1088" s="11">
        <v>90.0</v>
      </c>
      <c r="D1088" s="173" t="s">
        <v>499</v>
      </c>
      <c r="E1088" s="32" t="s">
        <v>5205</v>
      </c>
      <c r="F1088" s="174">
        <f>'ПРАЙС_ЛИСТ'!F1436</f>
        <v>8900</v>
      </c>
      <c r="G1088" s="169"/>
      <c r="H1088" s="3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170"/>
      <c r="W1088" s="170"/>
      <c r="X1088" s="170"/>
    </row>
    <row r="1089">
      <c r="A1089" s="2"/>
      <c r="B1089" s="46" t="s">
        <v>367</v>
      </c>
      <c r="C1089" s="11">
        <v>90.0</v>
      </c>
      <c r="D1089" s="173" t="s">
        <v>507</v>
      </c>
      <c r="E1089" s="32" t="s">
        <v>5206</v>
      </c>
      <c r="F1089" s="174">
        <f>'ПРАЙС_ЛИСТ'!F1437</f>
        <v>10800</v>
      </c>
      <c r="G1089" s="169"/>
      <c r="H1089" s="3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170"/>
      <c r="W1089" s="170"/>
      <c r="X1089" s="170"/>
    </row>
    <row r="1090">
      <c r="A1090" s="2"/>
      <c r="B1090" s="46" t="s">
        <v>367</v>
      </c>
      <c r="C1090" s="11">
        <v>180.0</v>
      </c>
      <c r="D1090" s="173" t="s">
        <v>481</v>
      </c>
      <c r="E1090" s="32" t="s">
        <v>5207</v>
      </c>
      <c r="F1090" s="174">
        <f>'ПРАЙС_ЛИСТ'!F1439</f>
        <v>11000</v>
      </c>
      <c r="G1090" s="169"/>
      <c r="H1090" s="3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170"/>
      <c r="W1090" s="170"/>
      <c r="X1090" s="170"/>
    </row>
    <row r="1091">
      <c r="A1091" s="2"/>
      <c r="B1091" s="46" t="s">
        <v>367</v>
      </c>
      <c r="C1091" s="11">
        <v>180.0</v>
      </c>
      <c r="D1091" s="173"/>
      <c r="E1091" s="32" t="s">
        <v>5208</v>
      </c>
      <c r="F1091" s="174">
        <f>'ПРАЙС_ЛИСТ'!F1438</f>
        <v>18000</v>
      </c>
      <c r="G1091" s="169"/>
      <c r="H1091" s="3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170"/>
      <c r="W1091" s="170"/>
      <c r="X1091" s="170"/>
    </row>
    <row r="1092">
      <c r="A1092" s="2"/>
      <c r="B1092" s="46" t="s">
        <v>367</v>
      </c>
      <c r="C1092" s="11">
        <v>180.0</v>
      </c>
      <c r="D1092" s="173" t="s">
        <v>501</v>
      </c>
      <c r="E1092" s="32" t="s">
        <v>5209</v>
      </c>
      <c r="F1092" s="185">
        <f>IF('ПРАЙС_ЛИСТ'!F1440 = G1092, 0, 'ПРАЙС_ЛИСТ'!F1440)</f>
        <v>0</v>
      </c>
      <c r="G1092" s="186">
        <f>'БД_УСЛУГИ_РО'!P1113</f>
        <v>13100</v>
      </c>
      <c r="H1092" s="3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170"/>
      <c r="W1092" s="170"/>
      <c r="X1092" s="170"/>
    </row>
    <row r="1093">
      <c r="A1093" s="2"/>
      <c r="B1093" s="46" t="s">
        <v>367</v>
      </c>
      <c r="C1093" s="11">
        <v>90.0</v>
      </c>
      <c r="D1093" s="173" t="s">
        <v>503</v>
      </c>
      <c r="E1093" s="32" t="s">
        <v>5210</v>
      </c>
      <c r="F1093" s="188">
        <f>'ПРАЙС_ЛИСТ'!F1442</f>
        <v>9800</v>
      </c>
      <c r="G1093" s="169"/>
      <c r="H1093" s="3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170"/>
      <c r="W1093" s="170"/>
      <c r="X1093" s="170"/>
    </row>
    <row r="1094">
      <c r="A1094" s="2"/>
      <c r="B1094" s="46" t="s">
        <v>367</v>
      </c>
      <c r="C1094" s="11">
        <v>90.0</v>
      </c>
      <c r="D1094" s="173" t="s">
        <v>491</v>
      </c>
      <c r="E1094" s="32" t="s">
        <v>5211</v>
      </c>
      <c r="F1094" s="185">
        <f>IF('ПРАЙС_ЛИСТ'!F1443 = G1094, 0, 'ПРАЙС_ЛИСТ'!F1443)</f>
        <v>0</v>
      </c>
      <c r="G1094" s="186">
        <f>'БД_УСЛУГИ_РО'!P1116</f>
        <v>8700</v>
      </c>
      <c r="H1094" s="3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170"/>
      <c r="W1094" s="170"/>
      <c r="X1094" s="170"/>
    </row>
    <row r="1095">
      <c r="A1095" s="2"/>
      <c r="B1095" s="46" t="s">
        <v>367</v>
      </c>
      <c r="C1095" s="11">
        <v>90.0</v>
      </c>
      <c r="D1095" s="173" t="s">
        <v>493</v>
      </c>
      <c r="E1095" s="32" t="s">
        <v>5212</v>
      </c>
      <c r="F1095" s="185">
        <f>IF('ПРАЙС_ЛИСТ'!F1444 = G1095, 0, 'ПРАЙС_ЛИСТ'!F1444)</f>
        <v>0</v>
      </c>
      <c r="G1095" s="186">
        <f>'БД_УСЛУГИ_РО'!P1117</f>
        <v>8700</v>
      </c>
      <c r="H1095" s="3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170"/>
      <c r="W1095" s="170"/>
      <c r="X1095" s="170"/>
    </row>
    <row r="1096">
      <c r="A1096" s="2"/>
      <c r="B1096" s="46" t="s">
        <v>367</v>
      </c>
      <c r="C1096" s="11">
        <v>90.0</v>
      </c>
      <c r="D1096" s="173" t="s">
        <v>489</v>
      </c>
      <c r="E1096" s="32" t="s">
        <v>5213</v>
      </c>
      <c r="F1096" s="174">
        <f>'ПРАЙС_ЛИСТ'!F1445</f>
        <v>17000</v>
      </c>
      <c r="G1096" s="169"/>
      <c r="H1096" s="3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170"/>
      <c r="W1096" s="170"/>
      <c r="X1096" s="170"/>
    </row>
    <row r="1097">
      <c r="A1097" s="2"/>
      <c r="B1097" s="46" t="s">
        <v>367</v>
      </c>
      <c r="C1097" s="11">
        <v>90.0</v>
      </c>
      <c r="D1097" s="173" t="s">
        <v>505</v>
      </c>
      <c r="E1097" s="32" t="s">
        <v>5214</v>
      </c>
      <c r="F1097" s="174">
        <f>'ПРАЙС_ЛИСТ'!F1446</f>
        <v>8800</v>
      </c>
      <c r="G1097" s="169"/>
      <c r="H1097" s="3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170"/>
      <c r="W1097" s="170"/>
      <c r="X1097" s="170"/>
    </row>
    <row r="1098">
      <c r="A1098" s="2"/>
      <c r="B1098" s="46" t="s">
        <v>367</v>
      </c>
      <c r="C1098" s="11">
        <v>90.0</v>
      </c>
      <c r="D1098" s="173" t="s">
        <v>483</v>
      </c>
      <c r="E1098" s="32" t="s">
        <v>5215</v>
      </c>
      <c r="F1098" s="174">
        <f>'ПРАЙС_ЛИСТ'!F1447</f>
        <v>10300</v>
      </c>
      <c r="G1098" s="169"/>
      <c r="H1098" s="3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170"/>
      <c r="W1098" s="170"/>
      <c r="X1098" s="170"/>
    </row>
    <row r="1099">
      <c r="A1099" s="2"/>
      <c r="B1099" s="46" t="s">
        <v>367</v>
      </c>
      <c r="C1099" s="11">
        <v>90.0</v>
      </c>
      <c r="D1099" s="173" t="s">
        <v>5216</v>
      </c>
      <c r="E1099" s="32" t="s">
        <v>5217</v>
      </c>
      <c r="F1099" s="174">
        <f>'ПРАЙС_ЛИСТ'!F1448</f>
        <v>22100</v>
      </c>
      <c r="G1099" s="169"/>
      <c r="H1099" s="3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170"/>
      <c r="W1099" s="170"/>
      <c r="X1099" s="170"/>
    </row>
    <row r="1100">
      <c r="A1100" s="2"/>
      <c r="B1100" s="48" t="s">
        <v>367</v>
      </c>
      <c r="C1100" s="36">
        <v>90.0</v>
      </c>
      <c r="D1100" s="178" t="s">
        <v>5218</v>
      </c>
      <c r="E1100" s="49" t="s">
        <v>5219</v>
      </c>
      <c r="F1100" s="179">
        <f>'ПРАЙС_ЛИСТ'!F1449</f>
        <v>22600</v>
      </c>
      <c r="G1100" s="169"/>
      <c r="H1100" s="3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170"/>
      <c r="W1100" s="170"/>
      <c r="X1100" s="170"/>
    </row>
    <row r="1101">
      <c r="A1101" s="2"/>
      <c r="B1101" s="1"/>
      <c r="C1101" s="1"/>
      <c r="D1101" s="180"/>
      <c r="E1101" s="30"/>
      <c r="F1101" s="21"/>
      <c r="G1101" s="169"/>
      <c r="H1101" s="3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170"/>
      <c r="W1101" s="170"/>
      <c r="X1101" s="170"/>
    </row>
    <row r="1102">
      <c r="A1102" s="2"/>
      <c r="B1102" s="41" t="s">
        <v>374</v>
      </c>
      <c r="C1102" s="42">
        <v>0.0</v>
      </c>
      <c r="D1102" s="181"/>
      <c r="E1102" s="43" t="s">
        <v>5220</v>
      </c>
      <c r="F1102" s="182">
        <v>0.0</v>
      </c>
      <c r="G1102" s="169"/>
      <c r="H1102" s="3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170"/>
      <c r="W1102" s="170"/>
      <c r="X1102" s="170"/>
    </row>
    <row r="1103">
      <c r="A1103" s="2"/>
      <c r="B1103" s="46" t="s">
        <v>374</v>
      </c>
      <c r="C1103" s="11">
        <v>0.0</v>
      </c>
      <c r="D1103" s="173" t="s">
        <v>5221</v>
      </c>
      <c r="E1103" s="32" t="s">
        <v>5222</v>
      </c>
      <c r="F1103" s="174">
        <f>'ПРАЙС_ЛИСТ'!F1453</f>
        <v>700</v>
      </c>
      <c r="G1103" s="169"/>
      <c r="H1103" s="3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170"/>
      <c r="W1103" s="170"/>
      <c r="X1103" s="170"/>
    </row>
    <row r="1104">
      <c r="A1104" s="2"/>
      <c r="B1104" s="46" t="s">
        <v>374</v>
      </c>
      <c r="C1104" s="11">
        <v>0.0</v>
      </c>
      <c r="D1104" s="173"/>
      <c r="E1104" s="32" t="s">
        <v>5223</v>
      </c>
      <c r="F1104" s="174">
        <f>'ПРАЙС_ЛИСТ'!F1454</f>
        <v>8300</v>
      </c>
      <c r="G1104" s="169"/>
      <c r="H1104" s="3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170"/>
      <c r="W1104" s="170"/>
      <c r="X1104" s="170"/>
    </row>
    <row r="1105">
      <c r="A1105" s="2"/>
      <c r="B1105" s="46" t="s">
        <v>374</v>
      </c>
      <c r="C1105" s="11">
        <v>180.0</v>
      </c>
      <c r="D1105" s="173" t="s">
        <v>419</v>
      </c>
      <c r="E1105" s="32" t="s">
        <v>5224</v>
      </c>
      <c r="F1105" s="190">
        <v>0.0</v>
      </c>
      <c r="G1105" s="169"/>
      <c r="H1105" s="3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170"/>
      <c r="W1105" s="170"/>
      <c r="X1105" s="170"/>
    </row>
    <row r="1106">
      <c r="A1106" s="2"/>
      <c r="B1106" s="46" t="s">
        <v>374</v>
      </c>
      <c r="C1106" s="11">
        <v>90.0</v>
      </c>
      <c r="D1106" s="173" t="s">
        <v>424</v>
      </c>
      <c r="E1106" s="32" t="s">
        <v>5225</v>
      </c>
      <c r="F1106" s="174">
        <f>'ПРАЙС_ЛИСТ'!F1461</f>
        <v>19300</v>
      </c>
      <c r="G1106" s="169"/>
      <c r="H1106" s="3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170"/>
      <c r="W1106" s="170"/>
      <c r="X1106" s="170"/>
    </row>
    <row r="1107">
      <c r="A1107" s="2"/>
      <c r="B1107" s="46" t="s">
        <v>374</v>
      </c>
      <c r="C1107" s="11">
        <v>90.0</v>
      </c>
      <c r="D1107" s="173" t="s">
        <v>401</v>
      </c>
      <c r="E1107" s="32" t="s">
        <v>5226</v>
      </c>
      <c r="F1107" s="174">
        <f>IFERROR(__xludf.DUMMYFUNCTION("MIN(FILTER('ПРАЙС_ЛИСТ'!F1462:F1468, 'ПРАЙС_ЛИСТ'!F1462:F1468 &lt;&gt; 'ПРАЙС_ЛИСТ'!H1462:H1468))"),42050.0)</f>
        <v>42050</v>
      </c>
      <c r="G1107" s="169"/>
      <c r="H1107" s="3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170"/>
      <c r="W1107" s="170"/>
      <c r="X1107" s="170"/>
    </row>
    <row r="1108">
      <c r="A1108" s="2"/>
      <c r="B1108" s="46" t="s">
        <v>374</v>
      </c>
      <c r="C1108" s="11">
        <v>90.0</v>
      </c>
      <c r="D1108" s="173"/>
      <c r="E1108" s="32" t="s">
        <v>5227</v>
      </c>
      <c r="F1108" s="174">
        <f>IFERROR(__xludf.DUMMYFUNCTION("MAX(FILTER('ПРАЙС_ЛИСТ'!F1462:F1468, 'ПРАЙС_ЛИСТ'!F1462:F1468 &lt;&gt; 'ПРАЙС_ЛИСТ'!H1462:H1468))"),47150.0)</f>
        <v>47150</v>
      </c>
      <c r="G1108" s="169"/>
      <c r="H1108" s="3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170"/>
      <c r="W1108" s="170"/>
      <c r="X1108" s="170"/>
    </row>
    <row r="1109">
      <c r="A1109" s="2"/>
      <c r="B1109" s="46" t="s">
        <v>374</v>
      </c>
      <c r="C1109" s="11">
        <v>90.0</v>
      </c>
      <c r="D1109" s="173" t="s">
        <v>390</v>
      </c>
      <c r="E1109" s="32" t="s">
        <v>5228</v>
      </c>
      <c r="F1109" s="190">
        <v>0.0</v>
      </c>
      <c r="G1109" s="169"/>
      <c r="H1109" s="3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170"/>
      <c r="W1109" s="170"/>
      <c r="X1109" s="170"/>
    </row>
    <row r="1110">
      <c r="A1110" s="2"/>
      <c r="B1110" s="46" t="s">
        <v>374</v>
      </c>
      <c r="C1110" s="11">
        <v>90.0</v>
      </c>
      <c r="D1110" s="173" t="s">
        <v>440</v>
      </c>
      <c r="E1110" s="32" t="s">
        <v>5229</v>
      </c>
      <c r="F1110" s="188">
        <f>IF('ПРАЙС_ЛИСТ'!F1471 = G1110, 0, 'ПРАЙС_ЛИСТ'!F1471)</f>
        <v>17200</v>
      </c>
      <c r="G1110" s="186">
        <f>'БД_УСЛУГИ_РО'!P1135</f>
        <v>8400</v>
      </c>
      <c r="H1110" s="3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170"/>
      <c r="W1110" s="170"/>
      <c r="X1110" s="170"/>
    </row>
    <row r="1111">
      <c r="A1111" s="2"/>
      <c r="B1111" s="46" t="s">
        <v>374</v>
      </c>
      <c r="C1111" s="11">
        <v>90.0</v>
      </c>
      <c r="D1111" s="173" t="s">
        <v>445</v>
      </c>
      <c r="E1111" s="32" t="s">
        <v>5230</v>
      </c>
      <c r="F1111" s="174">
        <f>IF('ПРАЙС_ЛИСТ'!F1472 = G1111, 0, 'ПРАЙС_ЛИСТ'!F1472)</f>
        <v>18500</v>
      </c>
      <c r="G1111" s="169"/>
      <c r="H1111" s="3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170"/>
      <c r="W1111" s="170"/>
      <c r="X1111" s="170"/>
    </row>
    <row r="1112">
      <c r="A1112" s="2"/>
      <c r="B1112" s="46" t="s">
        <v>374</v>
      </c>
      <c r="C1112" s="11">
        <v>90.0</v>
      </c>
      <c r="D1112" s="173" t="s">
        <v>449</v>
      </c>
      <c r="E1112" s="32" t="s">
        <v>5231</v>
      </c>
      <c r="F1112" s="174">
        <f>'ПРАЙС_ЛИСТ'!F1473</f>
        <v>9600</v>
      </c>
      <c r="G1112" s="169"/>
      <c r="H1112" s="3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170"/>
      <c r="W1112" s="170"/>
      <c r="X1112" s="170"/>
    </row>
    <row r="1113">
      <c r="A1113" s="2"/>
      <c r="B1113" s="46" t="s">
        <v>374</v>
      </c>
      <c r="C1113" s="11">
        <v>90.0</v>
      </c>
      <c r="D1113" s="173" t="s">
        <v>471</v>
      </c>
      <c r="E1113" s="32" t="s">
        <v>5232</v>
      </c>
      <c r="F1113" s="174">
        <f>'ПРАЙС_ЛИСТ'!F1474</f>
        <v>10800</v>
      </c>
      <c r="G1113" s="169"/>
      <c r="H1113" s="3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170"/>
      <c r="W1113" s="170"/>
      <c r="X1113" s="170"/>
    </row>
    <row r="1114">
      <c r="A1114" s="2"/>
      <c r="B1114" s="46" t="s">
        <v>374</v>
      </c>
      <c r="C1114" s="11">
        <v>180.0</v>
      </c>
      <c r="D1114" s="173" t="s">
        <v>407</v>
      </c>
      <c r="E1114" s="32" t="s">
        <v>5233</v>
      </c>
      <c r="F1114" s="174">
        <f>'ПРАЙС_ЛИСТ'!F1476</f>
        <v>12000</v>
      </c>
      <c r="G1114" s="169"/>
      <c r="H1114" s="3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170"/>
      <c r="W1114" s="170"/>
      <c r="X1114" s="170"/>
    </row>
    <row r="1115">
      <c r="A1115" s="2"/>
      <c r="B1115" s="46" t="s">
        <v>374</v>
      </c>
      <c r="C1115" s="11">
        <v>180.0</v>
      </c>
      <c r="D1115" s="173"/>
      <c r="E1115" s="32" t="s">
        <v>5234</v>
      </c>
      <c r="F1115" s="174">
        <f>'ПРАЙС_ЛИСТ'!F1475</f>
        <v>19000</v>
      </c>
      <c r="G1115" s="169"/>
      <c r="H1115" s="3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170"/>
      <c r="W1115" s="170"/>
      <c r="X1115" s="170"/>
    </row>
    <row r="1116">
      <c r="A1116" s="2"/>
      <c r="B1116" s="46" t="s">
        <v>374</v>
      </c>
      <c r="C1116" s="11">
        <v>180.0</v>
      </c>
      <c r="D1116" s="173" t="s">
        <v>453</v>
      </c>
      <c r="E1116" s="32" t="s">
        <v>5235</v>
      </c>
      <c r="F1116" s="185">
        <f>IF('ПРАЙС_ЛИСТ'!F1477 = G1116, 0, 'ПРАЙС_ЛИСТ'!F1477)</f>
        <v>0</v>
      </c>
      <c r="G1116" s="186">
        <f>'БД_УСЛУГИ_РО'!P1140</f>
        <v>13100</v>
      </c>
      <c r="H1116" s="3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170"/>
      <c r="W1116" s="170"/>
      <c r="X1116" s="170"/>
    </row>
    <row r="1117">
      <c r="A1117" s="2"/>
      <c r="B1117" s="46" t="s">
        <v>374</v>
      </c>
      <c r="C1117" s="11">
        <v>90.0</v>
      </c>
      <c r="D1117" s="173" t="s">
        <v>458</v>
      </c>
      <c r="E1117" s="32" t="s">
        <v>5236</v>
      </c>
      <c r="F1117" s="188">
        <f>'ПРАЙС_ЛИСТ'!F1479</f>
        <v>9800</v>
      </c>
      <c r="G1117" s="169"/>
      <c r="H1117" s="3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170"/>
      <c r="W1117" s="170"/>
      <c r="X1117" s="170"/>
    </row>
    <row r="1118">
      <c r="A1118" s="2"/>
      <c r="B1118" s="46" t="s">
        <v>374</v>
      </c>
      <c r="C1118" s="11">
        <v>90.0</v>
      </c>
      <c r="D1118" s="173" t="s">
        <v>432</v>
      </c>
      <c r="E1118" s="32" t="s">
        <v>5237</v>
      </c>
      <c r="F1118" s="185">
        <f>IF('ПРАЙС_ЛИСТ'!F1480 = G1118, 0, 'ПРАЙС_ЛИСТ'!F1480)</f>
        <v>0</v>
      </c>
      <c r="G1118" s="186">
        <f>'БД_УСЛУГИ_РО'!P1143</f>
        <v>8700</v>
      </c>
      <c r="H1118" s="3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170"/>
      <c r="W1118" s="170"/>
      <c r="X1118" s="170"/>
    </row>
    <row r="1119">
      <c r="A1119" s="2"/>
      <c r="B1119" s="46" t="s">
        <v>374</v>
      </c>
      <c r="C1119" s="11">
        <v>90.0</v>
      </c>
      <c r="D1119" s="173" t="s">
        <v>436</v>
      </c>
      <c r="E1119" s="32" t="s">
        <v>5238</v>
      </c>
      <c r="F1119" s="185">
        <f>IF('ПРАЙС_ЛИСТ'!F1481 = G1119, 0, 'ПРАЙС_ЛИСТ'!F1481)</f>
        <v>0</v>
      </c>
      <c r="G1119" s="186">
        <f>'БД_УСЛУГИ_РО'!P1144</f>
        <v>8700</v>
      </c>
      <c r="H1119" s="3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170"/>
      <c r="W1119" s="170"/>
      <c r="X1119" s="170"/>
    </row>
    <row r="1120">
      <c r="A1120" s="2"/>
      <c r="B1120" s="46" t="s">
        <v>374</v>
      </c>
      <c r="C1120" s="11">
        <v>90.0</v>
      </c>
      <c r="D1120" s="173" t="s">
        <v>428</v>
      </c>
      <c r="E1120" s="32" t="s">
        <v>5239</v>
      </c>
      <c r="F1120" s="174">
        <f>'ПРАЙС_ЛИСТ'!F1482</f>
        <v>18100</v>
      </c>
      <c r="G1120" s="169"/>
      <c r="H1120" s="3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170"/>
      <c r="W1120" s="170"/>
      <c r="X1120" s="170"/>
    </row>
    <row r="1121">
      <c r="A1121" s="2"/>
      <c r="B1121" s="46" t="s">
        <v>374</v>
      </c>
      <c r="C1121" s="11">
        <v>90.0</v>
      </c>
      <c r="D1121" s="173" t="s">
        <v>466</v>
      </c>
      <c r="E1121" s="32" t="s">
        <v>5240</v>
      </c>
      <c r="F1121" s="174">
        <f>'ПРАЙС_ЛИСТ'!F1483</f>
        <v>8800</v>
      </c>
      <c r="G1121" s="169"/>
      <c r="H1121" s="3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170"/>
      <c r="W1121" s="170"/>
      <c r="X1121" s="170"/>
    </row>
    <row r="1122">
      <c r="A1122" s="2"/>
      <c r="B1122" s="46" t="s">
        <v>374</v>
      </c>
      <c r="C1122" s="11">
        <v>90.0</v>
      </c>
      <c r="D1122" s="173" t="s">
        <v>414</v>
      </c>
      <c r="E1122" s="32" t="s">
        <v>5241</v>
      </c>
      <c r="F1122" s="174">
        <f>'ПРАЙС_ЛИСТ'!F1484</f>
        <v>10300</v>
      </c>
      <c r="G1122" s="169"/>
      <c r="H1122" s="3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170"/>
      <c r="W1122" s="170"/>
      <c r="X1122" s="170"/>
    </row>
    <row r="1123">
      <c r="A1123" s="2"/>
      <c r="B1123" s="46" t="s">
        <v>374</v>
      </c>
      <c r="C1123" s="11">
        <v>90.0</v>
      </c>
      <c r="D1123" s="173" t="s">
        <v>5242</v>
      </c>
      <c r="E1123" s="32" t="s">
        <v>5243</v>
      </c>
      <c r="F1123" s="174">
        <f>'ПРАЙС_ЛИСТ'!F1485</f>
        <v>22100</v>
      </c>
      <c r="G1123" s="169"/>
      <c r="H1123" s="3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170"/>
      <c r="W1123" s="170"/>
      <c r="X1123" s="170"/>
    </row>
    <row r="1124">
      <c r="A1124" s="2"/>
      <c r="B1124" s="48" t="s">
        <v>374</v>
      </c>
      <c r="C1124" s="36">
        <v>90.0</v>
      </c>
      <c r="D1124" s="178" t="s">
        <v>5244</v>
      </c>
      <c r="E1124" s="49" t="s">
        <v>5245</v>
      </c>
      <c r="F1124" s="179">
        <f>'ПРАЙС_ЛИСТ'!F1486</f>
        <v>22600</v>
      </c>
      <c r="G1124" s="169"/>
      <c r="H1124" s="3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170"/>
      <c r="W1124" s="170"/>
      <c r="X1124" s="170"/>
    </row>
    <row r="1125">
      <c r="A1125" s="2"/>
      <c r="B1125" s="1"/>
      <c r="C1125" s="1"/>
      <c r="D1125" s="180"/>
      <c r="E1125" s="30"/>
      <c r="F1125" s="21"/>
      <c r="G1125" s="169"/>
      <c r="H1125" s="3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170"/>
      <c r="W1125" s="170"/>
      <c r="X1125" s="170"/>
    </row>
    <row r="1126">
      <c r="A1126" s="2"/>
      <c r="B1126" s="1"/>
      <c r="C1126" s="1"/>
      <c r="D1126" s="180"/>
      <c r="E1126" s="30"/>
      <c r="F1126" s="21"/>
      <c r="G1126" s="169"/>
      <c r="H1126" s="3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170"/>
      <c r="W1126" s="170"/>
      <c r="X1126" s="170"/>
    </row>
    <row r="1127">
      <c r="A1127" s="2"/>
      <c r="B1127" s="1"/>
      <c r="C1127" s="1"/>
      <c r="D1127" s="180"/>
      <c r="E1127" s="30"/>
      <c r="F1127" s="21"/>
      <c r="G1127" s="169"/>
      <c r="H1127" s="3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170"/>
      <c r="W1127" s="170"/>
      <c r="X1127" s="170"/>
    </row>
    <row r="1128">
      <c r="A1128" s="2"/>
      <c r="B1128" s="1"/>
      <c r="C1128" s="1"/>
      <c r="D1128" s="180"/>
      <c r="E1128" s="30"/>
      <c r="F1128" s="21"/>
      <c r="G1128" s="169"/>
      <c r="H1128" s="3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170"/>
      <c r="W1128" s="170"/>
      <c r="X1128" s="170"/>
    </row>
    <row r="1129">
      <c r="A1129" s="2"/>
      <c r="B1129" s="1"/>
      <c r="C1129" s="1"/>
      <c r="D1129" s="180"/>
      <c r="E1129" s="30"/>
      <c r="F1129" s="21"/>
      <c r="G1129" s="169"/>
      <c r="H1129" s="3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170"/>
      <c r="W1129" s="170"/>
      <c r="X1129" s="170"/>
    </row>
    <row r="1130">
      <c r="A1130" s="2"/>
      <c r="B1130" s="1"/>
      <c r="C1130" s="1"/>
      <c r="D1130" s="180"/>
      <c r="E1130" s="30"/>
      <c r="F1130" s="21"/>
      <c r="G1130" s="169"/>
      <c r="H1130" s="3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170"/>
      <c r="W1130" s="170"/>
      <c r="X1130" s="170"/>
    </row>
    <row r="1131">
      <c r="A1131" s="2"/>
      <c r="B1131" s="1"/>
      <c r="C1131" s="1"/>
      <c r="D1131" s="180"/>
      <c r="E1131" s="30"/>
      <c r="F1131" s="21"/>
      <c r="G1131" s="169"/>
      <c r="H1131" s="3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170"/>
      <c r="W1131" s="170"/>
      <c r="X1131" s="170"/>
    </row>
    <row r="1132">
      <c r="A1132" s="2"/>
      <c r="B1132" s="1"/>
      <c r="C1132" s="1"/>
      <c r="D1132" s="180"/>
      <c r="E1132" s="30"/>
      <c r="F1132" s="21"/>
      <c r="G1132" s="169"/>
      <c r="H1132" s="3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170"/>
      <c r="W1132" s="170"/>
      <c r="X1132" s="170"/>
    </row>
    <row r="1133">
      <c r="A1133" s="2"/>
      <c r="B1133" s="1"/>
      <c r="C1133" s="1"/>
      <c r="D1133" s="180"/>
      <c r="E1133" s="30"/>
      <c r="F1133" s="21"/>
      <c r="G1133" s="169"/>
      <c r="H1133" s="3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170"/>
      <c r="W1133" s="170"/>
      <c r="X1133" s="170"/>
    </row>
    <row r="1134">
      <c r="A1134" s="2"/>
      <c r="B1134" s="1"/>
      <c r="C1134" s="1"/>
      <c r="D1134" s="180"/>
      <c r="E1134" s="30"/>
      <c r="F1134" s="21"/>
      <c r="G1134" s="169"/>
      <c r="H1134" s="3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170"/>
      <c r="W1134" s="170"/>
      <c r="X1134" s="170"/>
    </row>
    <row r="1135">
      <c r="A1135" s="2"/>
      <c r="B1135" s="1"/>
      <c r="C1135" s="1"/>
      <c r="D1135" s="180"/>
      <c r="E1135" s="30"/>
      <c r="F1135" s="21"/>
      <c r="G1135" s="169"/>
      <c r="H1135" s="3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170"/>
      <c r="W1135" s="170"/>
      <c r="X1135" s="170"/>
    </row>
    <row r="1136">
      <c r="A1136" s="2"/>
      <c r="B1136" s="1"/>
      <c r="C1136" s="1"/>
      <c r="D1136" s="180"/>
      <c r="E1136" s="30"/>
      <c r="F1136" s="21"/>
      <c r="G1136" s="169"/>
      <c r="H1136" s="3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170"/>
      <c r="W1136" s="170"/>
      <c r="X1136" s="170"/>
    </row>
    <row r="1137">
      <c r="A1137" s="2"/>
      <c r="B1137" s="1"/>
      <c r="C1137" s="1"/>
      <c r="D1137" s="180"/>
      <c r="E1137" s="30"/>
      <c r="F1137" s="21"/>
      <c r="G1137" s="169"/>
      <c r="H1137" s="3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170"/>
      <c r="W1137" s="170"/>
      <c r="X1137" s="170"/>
    </row>
    <row r="1138">
      <c r="A1138" s="2"/>
      <c r="B1138" s="1"/>
      <c r="C1138" s="1"/>
      <c r="D1138" s="180"/>
      <c r="E1138" s="30"/>
      <c r="F1138" s="21"/>
      <c r="G1138" s="169"/>
      <c r="H1138" s="3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170"/>
      <c r="W1138" s="170"/>
      <c r="X1138" s="170"/>
    </row>
    <row r="1139">
      <c r="A1139" s="2"/>
      <c r="B1139" s="1"/>
      <c r="C1139" s="1"/>
      <c r="D1139" s="180"/>
      <c r="E1139" s="30"/>
      <c r="F1139" s="21"/>
      <c r="G1139" s="169"/>
      <c r="H1139" s="3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170"/>
      <c r="W1139" s="170"/>
      <c r="X1139" s="170"/>
    </row>
    <row r="1140">
      <c r="A1140" s="2"/>
      <c r="B1140" s="1"/>
      <c r="C1140" s="1"/>
      <c r="D1140" s="180"/>
      <c r="E1140" s="30"/>
      <c r="F1140" s="21"/>
      <c r="G1140" s="169"/>
      <c r="H1140" s="3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170"/>
      <c r="W1140" s="170"/>
      <c r="X1140" s="170"/>
    </row>
    <row r="1141">
      <c r="A1141" s="2"/>
      <c r="B1141" s="1"/>
      <c r="C1141" s="1"/>
      <c r="D1141" s="180"/>
      <c r="E1141" s="30"/>
      <c r="F1141" s="21"/>
      <c r="G1141" s="169"/>
      <c r="H1141" s="3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170"/>
      <c r="W1141" s="170"/>
      <c r="X1141" s="170"/>
    </row>
    <row r="1142">
      <c r="A1142" s="2"/>
      <c r="B1142" s="1"/>
      <c r="C1142" s="1"/>
      <c r="D1142" s="180"/>
      <c r="E1142" s="30"/>
      <c r="F1142" s="21"/>
      <c r="G1142" s="169"/>
      <c r="H1142" s="3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170"/>
      <c r="W1142" s="170"/>
      <c r="X1142" s="170"/>
    </row>
    <row r="1143">
      <c r="A1143" s="2"/>
      <c r="B1143" s="1"/>
      <c r="C1143" s="1"/>
      <c r="D1143" s="180"/>
      <c r="E1143" s="30"/>
      <c r="F1143" s="21"/>
      <c r="G1143" s="169"/>
      <c r="H1143" s="3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170"/>
      <c r="W1143" s="170"/>
      <c r="X1143" s="170"/>
    </row>
    <row r="1144">
      <c r="A1144" s="2"/>
      <c r="B1144" s="1"/>
      <c r="C1144" s="1"/>
      <c r="D1144" s="180"/>
      <c r="E1144" s="30"/>
      <c r="F1144" s="21"/>
      <c r="G1144" s="169"/>
      <c r="H1144" s="3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170"/>
      <c r="W1144" s="170"/>
      <c r="X1144" s="170"/>
    </row>
    <row r="1145">
      <c r="A1145" s="2"/>
      <c r="B1145" s="1"/>
      <c r="C1145" s="1"/>
      <c r="D1145" s="180"/>
      <c r="E1145" s="30"/>
      <c r="F1145" s="21"/>
      <c r="G1145" s="169"/>
      <c r="H1145" s="3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170"/>
      <c r="W1145" s="170"/>
      <c r="X1145" s="170"/>
    </row>
    <row r="1146">
      <c r="A1146" s="2"/>
      <c r="B1146" s="1"/>
      <c r="C1146" s="1"/>
      <c r="D1146" s="180"/>
      <c r="E1146" s="30"/>
      <c r="F1146" s="21"/>
      <c r="G1146" s="169"/>
      <c r="H1146" s="3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170"/>
      <c r="W1146" s="170"/>
      <c r="X1146" s="170"/>
    </row>
    <row r="1147">
      <c r="A1147" s="2"/>
      <c r="B1147" s="1"/>
      <c r="C1147" s="1"/>
      <c r="D1147" s="180"/>
      <c r="E1147" s="30"/>
      <c r="F1147" s="21"/>
      <c r="G1147" s="169"/>
      <c r="H1147" s="3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170"/>
      <c r="W1147" s="170"/>
      <c r="X1147" s="170"/>
    </row>
    <row r="1148">
      <c r="A1148" s="2"/>
      <c r="B1148" s="1"/>
      <c r="C1148" s="1"/>
      <c r="D1148" s="180"/>
      <c r="E1148" s="30"/>
      <c r="F1148" s="21"/>
      <c r="G1148" s="169"/>
      <c r="H1148" s="3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170"/>
      <c r="W1148" s="170"/>
      <c r="X1148" s="170"/>
    </row>
    <row r="1149">
      <c r="A1149" s="2"/>
      <c r="B1149" s="1"/>
      <c r="C1149" s="1"/>
      <c r="D1149" s="180"/>
      <c r="E1149" s="30"/>
      <c r="F1149" s="21"/>
      <c r="G1149" s="169"/>
      <c r="H1149" s="3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170"/>
      <c r="W1149" s="170"/>
      <c r="X1149" s="170"/>
    </row>
    <row r="1150">
      <c r="A1150" s="2"/>
      <c r="B1150" s="1"/>
      <c r="C1150" s="1"/>
      <c r="D1150" s="180"/>
      <c r="E1150" s="30"/>
      <c r="F1150" s="21"/>
      <c r="G1150" s="169"/>
      <c r="H1150" s="3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170"/>
      <c r="W1150" s="170"/>
      <c r="X1150" s="170"/>
    </row>
    <row r="1151">
      <c r="A1151" s="2"/>
      <c r="B1151" s="1"/>
      <c r="C1151" s="1"/>
      <c r="D1151" s="180"/>
      <c r="E1151" s="30"/>
      <c r="F1151" s="21"/>
      <c r="G1151" s="169"/>
      <c r="H1151" s="3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170"/>
      <c r="W1151" s="170"/>
      <c r="X1151" s="170"/>
    </row>
    <row r="1152">
      <c r="A1152" s="2"/>
      <c r="B1152" s="1"/>
      <c r="C1152" s="1"/>
      <c r="D1152" s="180"/>
      <c r="E1152" s="30"/>
      <c r="F1152" s="21"/>
      <c r="G1152" s="169"/>
      <c r="H1152" s="3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170"/>
      <c r="W1152" s="170"/>
      <c r="X1152" s="170"/>
    </row>
    <row r="1153">
      <c r="A1153" s="2"/>
      <c r="B1153" s="1"/>
      <c r="C1153" s="1"/>
      <c r="D1153" s="180"/>
      <c r="E1153" s="30"/>
      <c r="F1153" s="21"/>
      <c r="G1153" s="169"/>
      <c r="H1153" s="3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170"/>
      <c r="W1153" s="170"/>
      <c r="X1153" s="170"/>
    </row>
    <row r="1154">
      <c r="A1154" s="2"/>
      <c r="B1154" s="1"/>
      <c r="C1154" s="1"/>
      <c r="D1154" s="180"/>
      <c r="E1154" s="30"/>
      <c r="F1154" s="21"/>
      <c r="G1154" s="169"/>
      <c r="H1154" s="3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170"/>
      <c r="W1154" s="170"/>
      <c r="X1154" s="170"/>
    </row>
    <row r="1155">
      <c r="A1155" s="2"/>
      <c r="B1155" s="1"/>
      <c r="C1155" s="1"/>
      <c r="D1155" s="180"/>
      <c r="E1155" s="30"/>
      <c r="F1155" s="21"/>
      <c r="G1155" s="169"/>
      <c r="H1155" s="3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170"/>
      <c r="W1155" s="170"/>
      <c r="X1155" s="170"/>
    </row>
    <row r="1156">
      <c r="A1156" s="2"/>
      <c r="B1156" s="1"/>
      <c r="C1156" s="1"/>
      <c r="D1156" s="180"/>
      <c r="E1156" s="30"/>
      <c r="F1156" s="21"/>
      <c r="G1156" s="169"/>
      <c r="H1156" s="3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170"/>
      <c r="W1156" s="170"/>
      <c r="X1156" s="170"/>
    </row>
    <row r="1157">
      <c r="A1157" s="2"/>
      <c r="B1157" s="1"/>
      <c r="C1157" s="1"/>
      <c r="D1157" s="180"/>
      <c r="E1157" s="30"/>
      <c r="F1157" s="21"/>
      <c r="G1157" s="169"/>
      <c r="H1157" s="3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170"/>
      <c r="W1157" s="170"/>
      <c r="X1157" s="170"/>
    </row>
    <row r="1158">
      <c r="A1158" s="2"/>
      <c r="B1158" s="1"/>
      <c r="C1158" s="1"/>
      <c r="D1158" s="180"/>
      <c r="E1158" s="30"/>
      <c r="F1158" s="21"/>
      <c r="G1158" s="169"/>
      <c r="H1158" s="3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170"/>
      <c r="W1158" s="170"/>
      <c r="X1158" s="170"/>
    </row>
    <row r="1159">
      <c r="A1159" s="2"/>
      <c r="B1159" s="1"/>
      <c r="C1159" s="1"/>
      <c r="D1159" s="180"/>
      <c r="E1159" s="30"/>
      <c r="F1159" s="21"/>
      <c r="G1159" s="169"/>
      <c r="H1159" s="3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170"/>
      <c r="W1159" s="170"/>
      <c r="X1159" s="170"/>
    </row>
    <row r="1160">
      <c r="A1160" s="2"/>
      <c r="B1160" s="1"/>
      <c r="C1160" s="1"/>
      <c r="D1160" s="180"/>
      <c r="E1160" s="30"/>
      <c r="F1160" s="21"/>
      <c r="G1160" s="169"/>
      <c r="H1160" s="3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170"/>
      <c r="W1160" s="170"/>
      <c r="X1160" s="170"/>
    </row>
    <row r="1161">
      <c r="A1161" s="2"/>
      <c r="B1161" s="1"/>
      <c r="C1161" s="1"/>
      <c r="D1161" s="180"/>
      <c r="E1161" s="30"/>
      <c r="F1161" s="21"/>
      <c r="G1161" s="169"/>
      <c r="H1161" s="3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170"/>
      <c r="W1161" s="170"/>
      <c r="X1161" s="170"/>
    </row>
    <row r="1162">
      <c r="A1162" s="2"/>
      <c r="B1162" s="1"/>
      <c r="C1162" s="1"/>
      <c r="D1162" s="180"/>
      <c r="E1162" s="30"/>
      <c r="F1162" s="21"/>
      <c r="G1162" s="169"/>
      <c r="H1162" s="3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170"/>
      <c r="W1162" s="170"/>
      <c r="X1162" s="170"/>
    </row>
    <row r="1163">
      <c r="A1163" s="2"/>
      <c r="B1163" s="1"/>
      <c r="C1163" s="1"/>
      <c r="D1163" s="180"/>
      <c r="E1163" s="30"/>
      <c r="F1163" s="21"/>
      <c r="G1163" s="169"/>
      <c r="H1163" s="3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170"/>
      <c r="W1163" s="170"/>
      <c r="X1163" s="170"/>
    </row>
  </sheetData>
  <autoFilter ref="$B$2:$F$59"/>
  <mergeCells count="1">
    <mergeCell ref="B3:B11"/>
  </mergeCells>
  <conditionalFormatting sqref="F3:F1163">
    <cfRule type="expression" dxfId="1" priority="1">
      <formula>SEARCH("цена от", E3)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1.38"/>
    <col customWidth="1" min="2" max="2" width="75.13"/>
    <col customWidth="1" hidden="1" min="3" max="3" width="9.5"/>
    <col customWidth="1" min="4" max="22" width="9.5"/>
  </cols>
  <sheetData>
    <row r="1">
      <c r="A1" s="191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2"/>
      <c r="N1" s="191"/>
      <c r="O1" s="191"/>
      <c r="P1" s="191"/>
      <c r="Q1" s="191"/>
      <c r="R1" s="193"/>
      <c r="S1" s="193"/>
      <c r="T1" s="193"/>
      <c r="U1" s="193"/>
      <c r="V1" s="193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1"/>
      <c r="AP1" s="191"/>
      <c r="AQ1" s="191"/>
      <c r="AR1" s="191"/>
      <c r="AS1" s="191"/>
      <c r="AT1" s="191"/>
      <c r="AU1" s="191"/>
      <c r="AV1" s="191"/>
      <c r="AW1" s="191"/>
      <c r="AX1" s="191"/>
      <c r="AY1" s="191"/>
      <c r="AZ1" s="191"/>
      <c r="BA1" s="191"/>
      <c r="BB1" s="191"/>
      <c r="BC1" s="191"/>
      <c r="BD1" s="191"/>
      <c r="BE1" s="191"/>
      <c r="BF1" s="191"/>
      <c r="BG1" s="191"/>
      <c r="BH1" s="191"/>
      <c r="BI1" s="191"/>
      <c r="BJ1" s="191"/>
      <c r="BK1" s="191"/>
      <c r="BL1" s="191"/>
      <c r="BM1" s="191"/>
      <c r="BN1" s="191"/>
      <c r="BO1" s="191"/>
      <c r="BP1" s="191"/>
      <c r="BQ1" s="191"/>
      <c r="BR1" s="191"/>
      <c r="BS1" s="191"/>
      <c r="BT1" s="191"/>
      <c r="BU1" s="191"/>
      <c r="BV1" s="191"/>
      <c r="BW1" s="191"/>
      <c r="BX1" s="191"/>
      <c r="BY1" s="191"/>
      <c r="BZ1" s="191"/>
      <c r="CA1" s="191"/>
      <c r="CB1" s="191"/>
      <c r="CC1" s="191"/>
      <c r="CD1" s="191"/>
      <c r="CE1" s="191"/>
      <c r="CF1" s="191"/>
      <c r="CG1" s="191"/>
      <c r="CH1" s="191"/>
      <c r="CI1" s="191"/>
      <c r="CJ1" s="191"/>
      <c r="CK1" s="191"/>
      <c r="CL1" s="191"/>
      <c r="CM1" s="191"/>
      <c r="CN1" s="191"/>
      <c r="CO1" s="191"/>
      <c r="CP1" s="191"/>
      <c r="CQ1" s="191"/>
      <c r="CR1" s="191"/>
      <c r="CS1" s="191"/>
      <c r="CT1" s="191"/>
      <c r="CU1" s="191"/>
      <c r="CV1" s="191"/>
      <c r="CW1" s="191"/>
      <c r="CX1" s="191"/>
      <c r="CY1" s="191"/>
      <c r="CZ1" s="191"/>
      <c r="DA1" s="191"/>
      <c r="DB1" s="191"/>
      <c r="DC1" s="191"/>
      <c r="DD1" s="191"/>
      <c r="DE1" s="191"/>
      <c r="DF1" s="191"/>
      <c r="DG1" s="191"/>
      <c r="DH1" s="191"/>
      <c r="DI1" s="191"/>
      <c r="DJ1" s="191"/>
      <c r="DK1" s="191"/>
      <c r="DL1" s="191"/>
      <c r="DM1" s="191"/>
      <c r="DN1" s="191"/>
      <c r="DO1" s="191"/>
      <c r="DP1" s="191"/>
      <c r="DQ1" s="191"/>
      <c r="DR1" s="191"/>
      <c r="DS1" s="191"/>
      <c r="DT1" s="191"/>
      <c r="DU1" s="191"/>
      <c r="DV1" s="191"/>
      <c r="DW1" s="191"/>
      <c r="DX1" s="191"/>
      <c r="DY1" s="191"/>
      <c r="DZ1" s="191"/>
      <c r="EA1" s="191"/>
      <c r="EB1" s="191"/>
      <c r="EC1" s="191"/>
      <c r="ED1" s="191"/>
      <c r="EE1" s="191"/>
      <c r="EF1" s="191"/>
      <c r="EG1" s="191"/>
      <c r="EH1" s="191"/>
      <c r="EI1" s="191"/>
      <c r="EJ1" s="191"/>
      <c r="EK1" s="191"/>
      <c r="EL1" s="191"/>
      <c r="EM1" s="191"/>
      <c r="EN1" s="191"/>
      <c r="EO1" s="191"/>
      <c r="EP1" s="191"/>
      <c r="EQ1" s="191"/>
      <c r="ER1" s="191"/>
      <c r="ES1" s="191"/>
      <c r="ET1" s="191"/>
      <c r="EU1" s="191"/>
      <c r="EV1" s="191"/>
      <c r="EW1" s="191"/>
      <c r="EX1" s="191"/>
      <c r="EY1" s="191"/>
      <c r="EZ1" s="191"/>
      <c r="FA1" s="191"/>
      <c r="FB1" s="191"/>
      <c r="FC1" s="191"/>
      <c r="FD1" s="191"/>
      <c r="FE1" s="191"/>
      <c r="FF1" s="191"/>
      <c r="FG1" s="191"/>
      <c r="FH1" s="191"/>
      <c r="FI1" s="191"/>
      <c r="FJ1" s="191"/>
      <c r="FK1" s="191"/>
    </row>
    <row r="2">
      <c r="A2" s="191"/>
      <c r="B2" s="194" t="s">
        <v>5246</v>
      </c>
      <c r="C2" s="195"/>
      <c r="D2" s="196">
        <v>0.27</v>
      </c>
      <c r="E2" s="196">
        <v>0.33</v>
      </c>
      <c r="F2" s="196">
        <v>0.45</v>
      </c>
      <c r="G2" s="196">
        <v>0.5</v>
      </c>
      <c r="H2" s="196">
        <v>0.6</v>
      </c>
      <c r="I2" s="196">
        <v>0.76</v>
      </c>
      <c r="J2" s="196">
        <v>0.76</v>
      </c>
      <c r="K2" s="196">
        <v>0.87</v>
      </c>
      <c r="L2" s="196">
        <v>0.87</v>
      </c>
      <c r="M2" s="197">
        <v>1.0</v>
      </c>
      <c r="N2" s="196">
        <v>1.0</v>
      </c>
      <c r="O2" s="196">
        <v>1.15</v>
      </c>
      <c r="P2" s="196">
        <v>1.15</v>
      </c>
      <c r="Q2" s="196">
        <v>1.32</v>
      </c>
      <c r="R2" s="196">
        <v>1.32</v>
      </c>
      <c r="S2" s="198">
        <v>1.52</v>
      </c>
      <c r="T2" s="198">
        <v>1.52</v>
      </c>
      <c r="U2" s="198">
        <v>1.75</v>
      </c>
      <c r="V2" s="199">
        <v>1.75</v>
      </c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/>
      <c r="BS2" s="191"/>
      <c r="BT2" s="191"/>
      <c r="BU2" s="191"/>
      <c r="BV2" s="191"/>
      <c r="BW2" s="191"/>
      <c r="BX2" s="191"/>
      <c r="BY2" s="191"/>
      <c r="BZ2" s="191"/>
      <c r="CA2" s="191"/>
      <c r="CB2" s="191"/>
      <c r="CC2" s="191"/>
      <c r="CD2" s="191"/>
      <c r="CE2" s="191"/>
      <c r="CF2" s="191"/>
      <c r="CG2" s="191"/>
      <c r="CH2" s="191"/>
      <c r="CI2" s="191"/>
      <c r="CJ2" s="191"/>
      <c r="CK2" s="191"/>
      <c r="CL2" s="191"/>
      <c r="CM2" s="191"/>
      <c r="CN2" s="191"/>
      <c r="CO2" s="191"/>
      <c r="CP2" s="191"/>
      <c r="CQ2" s="191"/>
      <c r="CR2" s="191"/>
      <c r="CS2" s="191"/>
      <c r="CT2" s="191"/>
      <c r="CU2" s="191"/>
      <c r="CV2" s="191"/>
      <c r="CW2" s="191"/>
      <c r="CX2" s="191"/>
      <c r="CY2" s="191"/>
      <c r="CZ2" s="191"/>
      <c r="DA2" s="191"/>
      <c r="DB2" s="191"/>
      <c r="DC2" s="191"/>
      <c r="DD2" s="191"/>
      <c r="DE2" s="191"/>
      <c r="DF2" s="191"/>
      <c r="DG2" s="191"/>
      <c r="DH2" s="191"/>
      <c r="DI2" s="191"/>
      <c r="DJ2" s="191"/>
      <c r="DK2" s="191"/>
      <c r="DL2" s="191"/>
      <c r="DM2" s="191"/>
      <c r="DN2" s="191"/>
      <c r="DO2" s="191"/>
      <c r="DP2" s="191"/>
      <c r="DQ2" s="191"/>
      <c r="DR2" s="191"/>
      <c r="DS2" s="191"/>
      <c r="DT2" s="191"/>
      <c r="DU2" s="191"/>
      <c r="DV2" s="191"/>
      <c r="DW2" s="191"/>
      <c r="DX2" s="191"/>
      <c r="DY2" s="191"/>
      <c r="DZ2" s="191"/>
      <c r="EA2" s="191"/>
      <c r="EB2" s="191"/>
      <c r="EC2" s="191"/>
      <c r="ED2" s="191"/>
      <c r="EE2" s="191"/>
      <c r="EF2" s="191"/>
      <c r="EG2" s="191"/>
      <c r="EH2" s="191"/>
      <c r="EI2" s="191"/>
      <c r="EJ2" s="191"/>
      <c r="EK2" s="191"/>
      <c r="EL2" s="191"/>
      <c r="EM2" s="191"/>
      <c r="EN2" s="191"/>
      <c r="EO2" s="191"/>
      <c r="EP2" s="191"/>
      <c r="EQ2" s="191"/>
      <c r="ER2" s="191"/>
      <c r="ES2" s="191"/>
      <c r="ET2" s="191"/>
      <c r="EU2" s="191"/>
      <c r="EV2" s="191"/>
      <c r="EW2" s="191"/>
      <c r="EX2" s="191"/>
      <c r="EY2" s="191"/>
      <c r="EZ2" s="191"/>
      <c r="FA2" s="191"/>
      <c r="FB2" s="191"/>
      <c r="FC2" s="191"/>
      <c r="FD2" s="191"/>
      <c r="FE2" s="191"/>
      <c r="FF2" s="191"/>
      <c r="FG2" s="191"/>
      <c r="FH2" s="191"/>
      <c r="FI2" s="191"/>
      <c r="FJ2" s="191"/>
      <c r="FK2" s="191"/>
    </row>
    <row r="3">
      <c r="A3" s="191"/>
      <c r="B3" s="200" t="s">
        <v>5247</v>
      </c>
      <c r="C3" s="201"/>
      <c r="D3" s="202">
        <v>1.0</v>
      </c>
      <c r="E3" s="202">
        <v>1.0</v>
      </c>
      <c r="F3" s="202">
        <v>1.0</v>
      </c>
      <c r="G3" s="202">
        <v>1.0</v>
      </c>
      <c r="H3" s="202">
        <v>1.0</v>
      </c>
      <c r="I3" s="202">
        <v>1.0</v>
      </c>
      <c r="J3" s="202">
        <v>1.05</v>
      </c>
      <c r="K3" s="202">
        <v>1.0</v>
      </c>
      <c r="L3" s="202">
        <v>1.05</v>
      </c>
      <c r="M3" s="203">
        <v>1.0</v>
      </c>
      <c r="N3" s="202">
        <v>1.05</v>
      </c>
      <c r="O3" s="202">
        <v>1.0</v>
      </c>
      <c r="P3" s="202">
        <v>1.05</v>
      </c>
      <c r="Q3" s="202">
        <v>1.0</v>
      </c>
      <c r="R3" s="202">
        <v>1.05</v>
      </c>
      <c r="S3" s="202">
        <v>1.0</v>
      </c>
      <c r="T3" s="202">
        <v>1.05</v>
      </c>
      <c r="U3" s="202">
        <v>1.0</v>
      </c>
      <c r="V3" s="204">
        <v>1.05</v>
      </c>
      <c r="W3" s="191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1"/>
      <c r="AP3" s="191"/>
      <c r="AQ3" s="191"/>
      <c r="AR3" s="191"/>
      <c r="AS3" s="191"/>
      <c r="AT3" s="191"/>
      <c r="AU3" s="191"/>
      <c r="AV3" s="191"/>
      <c r="AW3" s="191"/>
      <c r="AX3" s="191"/>
      <c r="AY3" s="191"/>
      <c r="AZ3" s="191"/>
      <c r="BA3" s="191"/>
      <c r="BB3" s="191"/>
      <c r="BC3" s="191"/>
      <c r="BD3" s="191"/>
      <c r="BE3" s="191"/>
      <c r="BF3" s="191"/>
      <c r="BG3" s="191"/>
      <c r="BH3" s="191"/>
      <c r="BI3" s="191"/>
      <c r="BJ3" s="191"/>
      <c r="BK3" s="191"/>
      <c r="BL3" s="191"/>
      <c r="BM3" s="191"/>
      <c r="BN3" s="191"/>
      <c r="BO3" s="191"/>
      <c r="BP3" s="191"/>
      <c r="BQ3" s="191"/>
      <c r="BR3" s="191"/>
      <c r="BS3" s="191"/>
      <c r="BT3" s="191"/>
      <c r="BU3" s="191"/>
      <c r="BV3" s="191"/>
      <c r="BW3" s="191"/>
      <c r="BX3" s="191"/>
      <c r="BY3" s="191"/>
      <c r="BZ3" s="191"/>
      <c r="CA3" s="191"/>
      <c r="CB3" s="191"/>
      <c r="CC3" s="191"/>
      <c r="CD3" s="191"/>
      <c r="CE3" s="191"/>
      <c r="CF3" s="191"/>
      <c r="CG3" s="191"/>
      <c r="CH3" s="191"/>
      <c r="CI3" s="191"/>
      <c r="CJ3" s="191"/>
      <c r="CK3" s="191"/>
      <c r="CL3" s="191"/>
      <c r="CM3" s="191"/>
      <c r="CN3" s="191"/>
      <c r="CO3" s="191"/>
      <c r="CP3" s="191"/>
      <c r="CQ3" s="191"/>
      <c r="CR3" s="191"/>
      <c r="CS3" s="191"/>
      <c r="CT3" s="191"/>
      <c r="CU3" s="191"/>
      <c r="CV3" s="191"/>
      <c r="CW3" s="191"/>
      <c r="CX3" s="191"/>
      <c r="CY3" s="191"/>
      <c r="CZ3" s="191"/>
      <c r="DA3" s="191"/>
      <c r="DB3" s="191"/>
      <c r="DC3" s="191"/>
      <c r="DD3" s="191"/>
      <c r="DE3" s="191"/>
      <c r="DF3" s="191"/>
      <c r="DG3" s="191"/>
      <c r="DH3" s="191"/>
      <c r="DI3" s="191"/>
      <c r="DJ3" s="191"/>
      <c r="DK3" s="191"/>
      <c r="DL3" s="191"/>
      <c r="DM3" s="191"/>
      <c r="DN3" s="191"/>
      <c r="DO3" s="191"/>
      <c r="DP3" s="191"/>
      <c r="DQ3" s="191"/>
      <c r="DR3" s="191"/>
      <c r="DS3" s="191"/>
      <c r="DT3" s="191"/>
      <c r="DU3" s="191"/>
      <c r="DV3" s="191"/>
      <c r="DW3" s="191"/>
      <c r="DX3" s="191"/>
      <c r="DY3" s="191"/>
      <c r="DZ3" s="191"/>
      <c r="EA3" s="191"/>
      <c r="EB3" s="191"/>
      <c r="EC3" s="191"/>
      <c r="ED3" s="191"/>
      <c r="EE3" s="191"/>
      <c r="EF3" s="191"/>
      <c r="EG3" s="191"/>
      <c r="EH3" s="191"/>
      <c r="EI3" s="191"/>
      <c r="EJ3" s="191"/>
      <c r="EK3" s="191"/>
      <c r="EL3" s="191"/>
      <c r="EM3" s="191"/>
      <c r="EN3" s="191"/>
      <c r="EO3" s="191"/>
      <c r="EP3" s="191"/>
      <c r="EQ3" s="191"/>
      <c r="ER3" s="191"/>
      <c r="ES3" s="191"/>
      <c r="ET3" s="191"/>
      <c r="EU3" s="191"/>
      <c r="EV3" s="191"/>
      <c r="EW3" s="191"/>
      <c r="EX3" s="191"/>
      <c r="EY3" s="191"/>
      <c r="EZ3" s="191"/>
      <c r="FA3" s="191"/>
      <c r="FB3" s="191"/>
      <c r="FC3" s="191"/>
      <c r="FD3" s="191"/>
      <c r="FE3" s="191"/>
      <c r="FF3" s="191"/>
      <c r="FG3" s="191"/>
      <c r="FH3" s="191"/>
      <c r="FI3" s="191"/>
      <c r="FJ3" s="191"/>
      <c r="FK3" s="191"/>
    </row>
    <row r="4">
      <c r="A4" s="191"/>
      <c r="B4" s="205" t="s">
        <v>5248</v>
      </c>
      <c r="C4" s="206" t="s">
        <v>5249</v>
      </c>
      <c r="D4" s="207" t="str">
        <f t="array" ref="D4:D48">{ "5                  SE 2016"; MAKEARRAY(15, 1, LAMBDA(r,c, "")); IF(M20:M48="", "", MROUND(M20:M48 * D2 * D3, 50)) }</f>
        <v>5                  SE 2016</v>
      </c>
      <c r="E4" s="207" t="str">
        <f t="array" ref="E4:E48">{ "6"; MAKEARRAY(15, 1, LAMBDA(r,c, "")); IF(M20:M48="", "", MROUND(M20:M48 * E2 * E3, 50)) }</f>
        <v>6</v>
      </c>
      <c r="F4" s="207" t="str">
        <f t="array" ref="F4:F48">{ "7"; MAKEARRAY(15, 1, LAMBDA(r,c, "")); IF(M20:M48="", "", MROUND(M20:M48 * F2 * F3, 50)) }</f>
        <v>7</v>
      </c>
      <c r="G4" s="207" t="str">
        <f t="array" ref="G4:G48">{ "8                     SE 2020             SE 2022"; MAKEARRAY(15, 1, LAMBDA(r,c, "")); IF(M20:M48="", "", MROUND(M20:M48 * G2 * G3, 50)) }</f>
        <v>8                     SE 2020             SE 2022</v>
      </c>
      <c r="H4" s="207" t="str">
        <f t="array" ref="H4:H48">{ "X"; MAKEARRAY(15, 1, LAMBDA(r,c, "")); IF(M20:M48="", "", MROUND(M20:M48 * H2 * H3, 50)) }</f>
        <v>X</v>
      </c>
      <c r="I4" s="207" t="str">
        <f t="array" ref="I4:I48">{ "11"; MAKEARRAY(15, 1, LAMBDA(r,c, "")); IF(M20:M48="", "", MROUND(M20:M48 * I2 * I3, 50)) }</f>
        <v>11</v>
      </c>
      <c r="J4" s="207" t="str">
        <f t="array" ref="J4:J48">{ "11 Pro             11 Pro Max"; MAKEARRAY(15, 1, LAMBDA(r,c, "")); IF(M20:M48="", "", MROUND(M20:M48 * J2 * J3, 50)) }</f>
        <v>11 Pro             11 Pro Max</v>
      </c>
      <c r="K4" s="207" t="str">
        <f t="array" ref="K4:K48">{ "12                       12 Mini"; MAKEARRAY(15, 1, LAMBDA(r,c, "")); IF(M20:M48="", "", MROUND(M20:M48 * K2 * K3, 50)) }</f>
        <v>12                       12 Mini</v>
      </c>
      <c r="L4" s="207" t="str">
        <f t="array" ref="L4:L48">{ "12 Pro           12 Pro Max"; MAKEARRAY(15, 1, LAMBDA(r,c, "")); IF(M20:M48="", "", MROUND(M20:M48 * L2 * L3, 50)) }</f>
        <v>12 Pro           12 Pro Max</v>
      </c>
      <c r="M4" s="208" t="s">
        <v>5250</v>
      </c>
      <c r="N4" s="207" t="str">
        <f t="array" ref="N4:N48">{ "13 Pro           13 Pro Max"; MAKEARRAY(15, 1, LAMBDA(r,c, "")); IF(M20:M48="", "", MROUND(M20:M48 * N2 * N3, 50)) }</f>
        <v>13 Pro           13 Pro Max</v>
      </c>
      <c r="O4" s="207" t="str">
        <f t="array" ref="O4:O48">{ "14                 14 Plus"; MAKEARRAY(15, 1, LAMBDA(r,c, "")); IF(M20:M48="", "", MROUND(M20:M48 * O2 * O3, 50)) }</f>
        <v>14                 14 Plus</v>
      </c>
      <c r="P4" s="207" t="str">
        <f t="array" ref="P4:P48">{ "14 Pro           14 Pro Max"; MAKEARRAY(15, 1, LAMBDA(r,c, "")); IF(M20:M48="", "", MROUND(M20:M48 * P2 * P3, 50)) }</f>
        <v>14 Pro           14 Pro Max</v>
      </c>
      <c r="Q4" s="207" t="str">
        <f t="array" ref="Q4:Q48">{ "15                  15 Plus"; MAKEARRAY(15, 1, LAMBDA(r,c, "")); IF(M20:M48="", "", MROUND(M20:M48 * Q2 * Q3, 50)) }</f>
        <v>15                  15 Plus</v>
      </c>
      <c r="R4" s="209" t="str">
        <f t="array" ref="R4:R48">{ "15 Pro           15 Pro Max"; MAKEARRAY(15, 1, LAMBDA(r,c, "")); IF(M20:M48="", "", MROUND(M20:M48 * R2 * R3, 50)) }</f>
        <v>15 Pro           15 Pro Max</v>
      </c>
      <c r="S4" s="209" t="str">
        <f t="array" ref="S4:S48">{ "16              16E                16 Plus"; MAKEARRAY(15, 1, LAMBDA(r,c, "")); IF(M20:M48="", "", MROUND(M20:M48 * S2 * S3, 50)) }</f>
        <v>16              16E                16 Plus</v>
      </c>
      <c r="T4" s="209" t="str">
        <f t="array" ref="T4:T48">{ "16 Pro           16 Pro Max"; MAKEARRAY(15, 1, LAMBDA(r,c, "")); IF(M20:M48="", "", MROUND(M20:M48 * T2 * T3, 50)) }</f>
        <v>16 Pro           16 Pro Max</v>
      </c>
      <c r="U4" s="209" t="str">
        <f t="array" ref="U4:U48">{ "17                   17 Air"; MAKEARRAY(15, 1, LAMBDA(r,c, "")); IF(M20:M48="", "", MROUND(M20:M48 * U2 * U3, 50)) }</f>
        <v>17                   17 Air</v>
      </c>
      <c r="V4" s="210" t="str">
        <f t="array" ref="V4:V48">{ "17 Pro                17 Pro Max"; MAKEARRAY(15, 1, LAMBDA(r,c, "")); IF(M20:M48="", "", MROUND(M20:M48 * V2 * V3, 50)) }</f>
        <v>17 Pro                17 Pro Max</v>
      </c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  <c r="BD4" s="191"/>
      <c r="BE4" s="191"/>
      <c r="BF4" s="191"/>
      <c r="BG4" s="191"/>
      <c r="BH4" s="191"/>
      <c r="BI4" s="191"/>
      <c r="BJ4" s="191"/>
      <c r="BK4" s="191"/>
      <c r="BL4" s="191"/>
      <c r="BM4" s="191"/>
      <c r="BN4" s="191"/>
      <c r="BO4" s="191"/>
      <c r="BP4" s="191"/>
      <c r="BQ4" s="191"/>
      <c r="BR4" s="191"/>
      <c r="BS4" s="191"/>
      <c r="BT4" s="191"/>
      <c r="BU4" s="191"/>
      <c r="BV4" s="191"/>
      <c r="BW4" s="191"/>
      <c r="BX4" s="191"/>
      <c r="BY4" s="191"/>
      <c r="BZ4" s="191"/>
      <c r="CA4" s="191"/>
      <c r="CB4" s="191"/>
      <c r="CC4" s="191"/>
      <c r="CD4" s="191"/>
      <c r="CE4" s="191"/>
      <c r="CF4" s="191"/>
      <c r="CG4" s="191"/>
      <c r="CH4" s="191"/>
      <c r="CI4" s="191"/>
      <c r="CJ4" s="191"/>
      <c r="CK4" s="191"/>
      <c r="CL4" s="191"/>
      <c r="CM4" s="191"/>
      <c r="CN4" s="191"/>
      <c r="CO4" s="191"/>
      <c r="CP4" s="191"/>
      <c r="CQ4" s="191"/>
      <c r="CR4" s="191"/>
      <c r="CS4" s="191"/>
      <c r="CT4" s="191"/>
      <c r="CU4" s="191"/>
      <c r="CV4" s="191"/>
      <c r="CW4" s="191"/>
      <c r="CX4" s="191"/>
      <c r="CY4" s="191"/>
      <c r="CZ4" s="191"/>
      <c r="DA4" s="191"/>
      <c r="DB4" s="191"/>
      <c r="DC4" s="191"/>
      <c r="DD4" s="191"/>
      <c r="DE4" s="191"/>
      <c r="DF4" s="191"/>
      <c r="DG4" s="191"/>
      <c r="DH4" s="191"/>
      <c r="DI4" s="191"/>
      <c r="DJ4" s="191"/>
      <c r="DK4" s="191"/>
      <c r="DL4" s="191"/>
      <c r="DM4" s="191"/>
      <c r="DN4" s="191"/>
      <c r="DO4" s="191"/>
      <c r="DP4" s="191"/>
      <c r="DQ4" s="191"/>
      <c r="DR4" s="191"/>
      <c r="DS4" s="191"/>
      <c r="DT4" s="191"/>
      <c r="DU4" s="191"/>
      <c r="DV4" s="191"/>
      <c r="DW4" s="191"/>
      <c r="DX4" s="191"/>
      <c r="DY4" s="191"/>
      <c r="DZ4" s="191"/>
      <c r="EA4" s="191"/>
      <c r="EB4" s="191"/>
      <c r="EC4" s="191"/>
      <c r="ED4" s="191"/>
      <c r="EE4" s="191"/>
      <c r="EF4" s="191"/>
      <c r="EG4" s="191"/>
      <c r="EH4" s="191"/>
      <c r="EI4" s="191"/>
      <c r="EJ4" s="191"/>
      <c r="EK4" s="191"/>
      <c r="EL4" s="191"/>
      <c r="EM4" s="191"/>
      <c r="EN4" s="191"/>
      <c r="EO4" s="191"/>
      <c r="EP4" s="191"/>
      <c r="EQ4" s="191"/>
      <c r="ER4" s="191"/>
      <c r="ES4" s="191"/>
      <c r="ET4" s="191"/>
      <c r="EU4" s="191"/>
      <c r="EV4" s="191"/>
      <c r="EW4" s="191"/>
      <c r="EX4" s="191"/>
      <c r="EY4" s="191"/>
      <c r="EZ4" s="191"/>
      <c r="FA4" s="191"/>
      <c r="FB4" s="191"/>
      <c r="FC4" s="191"/>
      <c r="FD4" s="191"/>
      <c r="FE4" s="191"/>
      <c r="FF4" s="191"/>
      <c r="FG4" s="191"/>
      <c r="FH4" s="191"/>
      <c r="FI4" s="191"/>
      <c r="FJ4" s="191"/>
      <c r="FK4" s="191"/>
    </row>
    <row r="5">
      <c r="A5" s="193"/>
      <c r="B5" s="211" t="s">
        <v>7</v>
      </c>
      <c r="C5" s="212">
        <v>1600.0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4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/>
      <c r="AS5" s="191"/>
      <c r="AT5" s="191"/>
      <c r="AU5" s="191"/>
      <c r="AV5" s="191"/>
      <c r="AW5" s="191"/>
      <c r="AX5" s="191"/>
      <c r="AY5" s="191"/>
      <c r="AZ5" s="191"/>
      <c r="BA5" s="191"/>
      <c r="BB5" s="191"/>
      <c r="BC5" s="191"/>
      <c r="BD5" s="191"/>
      <c r="BE5" s="191"/>
      <c r="BF5" s="191"/>
      <c r="BG5" s="191"/>
      <c r="BH5" s="191"/>
      <c r="BI5" s="191"/>
      <c r="BJ5" s="191"/>
      <c r="BK5" s="191"/>
      <c r="BL5" s="191"/>
      <c r="BM5" s="191"/>
      <c r="BN5" s="191"/>
      <c r="BO5" s="191"/>
      <c r="BP5" s="191"/>
      <c r="BQ5" s="191"/>
      <c r="BR5" s="191"/>
      <c r="BS5" s="191"/>
      <c r="BT5" s="191"/>
      <c r="BU5" s="191"/>
      <c r="BV5" s="191"/>
      <c r="BW5" s="191"/>
      <c r="BX5" s="191"/>
      <c r="BY5" s="191"/>
      <c r="BZ5" s="191"/>
      <c r="CA5" s="191"/>
      <c r="CB5" s="191"/>
      <c r="CC5" s="191"/>
      <c r="CD5" s="191"/>
      <c r="CE5" s="191"/>
      <c r="CF5" s="191"/>
      <c r="CG5" s="191"/>
      <c r="CH5" s="191"/>
      <c r="CI5" s="191"/>
      <c r="CJ5" s="191"/>
      <c r="CK5" s="191"/>
      <c r="CL5" s="191"/>
      <c r="CM5" s="191"/>
      <c r="CN5" s="191"/>
      <c r="CO5" s="191"/>
      <c r="CP5" s="191"/>
      <c r="CQ5" s="191"/>
      <c r="CR5" s="191"/>
      <c r="CS5" s="191"/>
      <c r="CT5" s="191"/>
      <c r="CU5" s="191"/>
      <c r="CV5" s="191"/>
      <c r="CW5" s="191"/>
      <c r="CX5" s="191"/>
      <c r="CY5" s="191"/>
      <c r="CZ5" s="191"/>
      <c r="DA5" s="191"/>
      <c r="DB5" s="191"/>
      <c r="DC5" s="191"/>
      <c r="DD5" s="191"/>
      <c r="DE5" s="191"/>
      <c r="DF5" s="191"/>
      <c r="DG5" s="191"/>
      <c r="DH5" s="191"/>
      <c r="DI5" s="191"/>
      <c r="DJ5" s="191"/>
      <c r="DK5" s="191"/>
      <c r="DL5" s="191"/>
      <c r="DM5" s="191"/>
      <c r="DN5" s="191"/>
      <c r="DO5" s="191"/>
      <c r="DP5" s="191"/>
      <c r="DQ5" s="191"/>
      <c r="DR5" s="191"/>
      <c r="DS5" s="191"/>
      <c r="DT5" s="191"/>
      <c r="DU5" s="191"/>
      <c r="DV5" s="191"/>
      <c r="DW5" s="191"/>
      <c r="DX5" s="191"/>
      <c r="DY5" s="191"/>
      <c r="DZ5" s="191"/>
      <c r="EA5" s="191"/>
      <c r="EB5" s="191"/>
      <c r="EC5" s="191"/>
      <c r="ED5" s="191"/>
      <c r="EE5" s="191"/>
      <c r="EF5" s="191"/>
      <c r="EG5" s="191"/>
      <c r="EH5" s="191"/>
      <c r="EI5" s="191"/>
      <c r="EJ5" s="191"/>
      <c r="EK5" s="191"/>
      <c r="EL5" s="191"/>
      <c r="EM5" s="191"/>
      <c r="EN5" s="191"/>
      <c r="EO5" s="191"/>
      <c r="EP5" s="191"/>
      <c r="EQ5" s="191"/>
      <c r="ER5" s="191"/>
      <c r="ES5" s="191"/>
      <c r="ET5" s="191"/>
      <c r="EU5" s="191"/>
      <c r="EV5" s="191"/>
      <c r="EW5" s="191"/>
      <c r="EX5" s="191"/>
      <c r="EY5" s="191"/>
      <c r="EZ5" s="191"/>
      <c r="FA5" s="191"/>
      <c r="FB5" s="191"/>
      <c r="FC5" s="191"/>
      <c r="FD5" s="191"/>
      <c r="FE5" s="191"/>
      <c r="FF5" s="191"/>
      <c r="FG5" s="191"/>
      <c r="FH5" s="191"/>
      <c r="FI5" s="191"/>
      <c r="FJ5" s="191"/>
      <c r="FK5" s="191"/>
    </row>
    <row r="6">
      <c r="A6" s="193"/>
      <c r="B6" s="211" t="s">
        <v>9</v>
      </c>
      <c r="C6" s="212">
        <v>2200.0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4"/>
      <c r="W6" s="191"/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  <c r="AL6" s="191"/>
      <c r="AM6" s="191"/>
      <c r="AN6" s="191"/>
      <c r="AO6" s="191"/>
      <c r="AP6" s="191"/>
      <c r="AQ6" s="191"/>
      <c r="AR6" s="191"/>
      <c r="AS6" s="191"/>
      <c r="AT6" s="191"/>
      <c r="AU6" s="191"/>
      <c r="AV6" s="191"/>
      <c r="AW6" s="191"/>
      <c r="AX6" s="191"/>
      <c r="AY6" s="191"/>
      <c r="AZ6" s="191"/>
      <c r="BA6" s="191"/>
      <c r="BB6" s="191"/>
      <c r="BC6" s="191"/>
      <c r="BD6" s="191"/>
      <c r="BE6" s="191"/>
      <c r="BF6" s="191"/>
      <c r="BG6" s="191"/>
      <c r="BH6" s="191"/>
      <c r="BI6" s="191"/>
      <c r="BJ6" s="191"/>
      <c r="BK6" s="191"/>
      <c r="BL6" s="191"/>
      <c r="BM6" s="191"/>
      <c r="BN6" s="191"/>
      <c r="BO6" s="191"/>
      <c r="BP6" s="191"/>
      <c r="BQ6" s="191"/>
      <c r="BR6" s="191"/>
      <c r="BS6" s="191"/>
      <c r="BT6" s="191"/>
      <c r="BU6" s="191"/>
      <c r="BV6" s="191"/>
      <c r="BW6" s="191"/>
      <c r="BX6" s="191"/>
      <c r="BY6" s="191"/>
      <c r="BZ6" s="191"/>
      <c r="CA6" s="191"/>
      <c r="CB6" s="191"/>
      <c r="CC6" s="191"/>
      <c r="CD6" s="191"/>
      <c r="CE6" s="191"/>
      <c r="CF6" s="191"/>
      <c r="CG6" s="191"/>
      <c r="CH6" s="191"/>
      <c r="CI6" s="191"/>
      <c r="CJ6" s="191"/>
      <c r="CK6" s="191"/>
      <c r="CL6" s="191"/>
      <c r="CM6" s="191"/>
      <c r="CN6" s="191"/>
      <c r="CO6" s="191"/>
      <c r="CP6" s="191"/>
      <c r="CQ6" s="191"/>
      <c r="CR6" s="191"/>
      <c r="CS6" s="191"/>
      <c r="CT6" s="191"/>
      <c r="CU6" s="191"/>
      <c r="CV6" s="191"/>
      <c r="CW6" s="191"/>
      <c r="CX6" s="191"/>
      <c r="CY6" s="191"/>
      <c r="CZ6" s="191"/>
      <c r="DA6" s="191"/>
      <c r="DB6" s="191"/>
      <c r="DC6" s="191"/>
      <c r="DD6" s="191"/>
      <c r="DE6" s="191"/>
      <c r="DF6" s="191"/>
      <c r="DG6" s="191"/>
      <c r="DH6" s="191"/>
      <c r="DI6" s="191"/>
      <c r="DJ6" s="191"/>
      <c r="DK6" s="191"/>
      <c r="DL6" s="191"/>
      <c r="DM6" s="191"/>
      <c r="DN6" s="191"/>
      <c r="DO6" s="191"/>
      <c r="DP6" s="191"/>
      <c r="DQ6" s="191"/>
      <c r="DR6" s="191"/>
      <c r="DS6" s="191"/>
      <c r="DT6" s="191"/>
      <c r="DU6" s="191"/>
      <c r="DV6" s="191"/>
      <c r="DW6" s="191"/>
      <c r="DX6" s="191"/>
      <c r="DY6" s="191"/>
      <c r="DZ6" s="191"/>
      <c r="EA6" s="191"/>
      <c r="EB6" s="191"/>
      <c r="EC6" s="191"/>
      <c r="ED6" s="191"/>
      <c r="EE6" s="191"/>
      <c r="EF6" s="191"/>
      <c r="EG6" s="191"/>
      <c r="EH6" s="191"/>
      <c r="EI6" s="191"/>
      <c r="EJ6" s="191"/>
      <c r="EK6" s="191"/>
      <c r="EL6" s="191"/>
      <c r="EM6" s="191"/>
      <c r="EN6" s="191"/>
      <c r="EO6" s="191"/>
      <c r="EP6" s="191"/>
      <c r="EQ6" s="191"/>
      <c r="ER6" s="191"/>
      <c r="ES6" s="191"/>
      <c r="ET6" s="191"/>
      <c r="EU6" s="191"/>
      <c r="EV6" s="191"/>
      <c r="EW6" s="191"/>
      <c r="EX6" s="191"/>
      <c r="EY6" s="191"/>
      <c r="EZ6" s="191"/>
      <c r="FA6" s="191"/>
      <c r="FB6" s="191"/>
      <c r="FC6" s="191"/>
      <c r="FD6" s="191"/>
      <c r="FE6" s="191"/>
      <c r="FF6" s="191"/>
      <c r="FG6" s="191"/>
      <c r="FH6" s="191"/>
      <c r="FI6" s="191"/>
      <c r="FJ6" s="191"/>
      <c r="FK6" s="191"/>
    </row>
    <row r="7">
      <c r="A7" s="193"/>
      <c r="B7" s="211" t="s">
        <v>11</v>
      </c>
      <c r="C7" s="212">
        <v>4100.0</v>
      </c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4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  <c r="AL7" s="191"/>
      <c r="AM7" s="191"/>
      <c r="AN7" s="191"/>
      <c r="AO7" s="191"/>
      <c r="AP7" s="191"/>
      <c r="AQ7" s="191"/>
      <c r="AR7" s="191"/>
      <c r="AS7" s="191"/>
      <c r="AT7" s="191"/>
      <c r="AU7" s="191"/>
      <c r="AV7" s="191"/>
      <c r="AW7" s="191"/>
      <c r="AX7" s="191"/>
      <c r="AY7" s="191"/>
      <c r="AZ7" s="191"/>
      <c r="BA7" s="191"/>
      <c r="BB7" s="191"/>
      <c r="BC7" s="191"/>
      <c r="BD7" s="191"/>
      <c r="BE7" s="191"/>
      <c r="BF7" s="191"/>
      <c r="BG7" s="191"/>
      <c r="BH7" s="191"/>
      <c r="BI7" s="191"/>
      <c r="BJ7" s="191"/>
      <c r="BK7" s="191"/>
      <c r="BL7" s="191"/>
      <c r="BM7" s="191"/>
      <c r="BN7" s="191"/>
      <c r="BO7" s="191"/>
      <c r="BP7" s="191"/>
      <c r="BQ7" s="191"/>
      <c r="BR7" s="191"/>
      <c r="BS7" s="191"/>
      <c r="BT7" s="191"/>
      <c r="BU7" s="191"/>
      <c r="BV7" s="191"/>
      <c r="BW7" s="191"/>
      <c r="BX7" s="191"/>
      <c r="BY7" s="191"/>
      <c r="BZ7" s="191"/>
      <c r="CA7" s="191"/>
      <c r="CB7" s="191"/>
      <c r="CC7" s="191"/>
      <c r="CD7" s="191"/>
      <c r="CE7" s="191"/>
      <c r="CF7" s="191"/>
      <c r="CG7" s="191"/>
      <c r="CH7" s="191"/>
      <c r="CI7" s="191"/>
      <c r="CJ7" s="191"/>
      <c r="CK7" s="191"/>
      <c r="CL7" s="191"/>
      <c r="CM7" s="191"/>
      <c r="CN7" s="191"/>
      <c r="CO7" s="191"/>
      <c r="CP7" s="191"/>
      <c r="CQ7" s="191"/>
      <c r="CR7" s="191"/>
      <c r="CS7" s="191"/>
      <c r="CT7" s="191"/>
      <c r="CU7" s="191"/>
      <c r="CV7" s="191"/>
      <c r="CW7" s="191"/>
      <c r="CX7" s="191"/>
      <c r="CY7" s="191"/>
      <c r="CZ7" s="191"/>
      <c r="DA7" s="191"/>
      <c r="DB7" s="191"/>
      <c r="DC7" s="191"/>
      <c r="DD7" s="191"/>
      <c r="DE7" s="191"/>
      <c r="DF7" s="191"/>
      <c r="DG7" s="191"/>
      <c r="DH7" s="191"/>
      <c r="DI7" s="191"/>
      <c r="DJ7" s="191"/>
      <c r="DK7" s="191"/>
      <c r="DL7" s="191"/>
      <c r="DM7" s="191"/>
      <c r="DN7" s="191"/>
      <c r="DO7" s="191"/>
      <c r="DP7" s="191"/>
      <c r="DQ7" s="191"/>
      <c r="DR7" s="191"/>
      <c r="DS7" s="191"/>
      <c r="DT7" s="191"/>
      <c r="DU7" s="191"/>
      <c r="DV7" s="191"/>
      <c r="DW7" s="191"/>
      <c r="DX7" s="191"/>
      <c r="DY7" s="191"/>
      <c r="DZ7" s="191"/>
      <c r="EA7" s="191"/>
      <c r="EB7" s="191"/>
      <c r="EC7" s="191"/>
      <c r="ED7" s="191"/>
      <c r="EE7" s="191"/>
      <c r="EF7" s="191"/>
      <c r="EG7" s="191"/>
      <c r="EH7" s="191"/>
      <c r="EI7" s="191"/>
      <c r="EJ7" s="191"/>
      <c r="EK7" s="191"/>
      <c r="EL7" s="191"/>
      <c r="EM7" s="191"/>
      <c r="EN7" s="191"/>
      <c r="EO7" s="191"/>
      <c r="EP7" s="191"/>
      <c r="EQ7" s="191"/>
      <c r="ER7" s="191"/>
      <c r="ES7" s="191"/>
      <c r="ET7" s="191"/>
      <c r="EU7" s="191"/>
      <c r="EV7" s="191"/>
      <c r="EW7" s="191"/>
      <c r="EX7" s="191"/>
      <c r="EY7" s="191"/>
      <c r="EZ7" s="191"/>
      <c r="FA7" s="191"/>
      <c r="FB7" s="191"/>
      <c r="FC7" s="191"/>
      <c r="FD7" s="191"/>
      <c r="FE7" s="191"/>
      <c r="FF7" s="191"/>
      <c r="FG7" s="191"/>
      <c r="FH7" s="191"/>
      <c r="FI7" s="191"/>
      <c r="FJ7" s="191"/>
      <c r="FK7" s="191"/>
    </row>
    <row r="8">
      <c r="A8" s="193"/>
      <c r="B8" s="211" t="s">
        <v>13</v>
      </c>
      <c r="C8" s="212">
        <v>5100.0</v>
      </c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4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1"/>
      <c r="AY8" s="191"/>
      <c r="AZ8" s="191"/>
      <c r="BA8" s="191"/>
      <c r="BB8" s="191"/>
      <c r="BC8" s="191"/>
      <c r="BD8" s="191"/>
      <c r="BE8" s="191"/>
      <c r="BF8" s="191"/>
      <c r="BG8" s="191"/>
      <c r="BH8" s="191"/>
      <c r="BI8" s="191"/>
      <c r="BJ8" s="191"/>
      <c r="BK8" s="191"/>
      <c r="BL8" s="191"/>
      <c r="BM8" s="191"/>
      <c r="BN8" s="191"/>
      <c r="BO8" s="191"/>
      <c r="BP8" s="191"/>
      <c r="BQ8" s="191"/>
      <c r="BR8" s="191"/>
      <c r="BS8" s="191"/>
      <c r="BT8" s="191"/>
      <c r="BU8" s="191"/>
      <c r="BV8" s="191"/>
      <c r="BW8" s="191"/>
      <c r="BX8" s="191"/>
      <c r="BY8" s="191"/>
      <c r="BZ8" s="191"/>
      <c r="CA8" s="191"/>
      <c r="CB8" s="191"/>
      <c r="CC8" s="191"/>
      <c r="CD8" s="191"/>
      <c r="CE8" s="191"/>
      <c r="CF8" s="191"/>
      <c r="CG8" s="191"/>
      <c r="CH8" s="191"/>
      <c r="CI8" s="191"/>
      <c r="CJ8" s="191"/>
      <c r="CK8" s="191"/>
      <c r="CL8" s="191"/>
      <c r="CM8" s="191"/>
      <c r="CN8" s="191"/>
      <c r="CO8" s="191"/>
      <c r="CP8" s="191"/>
      <c r="CQ8" s="191"/>
      <c r="CR8" s="191"/>
      <c r="CS8" s="191"/>
      <c r="CT8" s="191"/>
      <c r="CU8" s="191"/>
      <c r="CV8" s="191"/>
      <c r="CW8" s="191"/>
      <c r="CX8" s="191"/>
      <c r="CY8" s="191"/>
      <c r="CZ8" s="191"/>
      <c r="DA8" s="191"/>
      <c r="DB8" s="191"/>
      <c r="DC8" s="191"/>
      <c r="DD8" s="191"/>
      <c r="DE8" s="191"/>
      <c r="DF8" s="191"/>
      <c r="DG8" s="191"/>
      <c r="DH8" s="191"/>
      <c r="DI8" s="191"/>
      <c r="DJ8" s="191"/>
      <c r="DK8" s="191"/>
      <c r="DL8" s="191"/>
      <c r="DM8" s="191"/>
      <c r="DN8" s="191"/>
      <c r="DO8" s="191"/>
      <c r="DP8" s="191"/>
      <c r="DQ8" s="191"/>
      <c r="DR8" s="191"/>
      <c r="DS8" s="191"/>
      <c r="DT8" s="191"/>
      <c r="DU8" s="191"/>
      <c r="DV8" s="191"/>
      <c r="DW8" s="191"/>
      <c r="DX8" s="191"/>
      <c r="DY8" s="191"/>
      <c r="DZ8" s="191"/>
      <c r="EA8" s="191"/>
      <c r="EB8" s="191"/>
      <c r="EC8" s="191"/>
      <c r="ED8" s="191"/>
      <c r="EE8" s="191"/>
      <c r="EF8" s="191"/>
      <c r="EG8" s="191"/>
      <c r="EH8" s="191"/>
      <c r="EI8" s="191"/>
      <c r="EJ8" s="191"/>
      <c r="EK8" s="191"/>
      <c r="EL8" s="191"/>
      <c r="EM8" s="191"/>
      <c r="EN8" s="191"/>
      <c r="EO8" s="191"/>
      <c r="EP8" s="191"/>
      <c r="EQ8" s="191"/>
      <c r="ER8" s="191"/>
      <c r="ES8" s="191"/>
      <c r="ET8" s="191"/>
      <c r="EU8" s="191"/>
      <c r="EV8" s="191"/>
      <c r="EW8" s="191"/>
      <c r="EX8" s="191"/>
      <c r="EY8" s="191"/>
      <c r="EZ8" s="191"/>
      <c r="FA8" s="191"/>
      <c r="FB8" s="191"/>
      <c r="FC8" s="191"/>
      <c r="FD8" s="191"/>
      <c r="FE8" s="191"/>
      <c r="FF8" s="191"/>
      <c r="FG8" s="191"/>
      <c r="FH8" s="191"/>
      <c r="FI8" s="191"/>
      <c r="FJ8" s="191"/>
      <c r="FK8" s="191"/>
    </row>
    <row r="9">
      <c r="A9" s="193"/>
      <c r="B9" s="211" t="s">
        <v>15</v>
      </c>
      <c r="C9" s="215" t="s">
        <v>1540</v>
      </c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4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  <c r="AL9" s="191"/>
      <c r="AM9" s="191"/>
      <c r="AN9" s="191"/>
      <c r="AO9" s="191"/>
      <c r="AP9" s="191"/>
      <c r="AQ9" s="191"/>
      <c r="AR9" s="191"/>
      <c r="AS9" s="191"/>
      <c r="AT9" s="191"/>
      <c r="AU9" s="191"/>
      <c r="AV9" s="191"/>
      <c r="AW9" s="191"/>
      <c r="AX9" s="191"/>
      <c r="AY9" s="191"/>
      <c r="AZ9" s="191"/>
      <c r="BA9" s="191"/>
      <c r="BB9" s="191"/>
      <c r="BC9" s="191"/>
      <c r="BD9" s="191"/>
      <c r="BE9" s="191"/>
      <c r="BF9" s="191"/>
      <c r="BG9" s="191"/>
      <c r="BH9" s="191"/>
      <c r="BI9" s="191"/>
      <c r="BJ9" s="191"/>
      <c r="BK9" s="191"/>
      <c r="BL9" s="191"/>
      <c r="BM9" s="191"/>
      <c r="BN9" s="191"/>
      <c r="BO9" s="191"/>
      <c r="BP9" s="191"/>
      <c r="BQ9" s="191"/>
      <c r="BR9" s="191"/>
      <c r="BS9" s="191"/>
      <c r="BT9" s="191"/>
      <c r="BU9" s="191"/>
      <c r="BV9" s="191"/>
      <c r="BW9" s="191"/>
      <c r="BX9" s="191"/>
      <c r="BY9" s="191"/>
      <c r="BZ9" s="191"/>
      <c r="CA9" s="191"/>
      <c r="CB9" s="191"/>
      <c r="CC9" s="191"/>
      <c r="CD9" s="191"/>
      <c r="CE9" s="191"/>
      <c r="CF9" s="191"/>
      <c r="CG9" s="191"/>
      <c r="CH9" s="191"/>
      <c r="CI9" s="191"/>
      <c r="CJ9" s="191"/>
      <c r="CK9" s="191"/>
      <c r="CL9" s="191"/>
      <c r="CM9" s="191"/>
      <c r="CN9" s="191"/>
      <c r="CO9" s="191"/>
      <c r="CP9" s="191"/>
      <c r="CQ9" s="191"/>
      <c r="CR9" s="191"/>
      <c r="CS9" s="191"/>
      <c r="CT9" s="191"/>
      <c r="CU9" s="191"/>
      <c r="CV9" s="191"/>
      <c r="CW9" s="191"/>
      <c r="CX9" s="191"/>
      <c r="CY9" s="191"/>
      <c r="CZ9" s="191"/>
      <c r="DA9" s="191"/>
      <c r="DB9" s="191"/>
      <c r="DC9" s="191"/>
      <c r="DD9" s="191"/>
      <c r="DE9" s="191"/>
      <c r="DF9" s="191"/>
      <c r="DG9" s="191"/>
      <c r="DH9" s="191"/>
      <c r="DI9" s="191"/>
      <c r="DJ9" s="191"/>
      <c r="DK9" s="191"/>
      <c r="DL9" s="191"/>
      <c r="DM9" s="191"/>
      <c r="DN9" s="191"/>
      <c r="DO9" s="191"/>
      <c r="DP9" s="191"/>
      <c r="DQ9" s="191"/>
      <c r="DR9" s="191"/>
      <c r="DS9" s="191"/>
      <c r="DT9" s="191"/>
      <c r="DU9" s="191"/>
      <c r="DV9" s="191"/>
      <c r="DW9" s="191"/>
      <c r="DX9" s="191"/>
      <c r="DY9" s="191"/>
      <c r="DZ9" s="191"/>
      <c r="EA9" s="191"/>
      <c r="EB9" s="191"/>
      <c r="EC9" s="191"/>
      <c r="ED9" s="191"/>
      <c r="EE9" s="191"/>
      <c r="EF9" s="191"/>
      <c r="EG9" s="191"/>
      <c r="EH9" s="191"/>
      <c r="EI9" s="191"/>
      <c r="EJ9" s="191"/>
      <c r="EK9" s="191"/>
      <c r="EL9" s="191"/>
      <c r="EM9" s="191"/>
      <c r="EN9" s="191"/>
      <c r="EO9" s="191"/>
      <c r="EP9" s="191"/>
      <c r="EQ9" s="191"/>
      <c r="ER9" s="191"/>
      <c r="ES9" s="191"/>
      <c r="ET9" s="191"/>
      <c r="EU9" s="191"/>
      <c r="EV9" s="191"/>
      <c r="EW9" s="191"/>
      <c r="EX9" s="191"/>
      <c r="EY9" s="191"/>
      <c r="EZ9" s="191"/>
      <c r="FA9" s="191"/>
      <c r="FB9" s="191"/>
      <c r="FC9" s="191"/>
      <c r="FD9" s="191"/>
      <c r="FE9" s="191"/>
      <c r="FF9" s="191"/>
      <c r="FG9" s="191"/>
      <c r="FH9" s="191"/>
      <c r="FI9" s="191"/>
      <c r="FJ9" s="191"/>
      <c r="FK9" s="191"/>
    </row>
    <row r="10">
      <c r="A10" s="191"/>
      <c r="B10" s="216" t="s">
        <v>16</v>
      </c>
      <c r="C10" s="215">
        <v>500.0</v>
      </c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4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AL10" s="191"/>
      <c r="AM10" s="191"/>
      <c r="AN10" s="191"/>
      <c r="AO10" s="191"/>
      <c r="AP10" s="191"/>
      <c r="AQ10" s="191"/>
      <c r="AR10" s="191"/>
      <c r="AS10" s="191"/>
      <c r="AT10" s="191"/>
      <c r="AU10" s="191"/>
      <c r="AV10" s="191"/>
      <c r="AW10" s="191"/>
      <c r="AX10" s="191"/>
      <c r="AY10" s="191"/>
      <c r="AZ10" s="191"/>
      <c r="BA10" s="191"/>
      <c r="BB10" s="191"/>
      <c r="BC10" s="191"/>
      <c r="BD10" s="191"/>
      <c r="BE10" s="191"/>
      <c r="BF10" s="191"/>
      <c r="BG10" s="191"/>
      <c r="BH10" s="191"/>
      <c r="BI10" s="191"/>
      <c r="BJ10" s="191"/>
      <c r="BK10" s="191"/>
      <c r="BL10" s="191"/>
      <c r="BM10" s="191"/>
      <c r="BN10" s="191"/>
      <c r="BO10" s="191"/>
      <c r="BP10" s="191"/>
      <c r="BQ10" s="191"/>
      <c r="BR10" s="191"/>
      <c r="BS10" s="191"/>
      <c r="BT10" s="191"/>
      <c r="BU10" s="191"/>
      <c r="BV10" s="191"/>
      <c r="BW10" s="191"/>
      <c r="BX10" s="191"/>
      <c r="BY10" s="191"/>
      <c r="BZ10" s="191"/>
      <c r="CA10" s="191"/>
      <c r="CB10" s="191"/>
      <c r="CC10" s="191"/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1"/>
      <c r="CO10" s="191"/>
      <c r="CP10" s="191"/>
      <c r="CQ10" s="191"/>
      <c r="CR10" s="191"/>
      <c r="CS10" s="191"/>
      <c r="CT10" s="191"/>
      <c r="CU10" s="191"/>
      <c r="CV10" s="191"/>
      <c r="CW10" s="191"/>
      <c r="CX10" s="191"/>
      <c r="CY10" s="191"/>
      <c r="CZ10" s="191"/>
      <c r="DA10" s="191"/>
      <c r="DB10" s="191"/>
      <c r="DC10" s="191"/>
      <c r="DD10" s="191"/>
      <c r="DE10" s="191"/>
      <c r="DF10" s="191"/>
      <c r="DG10" s="191"/>
      <c r="DH10" s="191"/>
      <c r="DI10" s="191"/>
      <c r="DJ10" s="191"/>
      <c r="DK10" s="191"/>
      <c r="DL10" s="191"/>
      <c r="DM10" s="191"/>
      <c r="DN10" s="191"/>
      <c r="DO10" s="191"/>
      <c r="DP10" s="191"/>
      <c r="DQ10" s="191"/>
      <c r="DR10" s="191"/>
      <c r="DS10" s="191"/>
      <c r="DT10" s="191"/>
      <c r="DU10" s="191"/>
      <c r="DV10" s="191"/>
      <c r="DW10" s="191"/>
      <c r="DX10" s="191"/>
      <c r="DY10" s="191"/>
      <c r="DZ10" s="191"/>
      <c r="EA10" s="191"/>
      <c r="EB10" s="191"/>
      <c r="EC10" s="191"/>
      <c r="ED10" s="191"/>
      <c r="EE10" s="191"/>
      <c r="EF10" s="191"/>
      <c r="EG10" s="191"/>
      <c r="EH10" s="191"/>
      <c r="EI10" s="191"/>
      <c r="EJ10" s="191"/>
      <c r="EK10" s="191"/>
      <c r="EL10" s="191"/>
      <c r="EM10" s="191"/>
      <c r="EN10" s="191"/>
      <c r="EO10" s="191"/>
      <c r="EP10" s="191"/>
      <c r="EQ10" s="191"/>
      <c r="ER10" s="191"/>
      <c r="ES10" s="191"/>
      <c r="ET10" s="191"/>
      <c r="EU10" s="191"/>
      <c r="EV10" s="191"/>
      <c r="EW10" s="191"/>
      <c r="EX10" s="191"/>
      <c r="EY10" s="191"/>
      <c r="EZ10" s="191"/>
      <c r="FA10" s="191"/>
      <c r="FB10" s="191"/>
      <c r="FC10" s="191"/>
      <c r="FD10" s="191"/>
      <c r="FE10" s="191"/>
      <c r="FF10" s="191"/>
      <c r="FG10" s="191"/>
      <c r="FH10" s="191"/>
      <c r="FI10" s="191"/>
      <c r="FJ10" s="191"/>
      <c r="FK10" s="191"/>
    </row>
    <row r="11">
      <c r="A11" s="191"/>
      <c r="B11" s="216" t="s">
        <v>5251</v>
      </c>
      <c r="C11" s="215">
        <v>1100.0</v>
      </c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4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  <c r="EB11" s="191"/>
      <c r="EC11" s="191"/>
      <c r="ED11" s="191"/>
      <c r="EE11" s="191"/>
      <c r="EF11" s="191"/>
      <c r="EG11" s="191"/>
      <c r="EH11" s="191"/>
      <c r="EI11" s="191"/>
      <c r="EJ11" s="191"/>
      <c r="EK11" s="191"/>
      <c r="EL11" s="191"/>
      <c r="EM11" s="191"/>
      <c r="EN11" s="191"/>
      <c r="EO11" s="191"/>
      <c r="EP11" s="191"/>
      <c r="EQ11" s="191"/>
      <c r="ER11" s="191"/>
      <c r="ES11" s="191"/>
      <c r="ET11" s="191"/>
      <c r="EU11" s="191"/>
      <c r="EV11" s="191"/>
      <c r="EW11" s="191"/>
      <c r="EX11" s="191"/>
      <c r="EY11" s="191"/>
      <c r="EZ11" s="191"/>
      <c r="FA11" s="191"/>
      <c r="FB11" s="191"/>
      <c r="FC11" s="191"/>
      <c r="FD11" s="191"/>
      <c r="FE11" s="191"/>
      <c r="FF11" s="191"/>
      <c r="FG11" s="191"/>
      <c r="FH11" s="191"/>
      <c r="FI11" s="191"/>
      <c r="FJ11" s="191"/>
      <c r="FK11" s="191"/>
    </row>
    <row r="12">
      <c r="A12" s="191"/>
      <c r="B12" s="217" t="s">
        <v>5252</v>
      </c>
      <c r="C12" s="215">
        <v>1.0</v>
      </c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4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  <c r="EB12" s="191"/>
      <c r="EC12" s="191"/>
      <c r="ED12" s="191"/>
      <c r="EE12" s="191"/>
      <c r="EF12" s="191"/>
      <c r="EG12" s="191"/>
      <c r="EH12" s="191"/>
      <c r="EI12" s="191"/>
      <c r="EJ12" s="191"/>
      <c r="EK12" s="191"/>
      <c r="EL12" s="191"/>
      <c r="EM12" s="191"/>
      <c r="EN12" s="191"/>
      <c r="EO12" s="191"/>
      <c r="EP12" s="191"/>
      <c r="EQ12" s="191"/>
      <c r="ER12" s="191"/>
      <c r="ES12" s="191"/>
      <c r="ET12" s="191"/>
      <c r="EU12" s="191"/>
      <c r="EV12" s="191"/>
      <c r="EW12" s="191"/>
      <c r="EX12" s="191"/>
      <c r="EY12" s="191"/>
      <c r="EZ12" s="191"/>
      <c r="FA12" s="191"/>
      <c r="FB12" s="191"/>
      <c r="FC12" s="191"/>
      <c r="FD12" s="191"/>
      <c r="FE12" s="191"/>
      <c r="FF12" s="191"/>
      <c r="FG12" s="191"/>
      <c r="FH12" s="191"/>
      <c r="FI12" s="191"/>
      <c r="FJ12" s="191"/>
      <c r="FK12" s="191"/>
    </row>
    <row r="13">
      <c r="A13" s="191"/>
      <c r="B13" s="217" t="s">
        <v>5253</v>
      </c>
      <c r="C13" s="215">
        <v>1.0</v>
      </c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4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91"/>
      <c r="AV13" s="191"/>
      <c r="AW13" s="191"/>
      <c r="AX13" s="191"/>
      <c r="AY13" s="191"/>
      <c r="AZ13" s="191"/>
      <c r="BA13" s="191"/>
      <c r="BB13" s="191"/>
      <c r="BC13" s="191"/>
      <c r="BD13" s="191"/>
      <c r="BE13" s="191"/>
      <c r="BF13" s="191"/>
      <c r="BG13" s="191"/>
      <c r="BH13" s="191"/>
      <c r="BI13" s="191"/>
      <c r="BJ13" s="191"/>
      <c r="BK13" s="191"/>
      <c r="BL13" s="191"/>
      <c r="BM13" s="191"/>
      <c r="BN13" s="191"/>
      <c r="BO13" s="191"/>
      <c r="BP13" s="191"/>
      <c r="BQ13" s="191"/>
      <c r="BR13" s="191"/>
      <c r="BS13" s="191"/>
      <c r="BT13" s="191"/>
      <c r="BU13" s="191"/>
      <c r="BV13" s="191"/>
      <c r="BW13" s="191"/>
      <c r="BX13" s="191"/>
      <c r="BY13" s="191"/>
      <c r="BZ13" s="191"/>
      <c r="CA13" s="191"/>
      <c r="CB13" s="191"/>
      <c r="CC13" s="191"/>
      <c r="CD13" s="191"/>
      <c r="CE13" s="191"/>
      <c r="CF13" s="191"/>
      <c r="CG13" s="191"/>
      <c r="CH13" s="191"/>
      <c r="CI13" s="191"/>
      <c r="CJ13" s="191"/>
      <c r="CK13" s="191"/>
      <c r="CL13" s="191"/>
      <c r="CM13" s="191"/>
      <c r="CN13" s="191"/>
      <c r="CO13" s="191"/>
      <c r="CP13" s="191"/>
      <c r="CQ13" s="191"/>
      <c r="CR13" s="191"/>
      <c r="CS13" s="191"/>
      <c r="CT13" s="191"/>
      <c r="CU13" s="191"/>
      <c r="CV13" s="191"/>
      <c r="CW13" s="191"/>
      <c r="CX13" s="191"/>
      <c r="CY13" s="191"/>
      <c r="CZ13" s="191"/>
      <c r="DA13" s="191"/>
      <c r="DB13" s="191"/>
      <c r="DC13" s="191"/>
      <c r="DD13" s="191"/>
      <c r="DE13" s="191"/>
      <c r="DF13" s="191"/>
      <c r="DG13" s="191"/>
      <c r="DH13" s="191"/>
      <c r="DI13" s="191"/>
      <c r="DJ13" s="191"/>
      <c r="DK13" s="191"/>
      <c r="DL13" s="191"/>
      <c r="DM13" s="191"/>
      <c r="DN13" s="191"/>
      <c r="DO13" s="191"/>
      <c r="DP13" s="191"/>
      <c r="DQ13" s="191"/>
      <c r="DR13" s="191"/>
      <c r="DS13" s="191"/>
      <c r="DT13" s="191"/>
      <c r="DU13" s="191"/>
      <c r="DV13" s="191"/>
      <c r="DW13" s="191"/>
      <c r="DX13" s="191"/>
      <c r="DY13" s="191"/>
      <c r="DZ13" s="191"/>
      <c r="EA13" s="191"/>
      <c r="EB13" s="191"/>
      <c r="EC13" s="191"/>
      <c r="ED13" s="191"/>
      <c r="EE13" s="191"/>
      <c r="EF13" s="191"/>
      <c r="EG13" s="191"/>
      <c r="EH13" s="191"/>
      <c r="EI13" s="191"/>
      <c r="EJ13" s="191"/>
      <c r="EK13" s="191"/>
      <c r="EL13" s="191"/>
      <c r="EM13" s="191"/>
      <c r="EN13" s="191"/>
      <c r="EO13" s="191"/>
      <c r="EP13" s="191"/>
      <c r="EQ13" s="191"/>
      <c r="ER13" s="191"/>
      <c r="ES13" s="191"/>
      <c r="ET13" s="191"/>
      <c r="EU13" s="191"/>
      <c r="EV13" s="191"/>
      <c r="EW13" s="191"/>
      <c r="EX13" s="191"/>
      <c r="EY13" s="191"/>
      <c r="EZ13" s="191"/>
      <c r="FA13" s="191"/>
      <c r="FB13" s="191"/>
      <c r="FC13" s="191"/>
      <c r="FD13" s="191"/>
      <c r="FE13" s="191"/>
      <c r="FF13" s="191"/>
      <c r="FG13" s="191"/>
      <c r="FH13" s="191"/>
      <c r="FI13" s="191"/>
      <c r="FJ13" s="191"/>
      <c r="FK13" s="191"/>
    </row>
    <row r="14">
      <c r="A14" s="191"/>
      <c r="B14" s="217" t="s">
        <v>5254</v>
      </c>
      <c r="C14" s="215">
        <v>1.0</v>
      </c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4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191"/>
      <c r="AU14" s="191"/>
      <c r="AV14" s="191"/>
      <c r="AW14" s="191"/>
      <c r="AX14" s="191"/>
      <c r="AY14" s="191"/>
      <c r="AZ14" s="191"/>
      <c r="BA14" s="191"/>
      <c r="BB14" s="191"/>
      <c r="BC14" s="191"/>
      <c r="BD14" s="191"/>
      <c r="BE14" s="191"/>
      <c r="BF14" s="191"/>
      <c r="BG14" s="191"/>
      <c r="BH14" s="191"/>
      <c r="BI14" s="191"/>
      <c r="BJ14" s="191"/>
      <c r="BK14" s="191"/>
      <c r="BL14" s="191"/>
      <c r="BM14" s="191"/>
      <c r="BN14" s="191"/>
      <c r="BO14" s="191"/>
      <c r="BP14" s="191"/>
      <c r="BQ14" s="191"/>
      <c r="BR14" s="191"/>
      <c r="BS14" s="191"/>
      <c r="BT14" s="191"/>
      <c r="BU14" s="191"/>
      <c r="BV14" s="191"/>
      <c r="BW14" s="191"/>
      <c r="BX14" s="191"/>
      <c r="BY14" s="191"/>
      <c r="BZ14" s="191"/>
      <c r="CA14" s="191"/>
      <c r="CB14" s="191"/>
      <c r="CC14" s="191"/>
      <c r="CD14" s="191"/>
      <c r="CE14" s="191"/>
      <c r="CF14" s="191"/>
      <c r="CG14" s="191"/>
      <c r="CH14" s="191"/>
      <c r="CI14" s="191"/>
      <c r="CJ14" s="191"/>
      <c r="CK14" s="191"/>
      <c r="CL14" s="191"/>
      <c r="CM14" s="191"/>
      <c r="CN14" s="191"/>
      <c r="CO14" s="191"/>
      <c r="CP14" s="191"/>
      <c r="CQ14" s="191"/>
      <c r="CR14" s="191"/>
      <c r="CS14" s="191"/>
      <c r="CT14" s="191"/>
      <c r="CU14" s="191"/>
      <c r="CV14" s="191"/>
      <c r="CW14" s="191"/>
      <c r="CX14" s="191"/>
      <c r="CY14" s="191"/>
      <c r="CZ14" s="191"/>
      <c r="DA14" s="191"/>
      <c r="DB14" s="191"/>
      <c r="DC14" s="191"/>
      <c r="DD14" s="191"/>
      <c r="DE14" s="191"/>
      <c r="DF14" s="191"/>
      <c r="DG14" s="191"/>
      <c r="DH14" s="191"/>
      <c r="DI14" s="191"/>
      <c r="DJ14" s="191"/>
      <c r="DK14" s="191"/>
      <c r="DL14" s="191"/>
      <c r="DM14" s="191"/>
      <c r="DN14" s="191"/>
      <c r="DO14" s="191"/>
      <c r="DP14" s="191"/>
      <c r="DQ14" s="191"/>
      <c r="DR14" s="191"/>
      <c r="DS14" s="191"/>
      <c r="DT14" s="191"/>
      <c r="DU14" s="191"/>
      <c r="DV14" s="191"/>
      <c r="DW14" s="191"/>
      <c r="DX14" s="191"/>
      <c r="DY14" s="191"/>
      <c r="DZ14" s="191"/>
      <c r="EA14" s="191"/>
      <c r="EB14" s="191"/>
      <c r="EC14" s="191"/>
      <c r="ED14" s="191"/>
      <c r="EE14" s="191"/>
      <c r="EF14" s="191"/>
      <c r="EG14" s="191"/>
      <c r="EH14" s="191"/>
      <c r="EI14" s="191"/>
      <c r="EJ14" s="191"/>
      <c r="EK14" s="191"/>
      <c r="EL14" s="191"/>
      <c r="EM14" s="191"/>
      <c r="EN14" s="191"/>
      <c r="EO14" s="191"/>
      <c r="EP14" s="191"/>
      <c r="EQ14" s="191"/>
      <c r="ER14" s="191"/>
      <c r="ES14" s="191"/>
      <c r="ET14" s="191"/>
      <c r="EU14" s="191"/>
      <c r="EV14" s="191"/>
      <c r="EW14" s="191"/>
      <c r="EX14" s="191"/>
      <c r="EY14" s="191"/>
      <c r="EZ14" s="191"/>
      <c r="FA14" s="191"/>
      <c r="FB14" s="191"/>
      <c r="FC14" s="191"/>
      <c r="FD14" s="191"/>
      <c r="FE14" s="191"/>
      <c r="FF14" s="191"/>
      <c r="FG14" s="191"/>
      <c r="FH14" s="191"/>
      <c r="FI14" s="191"/>
      <c r="FJ14" s="191"/>
      <c r="FK14" s="191"/>
    </row>
    <row r="15">
      <c r="A15" s="191"/>
      <c r="B15" s="216" t="s">
        <v>5255</v>
      </c>
      <c r="C15" s="215">
        <v>1.0</v>
      </c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4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91"/>
      <c r="AV15" s="191"/>
      <c r="AW15" s="191"/>
      <c r="AX15" s="191"/>
      <c r="AY15" s="191"/>
      <c r="AZ15" s="191"/>
      <c r="BA15" s="191"/>
      <c r="BB15" s="191"/>
      <c r="BC15" s="191"/>
      <c r="BD15" s="191"/>
      <c r="BE15" s="191"/>
      <c r="BF15" s="191"/>
      <c r="BG15" s="191"/>
      <c r="BH15" s="191"/>
      <c r="BI15" s="191"/>
      <c r="BJ15" s="191"/>
      <c r="BK15" s="191"/>
      <c r="BL15" s="191"/>
      <c r="BM15" s="191"/>
      <c r="BN15" s="191"/>
      <c r="BO15" s="191"/>
      <c r="BP15" s="191"/>
      <c r="BQ15" s="191"/>
      <c r="BR15" s="191"/>
      <c r="BS15" s="191"/>
      <c r="BT15" s="191"/>
      <c r="BU15" s="191"/>
      <c r="BV15" s="191"/>
      <c r="BW15" s="191"/>
      <c r="BX15" s="191"/>
      <c r="BY15" s="191"/>
      <c r="BZ15" s="191"/>
      <c r="CA15" s="191"/>
      <c r="CB15" s="191"/>
      <c r="CC15" s="191"/>
      <c r="CD15" s="191"/>
      <c r="CE15" s="191"/>
      <c r="CF15" s="191"/>
      <c r="CG15" s="191"/>
      <c r="CH15" s="191"/>
      <c r="CI15" s="191"/>
      <c r="CJ15" s="191"/>
      <c r="CK15" s="191"/>
      <c r="CL15" s="191"/>
      <c r="CM15" s="191"/>
      <c r="CN15" s="191"/>
      <c r="CO15" s="191"/>
      <c r="CP15" s="191"/>
      <c r="CQ15" s="191"/>
      <c r="CR15" s="191"/>
      <c r="CS15" s="191"/>
      <c r="CT15" s="191"/>
      <c r="CU15" s="191"/>
      <c r="CV15" s="191"/>
      <c r="CW15" s="191"/>
      <c r="CX15" s="191"/>
      <c r="CY15" s="191"/>
      <c r="CZ15" s="191"/>
      <c r="DA15" s="191"/>
      <c r="DB15" s="191"/>
      <c r="DC15" s="191"/>
      <c r="DD15" s="191"/>
      <c r="DE15" s="191"/>
      <c r="DF15" s="191"/>
      <c r="DG15" s="191"/>
      <c r="DH15" s="191"/>
      <c r="DI15" s="191"/>
      <c r="DJ15" s="191"/>
      <c r="DK15" s="191"/>
      <c r="DL15" s="191"/>
      <c r="DM15" s="191"/>
      <c r="DN15" s="191"/>
      <c r="DO15" s="191"/>
      <c r="DP15" s="191"/>
      <c r="DQ15" s="191"/>
      <c r="DR15" s="191"/>
      <c r="DS15" s="191"/>
      <c r="DT15" s="191"/>
      <c r="DU15" s="191"/>
      <c r="DV15" s="191"/>
      <c r="DW15" s="191"/>
      <c r="DX15" s="191"/>
      <c r="DY15" s="191"/>
      <c r="DZ15" s="191"/>
      <c r="EA15" s="191"/>
      <c r="EB15" s="191"/>
      <c r="EC15" s="191"/>
      <c r="ED15" s="191"/>
      <c r="EE15" s="191"/>
      <c r="EF15" s="191"/>
      <c r="EG15" s="191"/>
      <c r="EH15" s="191"/>
      <c r="EI15" s="191"/>
      <c r="EJ15" s="191"/>
      <c r="EK15" s="191"/>
      <c r="EL15" s="191"/>
      <c r="EM15" s="191"/>
      <c r="EN15" s="191"/>
      <c r="EO15" s="191"/>
      <c r="EP15" s="191"/>
      <c r="EQ15" s="191"/>
      <c r="ER15" s="191"/>
      <c r="ES15" s="191"/>
      <c r="ET15" s="191"/>
      <c r="EU15" s="191"/>
      <c r="EV15" s="191"/>
      <c r="EW15" s="191"/>
      <c r="EX15" s="191"/>
      <c r="EY15" s="191"/>
      <c r="EZ15" s="191"/>
      <c r="FA15" s="191"/>
      <c r="FB15" s="191"/>
      <c r="FC15" s="191"/>
      <c r="FD15" s="191"/>
      <c r="FE15" s="191"/>
      <c r="FF15" s="191"/>
      <c r="FG15" s="191"/>
      <c r="FH15" s="191"/>
      <c r="FI15" s="191"/>
      <c r="FJ15" s="191"/>
      <c r="FK15" s="191"/>
    </row>
    <row r="16">
      <c r="A16" s="191"/>
      <c r="B16" s="216" t="s">
        <v>5256</v>
      </c>
      <c r="C16" s="215">
        <v>1.0</v>
      </c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4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91"/>
      <c r="AV16" s="191"/>
      <c r="AW16" s="191"/>
      <c r="AX16" s="191"/>
      <c r="AY16" s="191"/>
      <c r="AZ16" s="191"/>
      <c r="BA16" s="191"/>
      <c r="BB16" s="191"/>
      <c r="BC16" s="191"/>
      <c r="BD16" s="191"/>
      <c r="BE16" s="191"/>
      <c r="BF16" s="191"/>
      <c r="BG16" s="191"/>
      <c r="BH16" s="191"/>
      <c r="BI16" s="191"/>
      <c r="BJ16" s="191"/>
      <c r="BK16" s="191"/>
      <c r="BL16" s="191"/>
      <c r="BM16" s="191"/>
      <c r="BN16" s="191"/>
      <c r="BO16" s="191"/>
      <c r="BP16" s="191"/>
      <c r="BQ16" s="191"/>
      <c r="BR16" s="191"/>
      <c r="BS16" s="191"/>
      <c r="BT16" s="191"/>
      <c r="BU16" s="191"/>
      <c r="BV16" s="191"/>
      <c r="BW16" s="191"/>
      <c r="BX16" s="191"/>
      <c r="BY16" s="191"/>
      <c r="BZ16" s="191"/>
      <c r="CA16" s="191"/>
      <c r="CB16" s="191"/>
      <c r="CC16" s="191"/>
      <c r="CD16" s="191"/>
      <c r="CE16" s="191"/>
      <c r="CF16" s="191"/>
      <c r="CG16" s="191"/>
      <c r="CH16" s="191"/>
      <c r="CI16" s="191"/>
      <c r="CJ16" s="191"/>
      <c r="CK16" s="191"/>
      <c r="CL16" s="191"/>
      <c r="CM16" s="191"/>
      <c r="CN16" s="191"/>
      <c r="CO16" s="191"/>
      <c r="CP16" s="191"/>
      <c r="CQ16" s="191"/>
      <c r="CR16" s="191"/>
      <c r="CS16" s="191"/>
      <c r="CT16" s="191"/>
      <c r="CU16" s="191"/>
      <c r="CV16" s="191"/>
      <c r="CW16" s="191"/>
      <c r="CX16" s="191"/>
      <c r="CY16" s="191"/>
      <c r="CZ16" s="191"/>
      <c r="DA16" s="191"/>
      <c r="DB16" s="191"/>
      <c r="DC16" s="191"/>
      <c r="DD16" s="191"/>
      <c r="DE16" s="191"/>
      <c r="DF16" s="191"/>
      <c r="DG16" s="191"/>
      <c r="DH16" s="191"/>
      <c r="DI16" s="191"/>
      <c r="DJ16" s="191"/>
      <c r="DK16" s="191"/>
      <c r="DL16" s="191"/>
      <c r="DM16" s="191"/>
      <c r="DN16" s="191"/>
      <c r="DO16" s="191"/>
      <c r="DP16" s="191"/>
      <c r="DQ16" s="191"/>
      <c r="DR16" s="191"/>
      <c r="DS16" s="191"/>
      <c r="DT16" s="191"/>
      <c r="DU16" s="191"/>
      <c r="DV16" s="191"/>
      <c r="DW16" s="191"/>
      <c r="DX16" s="191"/>
      <c r="DY16" s="191"/>
      <c r="DZ16" s="191"/>
      <c r="EA16" s="191"/>
      <c r="EB16" s="191"/>
      <c r="EC16" s="191"/>
      <c r="ED16" s="191"/>
      <c r="EE16" s="191"/>
      <c r="EF16" s="191"/>
      <c r="EG16" s="191"/>
      <c r="EH16" s="191"/>
      <c r="EI16" s="191"/>
      <c r="EJ16" s="191"/>
      <c r="EK16" s="191"/>
      <c r="EL16" s="191"/>
      <c r="EM16" s="191"/>
      <c r="EN16" s="191"/>
      <c r="EO16" s="191"/>
      <c r="EP16" s="191"/>
      <c r="EQ16" s="191"/>
      <c r="ER16" s="191"/>
      <c r="ES16" s="191"/>
      <c r="ET16" s="191"/>
      <c r="EU16" s="191"/>
      <c r="EV16" s="191"/>
      <c r="EW16" s="191"/>
      <c r="EX16" s="191"/>
      <c r="EY16" s="191"/>
      <c r="EZ16" s="191"/>
      <c r="FA16" s="191"/>
      <c r="FB16" s="191"/>
      <c r="FC16" s="191"/>
      <c r="FD16" s="191"/>
      <c r="FE16" s="191"/>
      <c r="FF16" s="191"/>
      <c r="FG16" s="191"/>
      <c r="FH16" s="191"/>
      <c r="FI16" s="191"/>
      <c r="FJ16" s="191"/>
      <c r="FK16" s="191"/>
    </row>
    <row r="17">
      <c r="A17" s="191"/>
      <c r="B17" s="217" t="s">
        <v>18</v>
      </c>
      <c r="C17" s="215">
        <v>0.0</v>
      </c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4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91"/>
      <c r="AV17" s="191"/>
      <c r="AW17" s="191"/>
      <c r="AX17" s="191"/>
      <c r="AY17" s="191"/>
      <c r="AZ17" s="191"/>
      <c r="BA17" s="191"/>
      <c r="BB17" s="191"/>
      <c r="BC17" s="191"/>
      <c r="BD17" s="191"/>
      <c r="BE17" s="191"/>
      <c r="BF17" s="191"/>
      <c r="BG17" s="191"/>
      <c r="BH17" s="191"/>
      <c r="BI17" s="191"/>
      <c r="BJ17" s="191"/>
      <c r="BK17" s="191"/>
      <c r="BL17" s="191"/>
      <c r="BM17" s="191"/>
      <c r="BN17" s="191"/>
      <c r="BO17" s="191"/>
      <c r="BP17" s="191"/>
      <c r="BQ17" s="191"/>
      <c r="BR17" s="191"/>
      <c r="BS17" s="191"/>
      <c r="BT17" s="191"/>
      <c r="BU17" s="191"/>
      <c r="BV17" s="191"/>
      <c r="BW17" s="191"/>
      <c r="BX17" s="191"/>
      <c r="BY17" s="191"/>
      <c r="BZ17" s="191"/>
      <c r="CA17" s="191"/>
      <c r="CB17" s="191"/>
      <c r="CC17" s="191"/>
      <c r="CD17" s="191"/>
      <c r="CE17" s="191"/>
      <c r="CF17" s="191"/>
      <c r="CG17" s="191"/>
      <c r="CH17" s="191"/>
      <c r="CI17" s="191"/>
      <c r="CJ17" s="191"/>
      <c r="CK17" s="191"/>
      <c r="CL17" s="191"/>
      <c r="CM17" s="191"/>
      <c r="CN17" s="191"/>
      <c r="CO17" s="191"/>
      <c r="CP17" s="191"/>
      <c r="CQ17" s="191"/>
      <c r="CR17" s="191"/>
      <c r="CS17" s="191"/>
      <c r="CT17" s="191"/>
      <c r="CU17" s="191"/>
      <c r="CV17" s="191"/>
      <c r="CW17" s="191"/>
      <c r="CX17" s="191"/>
      <c r="CY17" s="191"/>
      <c r="CZ17" s="191"/>
      <c r="DA17" s="191"/>
      <c r="DB17" s="191"/>
      <c r="DC17" s="191"/>
      <c r="DD17" s="191"/>
      <c r="DE17" s="191"/>
      <c r="DF17" s="191"/>
      <c r="DG17" s="191"/>
      <c r="DH17" s="191"/>
      <c r="DI17" s="191"/>
      <c r="DJ17" s="191"/>
      <c r="DK17" s="191"/>
      <c r="DL17" s="191"/>
      <c r="DM17" s="191"/>
      <c r="DN17" s="191"/>
      <c r="DO17" s="191"/>
      <c r="DP17" s="191"/>
      <c r="DQ17" s="191"/>
      <c r="DR17" s="191"/>
      <c r="DS17" s="191"/>
      <c r="DT17" s="191"/>
      <c r="DU17" s="191"/>
      <c r="DV17" s="191"/>
      <c r="DW17" s="191"/>
      <c r="DX17" s="191"/>
      <c r="DY17" s="191"/>
      <c r="DZ17" s="191"/>
      <c r="EA17" s="191"/>
      <c r="EB17" s="191"/>
      <c r="EC17" s="191"/>
      <c r="ED17" s="191"/>
      <c r="EE17" s="191"/>
      <c r="EF17" s="191"/>
      <c r="EG17" s="191"/>
      <c r="EH17" s="191"/>
      <c r="EI17" s="191"/>
      <c r="EJ17" s="191"/>
      <c r="EK17" s="191"/>
      <c r="EL17" s="191"/>
      <c r="EM17" s="191"/>
      <c r="EN17" s="191"/>
      <c r="EO17" s="191"/>
      <c r="EP17" s="191"/>
      <c r="EQ17" s="191"/>
      <c r="ER17" s="191"/>
      <c r="ES17" s="191"/>
      <c r="ET17" s="191"/>
      <c r="EU17" s="191"/>
      <c r="EV17" s="191"/>
      <c r="EW17" s="191"/>
      <c r="EX17" s="191"/>
      <c r="EY17" s="191"/>
      <c r="EZ17" s="191"/>
      <c r="FA17" s="191"/>
      <c r="FB17" s="191"/>
      <c r="FC17" s="191"/>
      <c r="FD17" s="191"/>
      <c r="FE17" s="191"/>
      <c r="FF17" s="191"/>
      <c r="FG17" s="191"/>
      <c r="FH17" s="191"/>
      <c r="FI17" s="191"/>
      <c r="FJ17" s="191"/>
      <c r="FK17" s="191"/>
    </row>
    <row r="18">
      <c r="A18" s="191"/>
      <c r="B18" s="217" t="s">
        <v>19</v>
      </c>
      <c r="C18" s="215">
        <v>1000.0</v>
      </c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4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191"/>
      <c r="AL18" s="191"/>
      <c r="AM18" s="191"/>
      <c r="AN18" s="191"/>
      <c r="AO18" s="191"/>
      <c r="AP18" s="191"/>
      <c r="AQ18" s="191"/>
      <c r="AR18" s="191"/>
      <c r="AS18" s="191"/>
      <c r="AT18" s="191"/>
      <c r="AU18" s="191"/>
      <c r="AV18" s="191"/>
      <c r="AW18" s="191"/>
      <c r="AX18" s="191"/>
      <c r="AY18" s="191"/>
      <c r="AZ18" s="191"/>
      <c r="BA18" s="191"/>
      <c r="BB18" s="191"/>
      <c r="BC18" s="191"/>
      <c r="BD18" s="191"/>
      <c r="BE18" s="191"/>
      <c r="BF18" s="191"/>
      <c r="BG18" s="191"/>
      <c r="BH18" s="191"/>
      <c r="BI18" s="191"/>
      <c r="BJ18" s="191"/>
      <c r="BK18" s="191"/>
      <c r="BL18" s="191"/>
      <c r="BM18" s="191"/>
      <c r="BN18" s="191"/>
      <c r="BO18" s="191"/>
      <c r="BP18" s="191"/>
      <c r="BQ18" s="191"/>
      <c r="BR18" s="191"/>
      <c r="BS18" s="191"/>
      <c r="BT18" s="191"/>
      <c r="BU18" s="191"/>
      <c r="BV18" s="191"/>
      <c r="BW18" s="191"/>
      <c r="BX18" s="191"/>
      <c r="BY18" s="191"/>
      <c r="BZ18" s="191"/>
      <c r="CA18" s="191"/>
      <c r="CB18" s="191"/>
      <c r="CC18" s="191"/>
      <c r="CD18" s="191"/>
      <c r="CE18" s="191"/>
      <c r="CF18" s="191"/>
      <c r="CG18" s="191"/>
      <c r="CH18" s="191"/>
      <c r="CI18" s="191"/>
      <c r="CJ18" s="191"/>
      <c r="CK18" s="191"/>
      <c r="CL18" s="191"/>
      <c r="CM18" s="191"/>
      <c r="CN18" s="191"/>
      <c r="CO18" s="191"/>
      <c r="CP18" s="191"/>
      <c r="CQ18" s="191"/>
      <c r="CR18" s="191"/>
      <c r="CS18" s="191"/>
      <c r="CT18" s="191"/>
      <c r="CU18" s="191"/>
      <c r="CV18" s="191"/>
      <c r="CW18" s="191"/>
      <c r="CX18" s="191"/>
      <c r="CY18" s="191"/>
      <c r="CZ18" s="191"/>
      <c r="DA18" s="191"/>
      <c r="DB18" s="191"/>
      <c r="DC18" s="191"/>
      <c r="DD18" s="191"/>
      <c r="DE18" s="191"/>
      <c r="DF18" s="191"/>
      <c r="DG18" s="191"/>
      <c r="DH18" s="191"/>
      <c r="DI18" s="191"/>
      <c r="DJ18" s="191"/>
      <c r="DK18" s="191"/>
      <c r="DL18" s="191"/>
      <c r="DM18" s="191"/>
      <c r="DN18" s="191"/>
      <c r="DO18" s="191"/>
      <c r="DP18" s="191"/>
      <c r="DQ18" s="191"/>
      <c r="DR18" s="191"/>
      <c r="DS18" s="191"/>
      <c r="DT18" s="191"/>
      <c r="DU18" s="191"/>
      <c r="DV18" s="191"/>
      <c r="DW18" s="191"/>
      <c r="DX18" s="191"/>
      <c r="DY18" s="191"/>
      <c r="DZ18" s="191"/>
      <c r="EA18" s="191"/>
      <c r="EB18" s="191"/>
      <c r="EC18" s="191"/>
      <c r="ED18" s="191"/>
      <c r="EE18" s="191"/>
      <c r="EF18" s="191"/>
      <c r="EG18" s="191"/>
      <c r="EH18" s="191"/>
      <c r="EI18" s="191"/>
      <c r="EJ18" s="191"/>
      <c r="EK18" s="191"/>
      <c r="EL18" s="191"/>
      <c r="EM18" s="191"/>
      <c r="EN18" s="191"/>
      <c r="EO18" s="191"/>
      <c r="EP18" s="191"/>
      <c r="EQ18" s="191"/>
      <c r="ER18" s="191"/>
      <c r="ES18" s="191"/>
      <c r="ET18" s="191"/>
      <c r="EU18" s="191"/>
      <c r="EV18" s="191"/>
      <c r="EW18" s="191"/>
      <c r="EX18" s="191"/>
      <c r="EY18" s="191"/>
      <c r="EZ18" s="191"/>
      <c r="FA18" s="191"/>
      <c r="FB18" s="191"/>
      <c r="FC18" s="191"/>
      <c r="FD18" s="191"/>
      <c r="FE18" s="191"/>
      <c r="FF18" s="191"/>
      <c r="FG18" s="191"/>
      <c r="FH18" s="191"/>
      <c r="FI18" s="191"/>
      <c r="FJ18" s="191"/>
      <c r="FK18" s="191"/>
    </row>
    <row r="19" ht="7.5" customHeight="1">
      <c r="A19" s="191"/>
      <c r="B19" s="218"/>
      <c r="C19" s="219"/>
      <c r="D19" s="219" t="s">
        <v>22</v>
      </c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14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  <c r="AK19" s="191"/>
      <c r="AL19" s="191"/>
      <c r="AM19" s="191"/>
      <c r="AN19" s="191"/>
      <c r="AO19" s="191"/>
      <c r="AP19" s="191"/>
      <c r="AQ19" s="191"/>
      <c r="AR19" s="191"/>
      <c r="AS19" s="191"/>
      <c r="AT19" s="191"/>
      <c r="AU19" s="191"/>
      <c r="AV19" s="191"/>
      <c r="AW19" s="191"/>
      <c r="AX19" s="191"/>
      <c r="AY19" s="191"/>
      <c r="AZ19" s="191"/>
      <c r="BA19" s="191"/>
      <c r="BB19" s="191"/>
      <c r="BC19" s="191"/>
      <c r="BD19" s="191"/>
      <c r="BE19" s="191"/>
      <c r="BF19" s="191"/>
      <c r="BG19" s="191"/>
      <c r="BH19" s="191"/>
      <c r="BI19" s="191"/>
      <c r="BJ19" s="191"/>
      <c r="BK19" s="191"/>
      <c r="BL19" s="191"/>
      <c r="BM19" s="191"/>
      <c r="BN19" s="191"/>
      <c r="BO19" s="191"/>
      <c r="BP19" s="191"/>
      <c r="BQ19" s="191"/>
      <c r="BR19" s="191"/>
      <c r="BS19" s="191"/>
      <c r="BT19" s="191"/>
      <c r="BU19" s="191"/>
      <c r="BV19" s="191"/>
      <c r="BW19" s="191"/>
      <c r="BX19" s="191"/>
      <c r="BY19" s="191"/>
      <c r="BZ19" s="191"/>
      <c r="CA19" s="191"/>
      <c r="CB19" s="191"/>
      <c r="CC19" s="191"/>
      <c r="CD19" s="191"/>
      <c r="CE19" s="191"/>
      <c r="CF19" s="191"/>
      <c r="CG19" s="191"/>
      <c r="CH19" s="191"/>
      <c r="CI19" s="191"/>
      <c r="CJ19" s="191"/>
      <c r="CK19" s="191"/>
      <c r="CL19" s="191"/>
      <c r="CM19" s="191"/>
      <c r="CN19" s="191"/>
      <c r="CO19" s="191"/>
      <c r="CP19" s="191"/>
      <c r="CQ19" s="191"/>
      <c r="CR19" s="191"/>
      <c r="CS19" s="191"/>
      <c r="CT19" s="191"/>
      <c r="CU19" s="191"/>
      <c r="CV19" s="191"/>
      <c r="CW19" s="191"/>
      <c r="CX19" s="191"/>
      <c r="CY19" s="191"/>
      <c r="CZ19" s="191"/>
      <c r="DA19" s="191"/>
      <c r="DB19" s="191"/>
      <c r="DC19" s="191"/>
      <c r="DD19" s="191"/>
      <c r="DE19" s="191"/>
      <c r="DF19" s="191"/>
      <c r="DG19" s="191"/>
      <c r="DH19" s="191"/>
      <c r="DI19" s="191"/>
      <c r="DJ19" s="191"/>
      <c r="DK19" s="191"/>
      <c r="DL19" s="191"/>
      <c r="DM19" s="191"/>
      <c r="DN19" s="191"/>
      <c r="DO19" s="191"/>
      <c r="DP19" s="191"/>
      <c r="DQ19" s="191"/>
      <c r="DR19" s="191"/>
      <c r="DS19" s="191"/>
      <c r="DT19" s="191"/>
      <c r="DU19" s="191"/>
      <c r="DV19" s="191"/>
      <c r="DW19" s="191"/>
      <c r="DX19" s="191"/>
      <c r="DY19" s="191"/>
      <c r="DZ19" s="191"/>
      <c r="EA19" s="191"/>
      <c r="EB19" s="191"/>
      <c r="EC19" s="191"/>
      <c r="ED19" s="191"/>
      <c r="EE19" s="191"/>
      <c r="EF19" s="191"/>
      <c r="EG19" s="191"/>
      <c r="EH19" s="191"/>
      <c r="EI19" s="191"/>
      <c r="EJ19" s="191"/>
      <c r="EK19" s="191"/>
      <c r="EL19" s="191"/>
      <c r="EM19" s="191"/>
      <c r="EN19" s="191"/>
      <c r="EO19" s="191"/>
      <c r="EP19" s="191"/>
      <c r="EQ19" s="191"/>
      <c r="ER19" s="191"/>
      <c r="ES19" s="191"/>
      <c r="ET19" s="191"/>
      <c r="EU19" s="191"/>
      <c r="EV19" s="191"/>
      <c r="EW19" s="191"/>
      <c r="EX19" s="191"/>
      <c r="EY19" s="191"/>
      <c r="EZ19" s="191"/>
      <c r="FA19" s="191"/>
      <c r="FB19" s="191"/>
      <c r="FC19" s="191"/>
      <c r="FD19" s="191"/>
      <c r="FE19" s="191"/>
      <c r="FF19" s="191"/>
      <c r="FG19" s="191"/>
      <c r="FH19" s="191"/>
      <c r="FI19" s="191"/>
      <c r="FJ19" s="191"/>
      <c r="FK19" s="191"/>
    </row>
    <row r="20">
      <c r="A20" s="191"/>
      <c r="B20" s="217" t="s">
        <v>5257</v>
      </c>
      <c r="C20" s="220"/>
      <c r="D20" s="11">
        <v>250.0</v>
      </c>
      <c r="E20" s="11">
        <v>300.0</v>
      </c>
      <c r="F20" s="11">
        <v>400.0</v>
      </c>
      <c r="G20" s="153">
        <v>450.0</v>
      </c>
      <c r="H20" s="153">
        <v>550.0</v>
      </c>
      <c r="I20" s="153">
        <v>700.0</v>
      </c>
      <c r="J20" s="153">
        <v>700.0</v>
      </c>
      <c r="K20" s="153">
        <v>800.0</v>
      </c>
      <c r="L20" s="153">
        <v>800.0</v>
      </c>
      <c r="M20" s="221">
        <v>900.0</v>
      </c>
      <c r="N20" s="153">
        <v>950.0</v>
      </c>
      <c r="O20" s="153">
        <v>1050.0</v>
      </c>
      <c r="P20" s="153">
        <v>1100.0</v>
      </c>
      <c r="Q20" s="153">
        <v>1200.0</v>
      </c>
      <c r="R20" s="153">
        <v>1250.0</v>
      </c>
      <c r="S20" s="153">
        <v>1350.0</v>
      </c>
      <c r="T20" s="153">
        <v>1450.0</v>
      </c>
      <c r="U20" s="153">
        <v>1600.0</v>
      </c>
      <c r="V20" s="157">
        <v>1650.0</v>
      </c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91"/>
      <c r="AV20" s="191"/>
      <c r="AW20" s="191"/>
      <c r="AX20" s="191"/>
      <c r="AY20" s="191"/>
      <c r="AZ20" s="191"/>
      <c r="BA20" s="191"/>
      <c r="BB20" s="191"/>
      <c r="BC20" s="191"/>
      <c r="BD20" s="191"/>
      <c r="BE20" s="191"/>
      <c r="BF20" s="191"/>
      <c r="BG20" s="191"/>
      <c r="BH20" s="191"/>
      <c r="BI20" s="191"/>
      <c r="BJ20" s="191"/>
      <c r="BK20" s="191"/>
      <c r="BL20" s="191"/>
      <c r="BM20" s="191"/>
      <c r="BN20" s="191"/>
      <c r="BO20" s="191"/>
      <c r="BP20" s="191"/>
      <c r="BQ20" s="191"/>
      <c r="BR20" s="191"/>
      <c r="BS20" s="191"/>
      <c r="BT20" s="191"/>
      <c r="BU20" s="191"/>
      <c r="BV20" s="191"/>
      <c r="BW20" s="191"/>
      <c r="BX20" s="191"/>
      <c r="BY20" s="191"/>
      <c r="BZ20" s="191"/>
      <c r="CA20" s="191"/>
      <c r="CB20" s="191"/>
      <c r="CC20" s="191"/>
      <c r="CD20" s="191"/>
      <c r="CE20" s="191"/>
      <c r="CF20" s="191"/>
      <c r="CG20" s="191"/>
      <c r="CH20" s="191"/>
      <c r="CI20" s="191"/>
      <c r="CJ20" s="191"/>
      <c r="CK20" s="191"/>
      <c r="CL20" s="191"/>
      <c r="CM20" s="191"/>
      <c r="CN20" s="191"/>
      <c r="CO20" s="191"/>
      <c r="CP20" s="191"/>
      <c r="CQ20" s="191"/>
      <c r="CR20" s="191"/>
      <c r="CS20" s="191"/>
      <c r="CT20" s="191"/>
      <c r="CU20" s="191"/>
      <c r="CV20" s="191"/>
      <c r="CW20" s="191"/>
      <c r="CX20" s="191"/>
      <c r="CY20" s="191"/>
      <c r="CZ20" s="191"/>
      <c r="DA20" s="191"/>
      <c r="DB20" s="191"/>
      <c r="DC20" s="191"/>
      <c r="DD20" s="191"/>
      <c r="DE20" s="191"/>
      <c r="DF20" s="191"/>
      <c r="DG20" s="191"/>
      <c r="DH20" s="191"/>
      <c r="DI20" s="191"/>
      <c r="DJ20" s="191"/>
      <c r="DK20" s="191"/>
      <c r="DL20" s="191"/>
      <c r="DM20" s="191"/>
      <c r="DN20" s="191"/>
      <c r="DO20" s="191"/>
      <c r="DP20" s="191"/>
      <c r="DQ20" s="191"/>
      <c r="DR20" s="191"/>
      <c r="DS20" s="191"/>
      <c r="DT20" s="191"/>
      <c r="DU20" s="191"/>
      <c r="DV20" s="191"/>
      <c r="DW20" s="191"/>
      <c r="DX20" s="191"/>
      <c r="DY20" s="191"/>
      <c r="DZ20" s="191"/>
      <c r="EA20" s="191"/>
      <c r="EB20" s="191"/>
      <c r="EC20" s="191"/>
      <c r="ED20" s="191"/>
      <c r="EE20" s="191"/>
      <c r="EF20" s="191"/>
      <c r="EG20" s="191"/>
      <c r="EH20" s="191"/>
      <c r="EI20" s="191"/>
      <c r="EJ20" s="191"/>
      <c r="EK20" s="191"/>
      <c r="EL20" s="191"/>
      <c r="EM20" s="191"/>
      <c r="EN20" s="191"/>
      <c r="EO20" s="191"/>
      <c r="EP20" s="191"/>
      <c r="EQ20" s="191"/>
      <c r="ER20" s="191"/>
      <c r="ES20" s="191"/>
      <c r="ET20" s="191"/>
      <c r="EU20" s="191"/>
      <c r="EV20" s="191"/>
      <c r="EW20" s="191"/>
      <c r="EX20" s="191"/>
      <c r="EY20" s="191"/>
      <c r="EZ20" s="191"/>
      <c r="FA20" s="191"/>
      <c r="FB20" s="191"/>
      <c r="FC20" s="191"/>
      <c r="FD20" s="191"/>
      <c r="FE20" s="191"/>
      <c r="FF20" s="191"/>
      <c r="FG20" s="191"/>
      <c r="FH20" s="191"/>
      <c r="FI20" s="191"/>
      <c r="FJ20" s="191"/>
      <c r="FK20" s="191"/>
    </row>
    <row r="21">
      <c r="A21" s="191"/>
      <c r="B21" s="216" t="s">
        <v>5258</v>
      </c>
      <c r="C21" s="222"/>
      <c r="D21" s="223">
        <v>200.0</v>
      </c>
      <c r="E21" s="153">
        <v>250.0</v>
      </c>
      <c r="F21" s="153">
        <v>300.0</v>
      </c>
      <c r="G21" s="153">
        <v>350.0</v>
      </c>
      <c r="H21" s="153">
        <v>400.0</v>
      </c>
      <c r="I21" s="153">
        <v>550.0</v>
      </c>
      <c r="J21" s="153">
        <v>550.0</v>
      </c>
      <c r="K21" s="153">
        <v>600.0</v>
      </c>
      <c r="L21" s="153">
        <v>650.0</v>
      </c>
      <c r="M21" s="221">
        <v>700.0</v>
      </c>
      <c r="N21" s="153">
        <v>750.0</v>
      </c>
      <c r="O21" s="153">
        <v>800.0</v>
      </c>
      <c r="P21" s="153">
        <v>850.0</v>
      </c>
      <c r="Q21" s="153">
        <v>900.0</v>
      </c>
      <c r="R21" s="153">
        <v>950.0</v>
      </c>
      <c r="S21" s="153">
        <v>1050.0</v>
      </c>
      <c r="T21" s="153">
        <v>1100.0</v>
      </c>
      <c r="U21" s="153">
        <v>1250.0</v>
      </c>
      <c r="V21" s="157">
        <v>1300.0</v>
      </c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91"/>
      <c r="AO21" s="191"/>
      <c r="AP21" s="191"/>
      <c r="AQ21" s="191"/>
      <c r="AR21" s="191"/>
      <c r="AS21" s="191"/>
      <c r="AT21" s="191"/>
      <c r="AU21" s="191"/>
      <c r="AV21" s="191"/>
      <c r="AW21" s="191"/>
      <c r="AX21" s="191"/>
      <c r="AY21" s="191"/>
      <c r="AZ21" s="191"/>
      <c r="BA21" s="191"/>
      <c r="BB21" s="191"/>
      <c r="BC21" s="191"/>
      <c r="BD21" s="191"/>
      <c r="BE21" s="191"/>
      <c r="BF21" s="191"/>
      <c r="BG21" s="191"/>
      <c r="BH21" s="191"/>
      <c r="BI21" s="191"/>
      <c r="BJ21" s="191"/>
      <c r="BK21" s="191"/>
      <c r="BL21" s="191"/>
      <c r="BM21" s="191"/>
      <c r="BN21" s="191"/>
      <c r="BO21" s="191"/>
      <c r="BP21" s="191"/>
      <c r="BQ21" s="191"/>
      <c r="BR21" s="191"/>
      <c r="BS21" s="191"/>
      <c r="BT21" s="191"/>
      <c r="BU21" s="191"/>
      <c r="BV21" s="191"/>
      <c r="BW21" s="191"/>
      <c r="BX21" s="191"/>
      <c r="BY21" s="191"/>
      <c r="BZ21" s="191"/>
      <c r="CA21" s="191"/>
      <c r="CB21" s="191"/>
      <c r="CC21" s="191"/>
      <c r="CD21" s="191"/>
      <c r="CE21" s="191"/>
      <c r="CF21" s="191"/>
      <c r="CG21" s="191"/>
      <c r="CH21" s="191"/>
      <c r="CI21" s="191"/>
      <c r="CJ21" s="191"/>
      <c r="CK21" s="191"/>
      <c r="CL21" s="191"/>
      <c r="CM21" s="191"/>
      <c r="CN21" s="191"/>
      <c r="CO21" s="191"/>
      <c r="CP21" s="191"/>
      <c r="CQ21" s="191"/>
      <c r="CR21" s="191"/>
      <c r="CS21" s="191"/>
      <c r="CT21" s="191"/>
      <c r="CU21" s="191"/>
      <c r="CV21" s="191"/>
      <c r="CW21" s="191"/>
      <c r="CX21" s="191"/>
      <c r="CY21" s="191"/>
      <c r="CZ21" s="191"/>
      <c r="DA21" s="191"/>
      <c r="DB21" s="191"/>
      <c r="DC21" s="191"/>
      <c r="DD21" s="191"/>
      <c r="DE21" s="191"/>
      <c r="DF21" s="191"/>
      <c r="DG21" s="191"/>
      <c r="DH21" s="191"/>
      <c r="DI21" s="191"/>
      <c r="DJ21" s="191"/>
      <c r="DK21" s="191"/>
      <c r="DL21" s="191"/>
      <c r="DM21" s="191"/>
      <c r="DN21" s="191"/>
      <c r="DO21" s="191"/>
      <c r="DP21" s="191"/>
      <c r="DQ21" s="191"/>
      <c r="DR21" s="191"/>
      <c r="DS21" s="191"/>
      <c r="DT21" s="191"/>
      <c r="DU21" s="191"/>
      <c r="DV21" s="191"/>
      <c r="DW21" s="191"/>
      <c r="DX21" s="191"/>
      <c r="DY21" s="191"/>
      <c r="DZ21" s="191"/>
      <c r="EA21" s="191"/>
      <c r="EB21" s="191"/>
      <c r="EC21" s="191"/>
      <c r="ED21" s="191"/>
      <c r="EE21" s="191"/>
      <c r="EF21" s="191"/>
      <c r="EG21" s="191"/>
      <c r="EH21" s="191"/>
      <c r="EI21" s="191"/>
      <c r="EJ21" s="191"/>
      <c r="EK21" s="191"/>
      <c r="EL21" s="191"/>
      <c r="EM21" s="191"/>
      <c r="EN21" s="191"/>
      <c r="EO21" s="191"/>
      <c r="EP21" s="191"/>
      <c r="EQ21" s="191"/>
      <c r="ER21" s="191"/>
      <c r="ES21" s="191"/>
      <c r="ET21" s="191"/>
      <c r="EU21" s="191"/>
      <c r="EV21" s="191"/>
      <c r="EW21" s="191"/>
      <c r="EX21" s="191"/>
      <c r="EY21" s="191"/>
      <c r="EZ21" s="191"/>
      <c r="FA21" s="191"/>
      <c r="FB21" s="191"/>
      <c r="FC21" s="191"/>
      <c r="FD21" s="191"/>
      <c r="FE21" s="191"/>
      <c r="FF21" s="191"/>
      <c r="FG21" s="191"/>
      <c r="FH21" s="191"/>
      <c r="FI21" s="191"/>
      <c r="FJ21" s="191"/>
      <c r="FK21" s="191"/>
    </row>
    <row r="22">
      <c r="A22" s="191"/>
      <c r="B22" s="216" t="s">
        <v>5259</v>
      </c>
      <c r="C22" s="222"/>
      <c r="D22" s="223">
        <v>200.0</v>
      </c>
      <c r="E22" s="153">
        <v>250.0</v>
      </c>
      <c r="F22" s="153">
        <v>300.0</v>
      </c>
      <c r="G22" s="153">
        <v>350.0</v>
      </c>
      <c r="H22" s="153">
        <v>400.0</v>
      </c>
      <c r="I22" s="153">
        <v>550.0</v>
      </c>
      <c r="J22" s="153">
        <v>550.0</v>
      </c>
      <c r="K22" s="153">
        <v>600.0</v>
      </c>
      <c r="L22" s="153">
        <v>650.0</v>
      </c>
      <c r="M22" s="221">
        <v>700.0</v>
      </c>
      <c r="N22" s="153">
        <v>750.0</v>
      </c>
      <c r="O22" s="153">
        <v>800.0</v>
      </c>
      <c r="P22" s="153">
        <v>850.0</v>
      </c>
      <c r="Q22" s="153">
        <v>900.0</v>
      </c>
      <c r="R22" s="153">
        <v>950.0</v>
      </c>
      <c r="S22" s="153">
        <v>1050.0</v>
      </c>
      <c r="T22" s="153">
        <v>1100.0</v>
      </c>
      <c r="U22" s="153">
        <v>1250.0</v>
      </c>
      <c r="V22" s="157">
        <v>1300.0</v>
      </c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  <c r="AO22" s="191"/>
      <c r="AP22" s="191"/>
      <c r="AQ22" s="191"/>
      <c r="AR22" s="191"/>
      <c r="AS22" s="191"/>
      <c r="AT22" s="191"/>
      <c r="AU22" s="191"/>
      <c r="AV22" s="191"/>
      <c r="AW22" s="191"/>
      <c r="AX22" s="191"/>
      <c r="AY22" s="191"/>
      <c r="AZ22" s="191"/>
      <c r="BA22" s="191"/>
      <c r="BB22" s="191"/>
      <c r="BC22" s="191"/>
      <c r="BD22" s="191"/>
      <c r="BE22" s="191"/>
      <c r="BF22" s="191"/>
      <c r="BG22" s="191"/>
      <c r="BH22" s="191"/>
      <c r="BI22" s="191"/>
      <c r="BJ22" s="191"/>
      <c r="BK22" s="191"/>
      <c r="BL22" s="191"/>
      <c r="BM22" s="191"/>
      <c r="BN22" s="191"/>
      <c r="BO22" s="191"/>
      <c r="BP22" s="191"/>
      <c r="BQ22" s="191"/>
      <c r="BR22" s="191"/>
      <c r="BS22" s="191"/>
      <c r="BT22" s="191"/>
      <c r="BU22" s="191"/>
      <c r="BV22" s="191"/>
      <c r="BW22" s="191"/>
      <c r="BX22" s="191"/>
      <c r="BY22" s="191"/>
      <c r="BZ22" s="191"/>
      <c r="CA22" s="191"/>
      <c r="CB22" s="191"/>
      <c r="CC22" s="191"/>
      <c r="CD22" s="191"/>
      <c r="CE22" s="191"/>
      <c r="CF22" s="191"/>
      <c r="CG22" s="191"/>
      <c r="CH22" s="191"/>
      <c r="CI22" s="191"/>
      <c r="CJ22" s="191"/>
      <c r="CK22" s="191"/>
      <c r="CL22" s="191"/>
      <c r="CM22" s="191"/>
      <c r="CN22" s="191"/>
      <c r="CO22" s="191"/>
      <c r="CP22" s="191"/>
      <c r="CQ22" s="191"/>
      <c r="CR22" s="191"/>
      <c r="CS22" s="191"/>
      <c r="CT22" s="191"/>
      <c r="CU22" s="191"/>
      <c r="CV22" s="191"/>
      <c r="CW22" s="191"/>
      <c r="CX22" s="191"/>
      <c r="CY22" s="191"/>
      <c r="CZ22" s="191"/>
      <c r="DA22" s="191"/>
      <c r="DB22" s="191"/>
      <c r="DC22" s="191"/>
      <c r="DD22" s="191"/>
      <c r="DE22" s="191"/>
      <c r="DF22" s="191"/>
      <c r="DG22" s="191"/>
      <c r="DH22" s="191"/>
      <c r="DI22" s="191"/>
      <c r="DJ22" s="191"/>
      <c r="DK22" s="191"/>
      <c r="DL22" s="191"/>
      <c r="DM22" s="191"/>
      <c r="DN22" s="191"/>
      <c r="DO22" s="191"/>
      <c r="DP22" s="191"/>
      <c r="DQ22" s="191"/>
      <c r="DR22" s="191"/>
      <c r="DS22" s="191"/>
      <c r="DT22" s="191"/>
      <c r="DU22" s="191"/>
      <c r="DV22" s="191"/>
      <c r="DW22" s="191"/>
      <c r="DX22" s="191"/>
      <c r="DY22" s="191"/>
      <c r="DZ22" s="191"/>
      <c r="EA22" s="191"/>
      <c r="EB22" s="191"/>
      <c r="EC22" s="191"/>
      <c r="ED22" s="191"/>
      <c r="EE22" s="191"/>
      <c r="EF22" s="191"/>
      <c r="EG22" s="191"/>
      <c r="EH22" s="191"/>
      <c r="EI22" s="191"/>
      <c r="EJ22" s="191"/>
      <c r="EK22" s="191"/>
      <c r="EL22" s="191"/>
      <c r="EM22" s="191"/>
      <c r="EN22" s="191"/>
      <c r="EO22" s="191"/>
      <c r="EP22" s="191"/>
      <c r="EQ22" s="191"/>
      <c r="ER22" s="191"/>
      <c r="ES22" s="191"/>
      <c r="ET22" s="191"/>
      <c r="EU22" s="191"/>
      <c r="EV22" s="191"/>
      <c r="EW22" s="191"/>
      <c r="EX22" s="191"/>
      <c r="EY22" s="191"/>
      <c r="EZ22" s="191"/>
      <c r="FA22" s="191"/>
      <c r="FB22" s="191"/>
      <c r="FC22" s="191"/>
      <c r="FD22" s="191"/>
      <c r="FE22" s="191"/>
      <c r="FF22" s="191"/>
      <c r="FG22" s="191"/>
      <c r="FH22" s="191"/>
      <c r="FI22" s="191"/>
      <c r="FJ22" s="191"/>
      <c r="FK22" s="191"/>
    </row>
    <row r="23">
      <c r="A23" s="191"/>
      <c r="B23" s="216" t="s">
        <v>27</v>
      </c>
      <c r="C23" s="222"/>
      <c r="D23" s="153">
        <v>150.0</v>
      </c>
      <c r="E23" s="153">
        <v>150.0</v>
      </c>
      <c r="F23" s="153">
        <v>250.0</v>
      </c>
      <c r="G23" s="153">
        <v>250.0</v>
      </c>
      <c r="H23" s="153">
        <v>300.0</v>
      </c>
      <c r="I23" s="153">
        <v>400.0</v>
      </c>
      <c r="J23" s="153">
        <v>400.0</v>
      </c>
      <c r="K23" s="153">
        <v>450.0</v>
      </c>
      <c r="L23" s="153">
        <v>450.0</v>
      </c>
      <c r="M23" s="221">
        <v>500.0</v>
      </c>
      <c r="N23" s="153">
        <v>550.0</v>
      </c>
      <c r="O23" s="153">
        <v>600.0</v>
      </c>
      <c r="P23" s="153">
        <v>600.0</v>
      </c>
      <c r="Q23" s="153">
        <v>650.0</v>
      </c>
      <c r="R23" s="153">
        <v>700.0</v>
      </c>
      <c r="S23" s="153">
        <v>750.0</v>
      </c>
      <c r="T23" s="153">
        <v>800.0</v>
      </c>
      <c r="U23" s="153">
        <v>900.0</v>
      </c>
      <c r="V23" s="157">
        <v>900.0</v>
      </c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  <c r="BK23" s="191"/>
      <c r="BL23" s="191"/>
      <c r="BM23" s="191"/>
      <c r="BN23" s="191"/>
      <c r="BO23" s="191"/>
      <c r="BP23" s="191"/>
      <c r="BQ23" s="191"/>
      <c r="BR23" s="191"/>
      <c r="BS23" s="191"/>
      <c r="BT23" s="191"/>
      <c r="BU23" s="191"/>
      <c r="BV23" s="191"/>
      <c r="BW23" s="191"/>
      <c r="BX23" s="191"/>
      <c r="BY23" s="191"/>
      <c r="BZ23" s="191"/>
      <c r="CA23" s="191"/>
      <c r="CB23" s="191"/>
      <c r="CC23" s="191"/>
      <c r="CD23" s="191"/>
      <c r="CE23" s="191"/>
      <c r="CF23" s="191"/>
      <c r="CG23" s="191"/>
      <c r="CH23" s="191"/>
      <c r="CI23" s="191"/>
      <c r="CJ23" s="191"/>
      <c r="CK23" s="191"/>
      <c r="CL23" s="191"/>
      <c r="CM23" s="191"/>
      <c r="CN23" s="191"/>
      <c r="CO23" s="191"/>
      <c r="CP23" s="191"/>
      <c r="CQ23" s="191"/>
      <c r="CR23" s="191"/>
      <c r="CS23" s="191"/>
      <c r="CT23" s="191"/>
      <c r="CU23" s="191"/>
      <c r="CV23" s="191"/>
      <c r="CW23" s="191"/>
      <c r="CX23" s="191"/>
      <c r="CY23" s="191"/>
      <c r="CZ23" s="191"/>
      <c r="DA23" s="191"/>
      <c r="DB23" s="191"/>
      <c r="DC23" s="191"/>
      <c r="DD23" s="191"/>
      <c r="DE23" s="191"/>
      <c r="DF23" s="191"/>
      <c r="DG23" s="191"/>
      <c r="DH23" s="191"/>
      <c r="DI23" s="191"/>
      <c r="DJ23" s="191"/>
      <c r="DK23" s="191"/>
      <c r="DL23" s="191"/>
      <c r="DM23" s="191"/>
      <c r="DN23" s="191"/>
      <c r="DO23" s="191"/>
      <c r="DP23" s="191"/>
      <c r="DQ23" s="191"/>
      <c r="DR23" s="191"/>
      <c r="DS23" s="191"/>
      <c r="DT23" s="191"/>
      <c r="DU23" s="191"/>
      <c r="DV23" s="191"/>
      <c r="DW23" s="191"/>
      <c r="DX23" s="191"/>
      <c r="DY23" s="191"/>
      <c r="DZ23" s="191"/>
      <c r="EA23" s="191"/>
      <c r="EB23" s="191"/>
      <c r="EC23" s="191"/>
      <c r="ED23" s="191"/>
      <c r="EE23" s="191"/>
      <c r="EF23" s="191"/>
      <c r="EG23" s="191"/>
      <c r="EH23" s="191"/>
      <c r="EI23" s="191"/>
      <c r="EJ23" s="191"/>
      <c r="EK23" s="191"/>
      <c r="EL23" s="191"/>
      <c r="EM23" s="191"/>
      <c r="EN23" s="191"/>
      <c r="EO23" s="191"/>
      <c r="EP23" s="191"/>
      <c r="EQ23" s="191"/>
      <c r="ER23" s="191"/>
      <c r="ES23" s="191"/>
      <c r="ET23" s="191"/>
      <c r="EU23" s="191"/>
      <c r="EV23" s="191"/>
      <c r="EW23" s="191"/>
      <c r="EX23" s="191"/>
      <c r="EY23" s="191"/>
      <c r="EZ23" s="191"/>
      <c r="FA23" s="191"/>
      <c r="FB23" s="191"/>
      <c r="FC23" s="191"/>
      <c r="FD23" s="191"/>
      <c r="FE23" s="191"/>
      <c r="FF23" s="191"/>
      <c r="FG23" s="191"/>
      <c r="FH23" s="191"/>
      <c r="FI23" s="191"/>
      <c r="FJ23" s="191"/>
      <c r="FK23" s="191"/>
    </row>
    <row r="24">
      <c r="A24" s="191"/>
      <c r="B24" s="216" t="s">
        <v>28</v>
      </c>
      <c r="C24" s="222"/>
      <c r="D24" s="153">
        <v>1000.0</v>
      </c>
      <c r="E24" s="153">
        <v>1200.0</v>
      </c>
      <c r="F24" s="153">
        <v>1650.0</v>
      </c>
      <c r="G24" s="153">
        <v>1850.0</v>
      </c>
      <c r="H24" s="153">
        <v>2200.0</v>
      </c>
      <c r="I24" s="153">
        <v>2800.0</v>
      </c>
      <c r="J24" s="153">
        <v>2950.0</v>
      </c>
      <c r="K24" s="153">
        <v>3200.0</v>
      </c>
      <c r="L24" s="153">
        <v>3400.0</v>
      </c>
      <c r="M24" s="221">
        <v>3700.0</v>
      </c>
      <c r="N24" s="153">
        <v>3900.0</v>
      </c>
      <c r="O24" s="153">
        <v>4250.0</v>
      </c>
      <c r="P24" s="153">
        <v>4450.0</v>
      </c>
      <c r="Q24" s="153">
        <v>4900.0</v>
      </c>
      <c r="R24" s="153">
        <v>5150.0</v>
      </c>
      <c r="S24" s="153">
        <v>5600.0</v>
      </c>
      <c r="T24" s="153">
        <v>5900.0</v>
      </c>
      <c r="U24" s="153">
        <v>6500.0</v>
      </c>
      <c r="V24" s="157">
        <v>6800.0</v>
      </c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  <c r="BK24" s="191"/>
      <c r="BL24" s="191"/>
      <c r="BM24" s="191"/>
      <c r="BN24" s="191"/>
      <c r="BO24" s="191"/>
      <c r="BP24" s="191"/>
      <c r="BQ24" s="191"/>
      <c r="BR24" s="191"/>
      <c r="BS24" s="191"/>
      <c r="BT24" s="191"/>
      <c r="BU24" s="191"/>
      <c r="BV24" s="191"/>
      <c r="BW24" s="191"/>
      <c r="BX24" s="191"/>
      <c r="BY24" s="191"/>
      <c r="BZ24" s="191"/>
      <c r="CA24" s="191"/>
      <c r="CB24" s="191"/>
      <c r="CC24" s="191"/>
      <c r="CD24" s="191"/>
      <c r="CE24" s="191"/>
      <c r="CF24" s="191"/>
      <c r="CG24" s="191"/>
      <c r="CH24" s="191"/>
      <c r="CI24" s="191"/>
      <c r="CJ24" s="191"/>
      <c r="CK24" s="191"/>
      <c r="CL24" s="191"/>
      <c r="CM24" s="191"/>
      <c r="CN24" s="191"/>
      <c r="CO24" s="191"/>
      <c r="CP24" s="191"/>
      <c r="CQ24" s="191"/>
      <c r="CR24" s="191"/>
      <c r="CS24" s="191"/>
      <c r="CT24" s="191"/>
      <c r="CU24" s="191"/>
      <c r="CV24" s="191"/>
      <c r="CW24" s="191"/>
      <c r="CX24" s="191"/>
      <c r="CY24" s="191"/>
      <c r="CZ24" s="191"/>
      <c r="DA24" s="191"/>
      <c r="DB24" s="191"/>
      <c r="DC24" s="191"/>
      <c r="DD24" s="191"/>
      <c r="DE24" s="191"/>
      <c r="DF24" s="191"/>
      <c r="DG24" s="191"/>
      <c r="DH24" s="191"/>
      <c r="DI24" s="191"/>
      <c r="DJ24" s="191"/>
      <c r="DK24" s="191"/>
      <c r="DL24" s="191"/>
      <c r="DM24" s="191"/>
      <c r="DN24" s="191"/>
      <c r="DO24" s="191"/>
      <c r="DP24" s="191"/>
      <c r="DQ24" s="191"/>
      <c r="DR24" s="191"/>
      <c r="DS24" s="191"/>
      <c r="DT24" s="191"/>
      <c r="DU24" s="191"/>
      <c r="DV24" s="191"/>
      <c r="DW24" s="191"/>
      <c r="DX24" s="191"/>
      <c r="DY24" s="191"/>
      <c r="DZ24" s="191"/>
      <c r="EA24" s="191"/>
      <c r="EB24" s="191"/>
      <c r="EC24" s="191"/>
      <c r="ED24" s="191"/>
      <c r="EE24" s="191"/>
      <c r="EF24" s="191"/>
      <c r="EG24" s="191"/>
      <c r="EH24" s="191"/>
      <c r="EI24" s="191"/>
      <c r="EJ24" s="191"/>
      <c r="EK24" s="191"/>
      <c r="EL24" s="191"/>
      <c r="EM24" s="191"/>
      <c r="EN24" s="191"/>
      <c r="EO24" s="191"/>
      <c r="EP24" s="191"/>
      <c r="EQ24" s="191"/>
      <c r="ER24" s="191"/>
      <c r="ES24" s="191"/>
      <c r="ET24" s="191"/>
      <c r="EU24" s="191"/>
      <c r="EV24" s="191"/>
      <c r="EW24" s="191"/>
      <c r="EX24" s="191"/>
      <c r="EY24" s="191"/>
      <c r="EZ24" s="191"/>
      <c r="FA24" s="191"/>
      <c r="FB24" s="191"/>
      <c r="FC24" s="191"/>
      <c r="FD24" s="191"/>
      <c r="FE24" s="191"/>
      <c r="FF24" s="191"/>
      <c r="FG24" s="191"/>
      <c r="FH24" s="191"/>
      <c r="FI24" s="191"/>
      <c r="FJ24" s="191"/>
      <c r="FK24" s="191"/>
    </row>
    <row r="25">
      <c r="A25" s="191"/>
      <c r="B25" s="216" t="s">
        <v>5260</v>
      </c>
      <c r="C25" s="222"/>
      <c r="D25" s="153">
        <v>1100.0</v>
      </c>
      <c r="E25" s="153">
        <v>1300.0</v>
      </c>
      <c r="F25" s="153">
        <v>1800.0</v>
      </c>
      <c r="G25" s="153">
        <v>2000.0</v>
      </c>
      <c r="H25" s="153">
        <v>2400.0</v>
      </c>
      <c r="I25" s="153">
        <v>3050.0</v>
      </c>
      <c r="J25" s="153">
        <v>3200.0</v>
      </c>
      <c r="K25" s="153">
        <v>3500.0</v>
      </c>
      <c r="L25" s="153">
        <v>3650.0</v>
      </c>
      <c r="M25" s="221">
        <v>4000.0</v>
      </c>
      <c r="N25" s="153">
        <v>4200.0</v>
      </c>
      <c r="O25" s="153">
        <v>4600.0</v>
      </c>
      <c r="P25" s="153">
        <v>4850.0</v>
      </c>
      <c r="Q25" s="153">
        <v>5300.0</v>
      </c>
      <c r="R25" s="153">
        <v>5550.0</v>
      </c>
      <c r="S25" s="153">
        <v>6100.0</v>
      </c>
      <c r="T25" s="153">
        <v>6400.0</v>
      </c>
      <c r="U25" s="153">
        <v>7000.0</v>
      </c>
      <c r="V25" s="157">
        <v>7350.0</v>
      </c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1"/>
      <c r="AX25" s="191"/>
      <c r="AY25" s="191"/>
      <c r="AZ25" s="191"/>
      <c r="BA25" s="191"/>
      <c r="BB25" s="191"/>
      <c r="BC25" s="191"/>
      <c r="BD25" s="191"/>
      <c r="BE25" s="191"/>
      <c r="BF25" s="191"/>
      <c r="BG25" s="191"/>
      <c r="BH25" s="191"/>
      <c r="BI25" s="191"/>
      <c r="BJ25" s="191"/>
      <c r="BK25" s="191"/>
      <c r="BL25" s="191"/>
      <c r="BM25" s="191"/>
      <c r="BN25" s="191"/>
      <c r="BO25" s="191"/>
      <c r="BP25" s="191"/>
      <c r="BQ25" s="191"/>
      <c r="BR25" s="191"/>
      <c r="BS25" s="191"/>
      <c r="BT25" s="191"/>
      <c r="BU25" s="191"/>
      <c r="BV25" s="191"/>
      <c r="BW25" s="191"/>
      <c r="BX25" s="191"/>
      <c r="BY25" s="191"/>
      <c r="BZ25" s="191"/>
      <c r="CA25" s="191"/>
      <c r="CB25" s="191"/>
      <c r="CC25" s="191"/>
      <c r="CD25" s="191"/>
      <c r="CE25" s="191"/>
      <c r="CF25" s="191"/>
      <c r="CG25" s="191"/>
      <c r="CH25" s="191"/>
      <c r="CI25" s="191"/>
      <c r="CJ25" s="191"/>
      <c r="CK25" s="191"/>
      <c r="CL25" s="191"/>
      <c r="CM25" s="191"/>
      <c r="CN25" s="191"/>
      <c r="CO25" s="191"/>
      <c r="CP25" s="191"/>
      <c r="CQ25" s="191"/>
      <c r="CR25" s="191"/>
      <c r="CS25" s="191"/>
      <c r="CT25" s="191"/>
      <c r="CU25" s="191"/>
      <c r="CV25" s="191"/>
      <c r="CW25" s="191"/>
      <c r="CX25" s="191"/>
      <c r="CY25" s="191"/>
      <c r="CZ25" s="191"/>
      <c r="DA25" s="191"/>
      <c r="DB25" s="191"/>
      <c r="DC25" s="191"/>
      <c r="DD25" s="191"/>
      <c r="DE25" s="191"/>
      <c r="DF25" s="191"/>
      <c r="DG25" s="191"/>
      <c r="DH25" s="191"/>
      <c r="DI25" s="191"/>
      <c r="DJ25" s="191"/>
      <c r="DK25" s="191"/>
      <c r="DL25" s="191"/>
      <c r="DM25" s="191"/>
      <c r="DN25" s="191"/>
      <c r="DO25" s="191"/>
      <c r="DP25" s="191"/>
      <c r="DQ25" s="191"/>
      <c r="DR25" s="191"/>
      <c r="DS25" s="191"/>
      <c r="DT25" s="191"/>
      <c r="DU25" s="191"/>
      <c r="DV25" s="191"/>
      <c r="DW25" s="191"/>
      <c r="DX25" s="191"/>
      <c r="DY25" s="191"/>
      <c r="DZ25" s="191"/>
      <c r="EA25" s="191"/>
      <c r="EB25" s="191"/>
      <c r="EC25" s="191"/>
      <c r="ED25" s="191"/>
      <c r="EE25" s="191"/>
      <c r="EF25" s="191"/>
      <c r="EG25" s="191"/>
      <c r="EH25" s="191"/>
      <c r="EI25" s="191"/>
      <c r="EJ25" s="191"/>
      <c r="EK25" s="191"/>
      <c r="EL25" s="191"/>
      <c r="EM25" s="191"/>
      <c r="EN25" s="191"/>
      <c r="EO25" s="191"/>
      <c r="EP25" s="191"/>
      <c r="EQ25" s="191"/>
      <c r="ER25" s="191"/>
      <c r="ES25" s="191"/>
      <c r="ET25" s="191"/>
      <c r="EU25" s="191"/>
      <c r="EV25" s="191"/>
      <c r="EW25" s="191"/>
      <c r="EX25" s="191"/>
      <c r="EY25" s="191"/>
      <c r="EZ25" s="191"/>
      <c r="FA25" s="191"/>
      <c r="FB25" s="191"/>
      <c r="FC25" s="191"/>
      <c r="FD25" s="191"/>
      <c r="FE25" s="191"/>
      <c r="FF25" s="191"/>
      <c r="FG25" s="191"/>
      <c r="FH25" s="191"/>
      <c r="FI25" s="191"/>
      <c r="FJ25" s="191"/>
      <c r="FK25" s="191"/>
    </row>
    <row r="26">
      <c r="A26" s="191"/>
      <c r="B26" s="216" t="s">
        <v>5261</v>
      </c>
      <c r="C26" s="222"/>
      <c r="D26" s="223">
        <v>850.0</v>
      </c>
      <c r="E26" s="223">
        <v>1050.0</v>
      </c>
      <c r="F26" s="223">
        <v>1450.0</v>
      </c>
      <c r="G26" s="153">
        <v>1600.0</v>
      </c>
      <c r="H26" s="153">
        <v>1900.0</v>
      </c>
      <c r="I26" s="153">
        <v>2450.0</v>
      </c>
      <c r="J26" s="153">
        <v>2550.0</v>
      </c>
      <c r="K26" s="153">
        <v>2800.0</v>
      </c>
      <c r="L26" s="153">
        <v>2900.0</v>
      </c>
      <c r="M26" s="221">
        <v>3200.0</v>
      </c>
      <c r="N26" s="153">
        <v>3350.0</v>
      </c>
      <c r="O26" s="153">
        <v>3700.0</v>
      </c>
      <c r="P26" s="153">
        <v>3850.0</v>
      </c>
      <c r="Q26" s="153">
        <v>4200.0</v>
      </c>
      <c r="R26" s="153">
        <v>4450.0</v>
      </c>
      <c r="S26" s="153">
        <v>4850.0</v>
      </c>
      <c r="T26" s="153">
        <v>5100.0</v>
      </c>
      <c r="U26" s="153">
        <v>5600.0</v>
      </c>
      <c r="V26" s="157">
        <v>5900.0</v>
      </c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1"/>
      <c r="BD26" s="191"/>
      <c r="BE26" s="191"/>
      <c r="BF26" s="191"/>
      <c r="BG26" s="191"/>
      <c r="BH26" s="191"/>
      <c r="BI26" s="191"/>
      <c r="BJ26" s="191"/>
      <c r="BK26" s="191"/>
      <c r="BL26" s="191"/>
      <c r="BM26" s="191"/>
      <c r="BN26" s="191"/>
      <c r="BO26" s="191"/>
      <c r="BP26" s="191"/>
      <c r="BQ26" s="191"/>
      <c r="BR26" s="191"/>
      <c r="BS26" s="191"/>
      <c r="BT26" s="191"/>
      <c r="BU26" s="191"/>
      <c r="BV26" s="191"/>
      <c r="BW26" s="191"/>
      <c r="BX26" s="191"/>
      <c r="BY26" s="191"/>
      <c r="BZ26" s="191"/>
      <c r="CA26" s="191"/>
      <c r="CB26" s="191"/>
      <c r="CC26" s="191"/>
      <c r="CD26" s="191"/>
      <c r="CE26" s="191"/>
      <c r="CF26" s="191"/>
      <c r="CG26" s="191"/>
      <c r="CH26" s="191"/>
      <c r="CI26" s="191"/>
      <c r="CJ26" s="191"/>
      <c r="CK26" s="191"/>
      <c r="CL26" s="191"/>
      <c r="CM26" s="191"/>
      <c r="CN26" s="191"/>
      <c r="CO26" s="191"/>
      <c r="CP26" s="191"/>
      <c r="CQ26" s="191"/>
      <c r="CR26" s="191"/>
      <c r="CS26" s="191"/>
      <c r="CT26" s="191"/>
      <c r="CU26" s="191"/>
      <c r="CV26" s="191"/>
      <c r="CW26" s="191"/>
      <c r="CX26" s="191"/>
      <c r="CY26" s="191"/>
      <c r="CZ26" s="191"/>
      <c r="DA26" s="191"/>
      <c r="DB26" s="191"/>
      <c r="DC26" s="191"/>
      <c r="DD26" s="191"/>
      <c r="DE26" s="191"/>
      <c r="DF26" s="191"/>
      <c r="DG26" s="191"/>
      <c r="DH26" s="191"/>
      <c r="DI26" s="191"/>
      <c r="DJ26" s="191"/>
      <c r="DK26" s="191"/>
      <c r="DL26" s="191"/>
      <c r="DM26" s="191"/>
      <c r="DN26" s="191"/>
      <c r="DO26" s="191"/>
      <c r="DP26" s="191"/>
      <c r="DQ26" s="191"/>
      <c r="DR26" s="191"/>
      <c r="DS26" s="191"/>
      <c r="DT26" s="191"/>
      <c r="DU26" s="191"/>
      <c r="DV26" s="191"/>
      <c r="DW26" s="191"/>
      <c r="DX26" s="191"/>
      <c r="DY26" s="191"/>
      <c r="DZ26" s="191"/>
      <c r="EA26" s="191"/>
      <c r="EB26" s="191"/>
      <c r="EC26" s="191"/>
      <c r="ED26" s="191"/>
      <c r="EE26" s="191"/>
      <c r="EF26" s="191"/>
      <c r="EG26" s="191"/>
      <c r="EH26" s="191"/>
      <c r="EI26" s="191"/>
      <c r="EJ26" s="191"/>
      <c r="EK26" s="191"/>
      <c r="EL26" s="191"/>
      <c r="EM26" s="191"/>
      <c r="EN26" s="191"/>
      <c r="EO26" s="191"/>
      <c r="EP26" s="191"/>
      <c r="EQ26" s="191"/>
      <c r="ER26" s="191"/>
      <c r="ES26" s="191"/>
      <c r="ET26" s="191"/>
      <c r="EU26" s="191"/>
      <c r="EV26" s="191"/>
      <c r="EW26" s="191"/>
      <c r="EX26" s="191"/>
      <c r="EY26" s="191"/>
      <c r="EZ26" s="191"/>
      <c r="FA26" s="191"/>
      <c r="FB26" s="191"/>
      <c r="FC26" s="191"/>
      <c r="FD26" s="191"/>
      <c r="FE26" s="191"/>
      <c r="FF26" s="191"/>
      <c r="FG26" s="191"/>
      <c r="FH26" s="191"/>
      <c r="FI26" s="191"/>
      <c r="FJ26" s="191"/>
      <c r="FK26" s="191"/>
    </row>
    <row r="27">
      <c r="A27" s="191"/>
      <c r="B27" s="216" t="s">
        <v>36</v>
      </c>
      <c r="C27" s="222"/>
      <c r="D27" s="153">
        <v>1100.0</v>
      </c>
      <c r="E27" s="153">
        <v>1300.0</v>
      </c>
      <c r="F27" s="153">
        <v>1800.0</v>
      </c>
      <c r="G27" s="153">
        <v>2000.0</v>
      </c>
      <c r="H27" s="153">
        <v>2400.0</v>
      </c>
      <c r="I27" s="153">
        <v>3050.0</v>
      </c>
      <c r="J27" s="153">
        <v>3200.0</v>
      </c>
      <c r="K27" s="153">
        <v>3500.0</v>
      </c>
      <c r="L27" s="153">
        <v>3650.0</v>
      </c>
      <c r="M27" s="221">
        <v>4000.0</v>
      </c>
      <c r="N27" s="153">
        <v>4200.0</v>
      </c>
      <c r="O27" s="153">
        <v>4600.0</v>
      </c>
      <c r="P27" s="153">
        <v>4850.0</v>
      </c>
      <c r="Q27" s="153">
        <v>5300.0</v>
      </c>
      <c r="R27" s="153">
        <v>5550.0</v>
      </c>
      <c r="S27" s="153">
        <v>6100.0</v>
      </c>
      <c r="T27" s="153">
        <v>6400.0</v>
      </c>
      <c r="U27" s="153">
        <v>7000.0</v>
      </c>
      <c r="V27" s="157">
        <v>7350.0</v>
      </c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91"/>
      <c r="AV27" s="191"/>
      <c r="AW27" s="191"/>
      <c r="AX27" s="191"/>
      <c r="AY27" s="191"/>
      <c r="AZ27" s="191"/>
      <c r="BA27" s="191"/>
      <c r="BB27" s="191"/>
      <c r="BC27" s="191"/>
      <c r="BD27" s="191"/>
      <c r="BE27" s="191"/>
      <c r="BF27" s="191"/>
      <c r="BG27" s="191"/>
      <c r="BH27" s="191"/>
      <c r="BI27" s="191"/>
      <c r="BJ27" s="191"/>
      <c r="BK27" s="191"/>
      <c r="BL27" s="191"/>
      <c r="BM27" s="191"/>
      <c r="BN27" s="191"/>
      <c r="BO27" s="191"/>
      <c r="BP27" s="191"/>
      <c r="BQ27" s="191"/>
      <c r="BR27" s="191"/>
      <c r="BS27" s="191"/>
      <c r="BT27" s="191"/>
      <c r="BU27" s="191"/>
      <c r="BV27" s="191"/>
      <c r="BW27" s="191"/>
      <c r="BX27" s="191"/>
      <c r="BY27" s="191"/>
      <c r="BZ27" s="191"/>
      <c r="CA27" s="191"/>
      <c r="CB27" s="191"/>
      <c r="CC27" s="191"/>
      <c r="CD27" s="191"/>
      <c r="CE27" s="191"/>
      <c r="CF27" s="191"/>
      <c r="CG27" s="191"/>
      <c r="CH27" s="191"/>
      <c r="CI27" s="191"/>
      <c r="CJ27" s="191"/>
      <c r="CK27" s="191"/>
      <c r="CL27" s="191"/>
      <c r="CM27" s="191"/>
      <c r="CN27" s="191"/>
      <c r="CO27" s="191"/>
      <c r="CP27" s="191"/>
      <c r="CQ27" s="191"/>
      <c r="CR27" s="191"/>
      <c r="CS27" s="191"/>
      <c r="CT27" s="191"/>
      <c r="CU27" s="191"/>
      <c r="CV27" s="191"/>
      <c r="CW27" s="191"/>
      <c r="CX27" s="191"/>
      <c r="CY27" s="191"/>
      <c r="CZ27" s="191"/>
      <c r="DA27" s="191"/>
      <c r="DB27" s="191"/>
      <c r="DC27" s="191"/>
      <c r="DD27" s="191"/>
      <c r="DE27" s="191"/>
      <c r="DF27" s="191"/>
      <c r="DG27" s="191"/>
      <c r="DH27" s="191"/>
      <c r="DI27" s="191"/>
      <c r="DJ27" s="191"/>
      <c r="DK27" s="191"/>
      <c r="DL27" s="191"/>
      <c r="DM27" s="191"/>
      <c r="DN27" s="191"/>
      <c r="DO27" s="191"/>
      <c r="DP27" s="191"/>
      <c r="DQ27" s="191"/>
      <c r="DR27" s="191"/>
      <c r="DS27" s="191"/>
      <c r="DT27" s="191"/>
      <c r="DU27" s="191"/>
      <c r="DV27" s="191"/>
      <c r="DW27" s="191"/>
      <c r="DX27" s="191"/>
      <c r="DY27" s="191"/>
      <c r="DZ27" s="191"/>
      <c r="EA27" s="191"/>
      <c r="EB27" s="191"/>
      <c r="EC27" s="191"/>
      <c r="ED27" s="191"/>
      <c r="EE27" s="191"/>
      <c r="EF27" s="191"/>
      <c r="EG27" s="191"/>
      <c r="EH27" s="191"/>
      <c r="EI27" s="191"/>
      <c r="EJ27" s="191"/>
      <c r="EK27" s="191"/>
      <c r="EL27" s="191"/>
      <c r="EM27" s="191"/>
      <c r="EN27" s="191"/>
      <c r="EO27" s="191"/>
      <c r="EP27" s="191"/>
      <c r="EQ27" s="191"/>
      <c r="ER27" s="191"/>
      <c r="ES27" s="191"/>
      <c r="ET27" s="191"/>
      <c r="EU27" s="191"/>
      <c r="EV27" s="191"/>
      <c r="EW27" s="191"/>
      <c r="EX27" s="191"/>
      <c r="EY27" s="191"/>
      <c r="EZ27" s="191"/>
      <c r="FA27" s="191"/>
      <c r="FB27" s="191"/>
      <c r="FC27" s="191"/>
      <c r="FD27" s="191"/>
      <c r="FE27" s="191"/>
      <c r="FF27" s="191"/>
      <c r="FG27" s="191"/>
      <c r="FH27" s="191"/>
      <c r="FI27" s="191"/>
      <c r="FJ27" s="191"/>
      <c r="FK27" s="191"/>
    </row>
    <row r="28">
      <c r="A28" s="191"/>
      <c r="B28" s="216" t="s">
        <v>5262</v>
      </c>
      <c r="C28" s="222"/>
      <c r="D28" s="153">
        <v>1100.0</v>
      </c>
      <c r="E28" s="153">
        <v>1300.0</v>
      </c>
      <c r="F28" s="153">
        <v>1800.0</v>
      </c>
      <c r="G28" s="153">
        <v>2000.0</v>
      </c>
      <c r="H28" s="153">
        <v>2400.0</v>
      </c>
      <c r="I28" s="153">
        <v>3050.0</v>
      </c>
      <c r="J28" s="153">
        <v>3200.0</v>
      </c>
      <c r="K28" s="153">
        <v>3500.0</v>
      </c>
      <c r="L28" s="153">
        <v>3650.0</v>
      </c>
      <c r="M28" s="221">
        <v>4000.0</v>
      </c>
      <c r="N28" s="153">
        <v>4200.0</v>
      </c>
      <c r="O28" s="153">
        <v>4600.0</v>
      </c>
      <c r="P28" s="153">
        <v>4850.0</v>
      </c>
      <c r="Q28" s="153">
        <v>5300.0</v>
      </c>
      <c r="R28" s="153">
        <v>5550.0</v>
      </c>
      <c r="S28" s="153">
        <v>6100.0</v>
      </c>
      <c r="T28" s="153">
        <v>6400.0</v>
      </c>
      <c r="U28" s="153">
        <v>7000.0</v>
      </c>
      <c r="V28" s="157">
        <v>7350.0</v>
      </c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  <c r="AP28" s="191"/>
      <c r="AQ28" s="191"/>
      <c r="AR28" s="191"/>
      <c r="AS28" s="191"/>
      <c r="AT28" s="191"/>
      <c r="AU28" s="191"/>
      <c r="AV28" s="191"/>
      <c r="AW28" s="191"/>
      <c r="AX28" s="191"/>
      <c r="AY28" s="191"/>
      <c r="AZ28" s="191"/>
      <c r="BA28" s="191"/>
      <c r="BB28" s="191"/>
      <c r="BC28" s="191"/>
      <c r="BD28" s="191"/>
      <c r="BE28" s="191"/>
      <c r="BF28" s="191"/>
      <c r="BG28" s="191"/>
      <c r="BH28" s="191"/>
      <c r="BI28" s="191"/>
      <c r="BJ28" s="191"/>
      <c r="BK28" s="191"/>
      <c r="BL28" s="191"/>
      <c r="BM28" s="191"/>
      <c r="BN28" s="191"/>
      <c r="BO28" s="191"/>
      <c r="BP28" s="191"/>
      <c r="BQ28" s="191"/>
      <c r="BR28" s="191"/>
      <c r="BS28" s="191"/>
      <c r="BT28" s="191"/>
      <c r="BU28" s="191"/>
      <c r="BV28" s="191"/>
      <c r="BW28" s="191"/>
      <c r="BX28" s="191"/>
      <c r="BY28" s="191"/>
      <c r="BZ28" s="191"/>
      <c r="CA28" s="191"/>
      <c r="CB28" s="191"/>
      <c r="CC28" s="191"/>
      <c r="CD28" s="191"/>
      <c r="CE28" s="191"/>
      <c r="CF28" s="191"/>
      <c r="CG28" s="191"/>
      <c r="CH28" s="191"/>
      <c r="CI28" s="191"/>
      <c r="CJ28" s="191"/>
      <c r="CK28" s="191"/>
      <c r="CL28" s="191"/>
      <c r="CM28" s="191"/>
      <c r="CN28" s="191"/>
      <c r="CO28" s="191"/>
      <c r="CP28" s="191"/>
      <c r="CQ28" s="191"/>
      <c r="CR28" s="191"/>
      <c r="CS28" s="191"/>
      <c r="CT28" s="191"/>
      <c r="CU28" s="191"/>
      <c r="CV28" s="191"/>
      <c r="CW28" s="191"/>
      <c r="CX28" s="191"/>
      <c r="CY28" s="191"/>
      <c r="CZ28" s="191"/>
      <c r="DA28" s="191"/>
      <c r="DB28" s="191"/>
      <c r="DC28" s="191"/>
      <c r="DD28" s="191"/>
      <c r="DE28" s="191"/>
      <c r="DF28" s="191"/>
      <c r="DG28" s="191"/>
      <c r="DH28" s="191"/>
      <c r="DI28" s="191"/>
      <c r="DJ28" s="191"/>
      <c r="DK28" s="191"/>
      <c r="DL28" s="191"/>
      <c r="DM28" s="191"/>
      <c r="DN28" s="191"/>
      <c r="DO28" s="191"/>
      <c r="DP28" s="191"/>
      <c r="DQ28" s="191"/>
      <c r="DR28" s="191"/>
      <c r="DS28" s="191"/>
      <c r="DT28" s="191"/>
      <c r="DU28" s="191"/>
      <c r="DV28" s="191"/>
      <c r="DW28" s="191"/>
      <c r="DX28" s="191"/>
      <c r="DY28" s="191"/>
      <c r="DZ28" s="191"/>
      <c r="EA28" s="191"/>
      <c r="EB28" s="191"/>
      <c r="EC28" s="191"/>
      <c r="ED28" s="191"/>
      <c r="EE28" s="191"/>
      <c r="EF28" s="191"/>
      <c r="EG28" s="191"/>
      <c r="EH28" s="191"/>
      <c r="EI28" s="191"/>
      <c r="EJ28" s="191"/>
      <c r="EK28" s="191"/>
      <c r="EL28" s="191"/>
      <c r="EM28" s="191"/>
      <c r="EN28" s="191"/>
      <c r="EO28" s="191"/>
      <c r="EP28" s="191"/>
      <c r="EQ28" s="191"/>
      <c r="ER28" s="191"/>
      <c r="ES28" s="191"/>
      <c r="ET28" s="191"/>
      <c r="EU28" s="191"/>
      <c r="EV28" s="191"/>
      <c r="EW28" s="191"/>
      <c r="EX28" s="191"/>
      <c r="EY28" s="191"/>
      <c r="EZ28" s="191"/>
      <c r="FA28" s="191"/>
      <c r="FB28" s="191"/>
      <c r="FC28" s="191"/>
      <c r="FD28" s="191"/>
      <c r="FE28" s="191"/>
      <c r="FF28" s="191"/>
      <c r="FG28" s="191"/>
      <c r="FH28" s="191"/>
      <c r="FI28" s="191"/>
      <c r="FJ28" s="191"/>
      <c r="FK28" s="191"/>
    </row>
    <row r="29">
      <c r="A29" s="191"/>
      <c r="B29" s="216" t="s">
        <v>47</v>
      </c>
      <c r="C29" s="222"/>
      <c r="D29" s="223">
        <v>900.0</v>
      </c>
      <c r="E29" s="223">
        <v>1100.0</v>
      </c>
      <c r="F29" s="223">
        <v>1500.0</v>
      </c>
      <c r="G29" s="153">
        <v>1650.0</v>
      </c>
      <c r="H29" s="153">
        <v>2000.0</v>
      </c>
      <c r="I29" s="153">
        <v>2500.0</v>
      </c>
      <c r="J29" s="153">
        <v>2650.0</v>
      </c>
      <c r="K29" s="153">
        <v>2850.0</v>
      </c>
      <c r="L29" s="153">
        <v>3000.0</v>
      </c>
      <c r="M29" s="221">
        <v>3300.0</v>
      </c>
      <c r="N29" s="153">
        <v>3450.0</v>
      </c>
      <c r="O29" s="153">
        <v>3800.0</v>
      </c>
      <c r="P29" s="153">
        <v>4000.0</v>
      </c>
      <c r="Q29" s="153">
        <v>4350.0</v>
      </c>
      <c r="R29" s="153">
        <v>4550.0</v>
      </c>
      <c r="S29" s="153">
        <v>5000.0</v>
      </c>
      <c r="T29" s="153">
        <v>5250.0</v>
      </c>
      <c r="U29" s="153">
        <v>5800.0</v>
      </c>
      <c r="V29" s="157">
        <v>6050.0</v>
      </c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  <c r="EB29" s="191"/>
      <c r="EC29" s="191"/>
      <c r="ED29" s="191"/>
      <c r="EE29" s="191"/>
      <c r="EF29" s="191"/>
      <c r="EG29" s="191"/>
      <c r="EH29" s="191"/>
      <c r="EI29" s="191"/>
      <c r="EJ29" s="191"/>
      <c r="EK29" s="191"/>
      <c r="EL29" s="191"/>
      <c r="EM29" s="191"/>
      <c r="EN29" s="191"/>
      <c r="EO29" s="191"/>
      <c r="EP29" s="191"/>
      <c r="EQ29" s="191"/>
      <c r="ER29" s="191"/>
      <c r="ES29" s="191"/>
      <c r="ET29" s="191"/>
      <c r="EU29" s="191"/>
      <c r="EV29" s="191"/>
      <c r="EW29" s="191"/>
      <c r="EX29" s="191"/>
      <c r="EY29" s="191"/>
      <c r="EZ29" s="191"/>
      <c r="FA29" s="191"/>
      <c r="FB29" s="191"/>
      <c r="FC29" s="191"/>
      <c r="FD29" s="191"/>
      <c r="FE29" s="191"/>
      <c r="FF29" s="191"/>
      <c r="FG29" s="191"/>
      <c r="FH29" s="191"/>
      <c r="FI29" s="191"/>
      <c r="FJ29" s="191"/>
      <c r="FK29" s="191"/>
    </row>
    <row r="30">
      <c r="A30" s="191"/>
      <c r="B30" s="216" t="s">
        <v>184</v>
      </c>
      <c r="C30" s="222"/>
      <c r="D30" s="153">
        <v>1100.0</v>
      </c>
      <c r="E30" s="153">
        <v>1300.0</v>
      </c>
      <c r="F30" s="153">
        <v>1800.0</v>
      </c>
      <c r="G30" s="153">
        <v>2000.0</v>
      </c>
      <c r="H30" s="153">
        <v>2400.0</v>
      </c>
      <c r="I30" s="153">
        <v>3050.0</v>
      </c>
      <c r="J30" s="153">
        <v>3200.0</v>
      </c>
      <c r="K30" s="153">
        <v>3500.0</v>
      </c>
      <c r="L30" s="153">
        <v>3650.0</v>
      </c>
      <c r="M30" s="221">
        <v>4000.0</v>
      </c>
      <c r="N30" s="153">
        <v>4200.0</v>
      </c>
      <c r="O30" s="153">
        <v>4600.0</v>
      </c>
      <c r="P30" s="153">
        <v>4850.0</v>
      </c>
      <c r="Q30" s="153">
        <v>5300.0</v>
      </c>
      <c r="R30" s="153">
        <v>5550.0</v>
      </c>
      <c r="S30" s="153">
        <v>6100.0</v>
      </c>
      <c r="T30" s="153">
        <v>6400.0</v>
      </c>
      <c r="U30" s="153">
        <v>7000.0</v>
      </c>
      <c r="V30" s="157">
        <v>7350.0</v>
      </c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  <c r="EB30" s="191"/>
      <c r="EC30" s="191"/>
      <c r="ED30" s="191"/>
      <c r="EE30" s="191"/>
      <c r="EF30" s="191"/>
      <c r="EG30" s="191"/>
      <c r="EH30" s="191"/>
      <c r="EI30" s="191"/>
      <c r="EJ30" s="191"/>
      <c r="EK30" s="191"/>
      <c r="EL30" s="191"/>
      <c r="EM30" s="191"/>
      <c r="EN30" s="191"/>
      <c r="EO30" s="191"/>
      <c r="EP30" s="191"/>
      <c r="EQ30" s="191"/>
      <c r="ER30" s="191"/>
      <c r="ES30" s="191"/>
      <c r="ET30" s="191"/>
      <c r="EU30" s="191"/>
      <c r="EV30" s="191"/>
      <c r="EW30" s="191"/>
      <c r="EX30" s="191"/>
      <c r="EY30" s="191"/>
      <c r="EZ30" s="191"/>
      <c r="FA30" s="191"/>
      <c r="FB30" s="191"/>
      <c r="FC30" s="191"/>
      <c r="FD30" s="191"/>
      <c r="FE30" s="191"/>
      <c r="FF30" s="191"/>
      <c r="FG30" s="191"/>
      <c r="FH30" s="191"/>
      <c r="FI30" s="191"/>
      <c r="FJ30" s="191"/>
      <c r="FK30" s="191"/>
    </row>
    <row r="31">
      <c r="A31" s="191"/>
      <c r="B31" s="216" t="s">
        <v>237</v>
      </c>
      <c r="C31" s="222"/>
      <c r="D31" s="153">
        <v>1100.0</v>
      </c>
      <c r="E31" s="153">
        <v>1300.0</v>
      </c>
      <c r="F31" s="153">
        <v>1800.0</v>
      </c>
      <c r="G31" s="153">
        <v>2000.0</v>
      </c>
      <c r="H31" s="153">
        <v>2400.0</v>
      </c>
      <c r="I31" s="153">
        <v>3050.0</v>
      </c>
      <c r="J31" s="153">
        <v>3200.0</v>
      </c>
      <c r="K31" s="153">
        <v>3500.0</v>
      </c>
      <c r="L31" s="153">
        <v>3650.0</v>
      </c>
      <c r="M31" s="221">
        <v>4000.0</v>
      </c>
      <c r="N31" s="153">
        <v>4200.0</v>
      </c>
      <c r="O31" s="153">
        <v>4600.0</v>
      </c>
      <c r="P31" s="153">
        <v>4850.0</v>
      </c>
      <c r="Q31" s="153">
        <v>5300.0</v>
      </c>
      <c r="R31" s="153">
        <v>5550.0</v>
      </c>
      <c r="S31" s="153">
        <v>6100.0</v>
      </c>
      <c r="T31" s="153">
        <v>6400.0</v>
      </c>
      <c r="U31" s="153">
        <v>7000.0</v>
      </c>
      <c r="V31" s="157">
        <v>7350.0</v>
      </c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  <c r="EB31" s="191"/>
      <c r="EC31" s="191"/>
      <c r="ED31" s="191"/>
      <c r="EE31" s="191"/>
      <c r="EF31" s="191"/>
      <c r="EG31" s="191"/>
      <c r="EH31" s="191"/>
      <c r="EI31" s="191"/>
      <c r="EJ31" s="191"/>
      <c r="EK31" s="191"/>
      <c r="EL31" s="191"/>
      <c r="EM31" s="191"/>
      <c r="EN31" s="191"/>
      <c r="EO31" s="191"/>
      <c r="EP31" s="191"/>
      <c r="EQ31" s="191"/>
      <c r="ER31" s="191"/>
      <c r="ES31" s="191"/>
      <c r="ET31" s="191"/>
      <c r="EU31" s="191"/>
      <c r="EV31" s="191"/>
      <c r="EW31" s="191"/>
      <c r="EX31" s="191"/>
      <c r="EY31" s="191"/>
      <c r="EZ31" s="191"/>
      <c r="FA31" s="191"/>
      <c r="FB31" s="191"/>
      <c r="FC31" s="191"/>
      <c r="FD31" s="191"/>
      <c r="FE31" s="191"/>
      <c r="FF31" s="191"/>
      <c r="FG31" s="191"/>
      <c r="FH31" s="191"/>
      <c r="FI31" s="191"/>
      <c r="FJ31" s="191"/>
      <c r="FK31" s="191"/>
    </row>
    <row r="32">
      <c r="A32" s="191"/>
      <c r="B32" s="216" t="s">
        <v>50</v>
      </c>
      <c r="C32" s="222"/>
      <c r="D32" s="153">
        <v>1100.0</v>
      </c>
      <c r="E32" s="153">
        <v>1350.0</v>
      </c>
      <c r="F32" s="153">
        <v>1850.0</v>
      </c>
      <c r="G32" s="153">
        <v>2050.0</v>
      </c>
      <c r="H32" s="153">
        <v>2450.0</v>
      </c>
      <c r="I32" s="153">
        <v>3100.0</v>
      </c>
      <c r="J32" s="153">
        <v>3250.0</v>
      </c>
      <c r="K32" s="153">
        <v>3550.0</v>
      </c>
      <c r="L32" s="153">
        <v>3750.0</v>
      </c>
      <c r="M32" s="221">
        <v>4100.0</v>
      </c>
      <c r="N32" s="153">
        <v>4300.0</v>
      </c>
      <c r="O32" s="153">
        <v>4700.0</v>
      </c>
      <c r="P32" s="153">
        <v>4950.0</v>
      </c>
      <c r="Q32" s="153">
        <v>5400.0</v>
      </c>
      <c r="R32" s="153">
        <v>5700.0</v>
      </c>
      <c r="S32" s="153">
        <v>6250.0</v>
      </c>
      <c r="T32" s="153">
        <v>6550.0</v>
      </c>
      <c r="U32" s="153">
        <v>7200.0</v>
      </c>
      <c r="V32" s="157">
        <v>7550.0</v>
      </c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1"/>
      <c r="BD32" s="191"/>
      <c r="BE32" s="191"/>
      <c r="BF32" s="191"/>
      <c r="BG32" s="191"/>
      <c r="BH32" s="191"/>
      <c r="BI32" s="191"/>
      <c r="BJ32" s="191"/>
      <c r="BK32" s="191"/>
      <c r="BL32" s="191"/>
      <c r="BM32" s="191"/>
      <c r="BN32" s="191"/>
      <c r="BO32" s="191"/>
      <c r="BP32" s="191"/>
      <c r="BQ32" s="191"/>
      <c r="BR32" s="191"/>
      <c r="BS32" s="191"/>
      <c r="BT32" s="191"/>
      <c r="BU32" s="191"/>
      <c r="BV32" s="191"/>
      <c r="BW32" s="191"/>
      <c r="BX32" s="191"/>
      <c r="BY32" s="191"/>
      <c r="BZ32" s="191"/>
      <c r="CA32" s="191"/>
      <c r="CB32" s="191"/>
      <c r="CC32" s="191"/>
      <c r="CD32" s="191"/>
      <c r="CE32" s="191"/>
      <c r="CF32" s="191"/>
      <c r="CG32" s="191"/>
      <c r="CH32" s="191"/>
      <c r="CI32" s="191"/>
      <c r="CJ32" s="191"/>
      <c r="CK32" s="191"/>
      <c r="CL32" s="191"/>
      <c r="CM32" s="191"/>
      <c r="CN32" s="191"/>
      <c r="CO32" s="191"/>
      <c r="CP32" s="191"/>
      <c r="CQ32" s="191"/>
      <c r="CR32" s="191"/>
      <c r="CS32" s="191"/>
      <c r="CT32" s="191"/>
      <c r="CU32" s="191"/>
      <c r="CV32" s="191"/>
      <c r="CW32" s="191"/>
      <c r="CX32" s="191"/>
      <c r="CY32" s="191"/>
      <c r="CZ32" s="191"/>
      <c r="DA32" s="191"/>
      <c r="DB32" s="191"/>
      <c r="DC32" s="191"/>
      <c r="DD32" s="191"/>
      <c r="DE32" s="191"/>
      <c r="DF32" s="191"/>
      <c r="DG32" s="191"/>
      <c r="DH32" s="191"/>
      <c r="DI32" s="191"/>
      <c r="DJ32" s="191"/>
      <c r="DK32" s="191"/>
      <c r="DL32" s="191"/>
      <c r="DM32" s="191"/>
      <c r="DN32" s="191"/>
      <c r="DO32" s="191"/>
      <c r="DP32" s="191"/>
      <c r="DQ32" s="191"/>
      <c r="DR32" s="191"/>
      <c r="DS32" s="191"/>
      <c r="DT32" s="191"/>
      <c r="DU32" s="191"/>
      <c r="DV32" s="191"/>
      <c r="DW32" s="191"/>
      <c r="DX32" s="191"/>
      <c r="DY32" s="191"/>
      <c r="DZ32" s="191"/>
      <c r="EA32" s="191"/>
      <c r="EB32" s="191"/>
      <c r="EC32" s="191"/>
      <c r="ED32" s="191"/>
      <c r="EE32" s="191"/>
      <c r="EF32" s="191"/>
      <c r="EG32" s="191"/>
      <c r="EH32" s="191"/>
      <c r="EI32" s="191"/>
      <c r="EJ32" s="191"/>
      <c r="EK32" s="191"/>
      <c r="EL32" s="191"/>
      <c r="EM32" s="191"/>
      <c r="EN32" s="191"/>
      <c r="EO32" s="191"/>
      <c r="EP32" s="191"/>
      <c r="EQ32" s="191"/>
      <c r="ER32" s="191"/>
      <c r="ES32" s="191"/>
      <c r="ET32" s="191"/>
      <c r="EU32" s="191"/>
      <c r="EV32" s="191"/>
      <c r="EW32" s="191"/>
      <c r="EX32" s="191"/>
      <c r="EY32" s="191"/>
      <c r="EZ32" s="191"/>
      <c r="FA32" s="191"/>
      <c r="FB32" s="191"/>
      <c r="FC32" s="191"/>
      <c r="FD32" s="191"/>
      <c r="FE32" s="191"/>
      <c r="FF32" s="191"/>
      <c r="FG32" s="191"/>
      <c r="FH32" s="191"/>
      <c r="FI32" s="191"/>
      <c r="FJ32" s="191"/>
      <c r="FK32" s="191"/>
    </row>
    <row r="33">
      <c r="A33" s="191"/>
      <c r="B33" s="216" t="s">
        <v>51</v>
      </c>
      <c r="C33" s="222"/>
      <c r="D33" s="224">
        <v>1250.0</v>
      </c>
      <c r="E33" s="224">
        <v>1550.0</v>
      </c>
      <c r="F33" s="224">
        <v>2100.0</v>
      </c>
      <c r="G33" s="153">
        <v>2350.0</v>
      </c>
      <c r="H33" s="153">
        <v>2800.0</v>
      </c>
      <c r="I33" s="153">
        <v>3550.0</v>
      </c>
      <c r="J33" s="153">
        <v>3750.0</v>
      </c>
      <c r="K33" s="153">
        <v>4100.0</v>
      </c>
      <c r="L33" s="153">
        <v>4300.0</v>
      </c>
      <c r="M33" s="221">
        <v>4700.0</v>
      </c>
      <c r="N33" s="153">
        <v>4950.0</v>
      </c>
      <c r="O33" s="153">
        <v>5400.0</v>
      </c>
      <c r="P33" s="153">
        <v>5700.0</v>
      </c>
      <c r="Q33" s="153">
        <v>6200.0</v>
      </c>
      <c r="R33" s="153">
        <v>6500.0</v>
      </c>
      <c r="S33" s="153">
        <v>7150.0</v>
      </c>
      <c r="T33" s="153">
        <v>7500.0</v>
      </c>
      <c r="U33" s="153">
        <v>8250.0</v>
      </c>
      <c r="V33" s="157">
        <v>8650.0</v>
      </c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91"/>
      <c r="AV33" s="191"/>
      <c r="AW33" s="191"/>
      <c r="AX33" s="191"/>
      <c r="AY33" s="191"/>
      <c r="AZ33" s="191"/>
      <c r="BA33" s="191"/>
      <c r="BB33" s="191"/>
      <c r="BC33" s="191"/>
      <c r="BD33" s="191"/>
      <c r="BE33" s="191"/>
      <c r="BF33" s="191"/>
      <c r="BG33" s="191"/>
      <c r="BH33" s="191"/>
      <c r="BI33" s="191"/>
      <c r="BJ33" s="191"/>
      <c r="BK33" s="191"/>
      <c r="BL33" s="191"/>
      <c r="BM33" s="191"/>
      <c r="BN33" s="191"/>
      <c r="BO33" s="191"/>
      <c r="BP33" s="191"/>
      <c r="BQ33" s="191"/>
      <c r="BR33" s="191"/>
      <c r="BS33" s="191"/>
      <c r="BT33" s="191"/>
      <c r="BU33" s="191"/>
      <c r="BV33" s="191"/>
      <c r="BW33" s="191"/>
      <c r="BX33" s="191"/>
      <c r="BY33" s="191"/>
      <c r="BZ33" s="191"/>
      <c r="CA33" s="191"/>
      <c r="CB33" s="191"/>
      <c r="CC33" s="191"/>
      <c r="CD33" s="191"/>
      <c r="CE33" s="191"/>
      <c r="CF33" s="191"/>
      <c r="CG33" s="191"/>
      <c r="CH33" s="191"/>
      <c r="CI33" s="191"/>
      <c r="CJ33" s="191"/>
      <c r="CK33" s="191"/>
      <c r="CL33" s="191"/>
      <c r="CM33" s="191"/>
      <c r="CN33" s="191"/>
      <c r="CO33" s="191"/>
      <c r="CP33" s="191"/>
      <c r="CQ33" s="191"/>
      <c r="CR33" s="191"/>
      <c r="CS33" s="191"/>
      <c r="CT33" s="191"/>
      <c r="CU33" s="191"/>
      <c r="CV33" s="191"/>
      <c r="CW33" s="191"/>
      <c r="CX33" s="191"/>
      <c r="CY33" s="191"/>
      <c r="CZ33" s="191"/>
      <c r="DA33" s="191"/>
      <c r="DB33" s="191"/>
      <c r="DC33" s="191"/>
      <c r="DD33" s="191"/>
      <c r="DE33" s="191"/>
      <c r="DF33" s="191"/>
      <c r="DG33" s="191"/>
      <c r="DH33" s="191"/>
      <c r="DI33" s="191"/>
      <c r="DJ33" s="191"/>
      <c r="DK33" s="191"/>
      <c r="DL33" s="191"/>
      <c r="DM33" s="191"/>
      <c r="DN33" s="191"/>
      <c r="DO33" s="191"/>
      <c r="DP33" s="191"/>
      <c r="DQ33" s="191"/>
      <c r="DR33" s="191"/>
      <c r="DS33" s="191"/>
      <c r="DT33" s="191"/>
      <c r="DU33" s="191"/>
      <c r="DV33" s="191"/>
      <c r="DW33" s="191"/>
      <c r="DX33" s="191"/>
      <c r="DY33" s="191"/>
      <c r="DZ33" s="191"/>
      <c r="EA33" s="191"/>
      <c r="EB33" s="191"/>
      <c r="EC33" s="191"/>
      <c r="ED33" s="191"/>
      <c r="EE33" s="191"/>
      <c r="EF33" s="191"/>
      <c r="EG33" s="191"/>
      <c r="EH33" s="191"/>
      <c r="EI33" s="191"/>
      <c r="EJ33" s="191"/>
      <c r="EK33" s="191"/>
      <c r="EL33" s="191"/>
      <c r="EM33" s="191"/>
      <c r="EN33" s="191"/>
      <c r="EO33" s="191"/>
      <c r="EP33" s="191"/>
      <c r="EQ33" s="191"/>
      <c r="ER33" s="191"/>
      <c r="ES33" s="191"/>
      <c r="ET33" s="191"/>
      <c r="EU33" s="191"/>
      <c r="EV33" s="191"/>
      <c r="EW33" s="191"/>
      <c r="EX33" s="191"/>
      <c r="EY33" s="191"/>
      <c r="EZ33" s="191"/>
      <c r="FA33" s="191"/>
      <c r="FB33" s="191"/>
      <c r="FC33" s="191"/>
      <c r="FD33" s="191"/>
      <c r="FE33" s="191"/>
      <c r="FF33" s="191"/>
      <c r="FG33" s="191"/>
      <c r="FH33" s="191"/>
      <c r="FI33" s="191"/>
      <c r="FJ33" s="191"/>
      <c r="FK33" s="191"/>
    </row>
    <row r="34">
      <c r="A34" s="191"/>
      <c r="B34" s="216" t="s">
        <v>5263</v>
      </c>
      <c r="C34" s="222"/>
      <c r="D34" s="223">
        <v>1800.0</v>
      </c>
      <c r="E34" s="223">
        <v>2200.0</v>
      </c>
      <c r="F34" s="223">
        <v>3000.0</v>
      </c>
      <c r="G34" s="223">
        <v>3350.0</v>
      </c>
      <c r="H34" s="153">
        <v>4000.0</v>
      </c>
      <c r="I34" s="153">
        <v>5100.0</v>
      </c>
      <c r="J34" s="153">
        <v>5350.0</v>
      </c>
      <c r="K34" s="153">
        <v>5850.0</v>
      </c>
      <c r="L34" s="153">
        <v>6100.0</v>
      </c>
      <c r="M34" s="221">
        <v>6700.0</v>
      </c>
      <c r="N34" s="153">
        <v>7050.0</v>
      </c>
      <c r="O34" s="153">
        <v>7700.0</v>
      </c>
      <c r="P34" s="153">
        <v>8100.0</v>
      </c>
      <c r="Q34" s="153">
        <v>8850.0</v>
      </c>
      <c r="R34" s="153">
        <v>9300.0</v>
      </c>
      <c r="S34" s="153">
        <v>10200.0</v>
      </c>
      <c r="T34" s="153">
        <v>10700.0</v>
      </c>
      <c r="U34" s="153">
        <v>11750.0</v>
      </c>
      <c r="V34" s="157">
        <v>12300.0</v>
      </c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  <c r="EB34" s="191"/>
      <c r="EC34" s="191"/>
      <c r="ED34" s="191"/>
      <c r="EE34" s="191"/>
      <c r="EF34" s="191"/>
      <c r="EG34" s="191"/>
      <c r="EH34" s="191"/>
      <c r="EI34" s="191"/>
      <c r="EJ34" s="191"/>
      <c r="EK34" s="191"/>
      <c r="EL34" s="191"/>
      <c r="EM34" s="191"/>
      <c r="EN34" s="191"/>
      <c r="EO34" s="191"/>
      <c r="EP34" s="191"/>
      <c r="EQ34" s="191"/>
      <c r="ER34" s="191"/>
      <c r="ES34" s="191"/>
      <c r="ET34" s="191"/>
      <c r="EU34" s="191"/>
      <c r="EV34" s="191"/>
      <c r="EW34" s="191"/>
      <c r="EX34" s="191"/>
      <c r="EY34" s="191"/>
      <c r="EZ34" s="191"/>
      <c r="FA34" s="191"/>
      <c r="FB34" s="191"/>
      <c r="FC34" s="191"/>
      <c r="FD34" s="191"/>
      <c r="FE34" s="191"/>
      <c r="FF34" s="191"/>
      <c r="FG34" s="191"/>
      <c r="FH34" s="191"/>
      <c r="FI34" s="191"/>
      <c r="FJ34" s="191"/>
      <c r="FK34" s="191"/>
    </row>
    <row r="35">
      <c r="A35" s="191"/>
      <c r="B35" s="216" t="s">
        <v>5264</v>
      </c>
      <c r="C35" s="222"/>
      <c r="D35" s="223">
        <v>1600.0</v>
      </c>
      <c r="E35" s="223">
        <v>2000.0</v>
      </c>
      <c r="F35" s="223">
        <v>2700.0</v>
      </c>
      <c r="G35" s="153">
        <v>3000.0</v>
      </c>
      <c r="H35" s="153">
        <v>3600.0</v>
      </c>
      <c r="I35" s="153">
        <v>4550.0</v>
      </c>
      <c r="J35" s="153">
        <v>4800.0</v>
      </c>
      <c r="K35" s="153">
        <v>5200.0</v>
      </c>
      <c r="L35" s="153">
        <v>5500.0</v>
      </c>
      <c r="M35" s="221">
        <v>6000.0</v>
      </c>
      <c r="N35" s="153">
        <v>6300.0</v>
      </c>
      <c r="O35" s="225">
        <v>6900.0</v>
      </c>
      <c r="P35" s="153">
        <v>7250.0</v>
      </c>
      <c r="Q35" s="225">
        <v>7900.0</v>
      </c>
      <c r="R35" s="225">
        <v>8300.0</v>
      </c>
      <c r="S35" s="225">
        <v>9100.0</v>
      </c>
      <c r="T35" s="225">
        <v>9600.0</v>
      </c>
      <c r="U35" s="225">
        <v>10500.0</v>
      </c>
      <c r="V35" s="226">
        <v>11050.0</v>
      </c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  <c r="AK35" s="191"/>
      <c r="AL35" s="191"/>
      <c r="AM35" s="191"/>
      <c r="AN35" s="191"/>
      <c r="AO35" s="191"/>
      <c r="AP35" s="191"/>
      <c r="AQ35" s="191"/>
      <c r="AR35" s="191"/>
      <c r="AS35" s="191"/>
      <c r="AT35" s="191"/>
      <c r="AU35" s="191"/>
      <c r="AV35" s="191"/>
      <c r="AW35" s="191"/>
      <c r="AX35" s="191"/>
      <c r="AY35" s="191"/>
      <c r="AZ35" s="191"/>
      <c r="BA35" s="191"/>
      <c r="BB35" s="191"/>
      <c r="BC35" s="191"/>
      <c r="BD35" s="191"/>
      <c r="BE35" s="191"/>
      <c r="BF35" s="191"/>
      <c r="BG35" s="191"/>
      <c r="BH35" s="191"/>
      <c r="BI35" s="191"/>
      <c r="BJ35" s="191"/>
      <c r="BK35" s="191"/>
      <c r="BL35" s="191"/>
      <c r="BM35" s="191"/>
      <c r="BN35" s="191"/>
      <c r="BO35" s="191"/>
      <c r="BP35" s="191"/>
      <c r="BQ35" s="191"/>
      <c r="BR35" s="191"/>
      <c r="BS35" s="191"/>
      <c r="BT35" s="191"/>
      <c r="BU35" s="191"/>
      <c r="BV35" s="191"/>
      <c r="BW35" s="191"/>
      <c r="BX35" s="191"/>
      <c r="BY35" s="191"/>
      <c r="BZ35" s="191"/>
      <c r="CA35" s="191"/>
      <c r="CB35" s="191"/>
      <c r="CC35" s="191"/>
      <c r="CD35" s="191"/>
      <c r="CE35" s="191"/>
      <c r="CF35" s="191"/>
      <c r="CG35" s="191"/>
      <c r="CH35" s="191"/>
      <c r="CI35" s="191"/>
      <c r="CJ35" s="191"/>
      <c r="CK35" s="191"/>
      <c r="CL35" s="191"/>
      <c r="CM35" s="191"/>
      <c r="CN35" s="191"/>
      <c r="CO35" s="191"/>
      <c r="CP35" s="191"/>
      <c r="CQ35" s="191"/>
      <c r="CR35" s="191"/>
      <c r="CS35" s="191"/>
      <c r="CT35" s="191"/>
      <c r="CU35" s="191"/>
      <c r="CV35" s="191"/>
      <c r="CW35" s="191"/>
      <c r="CX35" s="191"/>
      <c r="CY35" s="191"/>
      <c r="CZ35" s="191"/>
      <c r="DA35" s="191"/>
      <c r="DB35" s="191"/>
      <c r="DC35" s="191"/>
      <c r="DD35" s="191"/>
      <c r="DE35" s="191"/>
      <c r="DF35" s="191"/>
      <c r="DG35" s="191"/>
      <c r="DH35" s="191"/>
      <c r="DI35" s="191"/>
      <c r="DJ35" s="191"/>
      <c r="DK35" s="191"/>
      <c r="DL35" s="191"/>
      <c r="DM35" s="191"/>
      <c r="DN35" s="191"/>
      <c r="DO35" s="191"/>
      <c r="DP35" s="191"/>
      <c r="DQ35" s="191"/>
      <c r="DR35" s="191"/>
      <c r="DS35" s="191"/>
      <c r="DT35" s="191"/>
      <c r="DU35" s="191"/>
      <c r="DV35" s="191"/>
      <c r="DW35" s="191"/>
      <c r="DX35" s="191"/>
      <c r="DY35" s="191"/>
      <c r="DZ35" s="191"/>
      <c r="EA35" s="191"/>
      <c r="EB35" s="191"/>
      <c r="EC35" s="191"/>
      <c r="ED35" s="191"/>
      <c r="EE35" s="191"/>
      <c r="EF35" s="191"/>
      <c r="EG35" s="191"/>
      <c r="EH35" s="191"/>
      <c r="EI35" s="191"/>
      <c r="EJ35" s="191"/>
      <c r="EK35" s="191"/>
      <c r="EL35" s="191"/>
      <c r="EM35" s="191"/>
      <c r="EN35" s="191"/>
      <c r="EO35" s="191"/>
      <c r="EP35" s="191"/>
      <c r="EQ35" s="191"/>
      <c r="ER35" s="191"/>
      <c r="ES35" s="191"/>
      <c r="ET35" s="191"/>
      <c r="EU35" s="191"/>
      <c r="EV35" s="191"/>
      <c r="EW35" s="191"/>
      <c r="EX35" s="191"/>
      <c r="EY35" s="191"/>
      <c r="EZ35" s="191"/>
      <c r="FA35" s="191"/>
      <c r="FB35" s="191"/>
      <c r="FC35" s="191"/>
      <c r="FD35" s="191"/>
      <c r="FE35" s="191"/>
      <c r="FF35" s="191"/>
      <c r="FG35" s="191"/>
      <c r="FH35" s="191"/>
      <c r="FI35" s="191"/>
      <c r="FJ35" s="191"/>
      <c r="FK35" s="191"/>
    </row>
    <row r="36">
      <c r="A36" s="191"/>
      <c r="B36" s="216" t="s">
        <v>5265</v>
      </c>
      <c r="C36" s="222"/>
      <c r="D36" s="153">
        <v>1250.0</v>
      </c>
      <c r="E36" s="153">
        <v>1500.0</v>
      </c>
      <c r="F36" s="153">
        <v>2050.0</v>
      </c>
      <c r="G36" s="153">
        <v>2300.0</v>
      </c>
      <c r="H36" s="153">
        <v>2750.0</v>
      </c>
      <c r="I36" s="153">
        <v>3500.0</v>
      </c>
      <c r="J36" s="153">
        <v>3650.0</v>
      </c>
      <c r="K36" s="153">
        <v>4000.0</v>
      </c>
      <c r="L36" s="153">
        <v>4200.0</v>
      </c>
      <c r="M36" s="221">
        <v>4600.0</v>
      </c>
      <c r="N36" s="153">
        <v>4850.0</v>
      </c>
      <c r="O36" s="153">
        <v>5300.0</v>
      </c>
      <c r="P36" s="153">
        <v>5550.0</v>
      </c>
      <c r="Q36" s="153">
        <v>6050.0</v>
      </c>
      <c r="R36" s="153">
        <v>6400.0</v>
      </c>
      <c r="S36" s="153">
        <v>7000.0</v>
      </c>
      <c r="T36" s="153">
        <v>7350.0</v>
      </c>
      <c r="U36" s="153">
        <v>8050.0</v>
      </c>
      <c r="V36" s="157">
        <v>8450.0</v>
      </c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1"/>
      <c r="AW36" s="191"/>
      <c r="AX36" s="191"/>
      <c r="AY36" s="191"/>
      <c r="AZ36" s="191"/>
      <c r="BA36" s="191"/>
      <c r="BB36" s="191"/>
      <c r="BC36" s="191"/>
      <c r="BD36" s="191"/>
      <c r="BE36" s="191"/>
      <c r="BF36" s="191"/>
      <c r="BG36" s="191"/>
      <c r="BH36" s="191"/>
      <c r="BI36" s="191"/>
      <c r="BJ36" s="191"/>
      <c r="BK36" s="191"/>
      <c r="BL36" s="191"/>
      <c r="BM36" s="191"/>
      <c r="BN36" s="191"/>
      <c r="BO36" s="191"/>
      <c r="BP36" s="191"/>
      <c r="BQ36" s="191"/>
      <c r="BR36" s="191"/>
      <c r="BS36" s="191"/>
      <c r="BT36" s="191"/>
      <c r="BU36" s="191"/>
      <c r="BV36" s="191"/>
      <c r="BW36" s="191"/>
      <c r="BX36" s="191"/>
      <c r="BY36" s="191"/>
      <c r="BZ36" s="191"/>
      <c r="CA36" s="191"/>
      <c r="CB36" s="191"/>
      <c r="CC36" s="191"/>
      <c r="CD36" s="191"/>
      <c r="CE36" s="191"/>
      <c r="CF36" s="191"/>
      <c r="CG36" s="191"/>
      <c r="CH36" s="191"/>
      <c r="CI36" s="191"/>
      <c r="CJ36" s="191"/>
      <c r="CK36" s="191"/>
      <c r="CL36" s="191"/>
      <c r="CM36" s="191"/>
      <c r="CN36" s="191"/>
      <c r="CO36" s="191"/>
      <c r="CP36" s="191"/>
      <c r="CQ36" s="191"/>
      <c r="CR36" s="191"/>
      <c r="CS36" s="191"/>
      <c r="CT36" s="191"/>
      <c r="CU36" s="191"/>
      <c r="CV36" s="191"/>
      <c r="CW36" s="191"/>
      <c r="CX36" s="191"/>
      <c r="CY36" s="191"/>
      <c r="CZ36" s="191"/>
      <c r="DA36" s="191"/>
      <c r="DB36" s="191"/>
      <c r="DC36" s="191"/>
      <c r="DD36" s="191"/>
      <c r="DE36" s="191"/>
      <c r="DF36" s="191"/>
      <c r="DG36" s="191"/>
      <c r="DH36" s="191"/>
      <c r="DI36" s="191"/>
      <c r="DJ36" s="191"/>
      <c r="DK36" s="191"/>
      <c r="DL36" s="191"/>
      <c r="DM36" s="191"/>
      <c r="DN36" s="191"/>
      <c r="DO36" s="191"/>
      <c r="DP36" s="191"/>
      <c r="DQ36" s="191"/>
      <c r="DR36" s="191"/>
      <c r="DS36" s="191"/>
      <c r="DT36" s="191"/>
      <c r="DU36" s="191"/>
      <c r="DV36" s="191"/>
      <c r="DW36" s="191"/>
      <c r="DX36" s="191"/>
      <c r="DY36" s="191"/>
      <c r="DZ36" s="191"/>
      <c r="EA36" s="191"/>
      <c r="EB36" s="191"/>
      <c r="EC36" s="191"/>
      <c r="ED36" s="191"/>
      <c r="EE36" s="191"/>
      <c r="EF36" s="191"/>
      <c r="EG36" s="191"/>
      <c r="EH36" s="191"/>
      <c r="EI36" s="191"/>
      <c r="EJ36" s="191"/>
      <c r="EK36" s="191"/>
      <c r="EL36" s="191"/>
      <c r="EM36" s="191"/>
      <c r="EN36" s="191"/>
      <c r="EO36" s="191"/>
      <c r="EP36" s="191"/>
      <c r="EQ36" s="191"/>
      <c r="ER36" s="191"/>
      <c r="ES36" s="191"/>
      <c r="ET36" s="191"/>
      <c r="EU36" s="191"/>
      <c r="EV36" s="191"/>
      <c r="EW36" s="191"/>
      <c r="EX36" s="191"/>
      <c r="EY36" s="191"/>
      <c r="EZ36" s="191"/>
      <c r="FA36" s="191"/>
      <c r="FB36" s="191"/>
      <c r="FC36" s="191"/>
      <c r="FD36" s="191"/>
      <c r="FE36" s="191"/>
      <c r="FF36" s="191"/>
      <c r="FG36" s="191"/>
      <c r="FH36" s="191"/>
      <c r="FI36" s="191"/>
      <c r="FJ36" s="191"/>
      <c r="FK36" s="191"/>
    </row>
    <row r="37">
      <c r="A37" s="191"/>
      <c r="B37" s="211" t="s">
        <v>5266</v>
      </c>
      <c r="C37" s="222"/>
      <c r="D37" s="153">
        <v>800.0</v>
      </c>
      <c r="E37" s="153">
        <v>1000.0</v>
      </c>
      <c r="F37" s="153">
        <v>1350.0</v>
      </c>
      <c r="G37" s="153">
        <v>1500.0</v>
      </c>
      <c r="H37" s="153">
        <v>1800.0</v>
      </c>
      <c r="I37" s="153">
        <v>2300.0</v>
      </c>
      <c r="J37" s="153">
        <v>2400.0</v>
      </c>
      <c r="K37" s="153">
        <v>2600.0</v>
      </c>
      <c r="L37" s="153">
        <v>2750.0</v>
      </c>
      <c r="M37" s="221">
        <v>3000.0</v>
      </c>
      <c r="N37" s="153">
        <v>3150.0</v>
      </c>
      <c r="O37" s="225">
        <v>3450.0</v>
      </c>
      <c r="P37" s="153">
        <v>3600.0</v>
      </c>
      <c r="Q37" s="225">
        <v>3950.0</v>
      </c>
      <c r="R37" s="225">
        <v>4150.0</v>
      </c>
      <c r="S37" s="225">
        <v>4550.0</v>
      </c>
      <c r="T37" s="225">
        <v>4800.0</v>
      </c>
      <c r="U37" s="225">
        <v>5250.0</v>
      </c>
      <c r="V37" s="157">
        <v>5500.0</v>
      </c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91"/>
      <c r="AV37" s="191"/>
      <c r="AW37" s="191"/>
      <c r="AX37" s="191"/>
      <c r="AY37" s="191"/>
      <c r="AZ37" s="191"/>
      <c r="BA37" s="191"/>
      <c r="BB37" s="191"/>
      <c r="BC37" s="191"/>
      <c r="BD37" s="191"/>
      <c r="BE37" s="191"/>
      <c r="BF37" s="191"/>
      <c r="BG37" s="191"/>
      <c r="BH37" s="191"/>
      <c r="BI37" s="191"/>
      <c r="BJ37" s="191"/>
      <c r="BK37" s="191"/>
      <c r="BL37" s="191"/>
      <c r="BM37" s="191"/>
      <c r="BN37" s="191"/>
      <c r="BO37" s="191"/>
      <c r="BP37" s="191"/>
      <c r="BQ37" s="191"/>
      <c r="BR37" s="191"/>
      <c r="BS37" s="191"/>
      <c r="BT37" s="191"/>
      <c r="BU37" s="191"/>
      <c r="BV37" s="191"/>
      <c r="BW37" s="191"/>
      <c r="BX37" s="191"/>
      <c r="BY37" s="191"/>
      <c r="BZ37" s="191"/>
      <c r="CA37" s="191"/>
      <c r="CB37" s="191"/>
      <c r="CC37" s="191"/>
      <c r="CD37" s="191"/>
      <c r="CE37" s="191"/>
      <c r="CF37" s="191"/>
      <c r="CG37" s="191"/>
      <c r="CH37" s="191"/>
      <c r="CI37" s="191"/>
      <c r="CJ37" s="191"/>
      <c r="CK37" s="191"/>
      <c r="CL37" s="191"/>
      <c r="CM37" s="191"/>
      <c r="CN37" s="191"/>
      <c r="CO37" s="191"/>
      <c r="CP37" s="191"/>
      <c r="CQ37" s="191"/>
      <c r="CR37" s="191"/>
      <c r="CS37" s="191"/>
      <c r="CT37" s="191"/>
      <c r="CU37" s="191"/>
      <c r="CV37" s="191"/>
      <c r="CW37" s="191"/>
      <c r="CX37" s="191"/>
      <c r="CY37" s="191"/>
      <c r="CZ37" s="191"/>
      <c r="DA37" s="191"/>
      <c r="DB37" s="191"/>
      <c r="DC37" s="191"/>
      <c r="DD37" s="191"/>
      <c r="DE37" s="191"/>
      <c r="DF37" s="191"/>
      <c r="DG37" s="191"/>
      <c r="DH37" s="191"/>
      <c r="DI37" s="191"/>
      <c r="DJ37" s="191"/>
      <c r="DK37" s="191"/>
      <c r="DL37" s="191"/>
      <c r="DM37" s="191"/>
      <c r="DN37" s="191"/>
      <c r="DO37" s="191"/>
      <c r="DP37" s="191"/>
      <c r="DQ37" s="191"/>
      <c r="DR37" s="191"/>
      <c r="DS37" s="191"/>
      <c r="DT37" s="191"/>
      <c r="DU37" s="191"/>
      <c r="DV37" s="191"/>
      <c r="DW37" s="191"/>
      <c r="DX37" s="191"/>
      <c r="DY37" s="191"/>
      <c r="DZ37" s="191"/>
      <c r="EA37" s="191"/>
      <c r="EB37" s="191"/>
      <c r="EC37" s="191"/>
      <c r="ED37" s="191"/>
      <c r="EE37" s="191"/>
      <c r="EF37" s="191"/>
      <c r="EG37" s="191"/>
      <c r="EH37" s="191"/>
      <c r="EI37" s="191"/>
      <c r="EJ37" s="191"/>
      <c r="EK37" s="191"/>
      <c r="EL37" s="191"/>
      <c r="EM37" s="191"/>
      <c r="EN37" s="191"/>
      <c r="EO37" s="191"/>
      <c r="EP37" s="191"/>
      <c r="EQ37" s="191"/>
      <c r="ER37" s="191"/>
      <c r="ES37" s="191"/>
      <c r="ET37" s="191"/>
      <c r="EU37" s="191"/>
      <c r="EV37" s="191"/>
      <c r="EW37" s="191"/>
      <c r="EX37" s="191"/>
      <c r="EY37" s="191"/>
      <c r="EZ37" s="191"/>
      <c r="FA37" s="191"/>
      <c r="FB37" s="191"/>
      <c r="FC37" s="191"/>
      <c r="FD37" s="191"/>
      <c r="FE37" s="191"/>
      <c r="FF37" s="191"/>
      <c r="FG37" s="191"/>
      <c r="FH37" s="191"/>
      <c r="FI37" s="191"/>
      <c r="FJ37" s="191"/>
      <c r="FK37" s="191"/>
    </row>
    <row r="38">
      <c r="A38" s="191"/>
      <c r="B38" s="216" t="s">
        <v>5267</v>
      </c>
      <c r="C38" s="222"/>
      <c r="D38" s="153">
        <v>950.0</v>
      </c>
      <c r="E38" s="153">
        <v>1150.0</v>
      </c>
      <c r="F38" s="153">
        <v>1600.0</v>
      </c>
      <c r="G38" s="153">
        <v>1750.0</v>
      </c>
      <c r="H38" s="223">
        <v>2100.0</v>
      </c>
      <c r="I38" s="223">
        <v>2650.0</v>
      </c>
      <c r="J38" s="223">
        <v>2800.0</v>
      </c>
      <c r="K38" s="223">
        <v>3050.0</v>
      </c>
      <c r="L38" s="223">
        <v>3200.0</v>
      </c>
      <c r="M38" s="227">
        <v>3500.0</v>
      </c>
      <c r="N38" s="223">
        <v>3700.0</v>
      </c>
      <c r="O38" s="223">
        <v>4050.0</v>
      </c>
      <c r="P38" s="223">
        <v>4250.0</v>
      </c>
      <c r="Q38" s="223">
        <v>4600.0</v>
      </c>
      <c r="R38" s="223">
        <v>4850.0</v>
      </c>
      <c r="S38" s="223">
        <v>5300.0</v>
      </c>
      <c r="T38" s="223">
        <v>5600.0</v>
      </c>
      <c r="U38" s="223">
        <v>6150.0</v>
      </c>
      <c r="V38" s="228">
        <v>6450.0</v>
      </c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91"/>
      <c r="AV38" s="191"/>
      <c r="AW38" s="191"/>
      <c r="AX38" s="191"/>
      <c r="AY38" s="191"/>
      <c r="AZ38" s="191"/>
      <c r="BA38" s="191"/>
      <c r="BB38" s="191"/>
      <c r="BC38" s="191"/>
      <c r="BD38" s="191"/>
      <c r="BE38" s="191"/>
      <c r="BF38" s="191"/>
      <c r="BG38" s="191"/>
      <c r="BH38" s="191"/>
      <c r="BI38" s="191"/>
      <c r="BJ38" s="191"/>
      <c r="BK38" s="191"/>
      <c r="BL38" s="191"/>
      <c r="BM38" s="191"/>
      <c r="BN38" s="191"/>
      <c r="BO38" s="191"/>
      <c r="BP38" s="191"/>
      <c r="BQ38" s="191"/>
      <c r="BR38" s="191"/>
      <c r="BS38" s="191"/>
      <c r="BT38" s="191"/>
      <c r="BU38" s="191"/>
      <c r="BV38" s="191"/>
      <c r="BW38" s="191"/>
      <c r="BX38" s="191"/>
      <c r="BY38" s="191"/>
      <c r="BZ38" s="191"/>
      <c r="CA38" s="191"/>
      <c r="CB38" s="191"/>
      <c r="CC38" s="191"/>
      <c r="CD38" s="191"/>
      <c r="CE38" s="191"/>
      <c r="CF38" s="191"/>
      <c r="CG38" s="191"/>
      <c r="CH38" s="191"/>
      <c r="CI38" s="191"/>
      <c r="CJ38" s="191"/>
      <c r="CK38" s="191"/>
      <c r="CL38" s="191"/>
      <c r="CM38" s="191"/>
      <c r="CN38" s="191"/>
      <c r="CO38" s="191"/>
      <c r="CP38" s="191"/>
      <c r="CQ38" s="191"/>
      <c r="CR38" s="191"/>
      <c r="CS38" s="191"/>
      <c r="CT38" s="191"/>
      <c r="CU38" s="191"/>
      <c r="CV38" s="191"/>
      <c r="CW38" s="191"/>
      <c r="CX38" s="191"/>
      <c r="CY38" s="191"/>
      <c r="CZ38" s="191"/>
      <c r="DA38" s="191"/>
      <c r="DB38" s="191"/>
      <c r="DC38" s="191"/>
      <c r="DD38" s="191"/>
      <c r="DE38" s="191"/>
      <c r="DF38" s="191"/>
      <c r="DG38" s="191"/>
      <c r="DH38" s="191"/>
      <c r="DI38" s="191"/>
      <c r="DJ38" s="191"/>
      <c r="DK38" s="191"/>
      <c r="DL38" s="191"/>
      <c r="DM38" s="191"/>
      <c r="DN38" s="191"/>
      <c r="DO38" s="191"/>
      <c r="DP38" s="191"/>
      <c r="DQ38" s="191"/>
      <c r="DR38" s="191"/>
      <c r="DS38" s="191"/>
      <c r="DT38" s="191"/>
      <c r="DU38" s="191"/>
      <c r="DV38" s="191"/>
      <c r="DW38" s="191"/>
      <c r="DX38" s="191"/>
      <c r="DY38" s="191"/>
      <c r="DZ38" s="191"/>
      <c r="EA38" s="191"/>
      <c r="EB38" s="191"/>
      <c r="EC38" s="191"/>
      <c r="ED38" s="191"/>
      <c r="EE38" s="191"/>
      <c r="EF38" s="191"/>
      <c r="EG38" s="191"/>
      <c r="EH38" s="191"/>
      <c r="EI38" s="191"/>
      <c r="EJ38" s="191"/>
      <c r="EK38" s="191"/>
      <c r="EL38" s="191"/>
      <c r="EM38" s="191"/>
      <c r="EN38" s="191"/>
      <c r="EO38" s="191"/>
      <c r="EP38" s="191"/>
      <c r="EQ38" s="191"/>
      <c r="ER38" s="191"/>
      <c r="ES38" s="191"/>
      <c r="ET38" s="191"/>
      <c r="EU38" s="191"/>
      <c r="EV38" s="191"/>
      <c r="EW38" s="191"/>
      <c r="EX38" s="191"/>
      <c r="EY38" s="191"/>
      <c r="EZ38" s="191"/>
      <c r="FA38" s="191"/>
      <c r="FB38" s="191"/>
      <c r="FC38" s="191"/>
      <c r="FD38" s="191"/>
      <c r="FE38" s="191"/>
      <c r="FF38" s="191"/>
      <c r="FG38" s="191"/>
      <c r="FH38" s="191"/>
      <c r="FI38" s="191"/>
      <c r="FJ38" s="191"/>
      <c r="FK38" s="191"/>
    </row>
    <row r="39">
      <c r="A39" s="191"/>
      <c r="B39" s="216" t="s">
        <v>5268</v>
      </c>
      <c r="C39" s="222"/>
      <c r="D39" s="153">
        <v>1350.0</v>
      </c>
      <c r="E39" s="153">
        <v>1650.0</v>
      </c>
      <c r="F39" s="153">
        <v>2250.0</v>
      </c>
      <c r="G39" s="153">
        <v>2500.0</v>
      </c>
      <c r="H39" s="153">
        <v>3000.0</v>
      </c>
      <c r="I39" s="153">
        <v>3800.0</v>
      </c>
      <c r="J39" s="153">
        <v>4000.0</v>
      </c>
      <c r="K39" s="153">
        <v>4350.0</v>
      </c>
      <c r="L39" s="153">
        <v>4550.0</v>
      </c>
      <c r="M39" s="221">
        <v>5000.0</v>
      </c>
      <c r="N39" s="153">
        <v>5250.0</v>
      </c>
      <c r="O39" s="153">
        <v>5750.0</v>
      </c>
      <c r="P39" s="153">
        <v>6050.0</v>
      </c>
      <c r="Q39" s="153">
        <v>6600.0</v>
      </c>
      <c r="R39" s="153">
        <v>6950.0</v>
      </c>
      <c r="S39" s="153">
        <v>7600.0</v>
      </c>
      <c r="T39" s="153">
        <v>8000.0</v>
      </c>
      <c r="U39" s="153">
        <v>8750.0</v>
      </c>
      <c r="V39" s="157">
        <v>9200.0</v>
      </c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91"/>
      <c r="AM39" s="191"/>
      <c r="AN39" s="191"/>
      <c r="AO39" s="191"/>
      <c r="AP39" s="191"/>
      <c r="AQ39" s="191"/>
      <c r="AR39" s="191"/>
      <c r="AS39" s="191"/>
      <c r="AT39" s="191"/>
      <c r="AU39" s="191"/>
      <c r="AV39" s="191"/>
      <c r="AW39" s="191"/>
      <c r="AX39" s="191"/>
      <c r="AY39" s="191"/>
      <c r="AZ39" s="191"/>
      <c r="BA39" s="191"/>
      <c r="BB39" s="191"/>
      <c r="BC39" s="191"/>
      <c r="BD39" s="191"/>
      <c r="BE39" s="191"/>
      <c r="BF39" s="191"/>
      <c r="BG39" s="191"/>
      <c r="BH39" s="191"/>
      <c r="BI39" s="191"/>
      <c r="BJ39" s="191"/>
      <c r="BK39" s="191"/>
      <c r="BL39" s="191"/>
      <c r="BM39" s="191"/>
      <c r="BN39" s="191"/>
      <c r="BO39" s="191"/>
      <c r="BP39" s="191"/>
      <c r="BQ39" s="191"/>
      <c r="BR39" s="191"/>
      <c r="BS39" s="191"/>
      <c r="BT39" s="191"/>
      <c r="BU39" s="191"/>
      <c r="BV39" s="191"/>
      <c r="BW39" s="191"/>
      <c r="BX39" s="191"/>
      <c r="BY39" s="191"/>
      <c r="BZ39" s="191"/>
      <c r="CA39" s="191"/>
      <c r="CB39" s="191"/>
      <c r="CC39" s="191"/>
      <c r="CD39" s="191"/>
      <c r="CE39" s="191"/>
      <c r="CF39" s="191"/>
      <c r="CG39" s="191"/>
      <c r="CH39" s="191"/>
      <c r="CI39" s="191"/>
      <c r="CJ39" s="191"/>
      <c r="CK39" s="191"/>
      <c r="CL39" s="191"/>
      <c r="CM39" s="191"/>
      <c r="CN39" s="191"/>
      <c r="CO39" s="191"/>
      <c r="CP39" s="191"/>
      <c r="CQ39" s="191"/>
      <c r="CR39" s="191"/>
      <c r="CS39" s="191"/>
      <c r="CT39" s="191"/>
      <c r="CU39" s="191"/>
      <c r="CV39" s="191"/>
      <c r="CW39" s="191"/>
      <c r="CX39" s="191"/>
      <c r="CY39" s="191"/>
      <c r="CZ39" s="191"/>
      <c r="DA39" s="191"/>
      <c r="DB39" s="191"/>
      <c r="DC39" s="191"/>
      <c r="DD39" s="191"/>
      <c r="DE39" s="191"/>
      <c r="DF39" s="191"/>
      <c r="DG39" s="191"/>
      <c r="DH39" s="191"/>
      <c r="DI39" s="191"/>
      <c r="DJ39" s="191"/>
      <c r="DK39" s="191"/>
      <c r="DL39" s="191"/>
      <c r="DM39" s="191"/>
      <c r="DN39" s="191"/>
      <c r="DO39" s="191"/>
      <c r="DP39" s="191"/>
      <c r="DQ39" s="191"/>
      <c r="DR39" s="191"/>
      <c r="DS39" s="191"/>
      <c r="DT39" s="191"/>
      <c r="DU39" s="191"/>
      <c r="DV39" s="191"/>
      <c r="DW39" s="191"/>
      <c r="DX39" s="191"/>
      <c r="DY39" s="191"/>
      <c r="DZ39" s="191"/>
      <c r="EA39" s="191"/>
      <c r="EB39" s="191"/>
      <c r="EC39" s="191"/>
      <c r="ED39" s="191"/>
      <c r="EE39" s="191"/>
      <c r="EF39" s="191"/>
      <c r="EG39" s="191"/>
      <c r="EH39" s="191"/>
      <c r="EI39" s="191"/>
      <c r="EJ39" s="191"/>
      <c r="EK39" s="191"/>
      <c r="EL39" s="191"/>
      <c r="EM39" s="191"/>
      <c r="EN39" s="191"/>
      <c r="EO39" s="191"/>
      <c r="EP39" s="191"/>
      <c r="EQ39" s="191"/>
      <c r="ER39" s="191"/>
      <c r="ES39" s="191"/>
      <c r="ET39" s="191"/>
      <c r="EU39" s="191"/>
      <c r="EV39" s="191"/>
      <c r="EW39" s="191"/>
      <c r="EX39" s="191"/>
      <c r="EY39" s="191"/>
      <c r="EZ39" s="191"/>
      <c r="FA39" s="191"/>
      <c r="FB39" s="191"/>
      <c r="FC39" s="191"/>
      <c r="FD39" s="191"/>
      <c r="FE39" s="191"/>
      <c r="FF39" s="191"/>
      <c r="FG39" s="191"/>
      <c r="FH39" s="191"/>
      <c r="FI39" s="191"/>
      <c r="FJ39" s="191"/>
      <c r="FK39" s="191"/>
    </row>
    <row r="40">
      <c r="A40" s="191"/>
      <c r="B40" s="216" t="s">
        <v>5269</v>
      </c>
      <c r="C40" s="222"/>
      <c r="D40" s="153">
        <v>950.0</v>
      </c>
      <c r="E40" s="153">
        <v>1200.0</v>
      </c>
      <c r="F40" s="153">
        <v>1600.0</v>
      </c>
      <c r="G40" s="153">
        <v>1800.0</v>
      </c>
      <c r="H40" s="153">
        <v>2150.0</v>
      </c>
      <c r="I40" s="153">
        <v>2750.0</v>
      </c>
      <c r="J40" s="153">
        <v>2850.0</v>
      </c>
      <c r="K40" s="153">
        <v>3150.0</v>
      </c>
      <c r="L40" s="153">
        <v>3300.0</v>
      </c>
      <c r="M40" s="221">
        <v>3600.0</v>
      </c>
      <c r="N40" s="153">
        <v>3800.0</v>
      </c>
      <c r="O40" s="153">
        <v>4150.0</v>
      </c>
      <c r="P40" s="153">
        <v>4350.0</v>
      </c>
      <c r="Q40" s="153">
        <v>4750.0</v>
      </c>
      <c r="R40" s="153">
        <v>5000.0</v>
      </c>
      <c r="S40" s="153">
        <v>5450.0</v>
      </c>
      <c r="T40" s="153">
        <v>5750.0</v>
      </c>
      <c r="U40" s="153">
        <v>6300.0</v>
      </c>
      <c r="V40" s="157">
        <v>6600.0</v>
      </c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  <c r="EB40" s="191"/>
      <c r="EC40" s="191"/>
      <c r="ED40" s="191"/>
      <c r="EE40" s="191"/>
      <c r="EF40" s="191"/>
      <c r="EG40" s="191"/>
      <c r="EH40" s="191"/>
      <c r="EI40" s="191"/>
      <c r="EJ40" s="191"/>
      <c r="EK40" s="191"/>
      <c r="EL40" s="191"/>
      <c r="EM40" s="191"/>
      <c r="EN40" s="191"/>
      <c r="EO40" s="191"/>
      <c r="EP40" s="191"/>
      <c r="EQ40" s="191"/>
      <c r="ER40" s="191"/>
      <c r="ES40" s="191"/>
      <c r="ET40" s="191"/>
      <c r="EU40" s="191"/>
      <c r="EV40" s="191"/>
      <c r="EW40" s="191"/>
      <c r="EX40" s="191"/>
      <c r="EY40" s="191"/>
      <c r="EZ40" s="191"/>
      <c r="FA40" s="191"/>
      <c r="FB40" s="191"/>
      <c r="FC40" s="191"/>
      <c r="FD40" s="191"/>
      <c r="FE40" s="191"/>
      <c r="FF40" s="191"/>
      <c r="FG40" s="191"/>
      <c r="FH40" s="191"/>
      <c r="FI40" s="191"/>
      <c r="FJ40" s="191"/>
      <c r="FK40" s="191"/>
    </row>
    <row r="41">
      <c r="A41" s="191"/>
      <c r="B41" s="216" t="s">
        <v>5270</v>
      </c>
      <c r="C41" s="222"/>
      <c r="D41" s="153">
        <v>950.0</v>
      </c>
      <c r="E41" s="153">
        <v>1200.0</v>
      </c>
      <c r="F41" s="153">
        <v>1600.0</v>
      </c>
      <c r="G41" s="153">
        <v>1800.0</v>
      </c>
      <c r="H41" s="224">
        <v>2150.0</v>
      </c>
      <c r="I41" s="224">
        <v>2750.0</v>
      </c>
      <c r="J41" s="224">
        <v>2850.0</v>
      </c>
      <c r="K41" s="224">
        <v>3150.0</v>
      </c>
      <c r="L41" s="224">
        <v>3300.0</v>
      </c>
      <c r="M41" s="221">
        <v>3600.0</v>
      </c>
      <c r="N41" s="153">
        <v>3800.0</v>
      </c>
      <c r="O41" s="153">
        <v>4150.0</v>
      </c>
      <c r="P41" s="153">
        <v>4350.0</v>
      </c>
      <c r="Q41" s="153">
        <v>4750.0</v>
      </c>
      <c r="R41" s="153">
        <v>5000.0</v>
      </c>
      <c r="S41" s="153">
        <v>5450.0</v>
      </c>
      <c r="T41" s="153">
        <v>5750.0</v>
      </c>
      <c r="U41" s="153">
        <v>6300.0</v>
      </c>
      <c r="V41" s="157">
        <v>6600.0</v>
      </c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191"/>
      <c r="AN41" s="191"/>
      <c r="AO41" s="191"/>
      <c r="AP41" s="191"/>
      <c r="AQ41" s="191"/>
      <c r="AR41" s="191"/>
      <c r="AS41" s="191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1"/>
      <c r="BQ41" s="191"/>
      <c r="BR41" s="191"/>
      <c r="BS41" s="191"/>
      <c r="BT41" s="191"/>
      <c r="BU41" s="191"/>
      <c r="BV41" s="191"/>
      <c r="BW41" s="191"/>
      <c r="BX41" s="191"/>
      <c r="BY41" s="191"/>
      <c r="BZ41" s="191"/>
      <c r="CA41" s="191"/>
      <c r="CB41" s="191"/>
      <c r="CC41" s="191"/>
      <c r="CD41" s="191"/>
      <c r="CE41" s="191"/>
      <c r="CF41" s="191"/>
      <c r="CG41" s="191"/>
      <c r="CH41" s="191"/>
      <c r="CI41" s="191"/>
      <c r="CJ41" s="191"/>
      <c r="CK41" s="191"/>
      <c r="CL41" s="191"/>
      <c r="CM41" s="191"/>
      <c r="CN41" s="191"/>
      <c r="CO41" s="191"/>
      <c r="CP41" s="191"/>
      <c r="CQ41" s="191"/>
      <c r="CR41" s="191"/>
      <c r="CS41" s="191"/>
      <c r="CT41" s="191"/>
      <c r="CU41" s="191"/>
      <c r="CV41" s="191"/>
      <c r="CW41" s="191"/>
      <c r="CX41" s="191"/>
      <c r="CY41" s="191"/>
      <c r="CZ41" s="191"/>
      <c r="DA41" s="191"/>
      <c r="DB41" s="191"/>
      <c r="DC41" s="191"/>
      <c r="DD41" s="191"/>
      <c r="DE41" s="191"/>
      <c r="DF41" s="191"/>
      <c r="DG41" s="191"/>
      <c r="DH41" s="191"/>
      <c r="DI41" s="191"/>
      <c r="DJ41" s="191"/>
      <c r="DK41" s="191"/>
      <c r="DL41" s="191"/>
      <c r="DM41" s="191"/>
      <c r="DN41" s="191"/>
      <c r="DO41" s="191"/>
      <c r="DP41" s="191"/>
      <c r="DQ41" s="191"/>
      <c r="DR41" s="191"/>
      <c r="DS41" s="191"/>
      <c r="DT41" s="191"/>
      <c r="DU41" s="191"/>
      <c r="DV41" s="191"/>
      <c r="DW41" s="191"/>
      <c r="DX41" s="191"/>
      <c r="DY41" s="191"/>
      <c r="DZ41" s="191"/>
      <c r="EA41" s="191"/>
      <c r="EB41" s="191"/>
      <c r="EC41" s="191"/>
      <c r="ED41" s="191"/>
      <c r="EE41" s="191"/>
      <c r="EF41" s="191"/>
      <c r="EG41" s="191"/>
      <c r="EH41" s="191"/>
      <c r="EI41" s="191"/>
      <c r="EJ41" s="191"/>
      <c r="EK41" s="191"/>
      <c r="EL41" s="191"/>
      <c r="EM41" s="191"/>
      <c r="EN41" s="191"/>
      <c r="EO41" s="191"/>
      <c r="EP41" s="191"/>
      <c r="EQ41" s="191"/>
      <c r="ER41" s="191"/>
      <c r="ES41" s="191"/>
      <c r="ET41" s="191"/>
      <c r="EU41" s="191"/>
      <c r="EV41" s="191"/>
      <c r="EW41" s="191"/>
      <c r="EX41" s="191"/>
      <c r="EY41" s="191"/>
      <c r="EZ41" s="191"/>
      <c r="FA41" s="191"/>
      <c r="FB41" s="191"/>
      <c r="FC41" s="191"/>
      <c r="FD41" s="191"/>
      <c r="FE41" s="191"/>
      <c r="FF41" s="191"/>
      <c r="FG41" s="191"/>
      <c r="FH41" s="191"/>
      <c r="FI41" s="191"/>
      <c r="FJ41" s="191"/>
      <c r="FK41" s="191"/>
    </row>
    <row r="42">
      <c r="A42" s="191"/>
      <c r="B42" s="216" t="s">
        <v>5271</v>
      </c>
      <c r="C42" s="222"/>
      <c r="D42" s="153">
        <v>1150.0</v>
      </c>
      <c r="E42" s="153">
        <v>1400.0</v>
      </c>
      <c r="F42" s="153">
        <v>1900.0</v>
      </c>
      <c r="G42" s="153">
        <v>2100.0</v>
      </c>
      <c r="H42" s="153">
        <v>2500.0</v>
      </c>
      <c r="I42" s="153">
        <v>3200.0</v>
      </c>
      <c r="J42" s="153">
        <v>3350.0</v>
      </c>
      <c r="K42" s="153">
        <v>3650.0</v>
      </c>
      <c r="L42" s="153">
        <v>3850.0</v>
      </c>
      <c r="M42" s="221">
        <v>4200.0</v>
      </c>
      <c r="N42" s="153">
        <v>4400.0</v>
      </c>
      <c r="O42" s="153">
        <v>4850.0</v>
      </c>
      <c r="P42" s="153">
        <v>5050.0</v>
      </c>
      <c r="Q42" s="153">
        <v>5550.0</v>
      </c>
      <c r="R42" s="153">
        <v>5800.0</v>
      </c>
      <c r="S42" s="153">
        <v>6400.0</v>
      </c>
      <c r="T42" s="153">
        <v>6700.0</v>
      </c>
      <c r="U42" s="153">
        <v>7350.0</v>
      </c>
      <c r="V42" s="157">
        <v>7700.0</v>
      </c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1"/>
      <c r="BQ42" s="191"/>
      <c r="BR42" s="191"/>
      <c r="BS42" s="191"/>
      <c r="BT42" s="191"/>
      <c r="BU42" s="191"/>
      <c r="BV42" s="191"/>
      <c r="BW42" s="191"/>
      <c r="BX42" s="191"/>
      <c r="BY42" s="191"/>
      <c r="BZ42" s="191"/>
      <c r="CA42" s="191"/>
      <c r="CB42" s="191"/>
      <c r="CC42" s="191"/>
      <c r="CD42" s="191"/>
      <c r="CE42" s="191"/>
      <c r="CF42" s="191"/>
      <c r="CG42" s="191"/>
      <c r="CH42" s="191"/>
      <c r="CI42" s="191"/>
      <c r="CJ42" s="191"/>
      <c r="CK42" s="191"/>
      <c r="CL42" s="191"/>
      <c r="CM42" s="191"/>
      <c r="CN42" s="191"/>
      <c r="CO42" s="191"/>
      <c r="CP42" s="191"/>
      <c r="CQ42" s="191"/>
      <c r="CR42" s="191"/>
      <c r="CS42" s="191"/>
      <c r="CT42" s="191"/>
      <c r="CU42" s="191"/>
      <c r="CV42" s="191"/>
      <c r="CW42" s="191"/>
      <c r="CX42" s="191"/>
      <c r="CY42" s="191"/>
      <c r="CZ42" s="191"/>
      <c r="DA42" s="191"/>
      <c r="DB42" s="191"/>
      <c r="DC42" s="191"/>
      <c r="DD42" s="191"/>
      <c r="DE42" s="191"/>
      <c r="DF42" s="191"/>
      <c r="DG42" s="191"/>
      <c r="DH42" s="191"/>
      <c r="DI42" s="191"/>
      <c r="DJ42" s="191"/>
      <c r="DK42" s="191"/>
      <c r="DL42" s="191"/>
      <c r="DM42" s="191"/>
      <c r="DN42" s="191"/>
      <c r="DO42" s="191"/>
      <c r="DP42" s="191"/>
      <c r="DQ42" s="191"/>
      <c r="DR42" s="191"/>
      <c r="DS42" s="191"/>
      <c r="DT42" s="191"/>
      <c r="DU42" s="191"/>
      <c r="DV42" s="191"/>
      <c r="DW42" s="191"/>
      <c r="DX42" s="191"/>
      <c r="DY42" s="191"/>
      <c r="DZ42" s="191"/>
      <c r="EA42" s="191"/>
      <c r="EB42" s="191"/>
      <c r="EC42" s="191"/>
      <c r="ED42" s="191"/>
      <c r="EE42" s="191"/>
      <c r="EF42" s="191"/>
      <c r="EG42" s="191"/>
      <c r="EH42" s="191"/>
      <c r="EI42" s="191"/>
      <c r="EJ42" s="191"/>
      <c r="EK42" s="191"/>
      <c r="EL42" s="191"/>
      <c r="EM42" s="191"/>
      <c r="EN42" s="191"/>
      <c r="EO42" s="191"/>
      <c r="EP42" s="191"/>
      <c r="EQ42" s="191"/>
      <c r="ER42" s="191"/>
      <c r="ES42" s="191"/>
      <c r="ET42" s="191"/>
      <c r="EU42" s="191"/>
      <c r="EV42" s="191"/>
      <c r="EW42" s="191"/>
      <c r="EX42" s="191"/>
      <c r="EY42" s="191"/>
      <c r="EZ42" s="191"/>
      <c r="FA42" s="191"/>
      <c r="FB42" s="191"/>
      <c r="FC42" s="191"/>
      <c r="FD42" s="191"/>
      <c r="FE42" s="191"/>
      <c r="FF42" s="191"/>
      <c r="FG42" s="191"/>
      <c r="FH42" s="191"/>
      <c r="FI42" s="191"/>
      <c r="FJ42" s="191"/>
      <c r="FK42" s="191"/>
    </row>
    <row r="43">
      <c r="A43" s="191"/>
      <c r="B43" s="216" t="s">
        <v>5272</v>
      </c>
      <c r="C43" s="222"/>
      <c r="D43" s="153">
        <v>1100.0</v>
      </c>
      <c r="E43" s="153">
        <v>1300.0</v>
      </c>
      <c r="F43" s="153">
        <v>1800.0</v>
      </c>
      <c r="G43" s="153">
        <v>2000.0</v>
      </c>
      <c r="H43" s="153">
        <v>2400.0</v>
      </c>
      <c r="I43" s="153">
        <v>3050.0</v>
      </c>
      <c r="J43" s="153">
        <v>3200.0</v>
      </c>
      <c r="K43" s="153">
        <v>3500.0</v>
      </c>
      <c r="L43" s="153">
        <v>3650.0</v>
      </c>
      <c r="M43" s="221">
        <v>4000.0</v>
      </c>
      <c r="N43" s="153">
        <v>4200.0</v>
      </c>
      <c r="O43" s="153">
        <v>4600.0</v>
      </c>
      <c r="P43" s="153">
        <v>4850.0</v>
      </c>
      <c r="Q43" s="153">
        <v>5300.0</v>
      </c>
      <c r="R43" s="153">
        <v>5550.0</v>
      </c>
      <c r="S43" s="153">
        <v>6100.0</v>
      </c>
      <c r="T43" s="153">
        <v>6400.0</v>
      </c>
      <c r="U43" s="153">
        <v>7000.0</v>
      </c>
      <c r="V43" s="157">
        <v>7350.0</v>
      </c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  <c r="EB43" s="191"/>
      <c r="EC43" s="191"/>
      <c r="ED43" s="191"/>
      <c r="EE43" s="191"/>
      <c r="EF43" s="191"/>
      <c r="EG43" s="191"/>
      <c r="EH43" s="191"/>
      <c r="EI43" s="191"/>
      <c r="EJ43" s="191"/>
      <c r="EK43" s="191"/>
      <c r="EL43" s="191"/>
      <c r="EM43" s="191"/>
      <c r="EN43" s="191"/>
      <c r="EO43" s="191"/>
      <c r="EP43" s="191"/>
      <c r="EQ43" s="191"/>
      <c r="ER43" s="191"/>
      <c r="ES43" s="191"/>
      <c r="ET43" s="191"/>
      <c r="EU43" s="191"/>
      <c r="EV43" s="191"/>
      <c r="EW43" s="191"/>
      <c r="EX43" s="191"/>
      <c r="EY43" s="191"/>
      <c r="EZ43" s="191"/>
      <c r="FA43" s="191"/>
      <c r="FB43" s="191"/>
      <c r="FC43" s="191"/>
      <c r="FD43" s="191"/>
      <c r="FE43" s="191"/>
      <c r="FF43" s="191"/>
      <c r="FG43" s="191"/>
      <c r="FH43" s="191"/>
      <c r="FI43" s="191"/>
      <c r="FJ43" s="191"/>
      <c r="FK43" s="191"/>
    </row>
    <row r="44">
      <c r="A44" s="191"/>
      <c r="B44" s="216" t="s">
        <v>5273</v>
      </c>
      <c r="C44" s="222"/>
      <c r="D44" s="153">
        <v>1250.0</v>
      </c>
      <c r="E44" s="153">
        <v>1550.0</v>
      </c>
      <c r="F44" s="153">
        <v>2100.0</v>
      </c>
      <c r="G44" s="153">
        <v>2350.0</v>
      </c>
      <c r="H44" s="153">
        <v>2800.0</v>
      </c>
      <c r="I44" s="153">
        <v>3550.0</v>
      </c>
      <c r="J44" s="153">
        <v>3750.0</v>
      </c>
      <c r="K44" s="153">
        <v>4100.0</v>
      </c>
      <c r="L44" s="153">
        <v>4300.0</v>
      </c>
      <c r="M44" s="221">
        <v>4700.0</v>
      </c>
      <c r="N44" s="153">
        <v>4950.0</v>
      </c>
      <c r="O44" s="153">
        <v>5400.0</v>
      </c>
      <c r="P44" s="153">
        <v>5700.0</v>
      </c>
      <c r="Q44" s="153">
        <v>6200.0</v>
      </c>
      <c r="R44" s="153">
        <v>6500.0</v>
      </c>
      <c r="S44" s="153">
        <v>7150.0</v>
      </c>
      <c r="T44" s="153">
        <v>7500.0</v>
      </c>
      <c r="U44" s="153">
        <v>8250.0</v>
      </c>
      <c r="V44" s="157">
        <v>8650.0</v>
      </c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1"/>
      <c r="BQ44" s="191"/>
      <c r="BR44" s="191"/>
      <c r="BS44" s="191"/>
      <c r="BT44" s="191"/>
      <c r="BU44" s="191"/>
      <c r="BV44" s="191"/>
      <c r="BW44" s="191"/>
      <c r="BX44" s="191"/>
      <c r="BY44" s="191"/>
      <c r="BZ44" s="191"/>
      <c r="CA44" s="191"/>
      <c r="CB44" s="191"/>
      <c r="CC44" s="191"/>
      <c r="CD44" s="191"/>
      <c r="CE44" s="191"/>
      <c r="CF44" s="191"/>
      <c r="CG44" s="191"/>
      <c r="CH44" s="191"/>
      <c r="CI44" s="191"/>
      <c r="CJ44" s="191"/>
      <c r="CK44" s="191"/>
      <c r="CL44" s="191"/>
      <c r="CM44" s="191"/>
      <c r="CN44" s="191"/>
      <c r="CO44" s="191"/>
      <c r="CP44" s="191"/>
      <c r="CQ44" s="191"/>
      <c r="CR44" s="191"/>
      <c r="CS44" s="191"/>
      <c r="CT44" s="191"/>
      <c r="CU44" s="191"/>
      <c r="CV44" s="191"/>
      <c r="CW44" s="191"/>
      <c r="CX44" s="191"/>
      <c r="CY44" s="191"/>
      <c r="CZ44" s="191"/>
      <c r="DA44" s="191"/>
      <c r="DB44" s="191"/>
      <c r="DC44" s="191"/>
      <c r="DD44" s="191"/>
      <c r="DE44" s="191"/>
      <c r="DF44" s="191"/>
      <c r="DG44" s="191"/>
      <c r="DH44" s="191"/>
      <c r="DI44" s="191"/>
      <c r="DJ44" s="191"/>
      <c r="DK44" s="191"/>
      <c r="DL44" s="191"/>
      <c r="DM44" s="191"/>
      <c r="DN44" s="191"/>
      <c r="DO44" s="191"/>
      <c r="DP44" s="191"/>
      <c r="DQ44" s="191"/>
      <c r="DR44" s="191"/>
      <c r="DS44" s="191"/>
      <c r="DT44" s="191"/>
      <c r="DU44" s="191"/>
      <c r="DV44" s="191"/>
      <c r="DW44" s="191"/>
      <c r="DX44" s="191"/>
      <c r="DY44" s="191"/>
      <c r="DZ44" s="191"/>
      <c r="EA44" s="191"/>
      <c r="EB44" s="191"/>
      <c r="EC44" s="191"/>
      <c r="ED44" s="191"/>
      <c r="EE44" s="191"/>
      <c r="EF44" s="191"/>
      <c r="EG44" s="191"/>
      <c r="EH44" s="191"/>
      <c r="EI44" s="191"/>
      <c r="EJ44" s="191"/>
      <c r="EK44" s="191"/>
      <c r="EL44" s="191"/>
      <c r="EM44" s="191"/>
      <c r="EN44" s="191"/>
      <c r="EO44" s="191"/>
      <c r="EP44" s="191"/>
      <c r="EQ44" s="191"/>
      <c r="ER44" s="191"/>
      <c r="ES44" s="191"/>
      <c r="ET44" s="191"/>
      <c r="EU44" s="191"/>
      <c r="EV44" s="191"/>
      <c r="EW44" s="191"/>
      <c r="EX44" s="191"/>
      <c r="EY44" s="191"/>
      <c r="EZ44" s="191"/>
      <c r="FA44" s="191"/>
      <c r="FB44" s="191"/>
      <c r="FC44" s="191"/>
      <c r="FD44" s="191"/>
      <c r="FE44" s="191"/>
      <c r="FF44" s="191"/>
      <c r="FG44" s="191"/>
      <c r="FH44" s="191"/>
      <c r="FI44" s="191"/>
      <c r="FJ44" s="191"/>
      <c r="FK44" s="191"/>
    </row>
    <row r="45">
      <c r="A45" s="191"/>
      <c r="B45" s="216" t="s">
        <v>5274</v>
      </c>
      <c r="C45" s="222"/>
      <c r="D45" s="153">
        <v>1500.0</v>
      </c>
      <c r="E45" s="153">
        <v>1800.0</v>
      </c>
      <c r="F45" s="153">
        <v>2500.0</v>
      </c>
      <c r="G45" s="153">
        <v>2750.0</v>
      </c>
      <c r="H45" s="153">
        <v>3300.0</v>
      </c>
      <c r="I45" s="153">
        <v>4200.0</v>
      </c>
      <c r="J45" s="153">
        <v>4400.0</v>
      </c>
      <c r="K45" s="153">
        <v>4800.0</v>
      </c>
      <c r="L45" s="153">
        <v>5000.0</v>
      </c>
      <c r="M45" s="221">
        <v>5500.0</v>
      </c>
      <c r="N45" s="153">
        <v>5800.0</v>
      </c>
      <c r="O45" s="153">
        <v>6350.0</v>
      </c>
      <c r="P45" s="153">
        <v>6650.0</v>
      </c>
      <c r="Q45" s="153">
        <v>7250.0</v>
      </c>
      <c r="R45" s="153">
        <v>7600.0</v>
      </c>
      <c r="S45" s="153">
        <v>8350.0</v>
      </c>
      <c r="T45" s="153">
        <v>8800.0</v>
      </c>
      <c r="U45" s="153">
        <v>9650.0</v>
      </c>
      <c r="V45" s="157">
        <v>10100.0</v>
      </c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1"/>
      <c r="BQ45" s="191"/>
      <c r="BR45" s="191"/>
      <c r="BS45" s="191"/>
      <c r="BT45" s="191"/>
      <c r="BU45" s="191"/>
      <c r="BV45" s="191"/>
      <c r="BW45" s="191"/>
      <c r="BX45" s="191"/>
      <c r="BY45" s="191"/>
      <c r="BZ45" s="191"/>
      <c r="CA45" s="191"/>
      <c r="CB45" s="191"/>
      <c r="CC45" s="191"/>
      <c r="CD45" s="191"/>
      <c r="CE45" s="191"/>
      <c r="CF45" s="191"/>
      <c r="CG45" s="191"/>
      <c r="CH45" s="191"/>
      <c r="CI45" s="191"/>
      <c r="CJ45" s="191"/>
      <c r="CK45" s="191"/>
      <c r="CL45" s="191"/>
      <c r="CM45" s="191"/>
      <c r="CN45" s="191"/>
      <c r="CO45" s="191"/>
      <c r="CP45" s="191"/>
      <c r="CQ45" s="191"/>
      <c r="CR45" s="191"/>
      <c r="CS45" s="191"/>
      <c r="CT45" s="191"/>
      <c r="CU45" s="191"/>
      <c r="CV45" s="191"/>
      <c r="CW45" s="191"/>
      <c r="CX45" s="191"/>
      <c r="CY45" s="191"/>
      <c r="CZ45" s="191"/>
      <c r="DA45" s="191"/>
      <c r="DB45" s="191"/>
      <c r="DC45" s="191"/>
      <c r="DD45" s="191"/>
      <c r="DE45" s="191"/>
      <c r="DF45" s="191"/>
      <c r="DG45" s="191"/>
      <c r="DH45" s="191"/>
      <c r="DI45" s="191"/>
      <c r="DJ45" s="191"/>
      <c r="DK45" s="191"/>
      <c r="DL45" s="191"/>
      <c r="DM45" s="191"/>
      <c r="DN45" s="191"/>
      <c r="DO45" s="191"/>
      <c r="DP45" s="191"/>
      <c r="DQ45" s="191"/>
      <c r="DR45" s="191"/>
      <c r="DS45" s="191"/>
      <c r="DT45" s="191"/>
      <c r="DU45" s="191"/>
      <c r="DV45" s="191"/>
      <c r="DW45" s="191"/>
      <c r="DX45" s="191"/>
      <c r="DY45" s="191"/>
      <c r="DZ45" s="191"/>
      <c r="EA45" s="191"/>
      <c r="EB45" s="191"/>
      <c r="EC45" s="191"/>
      <c r="ED45" s="191"/>
      <c r="EE45" s="191"/>
      <c r="EF45" s="191"/>
      <c r="EG45" s="191"/>
      <c r="EH45" s="191"/>
      <c r="EI45" s="191"/>
      <c r="EJ45" s="191"/>
      <c r="EK45" s="191"/>
      <c r="EL45" s="191"/>
      <c r="EM45" s="191"/>
      <c r="EN45" s="191"/>
      <c r="EO45" s="191"/>
      <c r="EP45" s="191"/>
      <c r="EQ45" s="191"/>
      <c r="ER45" s="191"/>
      <c r="ES45" s="191"/>
      <c r="ET45" s="191"/>
      <c r="EU45" s="191"/>
      <c r="EV45" s="191"/>
      <c r="EW45" s="191"/>
      <c r="EX45" s="191"/>
      <c r="EY45" s="191"/>
      <c r="EZ45" s="191"/>
      <c r="FA45" s="191"/>
      <c r="FB45" s="191"/>
      <c r="FC45" s="191"/>
      <c r="FD45" s="191"/>
      <c r="FE45" s="191"/>
      <c r="FF45" s="191"/>
      <c r="FG45" s="191"/>
      <c r="FH45" s="191"/>
      <c r="FI45" s="191"/>
      <c r="FJ45" s="191"/>
      <c r="FK45" s="191"/>
    </row>
    <row r="46">
      <c r="A46" s="191"/>
      <c r="B46" s="216" t="s">
        <v>5275</v>
      </c>
      <c r="C46" s="222"/>
      <c r="D46" s="153">
        <v>1250.0</v>
      </c>
      <c r="E46" s="153">
        <v>1550.0</v>
      </c>
      <c r="F46" s="153">
        <v>2100.0</v>
      </c>
      <c r="G46" s="153">
        <v>2350.0</v>
      </c>
      <c r="H46" s="153">
        <v>2800.0</v>
      </c>
      <c r="I46" s="153">
        <v>3550.0</v>
      </c>
      <c r="J46" s="153">
        <v>3750.0</v>
      </c>
      <c r="K46" s="153">
        <v>4100.0</v>
      </c>
      <c r="L46" s="153">
        <v>4300.0</v>
      </c>
      <c r="M46" s="221">
        <v>4700.0</v>
      </c>
      <c r="N46" s="153">
        <v>4950.0</v>
      </c>
      <c r="O46" s="153">
        <v>5400.0</v>
      </c>
      <c r="P46" s="153">
        <v>5700.0</v>
      </c>
      <c r="Q46" s="153">
        <v>6200.0</v>
      </c>
      <c r="R46" s="153">
        <v>6500.0</v>
      </c>
      <c r="S46" s="153">
        <v>7150.0</v>
      </c>
      <c r="T46" s="153">
        <v>7500.0</v>
      </c>
      <c r="U46" s="153">
        <v>8250.0</v>
      </c>
      <c r="V46" s="157">
        <v>8650.0</v>
      </c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1"/>
      <c r="AP46" s="191"/>
      <c r="AQ46" s="191"/>
      <c r="AR46" s="191"/>
      <c r="AS46" s="191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1"/>
      <c r="BQ46" s="191"/>
      <c r="BR46" s="191"/>
      <c r="BS46" s="191"/>
      <c r="BT46" s="191"/>
      <c r="BU46" s="191"/>
      <c r="BV46" s="191"/>
      <c r="BW46" s="191"/>
      <c r="BX46" s="191"/>
      <c r="BY46" s="191"/>
      <c r="BZ46" s="191"/>
      <c r="CA46" s="191"/>
      <c r="CB46" s="191"/>
      <c r="CC46" s="191"/>
      <c r="CD46" s="191"/>
      <c r="CE46" s="191"/>
      <c r="CF46" s="191"/>
      <c r="CG46" s="191"/>
      <c r="CH46" s="191"/>
      <c r="CI46" s="191"/>
      <c r="CJ46" s="191"/>
      <c r="CK46" s="191"/>
      <c r="CL46" s="191"/>
      <c r="CM46" s="191"/>
      <c r="CN46" s="191"/>
      <c r="CO46" s="191"/>
      <c r="CP46" s="191"/>
      <c r="CQ46" s="191"/>
      <c r="CR46" s="191"/>
      <c r="CS46" s="191"/>
      <c r="CT46" s="191"/>
      <c r="CU46" s="191"/>
      <c r="CV46" s="191"/>
      <c r="CW46" s="191"/>
      <c r="CX46" s="191"/>
      <c r="CY46" s="191"/>
      <c r="CZ46" s="191"/>
      <c r="DA46" s="191"/>
      <c r="DB46" s="191"/>
      <c r="DC46" s="191"/>
      <c r="DD46" s="191"/>
      <c r="DE46" s="191"/>
      <c r="DF46" s="191"/>
      <c r="DG46" s="191"/>
      <c r="DH46" s="191"/>
      <c r="DI46" s="191"/>
      <c r="DJ46" s="191"/>
      <c r="DK46" s="191"/>
      <c r="DL46" s="191"/>
      <c r="DM46" s="191"/>
      <c r="DN46" s="191"/>
      <c r="DO46" s="191"/>
      <c r="DP46" s="191"/>
      <c r="DQ46" s="191"/>
      <c r="DR46" s="191"/>
      <c r="DS46" s="191"/>
      <c r="DT46" s="191"/>
      <c r="DU46" s="191"/>
      <c r="DV46" s="191"/>
      <c r="DW46" s="191"/>
      <c r="DX46" s="191"/>
      <c r="DY46" s="191"/>
      <c r="DZ46" s="191"/>
      <c r="EA46" s="191"/>
      <c r="EB46" s="191"/>
      <c r="EC46" s="191"/>
      <c r="ED46" s="191"/>
      <c r="EE46" s="191"/>
      <c r="EF46" s="191"/>
      <c r="EG46" s="191"/>
      <c r="EH46" s="191"/>
      <c r="EI46" s="191"/>
      <c r="EJ46" s="191"/>
      <c r="EK46" s="191"/>
      <c r="EL46" s="191"/>
      <c r="EM46" s="191"/>
      <c r="EN46" s="191"/>
      <c r="EO46" s="191"/>
      <c r="EP46" s="191"/>
      <c r="EQ46" s="191"/>
      <c r="ER46" s="191"/>
      <c r="ES46" s="191"/>
      <c r="ET46" s="191"/>
      <c r="EU46" s="191"/>
      <c r="EV46" s="191"/>
      <c r="EW46" s="191"/>
      <c r="EX46" s="191"/>
      <c r="EY46" s="191"/>
      <c r="EZ46" s="191"/>
      <c r="FA46" s="191"/>
      <c r="FB46" s="191"/>
      <c r="FC46" s="191"/>
      <c r="FD46" s="191"/>
      <c r="FE46" s="191"/>
      <c r="FF46" s="191"/>
      <c r="FG46" s="191"/>
      <c r="FH46" s="191"/>
      <c r="FI46" s="191"/>
      <c r="FJ46" s="191"/>
      <c r="FK46" s="191"/>
    </row>
    <row r="47">
      <c r="A47" s="191"/>
      <c r="B47" s="229" t="s">
        <v>5276</v>
      </c>
      <c r="C47" s="230"/>
      <c r="D47" s="159">
        <v>1400.0</v>
      </c>
      <c r="E47" s="159">
        <v>1700.0</v>
      </c>
      <c r="F47" s="159">
        <v>2350.0</v>
      </c>
      <c r="G47" s="159">
        <v>2600.0</v>
      </c>
      <c r="H47" s="159">
        <v>3100.0</v>
      </c>
      <c r="I47" s="159">
        <v>3950.0</v>
      </c>
      <c r="J47" s="159">
        <v>4150.0</v>
      </c>
      <c r="K47" s="159">
        <v>4500.0</v>
      </c>
      <c r="L47" s="159">
        <v>4750.0</v>
      </c>
      <c r="M47" s="231">
        <v>5200.0</v>
      </c>
      <c r="N47" s="159">
        <v>5450.0</v>
      </c>
      <c r="O47" s="159">
        <v>6000.0</v>
      </c>
      <c r="P47" s="159">
        <v>6300.0</v>
      </c>
      <c r="Q47" s="159">
        <v>6850.0</v>
      </c>
      <c r="R47" s="159">
        <v>7200.0</v>
      </c>
      <c r="S47" s="159">
        <v>7900.0</v>
      </c>
      <c r="T47" s="159">
        <v>8300.0</v>
      </c>
      <c r="U47" s="159">
        <v>9100.0</v>
      </c>
      <c r="V47" s="232">
        <v>9550.0</v>
      </c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91"/>
      <c r="AL47" s="191"/>
      <c r="AM47" s="191"/>
      <c r="AN47" s="191"/>
      <c r="AO47" s="191"/>
      <c r="AP47" s="191"/>
      <c r="AQ47" s="191"/>
      <c r="AR47" s="191"/>
      <c r="AS47" s="191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1"/>
      <c r="BQ47" s="191"/>
      <c r="BR47" s="191"/>
      <c r="BS47" s="191"/>
      <c r="BT47" s="191"/>
      <c r="BU47" s="191"/>
      <c r="BV47" s="191"/>
      <c r="BW47" s="191"/>
      <c r="BX47" s="191"/>
      <c r="BY47" s="191"/>
      <c r="BZ47" s="191"/>
      <c r="CA47" s="191"/>
      <c r="CB47" s="191"/>
      <c r="CC47" s="191"/>
      <c r="CD47" s="191"/>
      <c r="CE47" s="191"/>
      <c r="CF47" s="191"/>
      <c r="CG47" s="191"/>
      <c r="CH47" s="191"/>
      <c r="CI47" s="191"/>
      <c r="CJ47" s="191"/>
      <c r="CK47" s="191"/>
      <c r="CL47" s="191"/>
      <c r="CM47" s="191"/>
      <c r="CN47" s="191"/>
      <c r="CO47" s="191"/>
      <c r="CP47" s="191"/>
      <c r="CQ47" s="191"/>
      <c r="CR47" s="191"/>
      <c r="CS47" s="191"/>
      <c r="CT47" s="191"/>
      <c r="CU47" s="191"/>
      <c r="CV47" s="191"/>
      <c r="CW47" s="191"/>
      <c r="CX47" s="191"/>
      <c r="CY47" s="191"/>
      <c r="CZ47" s="191"/>
      <c r="DA47" s="191"/>
      <c r="DB47" s="191"/>
      <c r="DC47" s="191"/>
      <c r="DD47" s="191"/>
      <c r="DE47" s="191"/>
      <c r="DF47" s="191"/>
      <c r="DG47" s="191"/>
      <c r="DH47" s="191"/>
      <c r="DI47" s="191"/>
      <c r="DJ47" s="191"/>
      <c r="DK47" s="191"/>
      <c r="DL47" s="191"/>
      <c r="DM47" s="191"/>
      <c r="DN47" s="191"/>
      <c r="DO47" s="191"/>
      <c r="DP47" s="191"/>
      <c r="DQ47" s="191"/>
      <c r="DR47" s="191"/>
      <c r="DS47" s="191"/>
      <c r="DT47" s="191"/>
      <c r="DU47" s="191"/>
      <c r="DV47" s="191"/>
      <c r="DW47" s="191"/>
      <c r="DX47" s="191"/>
      <c r="DY47" s="191"/>
      <c r="DZ47" s="191"/>
      <c r="EA47" s="191"/>
      <c r="EB47" s="191"/>
      <c r="EC47" s="191"/>
      <c r="ED47" s="191"/>
      <c r="EE47" s="191"/>
      <c r="EF47" s="191"/>
      <c r="EG47" s="191"/>
      <c r="EH47" s="191"/>
      <c r="EI47" s="191"/>
      <c r="EJ47" s="191"/>
      <c r="EK47" s="191"/>
      <c r="EL47" s="191"/>
      <c r="EM47" s="191"/>
      <c r="EN47" s="191"/>
      <c r="EO47" s="191"/>
      <c r="EP47" s="191"/>
      <c r="EQ47" s="191"/>
      <c r="ER47" s="191"/>
      <c r="ES47" s="191"/>
      <c r="ET47" s="191"/>
      <c r="EU47" s="191"/>
      <c r="EV47" s="191"/>
      <c r="EW47" s="191"/>
      <c r="EX47" s="191"/>
      <c r="EY47" s="191"/>
      <c r="EZ47" s="191"/>
      <c r="FA47" s="191"/>
      <c r="FB47" s="191"/>
      <c r="FC47" s="191"/>
      <c r="FD47" s="191"/>
      <c r="FE47" s="191"/>
      <c r="FF47" s="191"/>
      <c r="FG47" s="191"/>
      <c r="FH47" s="191"/>
      <c r="FI47" s="191"/>
      <c r="FJ47" s="191"/>
      <c r="FK47" s="191"/>
    </row>
    <row r="48">
      <c r="A48" s="191"/>
      <c r="B48" s="191"/>
      <c r="C48" s="191"/>
      <c r="D48" s="191" t="s">
        <v>22</v>
      </c>
      <c r="E48" s="191" t="s">
        <v>22</v>
      </c>
      <c r="F48" s="191" t="s">
        <v>22</v>
      </c>
      <c r="G48" s="191" t="s">
        <v>22</v>
      </c>
      <c r="H48" s="191" t="s">
        <v>22</v>
      </c>
      <c r="I48" s="191" t="s">
        <v>22</v>
      </c>
      <c r="J48" s="191" t="s">
        <v>22</v>
      </c>
      <c r="K48" s="191" t="s">
        <v>22</v>
      </c>
      <c r="L48" s="191" t="s">
        <v>22</v>
      </c>
      <c r="M48" s="192"/>
      <c r="N48" s="191" t="s">
        <v>22</v>
      </c>
      <c r="O48" s="191" t="s">
        <v>22</v>
      </c>
      <c r="P48" s="191" t="s">
        <v>22</v>
      </c>
      <c r="Q48" s="191" t="s">
        <v>22</v>
      </c>
      <c r="R48" s="191" t="s">
        <v>22</v>
      </c>
      <c r="S48" s="191" t="s">
        <v>22</v>
      </c>
      <c r="T48" s="191" t="s">
        <v>22</v>
      </c>
      <c r="U48" s="191" t="s">
        <v>22</v>
      </c>
      <c r="V48" s="191" t="s">
        <v>22</v>
      </c>
      <c r="W48" s="191"/>
      <c r="X48" s="191"/>
      <c r="Y48" s="191"/>
      <c r="Z48" s="191"/>
      <c r="AA48" s="191"/>
      <c r="AB48" s="191"/>
      <c r="AC48" s="191"/>
      <c r="AD48" s="191"/>
      <c r="AE48" s="191"/>
      <c r="AF48" s="191"/>
      <c r="AG48" s="191"/>
      <c r="AH48" s="191"/>
      <c r="AI48" s="191"/>
      <c r="AJ48" s="191"/>
      <c r="AK48" s="191"/>
      <c r="AL48" s="191"/>
      <c r="AM48" s="191"/>
      <c r="AN48" s="191"/>
      <c r="AO48" s="191"/>
      <c r="AP48" s="191"/>
      <c r="AQ48" s="191"/>
      <c r="AR48" s="191"/>
      <c r="AS48" s="191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1"/>
      <c r="BQ48" s="191"/>
      <c r="BR48" s="191"/>
      <c r="BS48" s="191"/>
      <c r="BT48" s="191"/>
      <c r="BU48" s="191"/>
      <c r="BV48" s="191"/>
      <c r="BW48" s="191"/>
      <c r="BX48" s="191"/>
      <c r="BY48" s="191"/>
      <c r="BZ48" s="191"/>
      <c r="CA48" s="191"/>
      <c r="CB48" s="191"/>
      <c r="CC48" s="191"/>
      <c r="CD48" s="191"/>
      <c r="CE48" s="191"/>
      <c r="CF48" s="191"/>
      <c r="CG48" s="191"/>
      <c r="CH48" s="191"/>
      <c r="CI48" s="191"/>
      <c r="CJ48" s="191"/>
      <c r="CK48" s="191"/>
      <c r="CL48" s="191"/>
      <c r="CM48" s="191"/>
      <c r="CN48" s="191"/>
      <c r="CO48" s="191"/>
      <c r="CP48" s="191"/>
      <c r="CQ48" s="191"/>
      <c r="CR48" s="191"/>
      <c r="CS48" s="191"/>
      <c r="CT48" s="191"/>
      <c r="CU48" s="191"/>
      <c r="CV48" s="191"/>
      <c r="CW48" s="191"/>
      <c r="CX48" s="191"/>
      <c r="CY48" s="191"/>
      <c r="CZ48" s="191"/>
      <c r="DA48" s="191"/>
      <c r="DB48" s="191"/>
      <c r="DC48" s="191"/>
      <c r="DD48" s="191"/>
      <c r="DE48" s="191"/>
      <c r="DF48" s="191"/>
      <c r="DG48" s="191"/>
      <c r="DH48" s="191"/>
      <c r="DI48" s="191"/>
      <c r="DJ48" s="191"/>
      <c r="DK48" s="191"/>
      <c r="DL48" s="191"/>
      <c r="DM48" s="191"/>
      <c r="DN48" s="191"/>
      <c r="DO48" s="191"/>
      <c r="DP48" s="191"/>
      <c r="DQ48" s="191"/>
      <c r="DR48" s="191"/>
      <c r="DS48" s="191"/>
      <c r="DT48" s="191"/>
      <c r="DU48" s="191"/>
      <c r="DV48" s="191"/>
      <c r="DW48" s="191"/>
      <c r="DX48" s="191"/>
      <c r="DY48" s="191"/>
      <c r="DZ48" s="191"/>
      <c r="EA48" s="191"/>
      <c r="EB48" s="191"/>
      <c r="EC48" s="191"/>
      <c r="ED48" s="191"/>
      <c r="EE48" s="191"/>
      <c r="EF48" s="191"/>
      <c r="EG48" s="191"/>
      <c r="EH48" s="191"/>
      <c r="EI48" s="191"/>
      <c r="EJ48" s="191"/>
      <c r="EK48" s="191"/>
      <c r="EL48" s="191"/>
      <c r="EM48" s="191"/>
      <c r="EN48" s="191"/>
      <c r="EO48" s="191"/>
      <c r="EP48" s="191"/>
      <c r="EQ48" s="191"/>
      <c r="ER48" s="191"/>
      <c r="ES48" s="191"/>
      <c r="ET48" s="191"/>
      <c r="EU48" s="191"/>
      <c r="EV48" s="191"/>
      <c r="EW48" s="191"/>
      <c r="EX48" s="191"/>
      <c r="EY48" s="191"/>
      <c r="EZ48" s="191"/>
      <c r="FA48" s="191"/>
      <c r="FB48" s="191"/>
      <c r="FC48" s="191"/>
      <c r="FD48" s="191"/>
      <c r="FE48" s="191"/>
      <c r="FF48" s="191"/>
      <c r="FG48" s="191"/>
      <c r="FH48" s="191"/>
      <c r="FI48" s="191"/>
      <c r="FJ48" s="191"/>
      <c r="FK48" s="191"/>
    </row>
  </sheetData>
  <mergeCells count="15">
    <mergeCell ref="C12:V12"/>
    <mergeCell ref="C13:V13"/>
    <mergeCell ref="C14:V14"/>
    <mergeCell ref="C15:V15"/>
    <mergeCell ref="C16:V16"/>
    <mergeCell ref="C17:V17"/>
    <mergeCell ref="C18:V18"/>
    <mergeCell ref="D19:V19"/>
    <mergeCell ref="C5:V5"/>
    <mergeCell ref="C6:V6"/>
    <mergeCell ref="C7:V7"/>
    <mergeCell ref="C8:V8"/>
    <mergeCell ref="C9:V9"/>
    <mergeCell ref="C10:V10"/>
    <mergeCell ref="C11:V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.38"/>
    <col customWidth="1" min="3" max="3" width="62.63"/>
  </cols>
  <sheetData>
    <row r="1">
      <c r="A1" s="233"/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</row>
    <row r="2">
      <c r="A2" s="233"/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</row>
    <row r="3">
      <c r="A3" s="233"/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</row>
    <row r="4">
      <c r="A4" s="233"/>
      <c r="B4" s="234"/>
      <c r="C4" s="234"/>
      <c r="D4" s="235"/>
      <c r="E4" s="236"/>
      <c r="F4" s="237"/>
      <c r="G4" s="238" t="s">
        <v>5277</v>
      </c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</row>
    <row r="5">
      <c r="A5" s="233"/>
      <c r="B5" s="239" t="s">
        <v>67</v>
      </c>
      <c r="C5" s="240" t="s">
        <v>5278</v>
      </c>
      <c r="D5" s="241">
        <v>0.0</v>
      </c>
      <c r="E5" s="242" t="s">
        <v>5279</v>
      </c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</row>
    <row r="6">
      <c r="A6" s="233"/>
      <c r="B6" s="243"/>
      <c r="C6" s="98" t="s">
        <v>5280</v>
      </c>
      <c r="D6" s="215">
        <v>200.0</v>
      </c>
      <c r="E6" s="244" t="s">
        <v>5279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</row>
    <row r="7">
      <c r="A7" s="233"/>
      <c r="B7" s="243"/>
      <c r="C7" s="98" t="s">
        <v>5281</v>
      </c>
      <c r="D7" s="215">
        <v>1500.0</v>
      </c>
      <c r="E7" s="244" t="s">
        <v>5279</v>
      </c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</row>
    <row r="8">
      <c r="A8" s="233"/>
      <c r="B8" s="243"/>
      <c r="C8" s="98" t="s">
        <v>5282</v>
      </c>
      <c r="D8" s="215">
        <v>3000.0</v>
      </c>
      <c r="E8" s="244" t="s">
        <v>5279</v>
      </c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</row>
    <row r="9">
      <c r="A9" s="233"/>
      <c r="B9" s="243"/>
      <c r="C9" s="98" t="s">
        <v>5283</v>
      </c>
      <c r="D9" s="215">
        <v>2000.0</v>
      </c>
      <c r="E9" s="244" t="s">
        <v>5279</v>
      </c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</row>
    <row r="10">
      <c r="A10" s="233"/>
      <c r="B10" s="243"/>
      <c r="C10" s="98" t="s">
        <v>5284</v>
      </c>
      <c r="D10" s="215">
        <v>800.0</v>
      </c>
      <c r="E10" s="244" t="s">
        <v>5279</v>
      </c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</row>
    <row r="11">
      <c r="A11" s="233"/>
      <c r="B11" s="243"/>
      <c r="C11" s="98" t="s">
        <v>5285</v>
      </c>
      <c r="D11" s="215">
        <v>1200.0</v>
      </c>
      <c r="E11" s="244" t="s">
        <v>5279</v>
      </c>
      <c r="F11" s="233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</row>
    <row r="12">
      <c r="A12" s="233"/>
      <c r="B12" s="243"/>
      <c r="C12" s="98" t="s">
        <v>5286</v>
      </c>
      <c r="D12" s="215">
        <v>1200.0</v>
      </c>
      <c r="E12" s="244" t="s">
        <v>5279</v>
      </c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</row>
    <row r="13">
      <c r="A13" s="233"/>
      <c r="B13" s="243"/>
      <c r="C13" s="98" t="s">
        <v>5287</v>
      </c>
      <c r="D13" s="215">
        <v>1200.0</v>
      </c>
      <c r="E13" s="244" t="s">
        <v>5279</v>
      </c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</row>
    <row r="14">
      <c r="A14" s="233"/>
      <c r="B14" s="243"/>
      <c r="C14" s="98" t="s">
        <v>5288</v>
      </c>
      <c r="D14" s="215">
        <v>1200.0</v>
      </c>
      <c r="E14" s="244" t="s">
        <v>5279</v>
      </c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</row>
    <row r="15">
      <c r="A15" s="233"/>
      <c r="B15" s="243"/>
      <c r="C15" s="98" t="s">
        <v>5289</v>
      </c>
      <c r="D15" s="215">
        <v>1600.0</v>
      </c>
      <c r="E15" s="244" t="s">
        <v>5279</v>
      </c>
      <c r="F15" s="233"/>
      <c r="G15" s="233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</row>
    <row r="16">
      <c r="A16" s="233"/>
      <c r="B16" s="243"/>
      <c r="C16" s="98" t="s">
        <v>5290</v>
      </c>
      <c r="D16" s="215">
        <v>1200.0</v>
      </c>
      <c r="E16" s="244" t="s">
        <v>5279</v>
      </c>
      <c r="F16" s="233"/>
      <c r="G16" s="233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</row>
    <row r="17">
      <c r="A17" s="233"/>
      <c r="B17" s="243"/>
      <c r="C17" s="98" t="s">
        <v>5291</v>
      </c>
      <c r="D17" s="215">
        <v>1000.0</v>
      </c>
      <c r="E17" s="244" t="s">
        <v>5279</v>
      </c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</row>
    <row r="18">
      <c r="A18" s="233"/>
      <c r="B18" s="243"/>
      <c r="C18" s="98" t="s">
        <v>5292</v>
      </c>
      <c r="D18" s="215">
        <v>1200.0</v>
      </c>
      <c r="E18" s="244" t="s">
        <v>5279</v>
      </c>
      <c r="F18" s="233"/>
      <c r="G18" s="233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</row>
    <row r="19">
      <c r="A19" s="233"/>
      <c r="B19" s="243"/>
      <c r="C19" s="98" t="s">
        <v>5293</v>
      </c>
      <c r="D19" s="215">
        <v>3000.0</v>
      </c>
      <c r="E19" s="244" t="s">
        <v>5279</v>
      </c>
      <c r="F19" s="233"/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</row>
    <row r="20">
      <c r="A20" s="233"/>
      <c r="B20" s="243"/>
      <c r="C20" s="98" t="s">
        <v>5294</v>
      </c>
      <c r="D20" s="215">
        <v>1000.0</v>
      </c>
      <c r="E20" s="244" t="s">
        <v>5279</v>
      </c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</row>
    <row r="21">
      <c r="A21" s="233"/>
      <c r="B21" s="243"/>
      <c r="C21" s="98" t="s">
        <v>5295</v>
      </c>
      <c r="D21" s="215">
        <v>2500.0</v>
      </c>
      <c r="E21" s="244" t="s">
        <v>5279</v>
      </c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</row>
    <row r="22">
      <c r="A22" s="233"/>
      <c r="B22" s="243"/>
      <c r="C22" s="98" t="s">
        <v>5296</v>
      </c>
      <c r="D22" s="215">
        <v>800.0</v>
      </c>
      <c r="E22" s="244" t="s">
        <v>5279</v>
      </c>
      <c r="F22" s="233"/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</row>
    <row r="23">
      <c r="A23" s="233"/>
      <c r="B23" s="243"/>
      <c r="C23" s="98" t="s">
        <v>5297</v>
      </c>
      <c r="D23" s="215">
        <v>1200.0</v>
      </c>
      <c r="E23" s="244" t="s">
        <v>5279</v>
      </c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</row>
    <row r="24">
      <c r="A24" s="233"/>
      <c r="B24" s="243"/>
      <c r="C24" s="98" t="s">
        <v>5298</v>
      </c>
      <c r="D24" s="215">
        <v>800.0</v>
      </c>
      <c r="E24" s="244" t="s">
        <v>5279</v>
      </c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</row>
    <row r="25">
      <c r="A25" s="233"/>
      <c r="B25" s="245"/>
      <c r="C25" s="246" t="s">
        <v>5299</v>
      </c>
      <c r="D25" s="247">
        <v>900.0</v>
      </c>
      <c r="E25" s="248" t="s">
        <v>5279</v>
      </c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</row>
    <row r="26">
      <c r="A26" s="233"/>
      <c r="B26" s="233"/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</row>
    <row r="27">
      <c r="A27" s="233"/>
      <c r="B27" s="239" t="s">
        <v>1481</v>
      </c>
      <c r="C27" s="240" t="s">
        <v>5300</v>
      </c>
      <c r="D27" s="241">
        <v>0.0</v>
      </c>
      <c r="E27" s="242" t="s">
        <v>5279</v>
      </c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</row>
    <row r="28">
      <c r="A28" s="233"/>
      <c r="B28" s="243"/>
      <c r="C28" s="98" t="s">
        <v>5301</v>
      </c>
      <c r="D28" s="215">
        <v>200.0</v>
      </c>
      <c r="E28" s="244" t="s">
        <v>5279</v>
      </c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</row>
    <row r="29">
      <c r="A29" s="233"/>
      <c r="B29" s="243"/>
      <c r="C29" s="98" t="s">
        <v>5302</v>
      </c>
      <c r="D29" s="215">
        <v>1500.0</v>
      </c>
      <c r="E29" s="244" t="s">
        <v>5279</v>
      </c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</row>
    <row r="30">
      <c r="A30" s="233"/>
      <c r="B30" s="243"/>
      <c r="C30" s="98" t="s">
        <v>5303</v>
      </c>
      <c r="D30" s="215">
        <v>3000.0</v>
      </c>
      <c r="E30" s="244" t="s">
        <v>5279</v>
      </c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</row>
    <row r="31">
      <c r="A31" s="233"/>
      <c r="B31" s="243"/>
      <c r="C31" s="98" t="s">
        <v>5304</v>
      </c>
      <c r="D31" s="215">
        <v>2000.0</v>
      </c>
      <c r="E31" s="244" t="s">
        <v>5279</v>
      </c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</row>
    <row r="32">
      <c r="A32" s="233"/>
      <c r="B32" s="243"/>
      <c r="C32" s="98" t="s">
        <v>5305</v>
      </c>
      <c r="D32" s="215">
        <v>800.0</v>
      </c>
      <c r="E32" s="244" t="s">
        <v>5279</v>
      </c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</row>
    <row r="33">
      <c r="A33" s="233"/>
      <c r="B33" s="243"/>
      <c r="C33" s="98" t="s">
        <v>5306</v>
      </c>
      <c r="D33" s="215">
        <v>1200.0</v>
      </c>
      <c r="E33" s="244" t="s">
        <v>5279</v>
      </c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</row>
    <row r="34">
      <c r="A34" s="233"/>
      <c r="B34" s="243"/>
      <c r="C34" s="98" t="s">
        <v>5307</v>
      </c>
      <c r="D34" s="215">
        <v>1200.0</v>
      </c>
      <c r="E34" s="244" t="s">
        <v>5279</v>
      </c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</row>
    <row r="35">
      <c r="A35" s="233"/>
      <c r="B35" s="243"/>
      <c r="C35" s="98" t="s">
        <v>5308</v>
      </c>
      <c r="D35" s="215">
        <v>1200.0</v>
      </c>
      <c r="E35" s="244" t="s">
        <v>5279</v>
      </c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</row>
    <row r="36">
      <c r="A36" s="233"/>
      <c r="B36" s="243"/>
      <c r="C36" s="98" t="s">
        <v>5309</v>
      </c>
      <c r="D36" s="215">
        <v>1200.0</v>
      </c>
      <c r="E36" s="244" t="s">
        <v>5279</v>
      </c>
      <c r="F36" s="233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</row>
    <row r="37">
      <c r="A37" s="233"/>
      <c r="B37" s="243"/>
      <c r="C37" s="98" t="s">
        <v>5310</v>
      </c>
      <c r="D37" s="215">
        <v>1600.0</v>
      </c>
      <c r="E37" s="244" t="s">
        <v>5279</v>
      </c>
      <c r="F37" s="233"/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</row>
    <row r="38">
      <c r="A38" s="233"/>
      <c r="B38" s="243"/>
      <c r="C38" s="98" t="s">
        <v>5311</v>
      </c>
      <c r="D38" s="215">
        <v>1200.0</v>
      </c>
      <c r="E38" s="244" t="s">
        <v>5279</v>
      </c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</row>
    <row r="39">
      <c r="A39" s="233"/>
      <c r="B39" s="243"/>
      <c r="C39" s="98" t="s">
        <v>5312</v>
      </c>
      <c r="D39" s="215">
        <v>1000.0</v>
      </c>
      <c r="E39" s="244" t="s">
        <v>5279</v>
      </c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</row>
    <row r="40">
      <c r="A40" s="233"/>
      <c r="B40" s="243"/>
      <c r="C40" s="98" t="s">
        <v>5313</v>
      </c>
      <c r="D40" s="215">
        <v>1200.0</v>
      </c>
      <c r="E40" s="244" t="s">
        <v>5279</v>
      </c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</row>
    <row r="41">
      <c r="A41" s="233"/>
      <c r="B41" s="243"/>
      <c r="C41" s="98" t="s">
        <v>5314</v>
      </c>
      <c r="D41" s="215">
        <v>4900.0</v>
      </c>
      <c r="E41" s="244" t="s">
        <v>5279</v>
      </c>
      <c r="F41" s="233"/>
      <c r="G41" s="233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</row>
    <row r="42">
      <c r="A42" s="233"/>
      <c r="B42" s="243"/>
      <c r="C42" s="98" t="s">
        <v>5315</v>
      </c>
      <c r="D42" s="215">
        <v>1000.0</v>
      </c>
      <c r="E42" s="244" t="s">
        <v>5279</v>
      </c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</row>
    <row r="43">
      <c r="A43" s="233"/>
      <c r="B43" s="243"/>
      <c r="C43" s="98" t="s">
        <v>5316</v>
      </c>
      <c r="D43" s="215">
        <v>800.0</v>
      </c>
      <c r="E43" s="244" t="s">
        <v>5279</v>
      </c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</row>
    <row r="44">
      <c r="A44" s="233"/>
      <c r="B44" s="243"/>
      <c r="C44" s="98" t="s">
        <v>5317</v>
      </c>
      <c r="D44" s="215">
        <v>2500.0</v>
      </c>
      <c r="E44" s="244" t="s">
        <v>5279</v>
      </c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</row>
    <row r="45">
      <c r="A45" s="233"/>
      <c r="B45" s="243"/>
      <c r="C45" s="98" t="s">
        <v>5318</v>
      </c>
      <c r="D45" s="215">
        <v>1200.0</v>
      </c>
      <c r="E45" s="244" t="s">
        <v>5279</v>
      </c>
      <c r="F45" s="233"/>
      <c r="G45" s="233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</row>
    <row r="46">
      <c r="A46" s="233"/>
      <c r="B46" s="243"/>
      <c r="C46" s="98" t="s">
        <v>5319</v>
      </c>
      <c r="D46" s="215">
        <v>800.0</v>
      </c>
      <c r="E46" s="244" t="s">
        <v>5279</v>
      </c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</row>
    <row r="47">
      <c r="A47" s="233"/>
      <c r="B47" s="245"/>
      <c r="C47" s="246" t="s">
        <v>5320</v>
      </c>
      <c r="D47" s="247">
        <v>900.0</v>
      </c>
      <c r="E47" s="248" t="s">
        <v>5279</v>
      </c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</row>
    <row r="48">
      <c r="A48" s="233"/>
      <c r="B48" s="233"/>
      <c r="C48" s="233"/>
      <c r="D48" s="233"/>
      <c r="E48" s="233"/>
      <c r="F48" s="233"/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</row>
    <row r="49">
      <c r="A49" s="233"/>
      <c r="B49" s="239" t="s">
        <v>71</v>
      </c>
      <c r="C49" s="240" t="s">
        <v>5321</v>
      </c>
      <c r="D49" s="241">
        <v>0.0</v>
      </c>
      <c r="E49" s="242" t="s">
        <v>5279</v>
      </c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</row>
    <row r="50">
      <c r="A50" s="233"/>
      <c r="B50" s="243"/>
      <c r="C50" s="98" t="s">
        <v>5322</v>
      </c>
      <c r="D50" s="215">
        <v>200.0</v>
      </c>
      <c r="E50" s="244" t="s">
        <v>5279</v>
      </c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</row>
    <row r="51">
      <c r="A51" s="233"/>
      <c r="B51" s="243"/>
      <c r="C51" s="98" t="s">
        <v>5323</v>
      </c>
      <c r="D51" s="215">
        <v>1500.0</v>
      </c>
      <c r="E51" s="244" t="s">
        <v>5279</v>
      </c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</row>
    <row r="52">
      <c r="A52" s="233"/>
      <c r="B52" s="243"/>
      <c r="C52" s="98" t="s">
        <v>5324</v>
      </c>
      <c r="D52" s="215">
        <v>2500.0</v>
      </c>
      <c r="E52" s="244" t="s">
        <v>5279</v>
      </c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</row>
    <row r="53">
      <c r="A53" s="233"/>
      <c r="B53" s="243"/>
      <c r="C53" s="98" t="s">
        <v>5325</v>
      </c>
      <c r="D53" s="215">
        <v>2000.0</v>
      </c>
      <c r="E53" s="244" t="s">
        <v>5279</v>
      </c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</row>
    <row r="54">
      <c r="A54" s="233"/>
      <c r="B54" s="243"/>
      <c r="C54" s="98" t="s">
        <v>5326</v>
      </c>
      <c r="D54" s="215">
        <v>800.0</v>
      </c>
      <c r="E54" s="244" t="s">
        <v>5279</v>
      </c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</row>
    <row r="55">
      <c r="A55" s="233"/>
      <c r="B55" s="243"/>
      <c r="C55" s="98" t="s">
        <v>5327</v>
      </c>
      <c r="D55" s="215">
        <v>1200.0</v>
      </c>
      <c r="E55" s="244" t="s">
        <v>5279</v>
      </c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</row>
    <row r="56">
      <c r="A56" s="233"/>
      <c r="B56" s="243"/>
      <c r="C56" s="98" t="s">
        <v>5328</v>
      </c>
      <c r="D56" s="215">
        <v>1200.0</v>
      </c>
      <c r="E56" s="244" t="s">
        <v>5279</v>
      </c>
      <c r="F56" s="233"/>
      <c r="G56" s="233"/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</row>
    <row r="57">
      <c r="A57" s="233"/>
      <c r="B57" s="243"/>
      <c r="C57" s="98" t="s">
        <v>5329</v>
      </c>
      <c r="D57" s="215">
        <v>1200.0</v>
      </c>
      <c r="E57" s="244" t="s">
        <v>5279</v>
      </c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</row>
    <row r="58">
      <c r="A58" s="233"/>
      <c r="B58" s="243"/>
      <c r="C58" s="98" t="s">
        <v>5330</v>
      </c>
      <c r="D58" s="215">
        <v>1200.0</v>
      </c>
      <c r="E58" s="244" t="s">
        <v>5279</v>
      </c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</row>
    <row r="59">
      <c r="A59" s="233"/>
      <c r="B59" s="243"/>
      <c r="C59" s="98" t="s">
        <v>5331</v>
      </c>
      <c r="D59" s="215">
        <v>1600.0</v>
      </c>
      <c r="E59" s="244" t="s">
        <v>5279</v>
      </c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</row>
    <row r="60">
      <c r="A60" s="233"/>
      <c r="B60" s="243"/>
      <c r="C60" s="98" t="s">
        <v>5332</v>
      </c>
      <c r="D60" s="215">
        <v>1200.0</v>
      </c>
      <c r="E60" s="244" t="s">
        <v>5279</v>
      </c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</row>
    <row r="61">
      <c r="A61" s="233"/>
      <c r="B61" s="243"/>
      <c r="C61" s="98" t="s">
        <v>5333</v>
      </c>
      <c r="D61" s="215">
        <v>1000.0</v>
      </c>
      <c r="E61" s="244" t="s">
        <v>5279</v>
      </c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</row>
    <row r="62">
      <c r="A62" s="233"/>
      <c r="B62" s="243"/>
      <c r="C62" s="98" t="s">
        <v>5334</v>
      </c>
      <c r="D62" s="215">
        <v>1200.0</v>
      </c>
      <c r="E62" s="244" t="s">
        <v>5279</v>
      </c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</row>
    <row r="63">
      <c r="A63" s="233"/>
      <c r="B63" s="243"/>
      <c r="C63" s="98" t="s">
        <v>5335</v>
      </c>
      <c r="D63" s="215">
        <v>3000.0</v>
      </c>
      <c r="E63" s="244" t="s">
        <v>5279</v>
      </c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</row>
    <row r="64">
      <c r="A64" s="233"/>
      <c r="B64" s="243"/>
      <c r="C64" s="98" t="s">
        <v>5336</v>
      </c>
      <c r="D64" s="215">
        <v>1000.0</v>
      </c>
      <c r="E64" s="244" t="s">
        <v>5279</v>
      </c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</row>
    <row r="65">
      <c r="A65" s="233"/>
      <c r="B65" s="243"/>
      <c r="C65" s="98" t="s">
        <v>5337</v>
      </c>
      <c r="D65" s="215">
        <v>2500.0</v>
      </c>
      <c r="E65" s="244" t="s">
        <v>5279</v>
      </c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</row>
    <row r="66">
      <c r="A66" s="233"/>
      <c r="B66" s="243"/>
      <c r="C66" s="98" t="s">
        <v>5338</v>
      </c>
      <c r="D66" s="215">
        <v>800.0</v>
      </c>
      <c r="E66" s="244" t="s">
        <v>5279</v>
      </c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</row>
    <row r="67">
      <c r="A67" s="233"/>
      <c r="B67" s="243"/>
      <c r="C67" s="98" t="s">
        <v>5339</v>
      </c>
      <c r="D67" s="215">
        <v>1200.0</v>
      </c>
      <c r="E67" s="244" t="s">
        <v>5279</v>
      </c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</row>
    <row r="68">
      <c r="A68" s="233"/>
      <c r="B68" s="243"/>
      <c r="C68" s="98" t="s">
        <v>5340</v>
      </c>
      <c r="D68" s="215">
        <v>800.0</v>
      </c>
      <c r="E68" s="244" t="s">
        <v>5279</v>
      </c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</row>
    <row r="69">
      <c r="A69" s="233"/>
      <c r="B69" s="245"/>
      <c r="C69" s="246" t="s">
        <v>5341</v>
      </c>
      <c r="D69" s="247">
        <v>900.0</v>
      </c>
      <c r="E69" s="248" t="s">
        <v>5279</v>
      </c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</row>
    <row r="70">
      <c r="A70" s="233"/>
      <c r="B70" s="249"/>
      <c r="C70" s="99"/>
      <c r="D70" s="1"/>
      <c r="E70" s="1"/>
      <c r="F70" s="233"/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</row>
    <row r="71">
      <c r="A71" s="233"/>
      <c r="B71" s="239" t="s">
        <v>5342</v>
      </c>
      <c r="C71" s="240" t="s">
        <v>5343</v>
      </c>
      <c r="D71" s="241">
        <v>0.0</v>
      </c>
      <c r="E71" s="242" t="s">
        <v>5279</v>
      </c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</row>
    <row r="72">
      <c r="A72" s="233"/>
      <c r="B72" s="243"/>
      <c r="C72" s="98" t="s">
        <v>5344</v>
      </c>
      <c r="D72" s="215">
        <v>2000.0</v>
      </c>
      <c r="E72" s="244" t="s">
        <v>5279</v>
      </c>
      <c r="F72" s="233"/>
      <c r="G72" s="233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</row>
    <row r="73">
      <c r="A73" s="233"/>
      <c r="B73" s="243"/>
      <c r="C73" s="98" t="s">
        <v>5345</v>
      </c>
      <c r="D73" s="215">
        <v>2500.0</v>
      </c>
      <c r="E73" s="244" t="s">
        <v>5279</v>
      </c>
      <c r="F73" s="233"/>
      <c r="G73" s="233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</row>
    <row r="74">
      <c r="A74" s="233"/>
      <c r="B74" s="243"/>
      <c r="C74" s="98" t="s">
        <v>5346</v>
      </c>
      <c r="D74" s="215">
        <v>2000.0</v>
      </c>
      <c r="E74" s="244" t="s">
        <v>5279</v>
      </c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</row>
    <row r="75">
      <c r="A75" s="233"/>
      <c r="B75" s="243"/>
      <c r="C75" s="98" t="s">
        <v>5347</v>
      </c>
      <c r="D75" s="215">
        <v>1000.0</v>
      </c>
      <c r="E75" s="244" t="s">
        <v>5279</v>
      </c>
      <c r="F75" s="233"/>
      <c r="G75" s="233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</row>
    <row r="76">
      <c r="A76" s="233"/>
      <c r="B76" s="243"/>
      <c r="C76" s="98" t="s">
        <v>5348</v>
      </c>
      <c r="D76" s="215">
        <v>1200.0</v>
      </c>
      <c r="E76" s="244" t="s">
        <v>5279</v>
      </c>
      <c r="F76" s="233"/>
      <c r="G76" s="233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</row>
    <row r="77">
      <c r="A77" s="233"/>
      <c r="B77" s="243"/>
      <c r="C77" s="98" t="s">
        <v>5349</v>
      </c>
      <c r="D77" s="215">
        <v>1200.0</v>
      </c>
      <c r="E77" s="244" t="s">
        <v>5279</v>
      </c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</row>
    <row r="78">
      <c r="A78" s="233"/>
      <c r="B78" s="243"/>
      <c r="C78" s="98" t="s">
        <v>5350</v>
      </c>
      <c r="D78" s="215">
        <v>1000.0</v>
      </c>
      <c r="E78" s="244" t="s">
        <v>5279</v>
      </c>
      <c r="F78" s="233"/>
      <c r="G78" s="233"/>
      <c r="H78" s="233"/>
      <c r="I78" s="233"/>
      <c r="J78" s="233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</row>
    <row r="79">
      <c r="A79" s="233"/>
      <c r="B79" s="243"/>
      <c r="C79" s="98" t="s">
        <v>5351</v>
      </c>
      <c r="D79" s="215">
        <v>1400.0</v>
      </c>
      <c r="E79" s="244" t="s">
        <v>5279</v>
      </c>
      <c r="F79" s="233"/>
      <c r="G79" s="233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</row>
    <row r="80">
      <c r="A80" s="233"/>
      <c r="B80" s="243"/>
      <c r="C80" s="98" t="s">
        <v>5352</v>
      </c>
      <c r="D80" s="215">
        <v>1800.0</v>
      </c>
      <c r="E80" s="244" t="s">
        <v>5279</v>
      </c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</row>
    <row r="81">
      <c r="A81" s="233"/>
      <c r="B81" s="243"/>
      <c r="C81" s="98" t="s">
        <v>5353</v>
      </c>
      <c r="D81" s="215">
        <v>1800.0</v>
      </c>
      <c r="E81" s="244" t="s">
        <v>5279</v>
      </c>
      <c r="F81" s="233"/>
      <c r="G81" s="233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</row>
    <row r="82">
      <c r="A82" s="233"/>
      <c r="B82" s="243"/>
      <c r="C82" s="98" t="s">
        <v>5354</v>
      </c>
      <c r="D82" s="215">
        <v>1200.0</v>
      </c>
      <c r="E82" s="244" t="s">
        <v>5279</v>
      </c>
      <c r="F82" s="233"/>
      <c r="G82" s="233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</row>
    <row r="83">
      <c r="A83" s="233"/>
      <c r="B83" s="243"/>
      <c r="C83" s="98" t="s">
        <v>5355</v>
      </c>
      <c r="D83" s="215">
        <v>1400.0</v>
      </c>
      <c r="E83" s="244" t="s">
        <v>5279</v>
      </c>
      <c r="F83" s="233"/>
      <c r="G83" s="233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</row>
    <row r="84">
      <c r="A84" s="233"/>
      <c r="B84" s="243"/>
      <c r="C84" s="98" t="s">
        <v>5356</v>
      </c>
      <c r="D84" s="215">
        <v>3000.0</v>
      </c>
      <c r="E84" s="244" t="s">
        <v>5279</v>
      </c>
      <c r="F84" s="233"/>
      <c r="G84" s="233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</row>
    <row r="85">
      <c r="A85" s="233"/>
      <c r="B85" s="243"/>
      <c r="C85" s="98" t="s">
        <v>5357</v>
      </c>
      <c r="D85" s="215">
        <v>1200.0</v>
      </c>
      <c r="E85" s="244" t="s">
        <v>5279</v>
      </c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</row>
    <row r="86">
      <c r="A86" s="233"/>
      <c r="B86" s="243"/>
      <c r="C86" s="98" t="s">
        <v>5358</v>
      </c>
      <c r="D86" s="215">
        <v>3000.0</v>
      </c>
      <c r="E86" s="244" t="s">
        <v>5279</v>
      </c>
      <c r="F86" s="233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</row>
    <row r="87">
      <c r="A87" s="233"/>
      <c r="B87" s="243"/>
      <c r="C87" s="98" t="s">
        <v>5359</v>
      </c>
      <c r="D87" s="215">
        <v>800.0</v>
      </c>
      <c r="E87" s="244" t="s">
        <v>5279</v>
      </c>
      <c r="F87" s="233"/>
      <c r="G87" s="233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</row>
    <row r="88">
      <c r="A88" s="233"/>
      <c r="B88" s="243"/>
      <c r="C88" s="98" t="s">
        <v>5360</v>
      </c>
      <c r="D88" s="215">
        <v>1400.0</v>
      </c>
      <c r="E88" s="244" t="s">
        <v>5279</v>
      </c>
      <c r="F88" s="233"/>
      <c r="G88" s="233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</row>
    <row r="89">
      <c r="A89" s="233"/>
      <c r="B89" s="243"/>
      <c r="C89" s="98" t="s">
        <v>5361</v>
      </c>
      <c r="D89" s="215">
        <v>900.0</v>
      </c>
      <c r="E89" s="244" t="s">
        <v>5279</v>
      </c>
      <c r="F89" s="233"/>
      <c r="G89" s="233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</row>
    <row r="90">
      <c r="A90" s="233"/>
      <c r="B90" s="245"/>
      <c r="C90" s="246" t="s">
        <v>5362</v>
      </c>
      <c r="D90" s="247">
        <v>900.0</v>
      </c>
      <c r="E90" s="248" t="s">
        <v>5279</v>
      </c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</row>
    <row r="91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</row>
    <row r="92">
      <c r="A92" s="233"/>
      <c r="B92" s="239" t="s">
        <v>83</v>
      </c>
      <c r="C92" s="240" t="s">
        <v>5363</v>
      </c>
      <c r="D92" s="241">
        <v>0.0</v>
      </c>
      <c r="E92" s="242" t="s">
        <v>5279</v>
      </c>
      <c r="F92" s="233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</row>
    <row r="93">
      <c r="A93" s="233"/>
      <c r="B93" s="243"/>
      <c r="C93" s="98" t="s">
        <v>5364</v>
      </c>
      <c r="D93" s="215">
        <v>2000.0</v>
      </c>
      <c r="E93" s="244" t="s">
        <v>5279</v>
      </c>
      <c r="F93" s="233"/>
      <c r="G93" s="233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</row>
    <row r="94">
      <c r="A94" s="233"/>
      <c r="B94" s="243"/>
      <c r="C94" s="98" t="s">
        <v>5365</v>
      </c>
      <c r="D94" s="215">
        <v>2500.0</v>
      </c>
      <c r="E94" s="244" t="s">
        <v>5279</v>
      </c>
      <c r="F94" s="233"/>
      <c r="G94" s="233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</row>
    <row r="95">
      <c r="A95" s="233"/>
      <c r="B95" s="243"/>
      <c r="C95" s="98" t="s">
        <v>5366</v>
      </c>
      <c r="D95" s="215">
        <v>1800.0</v>
      </c>
      <c r="E95" s="244" t="s">
        <v>5279</v>
      </c>
      <c r="F95" s="233"/>
      <c r="G95" s="233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</row>
    <row r="96">
      <c r="A96" s="233"/>
      <c r="B96" s="243"/>
      <c r="C96" s="98" t="s">
        <v>5367</v>
      </c>
      <c r="D96" s="215">
        <v>1000.0</v>
      </c>
      <c r="E96" s="244" t="s">
        <v>5279</v>
      </c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</row>
    <row r="97">
      <c r="A97" s="233"/>
      <c r="B97" s="243"/>
      <c r="C97" s="98" t="s">
        <v>5368</v>
      </c>
      <c r="D97" s="215">
        <v>1600.0</v>
      </c>
      <c r="E97" s="244" t="s">
        <v>5279</v>
      </c>
      <c r="F97" s="233"/>
      <c r="G97" s="233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</row>
    <row r="98">
      <c r="A98" s="233"/>
      <c r="B98" s="243"/>
      <c r="C98" s="98" t="s">
        <v>5369</v>
      </c>
      <c r="D98" s="215">
        <v>1600.0</v>
      </c>
      <c r="E98" s="244" t="s">
        <v>5279</v>
      </c>
      <c r="F98" s="233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</row>
    <row r="99">
      <c r="A99" s="233"/>
      <c r="B99" s="243"/>
      <c r="C99" s="98" t="s">
        <v>5370</v>
      </c>
      <c r="D99" s="215">
        <v>1600.0</v>
      </c>
      <c r="E99" s="244" t="s">
        <v>5279</v>
      </c>
      <c r="F99" s="233"/>
      <c r="G99" s="233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</row>
    <row r="100">
      <c r="A100" s="233"/>
      <c r="B100" s="243"/>
      <c r="C100" s="98" t="s">
        <v>5371</v>
      </c>
      <c r="D100" s="215">
        <v>1400.0</v>
      </c>
      <c r="E100" s="244" t="s">
        <v>5279</v>
      </c>
      <c r="F100" s="233"/>
      <c r="G100" s="233"/>
      <c r="H100" s="233"/>
      <c r="I100" s="233"/>
      <c r="J100" s="233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</row>
    <row r="101">
      <c r="A101" s="233"/>
      <c r="B101" s="243"/>
      <c r="C101" s="98" t="s">
        <v>5372</v>
      </c>
      <c r="D101" s="215">
        <v>1800.0</v>
      </c>
      <c r="E101" s="244" t="s">
        <v>5279</v>
      </c>
      <c r="F101" s="233"/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</row>
    <row r="102">
      <c r="A102" s="233"/>
      <c r="B102" s="243"/>
      <c r="C102" s="98" t="s">
        <v>5373</v>
      </c>
      <c r="D102" s="215">
        <v>1400.0</v>
      </c>
      <c r="E102" s="244" t="s">
        <v>5279</v>
      </c>
      <c r="F102" s="233"/>
      <c r="G102" s="233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</row>
    <row r="103">
      <c r="A103" s="233"/>
      <c r="B103" s="243"/>
      <c r="C103" s="98" t="s">
        <v>5374</v>
      </c>
      <c r="D103" s="215">
        <v>1200.0</v>
      </c>
      <c r="E103" s="244" t="s">
        <v>5279</v>
      </c>
      <c r="F103" s="233"/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</row>
    <row r="104">
      <c r="A104" s="233"/>
      <c r="B104" s="243"/>
      <c r="C104" s="98" t="s">
        <v>5375</v>
      </c>
      <c r="D104" s="215">
        <v>1400.0</v>
      </c>
      <c r="E104" s="244" t="s">
        <v>5279</v>
      </c>
      <c r="F104" s="233"/>
      <c r="G104" s="233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</row>
    <row r="105">
      <c r="A105" s="233"/>
      <c r="B105" s="243"/>
      <c r="C105" s="98" t="s">
        <v>5376</v>
      </c>
      <c r="D105" s="215">
        <v>3500.0</v>
      </c>
      <c r="E105" s="244" t="s">
        <v>5279</v>
      </c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</row>
    <row r="106">
      <c r="A106" s="233"/>
      <c r="B106" s="243"/>
      <c r="C106" s="98" t="s">
        <v>5377</v>
      </c>
      <c r="D106" s="215">
        <v>1200.0</v>
      </c>
      <c r="E106" s="244" t="s">
        <v>5279</v>
      </c>
      <c r="F106" s="233"/>
      <c r="G106" s="233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</row>
    <row r="107">
      <c r="A107" s="233"/>
      <c r="B107" s="243"/>
      <c r="C107" s="98" t="s">
        <v>5378</v>
      </c>
      <c r="D107" s="215">
        <v>3000.0</v>
      </c>
      <c r="E107" s="244" t="s">
        <v>5279</v>
      </c>
      <c r="F107" s="233"/>
      <c r="G107" s="233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</row>
    <row r="108">
      <c r="A108" s="233"/>
      <c r="B108" s="243"/>
      <c r="C108" s="98" t="s">
        <v>5379</v>
      </c>
      <c r="D108" s="215">
        <v>800.0</v>
      </c>
      <c r="E108" s="244" t="s">
        <v>5279</v>
      </c>
      <c r="F108" s="233"/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</row>
    <row r="109">
      <c r="A109" s="233"/>
      <c r="B109" s="243"/>
      <c r="C109" s="98" t="s">
        <v>5380</v>
      </c>
      <c r="D109" s="215">
        <v>1400.0</v>
      </c>
      <c r="E109" s="244" t="s">
        <v>5279</v>
      </c>
      <c r="F109" s="233"/>
      <c r="G109" s="233"/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</row>
    <row r="110">
      <c r="A110" s="233"/>
      <c r="B110" s="243"/>
      <c r="C110" s="98" t="s">
        <v>5381</v>
      </c>
      <c r="D110" s="215">
        <v>1400.0</v>
      </c>
      <c r="E110" s="244" t="s">
        <v>5279</v>
      </c>
      <c r="F110" s="233"/>
      <c r="G110" s="233"/>
      <c r="H110" s="233"/>
      <c r="I110" s="233"/>
      <c r="J110" s="233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</row>
    <row r="111">
      <c r="A111" s="233"/>
      <c r="B111" s="243"/>
      <c r="C111" s="98" t="s">
        <v>5382</v>
      </c>
      <c r="D111" s="215">
        <v>800.0</v>
      </c>
      <c r="E111" s="244" t="s">
        <v>5279</v>
      </c>
      <c r="F111" s="233"/>
      <c r="G111" s="233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</row>
    <row r="112">
      <c r="A112" s="233"/>
      <c r="B112" s="245"/>
      <c r="C112" s="246" t="s">
        <v>5383</v>
      </c>
      <c r="D112" s="247">
        <v>1000.0</v>
      </c>
      <c r="E112" s="248" t="s">
        <v>5279</v>
      </c>
      <c r="F112" s="233"/>
      <c r="G112" s="233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</row>
    <row r="113">
      <c r="A113" s="233"/>
      <c r="B113" s="233"/>
      <c r="C113" s="233"/>
      <c r="D113" s="233"/>
      <c r="E113" s="233"/>
      <c r="F113" s="233"/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</row>
    <row r="114">
      <c r="A114" s="233"/>
      <c r="B114" s="239" t="s">
        <v>90</v>
      </c>
      <c r="C114" s="240" t="s">
        <v>5384</v>
      </c>
      <c r="D114" s="241">
        <v>0.0</v>
      </c>
      <c r="E114" s="242" t="s">
        <v>5279</v>
      </c>
      <c r="F114" s="233"/>
      <c r="G114" s="233"/>
      <c r="H114" s="233"/>
      <c r="I114" s="233"/>
      <c r="J114" s="233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</row>
    <row r="115">
      <c r="A115" s="233"/>
      <c r="B115" s="243"/>
      <c r="C115" s="98" t="s">
        <v>5385</v>
      </c>
      <c r="D115" s="215">
        <v>2000.0</v>
      </c>
      <c r="E115" s="244" t="s">
        <v>5279</v>
      </c>
      <c r="F115" s="233"/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</row>
    <row r="116">
      <c r="A116" s="233"/>
      <c r="B116" s="243"/>
      <c r="C116" s="98" t="s">
        <v>5386</v>
      </c>
      <c r="D116" s="215">
        <v>2500.0</v>
      </c>
      <c r="E116" s="244" t="s">
        <v>5279</v>
      </c>
      <c r="F116" s="233"/>
      <c r="G116" s="233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</row>
    <row r="117">
      <c r="A117" s="233"/>
      <c r="B117" s="243"/>
      <c r="C117" s="98" t="s">
        <v>5387</v>
      </c>
      <c r="D117" s="215">
        <v>2000.0</v>
      </c>
      <c r="E117" s="244" t="s">
        <v>5279</v>
      </c>
      <c r="F117" s="233"/>
      <c r="G117" s="233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</row>
    <row r="118">
      <c r="A118" s="233"/>
      <c r="B118" s="243"/>
      <c r="C118" s="98" t="s">
        <v>5388</v>
      </c>
      <c r="D118" s="215">
        <v>1200.0</v>
      </c>
      <c r="E118" s="244" t="s">
        <v>5279</v>
      </c>
      <c r="F118" s="233"/>
      <c r="G118" s="233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</row>
    <row r="119">
      <c r="A119" s="233"/>
      <c r="B119" s="243"/>
      <c r="C119" s="98" t="s">
        <v>5389</v>
      </c>
      <c r="D119" s="215">
        <v>1900.0</v>
      </c>
      <c r="E119" s="244" t="s">
        <v>5279</v>
      </c>
      <c r="F119" s="233"/>
      <c r="G119" s="233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</row>
    <row r="120">
      <c r="A120" s="233"/>
      <c r="B120" s="243"/>
      <c r="C120" s="98" t="s">
        <v>5390</v>
      </c>
      <c r="D120" s="215">
        <v>1800.0</v>
      </c>
      <c r="E120" s="244" t="s">
        <v>5279</v>
      </c>
      <c r="F120" s="233"/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</row>
    <row r="121">
      <c r="A121" s="233"/>
      <c r="B121" s="243"/>
      <c r="C121" s="98" t="s">
        <v>5391</v>
      </c>
      <c r="D121" s="215">
        <v>1800.0</v>
      </c>
      <c r="E121" s="244" t="s">
        <v>5279</v>
      </c>
      <c r="F121" s="233"/>
      <c r="G121" s="233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</row>
    <row r="122">
      <c r="A122" s="233"/>
      <c r="B122" s="243"/>
      <c r="C122" s="98" t="s">
        <v>5392</v>
      </c>
      <c r="D122" s="215">
        <v>1600.0</v>
      </c>
      <c r="E122" s="244" t="s">
        <v>5279</v>
      </c>
      <c r="F122" s="233"/>
      <c r="G122" s="233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</row>
    <row r="123">
      <c r="A123" s="233"/>
      <c r="B123" s="243"/>
      <c r="C123" s="98" t="s">
        <v>5393</v>
      </c>
      <c r="D123" s="215">
        <v>2000.0</v>
      </c>
      <c r="E123" s="244" t="s">
        <v>5279</v>
      </c>
      <c r="F123" s="233"/>
      <c r="G123" s="233"/>
      <c r="H123" s="233"/>
      <c r="I123" s="233"/>
      <c r="J123" s="233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</row>
    <row r="124">
      <c r="A124" s="233"/>
      <c r="B124" s="243"/>
      <c r="C124" s="98" t="s">
        <v>5394</v>
      </c>
      <c r="D124" s="215">
        <v>1800.0</v>
      </c>
      <c r="E124" s="244" t="s">
        <v>5279</v>
      </c>
      <c r="F124" s="233"/>
      <c r="G124" s="233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</row>
    <row r="125">
      <c r="A125" s="233"/>
      <c r="B125" s="243"/>
      <c r="C125" s="98" t="s">
        <v>5395</v>
      </c>
      <c r="D125" s="215">
        <v>1600.0</v>
      </c>
      <c r="E125" s="244" t="s">
        <v>5279</v>
      </c>
      <c r="F125" s="233"/>
      <c r="G125" s="233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</row>
    <row r="126">
      <c r="A126" s="233"/>
      <c r="B126" s="243"/>
      <c r="C126" s="98" t="s">
        <v>5396</v>
      </c>
      <c r="D126" s="215">
        <v>1600.0</v>
      </c>
      <c r="E126" s="244" t="s">
        <v>5279</v>
      </c>
      <c r="F126" s="233"/>
      <c r="G126" s="233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</row>
    <row r="127">
      <c r="A127" s="233"/>
      <c r="B127" s="243"/>
      <c r="C127" s="98" t="s">
        <v>5397</v>
      </c>
      <c r="D127" s="215">
        <v>3500.0</v>
      </c>
      <c r="E127" s="244" t="s">
        <v>5279</v>
      </c>
      <c r="F127" s="233"/>
      <c r="G127" s="233"/>
      <c r="H127" s="233"/>
      <c r="I127" s="233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</row>
    <row r="128">
      <c r="A128" s="233"/>
      <c r="B128" s="243"/>
      <c r="C128" s="98" t="s">
        <v>5398</v>
      </c>
      <c r="D128" s="215">
        <v>1400.0</v>
      </c>
      <c r="E128" s="244" t="s">
        <v>5279</v>
      </c>
      <c r="F128" s="233"/>
      <c r="G128" s="233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</row>
    <row r="129">
      <c r="A129" s="233"/>
      <c r="B129" s="243"/>
      <c r="C129" s="98" t="s">
        <v>5399</v>
      </c>
      <c r="D129" s="215">
        <v>3500.0</v>
      </c>
      <c r="E129" s="244" t="s">
        <v>5279</v>
      </c>
      <c r="F129" s="233"/>
      <c r="G129" s="233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</row>
    <row r="130">
      <c r="A130" s="233"/>
      <c r="B130" s="243"/>
      <c r="C130" s="98" t="s">
        <v>5400</v>
      </c>
      <c r="D130" s="215">
        <v>800.0</v>
      </c>
      <c r="E130" s="244" t="s">
        <v>5279</v>
      </c>
      <c r="F130" s="233"/>
      <c r="G130" s="233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</row>
    <row r="131">
      <c r="A131" s="233"/>
      <c r="B131" s="243"/>
      <c r="C131" s="98" t="s">
        <v>5401</v>
      </c>
      <c r="D131" s="215">
        <v>1400.0</v>
      </c>
      <c r="E131" s="244" t="s">
        <v>5279</v>
      </c>
      <c r="F131" s="233"/>
      <c r="G131" s="233"/>
      <c r="H131" s="233"/>
      <c r="I131" s="233"/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</row>
    <row r="132">
      <c r="A132" s="233"/>
      <c r="B132" s="243"/>
      <c r="C132" s="98" t="s">
        <v>5402</v>
      </c>
      <c r="D132" s="215">
        <v>1800.0</v>
      </c>
      <c r="E132" s="244" t="s">
        <v>5279</v>
      </c>
      <c r="F132" s="233"/>
      <c r="G132" s="233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</row>
    <row r="133">
      <c r="A133" s="233"/>
      <c r="B133" s="243"/>
      <c r="C133" s="98" t="s">
        <v>5403</v>
      </c>
      <c r="D133" s="215">
        <v>1600.0</v>
      </c>
      <c r="E133" s="244" t="s">
        <v>5279</v>
      </c>
      <c r="F133" s="233"/>
      <c r="G133" s="233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</row>
    <row r="134">
      <c r="A134" s="233"/>
      <c r="B134" s="245"/>
      <c r="C134" s="246" t="s">
        <v>5404</v>
      </c>
      <c r="D134" s="247">
        <v>1000.0</v>
      </c>
      <c r="E134" s="248" t="s">
        <v>5279</v>
      </c>
      <c r="F134" s="233"/>
      <c r="G134" s="233"/>
      <c r="H134" s="233"/>
      <c r="I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</row>
    <row r="135">
      <c r="A135" s="233"/>
      <c r="B135" s="233"/>
      <c r="C135" s="233"/>
      <c r="D135" s="233"/>
      <c r="E135" s="233"/>
      <c r="F135" s="233"/>
      <c r="G135" s="233"/>
      <c r="H135" s="233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</row>
    <row r="136">
      <c r="A136" s="233"/>
      <c r="B136" s="239" t="s">
        <v>97</v>
      </c>
      <c r="C136" s="240" t="s">
        <v>5405</v>
      </c>
      <c r="D136" s="241">
        <v>0.0</v>
      </c>
      <c r="E136" s="242" t="s">
        <v>5279</v>
      </c>
      <c r="F136" s="233"/>
      <c r="G136" s="233"/>
      <c r="H136" s="233"/>
      <c r="I136" s="233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</row>
    <row r="137">
      <c r="A137" s="233"/>
      <c r="B137" s="243"/>
      <c r="C137" s="98" t="s">
        <v>5406</v>
      </c>
      <c r="D137" s="215">
        <v>2000.0</v>
      </c>
      <c r="E137" s="244" t="s">
        <v>5279</v>
      </c>
      <c r="F137" s="233"/>
      <c r="G137" s="233"/>
      <c r="H137" s="233"/>
      <c r="I137" s="233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</row>
    <row r="138">
      <c r="A138" s="233"/>
      <c r="B138" s="243"/>
      <c r="C138" s="98" t="s">
        <v>5407</v>
      </c>
      <c r="D138" s="215">
        <v>2500.0</v>
      </c>
      <c r="E138" s="244" t="s">
        <v>5279</v>
      </c>
      <c r="F138" s="233"/>
      <c r="G138" s="233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</row>
    <row r="139">
      <c r="A139" s="233"/>
      <c r="B139" s="243"/>
      <c r="C139" s="98" t="s">
        <v>5408</v>
      </c>
      <c r="D139" s="215">
        <v>2000.0</v>
      </c>
      <c r="E139" s="244" t="s">
        <v>5279</v>
      </c>
      <c r="F139" s="233"/>
      <c r="G139" s="233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</row>
    <row r="140">
      <c r="A140" s="233"/>
      <c r="B140" s="243"/>
      <c r="C140" s="98" t="s">
        <v>5409</v>
      </c>
      <c r="D140" s="215">
        <v>1200.0</v>
      </c>
      <c r="E140" s="244" t="s">
        <v>5279</v>
      </c>
      <c r="F140" s="233"/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</row>
    <row r="141">
      <c r="A141" s="233"/>
      <c r="B141" s="243"/>
      <c r="C141" s="98" t="s">
        <v>5410</v>
      </c>
      <c r="D141" s="215">
        <v>1900.0</v>
      </c>
      <c r="E141" s="244" t="s">
        <v>5279</v>
      </c>
      <c r="F141" s="233"/>
      <c r="G141" s="233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</row>
    <row r="142">
      <c r="A142" s="233"/>
      <c r="B142" s="243"/>
      <c r="C142" s="98" t="s">
        <v>5411</v>
      </c>
      <c r="D142" s="215">
        <v>2000.0</v>
      </c>
      <c r="E142" s="244" t="s">
        <v>5279</v>
      </c>
      <c r="F142" s="233"/>
      <c r="G142" s="233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</row>
    <row r="143">
      <c r="A143" s="233"/>
      <c r="B143" s="243"/>
      <c r="C143" s="98" t="s">
        <v>5412</v>
      </c>
      <c r="D143" s="215">
        <v>2000.0</v>
      </c>
      <c r="E143" s="244" t="s">
        <v>5279</v>
      </c>
      <c r="F143" s="233"/>
      <c r="G143" s="233"/>
      <c r="H143" s="233"/>
      <c r="I143" s="233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</row>
    <row r="144">
      <c r="A144" s="233"/>
      <c r="B144" s="243"/>
      <c r="C144" s="98" t="s">
        <v>5413</v>
      </c>
      <c r="D144" s="215">
        <v>1600.0</v>
      </c>
      <c r="E144" s="244" t="s">
        <v>5279</v>
      </c>
      <c r="F144" s="233"/>
      <c r="G144" s="233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</row>
    <row r="145">
      <c r="A145" s="233"/>
      <c r="B145" s="243"/>
      <c r="C145" s="98" t="s">
        <v>5414</v>
      </c>
      <c r="D145" s="215">
        <v>2000.0</v>
      </c>
      <c r="E145" s="244" t="s">
        <v>5279</v>
      </c>
      <c r="F145" s="233"/>
      <c r="G145" s="233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</row>
    <row r="146">
      <c r="A146" s="233"/>
      <c r="B146" s="243"/>
      <c r="C146" s="98" t="s">
        <v>5415</v>
      </c>
      <c r="D146" s="215">
        <v>2000.0</v>
      </c>
      <c r="E146" s="244" t="s">
        <v>5279</v>
      </c>
      <c r="F146" s="233"/>
      <c r="G146" s="233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</row>
    <row r="147">
      <c r="A147" s="233"/>
      <c r="B147" s="243"/>
      <c r="C147" s="98" t="s">
        <v>5416</v>
      </c>
      <c r="D147" s="215">
        <v>1800.0</v>
      </c>
      <c r="E147" s="244" t="s">
        <v>5279</v>
      </c>
      <c r="F147" s="233"/>
      <c r="G147" s="233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</row>
    <row r="148">
      <c r="A148" s="233"/>
      <c r="B148" s="243"/>
      <c r="C148" s="98" t="s">
        <v>5417</v>
      </c>
      <c r="D148" s="215">
        <v>1600.0</v>
      </c>
      <c r="E148" s="244" t="s">
        <v>5279</v>
      </c>
      <c r="F148" s="233"/>
      <c r="G148" s="233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</row>
    <row r="149">
      <c r="A149" s="233"/>
      <c r="B149" s="243"/>
      <c r="C149" s="98" t="s">
        <v>5418</v>
      </c>
      <c r="D149" s="215">
        <v>4000.0</v>
      </c>
      <c r="E149" s="244" t="s">
        <v>5279</v>
      </c>
      <c r="F149" s="233"/>
      <c r="G149" s="233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</row>
    <row r="150">
      <c r="A150" s="233"/>
      <c r="B150" s="243"/>
      <c r="C150" s="98" t="s">
        <v>5419</v>
      </c>
      <c r="D150" s="215">
        <v>1400.0</v>
      </c>
      <c r="E150" s="244" t="s">
        <v>5279</v>
      </c>
      <c r="F150" s="233"/>
      <c r="G150" s="233"/>
      <c r="H150" s="233"/>
      <c r="I150" s="233"/>
      <c r="J150" s="233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</row>
    <row r="151">
      <c r="A151" s="233"/>
      <c r="B151" s="243"/>
      <c r="C151" s="98" t="s">
        <v>5420</v>
      </c>
      <c r="D151" s="215">
        <v>3500.0</v>
      </c>
      <c r="E151" s="244" t="s">
        <v>5279</v>
      </c>
      <c r="F151" s="233"/>
      <c r="G151" s="233"/>
      <c r="H151" s="233"/>
      <c r="I151" s="233"/>
      <c r="J151" s="233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</row>
    <row r="152">
      <c r="A152" s="233"/>
      <c r="B152" s="243"/>
      <c r="C152" s="98" t="s">
        <v>5421</v>
      </c>
      <c r="D152" s="215">
        <v>800.0</v>
      </c>
      <c r="E152" s="244" t="s">
        <v>5279</v>
      </c>
      <c r="F152" s="233"/>
      <c r="G152" s="233"/>
      <c r="H152" s="233"/>
      <c r="I152" s="233"/>
      <c r="J152" s="233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</row>
    <row r="153">
      <c r="A153" s="233"/>
      <c r="B153" s="243"/>
      <c r="C153" s="98" t="s">
        <v>5422</v>
      </c>
      <c r="D153" s="215">
        <v>1600.0</v>
      </c>
      <c r="E153" s="244" t="s">
        <v>5279</v>
      </c>
      <c r="F153" s="233"/>
      <c r="G153" s="233"/>
      <c r="H153" s="233"/>
      <c r="I153" s="233"/>
      <c r="J153" s="233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</row>
    <row r="154">
      <c r="A154" s="233"/>
      <c r="B154" s="243"/>
      <c r="C154" s="98" t="s">
        <v>5423</v>
      </c>
      <c r="D154" s="215">
        <v>1800.0</v>
      </c>
      <c r="E154" s="244" t="s">
        <v>5279</v>
      </c>
      <c r="F154" s="233"/>
      <c r="G154" s="233"/>
      <c r="H154" s="233"/>
      <c r="I154" s="233"/>
      <c r="J154" s="233"/>
      <c r="K154" s="233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</row>
    <row r="155">
      <c r="A155" s="233"/>
      <c r="B155" s="243"/>
      <c r="C155" s="98" t="s">
        <v>5424</v>
      </c>
      <c r="D155" s="215">
        <v>1000.0</v>
      </c>
      <c r="E155" s="244" t="s">
        <v>5279</v>
      </c>
      <c r="F155" s="233"/>
      <c r="G155" s="233"/>
      <c r="H155" s="233"/>
      <c r="I155" s="233"/>
      <c r="J155" s="233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</row>
    <row r="156">
      <c r="A156" s="233"/>
      <c r="B156" s="245"/>
      <c r="C156" s="246" t="s">
        <v>5425</v>
      </c>
      <c r="D156" s="247">
        <v>1000.0</v>
      </c>
      <c r="E156" s="248" t="s">
        <v>5279</v>
      </c>
      <c r="F156" s="233"/>
      <c r="G156" s="233"/>
      <c r="H156" s="233"/>
      <c r="I156" s="233"/>
      <c r="J156" s="233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</row>
    <row r="157">
      <c r="A157" s="233"/>
      <c r="B157" s="233"/>
      <c r="C157" s="233"/>
      <c r="D157" s="233"/>
      <c r="E157" s="233"/>
      <c r="F157" s="233"/>
      <c r="G157" s="233"/>
      <c r="H157" s="233"/>
      <c r="I157" s="233"/>
      <c r="J157" s="233"/>
      <c r="K157" s="233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</row>
    <row r="158">
      <c r="A158" s="233"/>
      <c r="B158" s="239" t="s">
        <v>104</v>
      </c>
      <c r="C158" s="240" t="s">
        <v>5426</v>
      </c>
      <c r="D158" s="241">
        <v>0.0</v>
      </c>
      <c r="E158" s="242" t="s">
        <v>5279</v>
      </c>
      <c r="F158" s="233"/>
      <c r="G158" s="233"/>
      <c r="H158" s="233"/>
      <c r="I158" s="233"/>
      <c r="J158" s="233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</row>
    <row r="159">
      <c r="A159" s="233"/>
      <c r="B159" s="243"/>
      <c r="C159" s="98" t="s">
        <v>5427</v>
      </c>
      <c r="D159" s="215">
        <v>2500.0</v>
      </c>
      <c r="E159" s="244" t="s">
        <v>5279</v>
      </c>
      <c r="F159" s="233"/>
      <c r="G159" s="233"/>
      <c r="H159" s="233"/>
      <c r="I159" s="233"/>
      <c r="J159" s="233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</row>
    <row r="160">
      <c r="A160" s="233"/>
      <c r="B160" s="243"/>
      <c r="C160" s="98" t="s">
        <v>5428</v>
      </c>
      <c r="D160" s="215">
        <v>2500.0</v>
      </c>
      <c r="E160" s="244" t="s">
        <v>5279</v>
      </c>
      <c r="F160" s="233"/>
      <c r="G160" s="233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</row>
    <row r="161">
      <c r="A161" s="233"/>
      <c r="B161" s="243"/>
      <c r="C161" s="98" t="s">
        <v>5429</v>
      </c>
      <c r="D161" s="215">
        <v>3000.0</v>
      </c>
      <c r="E161" s="244" t="s">
        <v>5279</v>
      </c>
      <c r="F161" s="233"/>
      <c r="G161" s="233"/>
      <c r="H161" s="233"/>
      <c r="I161" s="233"/>
      <c r="J161" s="233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</row>
    <row r="162">
      <c r="A162" s="233"/>
      <c r="B162" s="243"/>
      <c r="C162" s="98" t="s">
        <v>5430</v>
      </c>
      <c r="D162" s="215">
        <v>1400.0</v>
      </c>
      <c r="E162" s="244" t="s">
        <v>5279</v>
      </c>
      <c r="F162" s="233"/>
      <c r="G162" s="233"/>
      <c r="H162" s="233"/>
      <c r="I162" s="233"/>
      <c r="J162" s="233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</row>
    <row r="163">
      <c r="A163" s="233"/>
      <c r="B163" s="243"/>
      <c r="C163" s="98" t="s">
        <v>5431</v>
      </c>
      <c r="D163" s="215">
        <v>1900.0</v>
      </c>
      <c r="E163" s="244" t="s">
        <v>5279</v>
      </c>
      <c r="F163" s="233"/>
      <c r="G163" s="233"/>
      <c r="H163" s="233"/>
      <c r="I163" s="233"/>
      <c r="J163" s="233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</row>
    <row r="164">
      <c r="A164" s="233"/>
      <c r="B164" s="243"/>
      <c r="C164" s="98" t="s">
        <v>5432</v>
      </c>
      <c r="D164" s="215">
        <v>2200.0</v>
      </c>
      <c r="E164" s="244" t="s">
        <v>5279</v>
      </c>
      <c r="F164" s="233"/>
      <c r="G164" s="233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</row>
    <row r="165">
      <c r="A165" s="233"/>
      <c r="B165" s="243"/>
      <c r="C165" s="98" t="s">
        <v>5433</v>
      </c>
      <c r="D165" s="215">
        <v>2200.0</v>
      </c>
      <c r="E165" s="244" t="s">
        <v>5279</v>
      </c>
      <c r="F165" s="233"/>
      <c r="G165" s="233"/>
      <c r="H165" s="233"/>
      <c r="I165" s="233"/>
      <c r="J165" s="233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</row>
    <row r="166">
      <c r="A166" s="233"/>
      <c r="B166" s="243"/>
      <c r="C166" s="98" t="s">
        <v>5434</v>
      </c>
      <c r="D166" s="215">
        <v>1800.0</v>
      </c>
      <c r="E166" s="244" t="s">
        <v>5279</v>
      </c>
      <c r="F166" s="233"/>
      <c r="G166" s="233"/>
      <c r="H166" s="233"/>
      <c r="I166" s="233"/>
      <c r="J166" s="233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</row>
    <row r="167">
      <c r="A167" s="233"/>
      <c r="B167" s="243"/>
      <c r="C167" s="98" t="s">
        <v>5435</v>
      </c>
      <c r="D167" s="215">
        <v>2200.0</v>
      </c>
      <c r="E167" s="244" t="s">
        <v>5279</v>
      </c>
      <c r="F167" s="233"/>
      <c r="G167" s="233"/>
      <c r="H167" s="233"/>
      <c r="I167" s="233"/>
      <c r="J167" s="233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</row>
    <row r="168">
      <c r="A168" s="233"/>
      <c r="B168" s="243"/>
      <c r="C168" s="98" t="s">
        <v>5436</v>
      </c>
      <c r="D168" s="215">
        <v>3500.0</v>
      </c>
      <c r="E168" s="244" t="s">
        <v>5279</v>
      </c>
      <c r="F168" s="233"/>
      <c r="G168" s="233"/>
      <c r="H168" s="233"/>
      <c r="I168" s="233"/>
      <c r="J168" s="233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</row>
    <row r="169">
      <c r="A169" s="233"/>
      <c r="B169" s="243"/>
      <c r="C169" s="98" t="s">
        <v>5437</v>
      </c>
      <c r="D169" s="215">
        <v>2200.0</v>
      </c>
      <c r="E169" s="244" t="s">
        <v>5279</v>
      </c>
      <c r="F169" s="233"/>
      <c r="G169" s="233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</row>
    <row r="170">
      <c r="A170" s="233"/>
      <c r="B170" s="243"/>
      <c r="C170" s="98" t="s">
        <v>5438</v>
      </c>
      <c r="D170" s="215">
        <v>2000.0</v>
      </c>
      <c r="E170" s="244" t="s">
        <v>5279</v>
      </c>
      <c r="F170" s="233"/>
      <c r="G170" s="233"/>
      <c r="H170" s="233"/>
      <c r="I170" s="233"/>
      <c r="J170" s="233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</row>
    <row r="171">
      <c r="A171" s="233"/>
      <c r="B171" s="243"/>
      <c r="C171" s="98" t="s">
        <v>5439</v>
      </c>
      <c r="D171" s="215">
        <v>4000.0</v>
      </c>
      <c r="E171" s="244" t="s">
        <v>5279</v>
      </c>
      <c r="F171" s="233"/>
      <c r="G171" s="233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</row>
    <row r="172">
      <c r="A172" s="233"/>
      <c r="B172" s="243"/>
      <c r="C172" s="98" t="s">
        <v>5440</v>
      </c>
      <c r="D172" s="215">
        <v>1600.0</v>
      </c>
      <c r="E172" s="244" t="s">
        <v>5279</v>
      </c>
      <c r="F172" s="233"/>
      <c r="G172" s="233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</row>
    <row r="173">
      <c r="A173" s="233"/>
      <c r="B173" s="243"/>
      <c r="C173" s="98" t="s">
        <v>5441</v>
      </c>
      <c r="D173" s="215">
        <v>4000.0</v>
      </c>
      <c r="E173" s="244" t="s">
        <v>5279</v>
      </c>
      <c r="F173" s="233"/>
      <c r="G173" s="233"/>
      <c r="H173" s="233"/>
      <c r="I173" s="233"/>
      <c r="J173" s="233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  <c r="Z173" s="233"/>
    </row>
    <row r="174">
      <c r="A174" s="233"/>
      <c r="B174" s="243"/>
      <c r="C174" s="98" t="s">
        <v>5442</v>
      </c>
      <c r="D174" s="215">
        <v>1000.0</v>
      </c>
      <c r="E174" s="244" t="s">
        <v>5279</v>
      </c>
      <c r="F174" s="233"/>
      <c r="G174" s="233"/>
      <c r="H174" s="233"/>
      <c r="I174" s="233"/>
      <c r="J174" s="233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</row>
    <row r="175">
      <c r="A175" s="233"/>
      <c r="B175" s="243"/>
      <c r="C175" s="98" t="s">
        <v>5443</v>
      </c>
      <c r="D175" s="215">
        <v>1800.0</v>
      </c>
      <c r="E175" s="244" t="s">
        <v>5279</v>
      </c>
      <c r="F175" s="233"/>
      <c r="G175" s="233"/>
      <c r="H175" s="233"/>
      <c r="I175" s="233"/>
      <c r="J175" s="233"/>
      <c r="K175" s="233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  <c r="Z175" s="233"/>
    </row>
    <row r="176">
      <c r="A176" s="233"/>
      <c r="B176" s="243"/>
      <c r="C176" s="98" t="s">
        <v>5444</v>
      </c>
      <c r="D176" s="215">
        <v>2000.0</v>
      </c>
      <c r="E176" s="244" t="s">
        <v>5279</v>
      </c>
      <c r="F176" s="233"/>
      <c r="G176" s="233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</row>
    <row r="177">
      <c r="A177" s="233"/>
      <c r="B177" s="243"/>
      <c r="C177" s="98" t="s">
        <v>5445</v>
      </c>
      <c r="D177" s="215">
        <v>1200.0</v>
      </c>
      <c r="E177" s="244" t="s">
        <v>5279</v>
      </c>
      <c r="F177" s="233"/>
      <c r="G177" s="233"/>
      <c r="H177" s="233"/>
      <c r="I177" s="233"/>
      <c r="J177" s="233"/>
      <c r="K177" s="233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</row>
    <row r="178">
      <c r="A178" s="233"/>
      <c r="B178" s="245"/>
      <c r="C178" s="246" t="s">
        <v>5446</v>
      </c>
      <c r="D178" s="247">
        <v>1500.0</v>
      </c>
      <c r="E178" s="248" t="s">
        <v>5279</v>
      </c>
      <c r="F178" s="233"/>
      <c r="G178" s="233"/>
      <c r="H178" s="233"/>
      <c r="I178" s="233"/>
      <c r="J178" s="233"/>
      <c r="K178" s="233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</row>
    <row r="179">
      <c r="A179" s="233"/>
      <c r="B179" s="249"/>
      <c r="C179" s="99"/>
      <c r="D179" s="1"/>
      <c r="E179" s="1"/>
      <c r="F179" s="233"/>
      <c r="G179" s="233"/>
      <c r="H179" s="233"/>
      <c r="I179" s="233"/>
      <c r="J179" s="233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  <c r="X179" s="233"/>
      <c r="Y179" s="233"/>
      <c r="Z179" s="233"/>
    </row>
    <row r="180">
      <c r="A180" s="233"/>
      <c r="B180" s="239" t="s">
        <v>111</v>
      </c>
      <c r="C180" s="240" t="s">
        <v>5447</v>
      </c>
      <c r="D180" s="241">
        <v>0.0</v>
      </c>
      <c r="E180" s="242" t="s">
        <v>5279</v>
      </c>
      <c r="F180" s="233"/>
      <c r="G180" s="233"/>
      <c r="H180" s="233"/>
      <c r="I180" s="233"/>
      <c r="J180" s="233"/>
      <c r="K180" s="233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  <c r="Z180" s="233"/>
    </row>
    <row r="181">
      <c r="A181" s="233"/>
      <c r="B181" s="243"/>
      <c r="C181" s="98" t="s">
        <v>5448</v>
      </c>
      <c r="D181" s="215">
        <v>2000.0</v>
      </c>
      <c r="E181" s="244" t="s">
        <v>5279</v>
      </c>
      <c r="F181" s="233"/>
      <c r="G181" s="233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  <c r="Z181" s="233"/>
    </row>
    <row r="182">
      <c r="A182" s="233"/>
      <c r="B182" s="243"/>
      <c r="C182" s="98" t="s">
        <v>5449</v>
      </c>
      <c r="D182" s="215">
        <v>2500.0</v>
      </c>
      <c r="E182" s="244" t="s">
        <v>5279</v>
      </c>
      <c r="F182" s="233"/>
      <c r="G182" s="233"/>
      <c r="H182" s="233"/>
      <c r="I182" s="233"/>
      <c r="J182" s="233"/>
      <c r="K182" s="233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  <c r="Z182" s="233"/>
    </row>
    <row r="183">
      <c r="A183" s="233"/>
      <c r="B183" s="243"/>
      <c r="C183" s="98" t="s">
        <v>5450</v>
      </c>
      <c r="D183" s="215">
        <v>2000.0</v>
      </c>
      <c r="E183" s="244" t="s">
        <v>5279</v>
      </c>
      <c r="F183" s="233"/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</row>
    <row r="184">
      <c r="A184" s="233"/>
      <c r="B184" s="243"/>
      <c r="C184" s="98" t="s">
        <v>5451</v>
      </c>
      <c r="D184" s="215">
        <v>1400.0</v>
      </c>
      <c r="E184" s="244" t="s">
        <v>5279</v>
      </c>
      <c r="F184" s="233"/>
      <c r="G184" s="233"/>
      <c r="H184" s="233"/>
      <c r="I184" s="233"/>
      <c r="J184" s="233"/>
      <c r="K184" s="233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</row>
    <row r="185">
      <c r="A185" s="233"/>
      <c r="B185" s="243"/>
      <c r="C185" s="98" t="s">
        <v>5452</v>
      </c>
      <c r="D185" s="215">
        <v>2200.0</v>
      </c>
      <c r="E185" s="244" t="s">
        <v>5279</v>
      </c>
      <c r="F185" s="233"/>
      <c r="G185" s="233"/>
      <c r="H185" s="233"/>
      <c r="I185" s="233"/>
      <c r="J185" s="233"/>
      <c r="K185" s="233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  <c r="Z185" s="233"/>
    </row>
    <row r="186">
      <c r="A186" s="233"/>
      <c r="B186" s="243"/>
      <c r="C186" s="98" t="s">
        <v>5453</v>
      </c>
      <c r="D186" s="215">
        <v>2200.0</v>
      </c>
      <c r="E186" s="244" t="s">
        <v>5279</v>
      </c>
      <c r="F186" s="233"/>
      <c r="G186" s="233"/>
      <c r="H186" s="233"/>
      <c r="I186" s="233"/>
      <c r="J186" s="233"/>
      <c r="K186" s="233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  <c r="Z186" s="233"/>
    </row>
    <row r="187">
      <c r="A187" s="233"/>
      <c r="B187" s="243"/>
      <c r="C187" s="98" t="s">
        <v>5454</v>
      </c>
      <c r="D187" s="215">
        <v>2200.0</v>
      </c>
      <c r="E187" s="244" t="s">
        <v>5279</v>
      </c>
      <c r="F187" s="233"/>
      <c r="G187" s="233"/>
      <c r="H187" s="233"/>
      <c r="I187" s="233"/>
      <c r="J187" s="233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</row>
    <row r="188">
      <c r="A188" s="233"/>
      <c r="B188" s="243"/>
      <c r="C188" s="98" t="s">
        <v>5455</v>
      </c>
      <c r="D188" s="215">
        <v>1800.0</v>
      </c>
      <c r="E188" s="244" t="s">
        <v>5279</v>
      </c>
      <c r="F188" s="233"/>
      <c r="G188" s="233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</row>
    <row r="189">
      <c r="A189" s="233"/>
      <c r="B189" s="243"/>
      <c r="C189" s="98" t="s">
        <v>5456</v>
      </c>
      <c r="D189" s="215">
        <v>2200.0</v>
      </c>
      <c r="E189" s="244" t="s">
        <v>5279</v>
      </c>
      <c r="F189" s="233"/>
      <c r="G189" s="233"/>
      <c r="H189" s="233"/>
      <c r="I189" s="233"/>
      <c r="J189" s="233"/>
      <c r="K189" s="233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  <c r="Z189" s="233"/>
    </row>
    <row r="190">
      <c r="A190" s="233"/>
      <c r="B190" s="243"/>
      <c r="C190" s="98" t="s">
        <v>5457</v>
      </c>
      <c r="D190" s="215">
        <v>3500.0</v>
      </c>
      <c r="E190" s="244" t="s">
        <v>5279</v>
      </c>
      <c r="F190" s="233"/>
      <c r="G190" s="233"/>
      <c r="H190" s="233"/>
      <c r="I190" s="233"/>
      <c r="J190" s="233"/>
      <c r="K190" s="233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</row>
    <row r="191">
      <c r="A191" s="233"/>
      <c r="B191" s="243"/>
      <c r="C191" s="98" t="s">
        <v>5458</v>
      </c>
      <c r="D191" s="215">
        <v>2500.0</v>
      </c>
      <c r="E191" s="244" t="s">
        <v>5279</v>
      </c>
      <c r="F191" s="233"/>
      <c r="G191" s="233"/>
      <c r="H191" s="233"/>
      <c r="I191" s="233"/>
      <c r="J191" s="233"/>
      <c r="K191" s="233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  <c r="Z191" s="233"/>
    </row>
    <row r="192">
      <c r="A192" s="233"/>
      <c r="B192" s="243"/>
      <c r="C192" s="98" t="s">
        <v>5459</v>
      </c>
      <c r="D192" s="215">
        <v>4500.0</v>
      </c>
      <c r="E192" s="244" t="s">
        <v>5279</v>
      </c>
      <c r="F192" s="233"/>
      <c r="G192" s="233"/>
      <c r="H192" s="233"/>
      <c r="I192" s="233"/>
      <c r="J192" s="233"/>
      <c r="K192" s="233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  <c r="Z192" s="233"/>
    </row>
    <row r="193">
      <c r="A193" s="233"/>
      <c r="B193" s="243"/>
      <c r="C193" s="98" t="s">
        <v>5460</v>
      </c>
      <c r="D193" s="215">
        <v>2500.0</v>
      </c>
      <c r="E193" s="244" t="s">
        <v>5279</v>
      </c>
      <c r="F193" s="233"/>
      <c r="G193" s="233"/>
      <c r="H193" s="233"/>
      <c r="I193" s="233"/>
      <c r="J193" s="233"/>
      <c r="K193" s="233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</row>
    <row r="194">
      <c r="A194" s="233"/>
      <c r="B194" s="243"/>
      <c r="C194" s="98" t="s">
        <v>5461</v>
      </c>
      <c r="D194" s="215">
        <v>4000.0</v>
      </c>
      <c r="E194" s="244" t="s">
        <v>5279</v>
      </c>
      <c r="F194" s="233"/>
      <c r="G194" s="233"/>
      <c r="H194" s="233"/>
      <c r="I194" s="233"/>
      <c r="J194" s="233"/>
      <c r="K194" s="233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</row>
    <row r="195">
      <c r="A195" s="233"/>
      <c r="B195" s="243"/>
      <c r="C195" s="98" t="s">
        <v>5462</v>
      </c>
      <c r="D195" s="215">
        <v>1000.0</v>
      </c>
      <c r="E195" s="244" t="s">
        <v>5279</v>
      </c>
      <c r="F195" s="233"/>
      <c r="G195" s="233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</row>
    <row r="196">
      <c r="A196" s="233"/>
      <c r="B196" s="243"/>
      <c r="C196" s="98" t="s">
        <v>5463</v>
      </c>
      <c r="D196" s="215">
        <v>2200.0</v>
      </c>
      <c r="E196" s="244" t="s">
        <v>5279</v>
      </c>
      <c r="F196" s="233"/>
      <c r="G196" s="233"/>
      <c r="H196" s="233"/>
      <c r="I196" s="233"/>
      <c r="J196" s="233"/>
      <c r="K196" s="233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</row>
    <row r="197">
      <c r="A197" s="233"/>
      <c r="B197" s="243"/>
      <c r="C197" s="98" t="s">
        <v>5464</v>
      </c>
      <c r="D197" s="215">
        <v>1800.0</v>
      </c>
      <c r="E197" s="244" t="s">
        <v>5279</v>
      </c>
      <c r="F197" s="233"/>
      <c r="G197" s="233"/>
      <c r="H197" s="233"/>
      <c r="I197" s="233"/>
      <c r="J197" s="233"/>
      <c r="K197" s="233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</row>
    <row r="198">
      <c r="A198" s="233"/>
      <c r="B198" s="245"/>
      <c r="C198" s="246" t="s">
        <v>5465</v>
      </c>
      <c r="D198" s="247">
        <v>1500.0</v>
      </c>
      <c r="E198" s="248" t="s">
        <v>5279</v>
      </c>
      <c r="F198" s="233"/>
      <c r="G198" s="233"/>
      <c r="H198" s="233"/>
      <c r="I198" s="233"/>
      <c r="J198" s="233"/>
      <c r="K198" s="233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</row>
    <row r="199">
      <c r="A199" s="233"/>
      <c r="B199" s="249"/>
      <c r="C199" s="99"/>
      <c r="D199" s="1"/>
      <c r="E199" s="1"/>
      <c r="F199" s="233"/>
      <c r="G199" s="233"/>
      <c r="H199" s="233"/>
      <c r="I199" s="233"/>
      <c r="J199" s="233"/>
      <c r="K199" s="233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</row>
    <row r="200">
      <c r="A200" s="233"/>
      <c r="B200" s="239" t="s">
        <v>118</v>
      </c>
      <c r="C200" s="240" t="s">
        <v>5466</v>
      </c>
      <c r="D200" s="241">
        <v>0.0</v>
      </c>
      <c r="E200" s="242" t="s">
        <v>5279</v>
      </c>
      <c r="F200" s="233"/>
      <c r="G200" s="233"/>
      <c r="H200" s="233"/>
      <c r="I200" s="233"/>
      <c r="J200" s="233"/>
      <c r="K200" s="233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</row>
    <row r="201">
      <c r="A201" s="233"/>
      <c r="B201" s="243"/>
      <c r="C201" s="98" t="s">
        <v>5467</v>
      </c>
      <c r="D201" s="215">
        <v>2500.0</v>
      </c>
      <c r="E201" s="244" t="s">
        <v>5279</v>
      </c>
      <c r="F201" s="233"/>
      <c r="G201" s="233"/>
      <c r="H201" s="233"/>
      <c r="I201" s="233"/>
      <c r="J201" s="233"/>
      <c r="K201" s="233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</row>
    <row r="202">
      <c r="A202" s="233"/>
      <c r="B202" s="243"/>
      <c r="C202" s="98" t="s">
        <v>5468</v>
      </c>
      <c r="D202" s="215">
        <v>3000.0</v>
      </c>
      <c r="E202" s="244" t="s">
        <v>5279</v>
      </c>
      <c r="F202" s="233"/>
      <c r="G202" s="233"/>
      <c r="H202" s="233"/>
      <c r="I202" s="233"/>
      <c r="J202" s="233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</row>
    <row r="203">
      <c r="A203" s="233"/>
      <c r="B203" s="243"/>
      <c r="C203" s="98" t="s">
        <v>5469</v>
      </c>
      <c r="D203" s="215">
        <v>2500.0</v>
      </c>
      <c r="E203" s="244" t="s">
        <v>5279</v>
      </c>
      <c r="F203" s="233"/>
      <c r="G203" s="233"/>
      <c r="H203" s="233"/>
      <c r="I203" s="233"/>
      <c r="J203" s="233"/>
      <c r="K203" s="233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  <c r="X203" s="233"/>
      <c r="Y203" s="233"/>
      <c r="Z203" s="233"/>
    </row>
    <row r="204">
      <c r="A204" s="233"/>
      <c r="B204" s="243"/>
      <c r="C204" s="98" t="s">
        <v>5470</v>
      </c>
      <c r="D204" s="215">
        <v>2000.0</v>
      </c>
      <c r="E204" s="244" t="s">
        <v>5279</v>
      </c>
      <c r="F204" s="233"/>
      <c r="G204" s="233"/>
      <c r="H204" s="233"/>
      <c r="I204" s="233"/>
      <c r="J204" s="233"/>
      <c r="K204" s="233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  <c r="X204" s="233"/>
      <c r="Y204" s="233"/>
      <c r="Z204" s="233"/>
    </row>
    <row r="205">
      <c r="A205" s="233"/>
      <c r="B205" s="243"/>
      <c r="C205" s="98" t="s">
        <v>5471</v>
      </c>
      <c r="D205" s="215">
        <v>2400.0</v>
      </c>
      <c r="E205" s="244" t="s">
        <v>5279</v>
      </c>
      <c r="F205" s="233"/>
      <c r="G205" s="233"/>
      <c r="H205" s="233"/>
      <c r="I205" s="233"/>
      <c r="J205" s="233"/>
      <c r="K205" s="233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  <c r="Z205" s="233"/>
    </row>
    <row r="206">
      <c r="A206" s="233"/>
      <c r="B206" s="243"/>
      <c r="C206" s="98" t="s">
        <v>5472</v>
      </c>
      <c r="D206" s="215">
        <v>2400.0</v>
      </c>
      <c r="E206" s="244" t="s">
        <v>5279</v>
      </c>
      <c r="F206" s="233"/>
      <c r="G206" s="233"/>
      <c r="H206" s="233"/>
      <c r="I206" s="233"/>
      <c r="J206" s="233"/>
      <c r="K206" s="233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  <c r="X206" s="233"/>
      <c r="Y206" s="233"/>
      <c r="Z206" s="233"/>
    </row>
    <row r="207">
      <c r="A207" s="233"/>
      <c r="B207" s="243"/>
      <c r="C207" s="98" t="s">
        <v>5473</v>
      </c>
      <c r="D207" s="215">
        <v>2400.0</v>
      </c>
      <c r="E207" s="244" t="s">
        <v>5279</v>
      </c>
      <c r="F207" s="233"/>
      <c r="G207" s="233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</row>
    <row r="208">
      <c r="A208" s="233"/>
      <c r="B208" s="243"/>
      <c r="C208" s="98" t="s">
        <v>5474</v>
      </c>
      <c r="D208" s="215">
        <v>2400.0</v>
      </c>
      <c r="E208" s="244" t="s">
        <v>5279</v>
      </c>
      <c r="F208" s="233"/>
      <c r="G208" s="233"/>
      <c r="H208" s="233"/>
      <c r="I208" s="233"/>
      <c r="J208" s="233"/>
      <c r="K208" s="233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  <c r="Z208" s="233"/>
    </row>
    <row r="209">
      <c r="A209" s="233"/>
      <c r="B209" s="243"/>
      <c r="C209" s="98" t="s">
        <v>5475</v>
      </c>
      <c r="D209" s="215">
        <v>3000.0</v>
      </c>
      <c r="E209" s="244" t="s">
        <v>5279</v>
      </c>
      <c r="F209" s="233"/>
      <c r="G209" s="233"/>
      <c r="H209" s="233"/>
      <c r="I209" s="233"/>
      <c r="J209" s="233"/>
      <c r="K209" s="233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3"/>
      <c r="Y209" s="233"/>
      <c r="Z209" s="233"/>
    </row>
    <row r="210">
      <c r="A210" s="233"/>
      <c r="B210" s="243"/>
      <c r="C210" s="98" t="s">
        <v>5476</v>
      </c>
      <c r="D210" s="215">
        <v>4500.0</v>
      </c>
      <c r="E210" s="244" t="s">
        <v>5279</v>
      </c>
      <c r="F210" s="233"/>
      <c r="G210" s="233"/>
      <c r="H210" s="233"/>
      <c r="I210" s="233"/>
      <c r="J210" s="233"/>
      <c r="K210" s="233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3"/>
      <c r="Y210" s="233"/>
      <c r="Z210" s="233"/>
    </row>
    <row r="211">
      <c r="A211" s="233"/>
      <c r="B211" s="243"/>
      <c r="C211" s="98" t="s">
        <v>5477</v>
      </c>
      <c r="D211" s="215">
        <v>3500.0</v>
      </c>
      <c r="E211" s="244" t="s">
        <v>5279</v>
      </c>
      <c r="F211" s="233"/>
      <c r="G211" s="233"/>
      <c r="H211" s="233"/>
      <c r="I211" s="233"/>
      <c r="J211" s="233"/>
      <c r="K211" s="233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  <c r="Z211" s="233"/>
    </row>
    <row r="212">
      <c r="A212" s="233"/>
      <c r="B212" s="243"/>
      <c r="C212" s="98" t="s">
        <v>5478</v>
      </c>
      <c r="D212" s="215">
        <v>4500.0</v>
      </c>
      <c r="E212" s="244" t="s">
        <v>5279</v>
      </c>
      <c r="F212" s="233"/>
      <c r="G212" s="233"/>
      <c r="H212" s="233"/>
      <c r="I212" s="233"/>
      <c r="J212" s="233"/>
      <c r="K212" s="233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  <c r="Z212" s="233"/>
    </row>
    <row r="213">
      <c r="A213" s="233"/>
      <c r="B213" s="243"/>
      <c r="C213" s="98" t="s">
        <v>5479</v>
      </c>
      <c r="D213" s="215">
        <v>2500.0</v>
      </c>
      <c r="E213" s="244" t="s">
        <v>5279</v>
      </c>
      <c r="F213" s="233"/>
      <c r="G213" s="233"/>
      <c r="H213" s="233"/>
      <c r="I213" s="233"/>
      <c r="J213" s="233"/>
      <c r="K213" s="233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  <c r="Z213" s="233"/>
    </row>
    <row r="214">
      <c r="A214" s="233"/>
      <c r="B214" s="243"/>
      <c r="C214" s="98" t="s">
        <v>5480</v>
      </c>
      <c r="D214" s="215">
        <v>4500.0</v>
      </c>
      <c r="E214" s="244" t="s">
        <v>5279</v>
      </c>
      <c r="F214" s="233"/>
      <c r="G214" s="233"/>
      <c r="H214" s="233"/>
      <c r="I214" s="233"/>
      <c r="J214" s="233"/>
      <c r="K214" s="233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  <c r="Z214" s="233"/>
    </row>
    <row r="215">
      <c r="A215" s="233"/>
      <c r="B215" s="243"/>
      <c r="C215" s="98" t="s">
        <v>5481</v>
      </c>
      <c r="D215" s="215">
        <v>1000.0</v>
      </c>
      <c r="E215" s="244" t="s">
        <v>5279</v>
      </c>
      <c r="F215" s="233"/>
      <c r="G215" s="233"/>
      <c r="H215" s="233"/>
      <c r="I215" s="233"/>
      <c r="J215" s="233"/>
      <c r="K215" s="233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  <c r="Z215" s="233"/>
    </row>
    <row r="216">
      <c r="A216" s="233"/>
      <c r="B216" s="243"/>
      <c r="C216" s="98" t="s">
        <v>5482</v>
      </c>
      <c r="D216" s="215">
        <v>2400.0</v>
      </c>
      <c r="E216" s="244" t="s">
        <v>5279</v>
      </c>
      <c r="F216" s="233"/>
      <c r="G216" s="233"/>
      <c r="H216" s="233"/>
      <c r="I216" s="233"/>
      <c r="J216" s="233"/>
      <c r="K216" s="233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  <c r="X216" s="233"/>
      <c r="Y216" s="233"/>
      <c r="Z216" s="233"/>
    </row>
    <row r="217">
      <c r="A217" s="233"/>
      <c r="B217" s="243"/>
      <c r="C217" s="98" t="s">
        <v>5483</v>
      </c>
      <c r="D217" s="215">
        <v>2600.0</v>
      </c>
      <c r="E217" s="244" t="s">
        <v>5279</v>
      </c>
      <c r="F217" s="233"/>
      <c r="G217" s="233"/>
      <c r="H217" s="233"/>
      <c r="I217" s="233"/>
      <c r="J217" s="233"/>
      <c r="K217" s="233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  <c r="X217" s="233"/>
      <c r="Y217" s="233"/>
      <c r="Z217" s="233"/>
    </row>
    <row r="218">
      <c r="A218" s="233"/>
      <c r="B218" s="245"/>
      <c r="C218" s="246" t="s">
        <v>5484</v>
      </c>
      <c r="D218" s="247">
        <v>1500.0</v>
      </c>
      <c r="E218" s="248" t="s">
        <v>5279</v>
      </c>
      <c r="F218" s="233"/>
      <c r="G218" s="233"/>
      <c r="H218" s="233"/>
      <c r="I218" s="233"/>
      <c r="J218" s="233"/>
      <c r="K218" s="233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  <c r="X218" s="233"/>
      <c r="Y218" s="233"/>
      <c r="Z218" s="233"/>
    </row>
    <row r="219">
      <c r="A219" s="233"/>
      <c r="B219" s="249"/>
      <c r="C219" s="99"/>
      <c r="D219" s="1"/>
      <c r="E219" s="1"/>
      <c r="F219" s="233"/>
      <c r="G219" s="233"/>
      <c r="H219" s="233"/>
      <c r="I219" s="233"/>
      <c r="J219" s="233"/>
      <c r="K219" s="233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3"/>
      <c r="Y219" s="233"/>
      <c r="Z219" s="233"/>
    </row>
    <row r="220">
      <c r="A220" s="233"/>
      <c r="B220" s="239" t="s">
        <v>125</v>
      </c>
      <c r="C220" s="240" t="s">
        <v>5485</v>
      </c>
      <c r="D220" s="241">
        <v>0.0</v>
      </c>
      <c r="E220" s="242" t="s">
        <v>5279</v>
      </c>
      <c r="F220" s="233"/>
      <c r="G220" s="233"/>
      <c r="H220" s="233"/>
      <c r="I220" s="233"/>
      <c r="J220" s="233"/>
      <c r="K220" s="233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  <c r="Z220" s="233"/>
    </row>
    <row r="221">
      <c r="A221" s="233"/>
      <c r="B221" s="243"/>
      <c r="C221" s="98" t="s">
        <v>5486</v>
      </c>
      <c r="D221" s="215">
        <v>2500.0</v>
      </c>
      <c r="E221" s="244" t="s">
        <v>5279</v>
      </c>
      <c r="F221" s="233"/>
      <c r="G221" s="233"/>
      <c r="H221" s="233"/>
      <c r="I221" s="233"/>
      <c r="J221" s="233"/>
      <c r="K221" s="233"/>
      <c r="L221" s="233"/>
      <c r="M221" s="233"/>
      <c r="N221" s="233"/>
      <c r="O221" s="233"/>
      <c r="P221" s="233"/>
      <c r="Q221" s="233"/>
      <c r="R221" s="233"/>
      <c r="S221" s="233"/>
      <c r="T221" s="233"/>
      <c r="U221" s="233"/>
      <c r="V221" s="233"/>
      <c r="W221" s="233"/>
      <c r="X221" s="233"/>
      <c r="Y221" s="233"/>
      <c r="Z221" s="233"/>
    </row>
    <row r="222">
      <c r="A222" s="233"/>
      <c r="B222" s="243"/>
      <c r="C222" s="98" t="s">
        <v>5487</v>
      </c>
      <c r="D222" s="215">
        <v>3000.0</v>
      </c>
      <c r="E222" s="244" t="s">
        <v>5279</v>
      </c>
      <c r="F222" s="233"/>
      <c r="G222" s="233"/>
      <c r="H222" s="233"/>
      <c r="I222" s="233"/>
      <c r="J222" s="233"/>
      <c r="K222" s="233"/>
      <c r="L222" s="233"/>
      <c r="M222" s="233"/>
      <c r="N222" s="233"/>
      <c r="O222" s="233"/>
      <c r="P222" s="233"/>
      <c r="Q222" s="233"/>
      <c r="R222" s="233"/>
      <c r="S222" s="233"/>
      <c r="T222" s="233"/>
      <c r="U222" s="233"/>
      <c r="V222" s="233"/>
      <c r="W222" s="233"/>
      <c r="X222" s="233"/>
      <c r="Y222" s="233"/>
      <c r="Z222" s="233"/>
    </row>
    <row r="223">
      <c r="A223" s="233"/>
      <c r="B223" s="243"/>
      <c r="C223" s="98" t="s">
        <v>5488</v>
      </c>
      <c r="D223" s="215">
        <v>2500.0</v>
      </c>
      <c r="E223" s="244" t="s">
        <v>5279</v>
      </c>
      <c r="F223" s="233"/>
      <c r="G223" s="233"/>
      <c r="H223" s="233"/>
      <c r="I223" s="233"/>
      <c r="J223" s="233"/>
      <c r="K223" s="233"/>
      <c r="L223" s="233"/>
      <c r="M223" s="233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3"/>
      <c r="Y223" s="233"/>
      <c r="Z223" s="233"/>
    </row>
    <row r="224">
      <c r="A224" s="233"/>
      <c r="B224" s="243"/>
      <c r="C224" s="98" t="s">
        <v>5489</v>
      </c>
      <c r="D224" s="215">
        <v>4000.0</v>
      </c>
      <c r="E224" s="244" t="s">
        <v>5279</v>
      </c>
      <c r="F224" s="233"/>
      <c r="G224" s="233"/>
      <c r="H224" s="233"/>
      <c r="I224" s="233"/>
      <c r="J224" s="233"/>
      <c r="K224" s="233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</row>
    <row r="225">
      <c r="A225" s="233"/>
      <c r="B225" s="243"/>
      <c r="C225" s="98" t="s">
        <v>5490</v>
      </c>
      <c r="D225" s="215">
        <v>2000.0</v>
      </c>
      <c r="E225" s="244" t="s">
        <v>5279</v>
      </c>
      <c r="F225" s="233"/>
      <c r="G225" s="233"/>
      <c r="H225" s="233"/>
      <c r="I225" s="233"/>
      <c r="J225" s="233"/>
      <c r="K225" s="233"/>
      <c r="L225" s="233"/>
      <c r="M225" s="233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</row>
    <row r="226">
      <c r="A226" s="233"/>
      <c r="B226" s="243"/>
      <c r="C226" s="98" t="s">
        <v>5491</v>
      </c>
      <c r="D226" s="215">
        <v>2400.0</v>
      </c>
      <c r="E226" s="244" t="s">
        <v>5279</v>
      </c>
      <c r="F226" s="233"/>
      <c r="G226" s="233"/>
      <c r="H226" s="233"/>
      <c r="I226" s="233"/>
      <c r="J226" s="233"/>
      <c r="K226" s="233"/>
      <c r="L226" s="233"/>
      <c r="M226" s="233"/>
      <c r="N226" s="233"/>
      <c r="O226" s="233"/>
      <c r="P226" s="233"/>
      <c r="Q226" s="233"/>
      <c r="R226" s="233"/>
      <c r="S226" s="233"/>
      <c r="T226" s="233"/>
      <c r="U226" s="233"/>
      <c r="V226" s="233"/>
      <c r="W226" s="233"/>
      <c r="X226" s="233"/>
      <c r="Y226" s="233"/>
      <c r="Z226" s="233"/>
    </row>
    <row r="227">
      <c r="A227" s="233"/>
      <c r="B227" s="243"/>
      <c r="C227" s="98" t="s">
        <v>5492</v>
      </c>
      <c r="D227" s="215">
        <v>2500.0</v>
      </c>
      <c r="E227" s="244" t="s">
        <v>5279</v>
      </c>
      <c r="F227" s="233"/>
      <c r="G227" s="233"/>
      <c r="H227" s="233"/>
      <c r="I227" s="233"/>
      <c r="J227" s="233"/>
      <c r="K227" s="233"/>
      <c r="L227" s="233"/>
      <c r="M227" s="233"/>
      <c r="N227" s="233"/>
      <c r="O227" s="233"/>
      <c r="P227" s="233"/>
      <c r="Q227" s="233"/>
      <c r="R227" s="233"/>
      <c r="S227" s="233"/>
      <c r="T227" s="233"/>
      <c r="U227" s="233"/>
      <c r="V227" s="233"/>
      <c r="W227" s="233"/>
      <c r="X227" s="233"/>
      <c r="Y227" s="233"/>
      <c r="Z227" s="233"/>
    </row>
    <row r="228">
      <c r="A228" s="233"/>
      <c r="B228" s="243"/>
      <c r="C228" s="98" t="s">
        <v>5493</v>
      </c>
      <c r="D228" s="215">
        <v>1800.0</v>
      </c>
      <c r="E228" s="244" t="s">
        <v>5279</v>
      </c>
      <c r="F228" s="233"/>
      <c r="G228" s="233"/>
      <c r="H228" s="233"/>
      <c r="I228" s="233"/>
      <c r="J228" s="233"/>
      <c r="K228" s="233"/>
      <c r="L228" s="233"/>
      <c r="M228" s="233"/>
      <c r="N228" s="233"/>
      <c r="O228" s="233"/>
      <c r="P228" s="233"/>
      <c r="Q228" s="233"/>
      <c r="R228" s="233"/>
      <c r="S228" s="233"/>
      <c r="T228" s="233"/>
      <c r="U228" s="233"/>
      <c r="V228" s="233"/>
      <c r="W228" s="233"/>
      <c r="X228" s="233"/>
      <c r="Y228" s="233"/>
      <c r="Z228" s="233"/>
    </row>
    <row r="229">
      <c r="A229" s="233"/>
      <c r="B229" s="243"/>
      <c r="C229" s="98" t="s">
        <v>5494</v>
      </c>
      <c r="D229" s="215">
        <v>2400.0</v>
      </c>
      <c r="E229" s="244" t="s">
        <v>5279</v>
      </c>
      <c r="F229" s="233"/>
      <c r="G229" s="233"/>
      <c r="H229" s="233"/>
      <c r="I229" s="233"/>
      <c r="J229" s="233"/>
      <c r="K229" s="233"/>
      <c r="L229" s="233"/>
      <c r="M229" s="233"/>
      <c r="N229" s="233"/>
      <c r="O229" s="233"/>
      <c r="P229" s="233"/>
      <c r="Q229" s="233"/>
      <c r="R229" s="233"/>
      <c r="S229" s="233"/>
      <c r="T229" s="233"/>
      <c r="U229" s="233"/>
      <c r="V229" s="233"/>
      <c r="W229" s="233"/>
      <c r="X229" s="233"/>
      <c r="Y229" s="233"/>
      <c r="Z229" s="233"/>
    </row>
    <row r="230">
      <c r="A230" s="233"/>
      <c r="B230" s="243"/>
      <c r="C230" s="98" t="s">
        <v>5495</v>
      </c>
      <c r="D230" s="215">
        <v>5000.0</v>
      </c>
      <c r="E230" s="244" t="s">
        <v>5279</v>
      </c>
      <c r="F230" s="233"/>
      <c r="G230" s="233"/>
      <c r="H230" s="233"/>
      <c r="I230" s="233"/>
      <c r="J230" s="233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</row>
    <row r="231">
      <c r="A231" s="233"/>
      <c r="B231" s="243"/>
      <c r="C231" s="98" t="s">
        <v>5496</v>
      </c>
      <c r="D231" s="215">
        <v>3500.0</v>
      </c>
      <c r="E231" s="244" t="s">
        <v>5279</v>
      </c>
      <c r="F231" s="233"/>
      <c r="G231" s="233"/>
      <c r="H231" s="233"/>
      <c r="I231" s="233"/>
      <c r="J231" s="233"/>
      <c r="K231" s="233"/>
      <c r="L231" s="233"/>
      <c r="M231" s="233"/>
      <c r="N231" s="233"/>
      <c r="O231" s="233"/>
      <c r="P231" s="233"/>
      <c r="Q231" s="233"/>
      <c r="R231" s="233"/>
      <c r="S231" s="233"/>
      <c r="T231" s="233"/>
      <c r="U231" s="233"/>
      <c r="V231" s="233"/>
      <c r="W231" s="233"/>
      <c r="X231" s="233"/>
      <c r="Y231" s="233"/>
      <c r="Z231" s="233"/>
    </row>
    <row r="232">
      <c r="A232" s="233"/>
      <c r="B232" s="245"/>
      <c r="C232" s="246" t="s">
        <v>5497</v>
      </c>
      <c r="D232" s="247">
        <v>1500.0</v>
      </c>
      <c r="E232" s="248" t="s">
        <v>5279</v>
      </c>
      <c r="F232" s="233"/>
      <c r="G232" s="233"/>
      <c r="H232" s="233"/>
      <c r="I232" s="233"/>
      <c r="J232" s="233"/>
      <c r="K232" s="233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33"/>
      <c r="W232" s="233"/>
      <c r="X232" s="233"/>
      <c r="Y232" s="233"/>
      <c r="Z232" s="233"/>
    </row>
    <row r="233">
      <c r="A233" s="233"/>
      <c r="B233" s="249"/>
      <c r="C233" s="99"/>
      <c r="D233" s="1"/>
      <c r="E233" s="1"/>
      <c r="F233" s="233"/>
      <c r="G233" s="233"/>
      <c r="H233" s="233"/>
      <c r="I233" s="233"/>
      <c r="J233" s="233"/>
      <c r="K233" s="233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33"/>
      <c r="W233" s="233"/>
      <c r="X233" s="233"/>
      <c r="Y233" s="233"/>
      <c r="Z233" s="233"/>
    </row>
    <row r="234">
      <c r="A234" s="233"/>
      <c r="B234" s="239" t="s">
        <v>132</v>
      </c>
      <c r="C234" s="240" t="s">
        <v>5498</v>
      </c>
      <c r="D234" s="241">
        <v>0.0</v>
      </c>
      <c r="E234" s="242" t="s">
        <v>5279</v>
      </c>
      <c r="F234" s="233"/>
      <c r="G234" s="233"/>
      <c r="H234" s="233"/>
      <c r="I234" s="233"/>
      <c r="J234" s="233"/>
      <c r="K234" s="233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3"/>
      <c r="Y234" s="233"/>
      <c r="Z234" s="233"/>
    </row>
    <row r="235">
      <c r="A235" s="233"/>
      <c r="B235" s="243"/>
      <c r="C235" s="98" t="s">
        <v>5499</v>
      </c>
      <c r="D235" s="215">
        <v>2500.0</v>
      </c>
      <c r="E235" s="244" t="s">
        <v>5279</v>
      </c>
      <c r="F235" s="233"/>
      <c r="G235" s="233"/>
      <c r="H235" s="233"/>
      <c r="I235" s="233"/>
      <c r="J235" s="233"/>
      <c r="K235" s="233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33"/>
      <c r="W235" s="233"/>
      <c r="X235" s="233"/>
      <c r="Y235" s="233"/>
      <c r="Z235" s="233"/>
    </row>
    <row r="236">
      <c r="A236" s="233"/>
      <c r="B236" s="243"/>
      <c r="C236" s="98" t="s">
        <v>5500</v>
      </c>
      <c r="D236" s="215">
        <v>3000.0</v>
      </c>
      <c r="E236" s="244" t="s">
        <v>5279</v>
      </c>
      <c r="F236" s="233"/>
      <c r="G236" s="233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33"/>
      <c r="W236" s="233"/>
      <c r="X236" s="233"/>
      <c r="Y236" s="233"/>
      <c r="Z236" s="233"/>
    </row>
    <row r="237">
      <c r="A237" s="233"/>
      <c r="B237" s="243"/>
      <c r="C237" s="98" t="s">
        <v>5501</v>
      </c>
      <c r="D237" s="215">
        <v>2500.0</v>
      </c>
      <c r="E237" s="244" t="s">
        <v>5279</v>
      </c>
      <c r="F237" s="233"/>
      <c r="G237" s="233"/>
      <c r="H237" s="233"/>
      <c r="I237" s="233"/>
      <c r="J237" s="233"/>
      <c r="K237" s="233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3"/>
      <c r="Y237" s="233"/>
      <c r="Z237" s="233"/>
    </row>
    <row r="238">
      <c r="A238" s="233"/>
      <c r="B238" s="243"/>
      <c r="C238" s="98" t="s">
        <v>5502</v>
      </c>
      <c r="D238" s="215">
        <v>4500.0</v>
      </c>
      <c r="E238" s="244" t="s">
        <v>5279</v>
      </c>
      <c r="F238" s="233"/>
      <c r="G238" s="233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</row>
    <row r="239">
      <c r="A239" s="233"/>
      <c r="B239" s="243"/>
      <c r="C239" s="98" t="s">
        <v>5503</v>
      </c>
      <c r="D239" s="215">
        <v>2200.0</v>
      </c>
      <c r="E239" s="244" t="s">
        <v>5279</v>
      </c>
      <c r="F239" s="233"/>
      <c r="G239" s="233"/>
      <c r="H239" s="233"/>
      <c r="I239" s="233"/>
      <c r="J239" s="233"/>
      <c r="K239" s="233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3"/>
      <c r="Y239" s="233"/>
      <c r="Z239" s="233"/>
    </row>
    <row r="240">
      <c r="A240" s="233"/>
      <c r="B240" s="243"/>
      <c r="C240" s="98" t="s">
        <v>5504</v>
      </c>
      <c r="D240" s="215">
        <v>2600.0</v>
      </c>
      <c r="E240" s="244" t="s">
        <v>5279</v>
      </c>
      <c r="F240" s="233"/>
      <c r="G240" s="233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3"/>
      <c r="Y240" s="233"/>
      <c r="Z240" s="233"/>
    </row>
    <row r="241">
      <c r="A241" s="233"/>
      <c r="B241" s="243"/>
      <c r="C241" s="98" t="s">
        <v>5505</v>
      </c>
      <c r="D241" s="215">
        <v>2600.0</v>
      </c>
      <c r="E241" s="244" t="s">
        <v>5279</v>
      </c>
      <c r="F241" s="233"/>
      <c r="G241" s="233"/>
      <c r="H241" s="233"/>
      <c r="I241" s="233"/>
      <c r="J241" s="233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  <c r="Z241" s="233"/>
    </row>
    <row r="242">
      <c r="A242" s="233"/>
      <c r="B242" s="243"/>
      <c r="C242" s="98" t="s">
        <v>5506</v>
      </c>
      <c r="D242" s="215">
        <v>2500.0</v>
      </c>
      <c r="E242" s="244" t="s">
        <v>5279</v>
      </c>
      <c r="F242" s="233"/>
      <c r="G242" s="233"/>
      <c r="H242" s="233"/>
      <c r="I242" s="233"/>
      <c r="J242" s="233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33"/>
      <c r="W242" s="233"/>
      <c r="X242" s="233"/>
      <c r="Y242" s="233"/>
      <c r="Z242" s="233"/>
    </row>
    <row r="243">
      <c r="A243" s="233"/>
      <c r="B243" s="243"/>
      <c r="C243" s="98" t="s">
        <v>5507</v>
      </c>
      <c r="D243" s="215">
        <v>2000.0</v>
      </c>
      <c r="E243" s="244" t="s">
        <v>5279</v>
      </c>
      <c r="F243" s="233"/>
      <c r="G243" s="233"/>
      <c r="H243" s="233"/>
      <c r="I243" s="233"/>
      <c r="J243" s="233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33"/>
      <c r="W243" s="233"/>
      <c r="X243" s="233"/>
      <c r="Y243" s="233"/>
      <c r="Z243" s="233"/>
    </row>
    <row r="244">
      <c r="A244" s="233"/>
      <c r="B244" s="243"/>
      <c r="C244" s="98" t="s">
        <v>5508</v>
      </c>
      <c r="D244" s="215">
        <v>3500.0</v>
      </c>
      <c r="E244" s="244" t="s">
        <v>5279</v>
      </c>
      <c r="F244" s="233"/>
      <c r="G244" s="233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33"/>
      <c r="W244" s="233"/>
      <c r="X244" s="233"/>
      <c r="Y244" s="233"/>
      <c r="Z244" s="233"/>
    </row>
    <row r="245">
      <c r="A245" s="233"/>
      <c r="B245" s="243"/>
      <c r="C245" s="98" t="s">
        <v>5509</v>
      </c>
      <c r="D245" s="215">
        <v>4500.0</v>
      </c>
      <c r="E245" s="244" t="s">
        <v>5279</v>
      </c>
      <c r="F245" s="233"/>
      <c r="G245" s="233"/>
      <c r="H245" s="233"/>
      <c r="I245" s="233"/>
      <c r="J245" s="233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33"/>
      <c r="W245" s="233"/>
      <c r="X245" s="233"/>
      <c r="Y245" s="233"/>
      <c r="Z245" s="233"/>
    </row>
    <row r="246">
      <c r="A246" s="233"/>
      <c r="B246" s="243"/>
      <c r="C246" s="98" t="s">
        <v>5510</v>
      </c>
      <c r="D246" s="215">
        <v>5000.0</v>
      </c>
      <c r="E246" s="244" t="s">
        <v>5279</v>
      </c>
      <c r="F246" s="233"/>
      <c r="G246" s="233"/>
      <c r="H246" s="233"/>
      <c r="I246" s="233"/>
      <c r="J246" s="233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  <c r="Z246" s="233"/>
    </row>
    <row r="247">
      <c r="A247" s="233"/>
      <c r="B247" s="243"/>
      <c r="C247" s="98" t="s">
        <v>5511</v>
      </c>
      <c r="D247" s="215">
        <v>4500.0</v>
      </c>
      <c r="E247" s="244" t="s">
        <v>5279</v>
      </c>
      <c r="F247" s="233"/>
      <c r="G247" s="233"/>
      <c r="H247" s="233"/>
      <c r="I247" s="233"/>
      <c r="J247" s="233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3"/>
      <c r="Y247" s="233"/>
      <c r="Z247" s="233"/>
    </row>
    <row r="248">
      <c r="A248" s="233"/>
      <c r="B248" s="245"/>
      <c r="C248" s="246" t="s">
        <v>5512</v>
      </c>
      <c r="D248" s="247">
        <v>1500.0</v>
      </c>
      <c r="E248" s="248" t="s">
        <v>5279</v>
      </c>
      <c r="F248" s="233"/>
      <c r="G248" s="233"/>
      <c r="H248" s="233"/>
      <c r="I248" s="233"/>
      <c r="J248" s="233"/>
      <c r="K248" s="233"/>
      <c r="L248" s="233"/>
      <c r="M248" s="233"/>
      <c r="N248" s="233"/>
      <c r="O248" s="233"/>
      <c r="P248" s="233"/>
      <c r="Q248" s="233"/>
      <c r="R248" s="233"/>
      <c r="S248" s="233"/>
      <c r="T248" s="233"/>
      <c r="U248" s="233"/>
      <c r="V248" s="233"/>
      <c r="W248" s="233"/>
      <c r="X248" s="233"/>
      <c r="Y248" s="233"/>
      <c r="Z248" s="233"/>
    </row>
    <row r="249">
      <c r="A249" s="233"/>
      <c r="B249" s="249"/>
      <c r="C249" s="99"/>
      <c r="D249" s="1"/>
      <c r="E249" s="1"/>
      <c r="F249" s="233"/>
      <c r="G249" s="233"/>
      <c r="H249" s="233"/>
      <c r="I249" s="233"/>
      <c r="J249" s="233"/>
      <c r="K249" s="233"/>
      <c r="L249" s="233"/>
      <c r="M249" s="233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3"/>
      <c r="Y249" s="233"/>
      <c r="Z249" s="233"/>
    </row>
    <row r="250">
      <c r="A250" s="233"/>
      <c r="B250" s="239" t="s">
        <v>139</v>
      </c>
      <c r="C250" s="240" t="s">
        <v>5513</v>
      </c>
      <c r="D250" s="241">
        <v>0.0</v>
      </c>
      <c r="E250" s="242" t="s">
        <v>5279</v>
      </c>
      <c r="F250" s="233"/>
      <c r="G250" s="233"/>
      <c r="H250" s="233"/>
      <c r="I250" s="233"/>
      <c r="J250" s="233"/>
      <c r="K250" s="233"/>
      <c r="L250" s="233"/>
      <c r="M250" s="233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3"/>
      <c r="Y250" s="233"/>
      <c r="Z250" s="233"/>
    </row>
    <row r="251">
      <c r="A251" s="233"/>
      <c r="B251" s="243"/>
      <c r="C251" s="98" t="s">
        <v>5514</v>
      </c>
      <c r="D251" s="215">
        <v>4000.0</v>
      </c>
      <c r="E251" s="244" t="s">
        <v>5279</v>
      </c>
      <c r="F251" s="233"/>
      <c r="G251" s="233"/>
      <c r="H251" s="233"/>
      <c r="I251" s="233"/>
      <c r="J251" s="233"/>
      <c r="K251" s="233"/>
      <c r="L251" s="233"/>
      <c r="M251" s="233"/>
      <c r="N251" s="233"/>
      <c r="O251" s="233"/>
      <c r="P251" s="233"/>
      <c r="Q251" s="233"/>
      <c r="R251" s="233"/>
      <c r="S251" s="233"/>
      <c r="T251" s="233"/>
      <c r="U251" s="233"/>
      <c r="V251" s="233"/>
      <c r="W251" s="233"/>
      <c r="X251" s="233"/>
      <c r="Y251" s="233"/>
      <c r="Z251" s="233"/>
    </row>
    <row r="252">
      <c r="A252" s="233"/>
      <c r="B252" s="243"/>
      <c r="C252" s="98" t="s">
        <v>5515</v>
      </c>
      <c r="D252" s="215">
        <v>3000.0</v>
      </c>
      <c r="E252" s="244" t="s">
        <v>5279</v>
      </c>
      <c r="F252" s="233"/>
      <c r="G252" s="233"/>
      <c r="H252" s="233"/>
      <c r="I252" s="233"/>
      <c r="J252" s="233"/>
      <c r="K252" s="233"/>
      <c r="L252" s="233"/>
      <c r="M252" s="233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3"/>
      <c r="Y252" s="233"/>
      <c r="Z252" s="233"/>
    </row>
    <row r="253">
      <c r="A253" s="233"/>
      <c r="B253" s="243"/>
      <c r="C253" s="98" t="s">
        <v>5516</v>
      </c>
      <c r="D253" s="215">
        <v>3500.0</v>
      </c>
      <c r="E253" s="244" t="s">
        <v>5279</v>
      </c>
      <c r="F253" s="233"/>
      <c r="G253" s="233"/>
      <c r="H253" s="233"/>
      <c r="I253" s="233"/>
      <c r="J253" s="233"/>
      <c r="K253" s="233"/>
      <c r="L253" s="233"/>
      <c r="M253" s="233"/>
      <c r="N253" s="233"/>
      <c r="O253" s="233"/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  <c r="Z253" s="233"/>
    </row>
    <row r="254">
      <c r="A254" s="233"/>
      <c r="B254" s="243"/>
      <c r="C254" s="98" t="s">
        <v>5517</v>
      </c>
      <c r="D254" s="215">
        <v>5000.0</v>
      </c>
      <c r="E254" s="244" t="s">
        <v>5279</v>
      </c>
      <c r="F254" s="233"/>
      <c r="G254" s="233"/>
      <c r="H254" s="233"/>
      <c r="I254" s="233"/>
      <c r="J254" s="233"/>
      <c r="K254" s="233"/>
      <c r="L254" s="233"/>
      <c r="M254" s="233"/>
      <c r="N254" s="233"/>
      <c r="O254" s="233"/>
      <c r="P254" s="233"/>
      <c r="Q254" s="233"/>
      <c r="R254" s="233"/>
      <c r="S254" s="233"/>
      <c r="T254" s="233"/>
      <c r="U254" s="233"/>
      <c r="V254" s="233"/>
      <c r="W254" s="233"/>
      <c r="X254" s="233"/>
      <c r="Y254" s="233"/>
      <c r="Z254" s="233"/>
    </row>
    <row r="255">
      <c r="A255" s="233"/>
      <c r="B255" s="243"/>
      <c r="C255" s="98" t="s">
        <v>5518</v>
      </c>
      <c r="D255" s="215">
        <v>2400.0</v>
      </c>
      <c r="E255" s="244" t="s">
        <v>5279</v>
      </c>
      <c r="F255" s="233"/>
      <c r="G255" s="233"/>
      <c r="H255" s="233"/>
      <c r="I255" s="233"/>
      <c r="J255" s="233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  <c r="Z255" s="233"/>
    </row>
    <row r="256">
      <c r="A256" s="233"/>
      <c r="B256" s="243"/>
      <c r="C256" s="98" t="s">
        <v>5519</v>
      </c>
      <c r="D256" s="215">
        <v>2600.0</v>
      </c>
      <c r="E256" s="244" t="s">
        <v>5279</v>
      </c>
      <c r="F256" s="233"/>
      <c r="G256" s="233"/>
      <c r="H256" s="233"/>
      <c r="I256" s="233"/>
      <c r="J256" s="233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</row>
    <row r="257">
      <c r="A257" s="233"/>
      <c r="B257" s="243"/>
      <c r="C257" s="98" t="s">
        <v>5520</v>
      </c>
      <c r="D257" s="215">
        <v>3000.0</v>
      </c>
      <c r="E257" s="244" t="s">
        <v>5279</v>
      </c>
      <c r="F257" s="233"/>
      <c r="G257" s="233"/>
      <c r="H257" s="233"/>
      <c r="I257" s="233"/>
      <c r="J257" s="233"/>
      <c r="K257" s="233"/>
      <c r="L257" s="233"/>
      <c r="M257" s="233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  <c r="Z257" s="233"/>
    </row>
    <row r="258">
      <c r="A258" s="233"/>
      <c r="B258" s="243"/>
      <c r="C258" s="98" t="s">
        <v>5521</v>
      </c>
      <c r="D258" s="215">
        <v>6000.0</v>
      </c>
      <c r="E258" s="244" t="s">
        <v>5279</v>
      </c>
      <c r="F258" s="233"/>
      <c r="G258" s="233"/>
      <c r="H258" s="233"/>
      <c r="I258" s="233"/>
      <c r="J258" s="233"/>
      <c r="K258" s="233"/>
      <c r="L258" s="233"/>
      <c r="M258" s="233"/>
      <c r="N258" s="233"/>
      <c r="O258" s="233"/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  <c r="Z258" s="233"/>
    </row>
    <row r="259">
      <c r="A259" s="233"/>
      <c r="B259" s="243"/>
      <c r="C259" s="98" t="s">
        <v>5522</v>
      </c>
      <c r="D259" s="215">
        <v>3500.0</v>
      </c>
      <c r="E259" s="244" t="s">
        <v>5279</v>
      </c>
      <c r="F259" s="233"/>
      <c r="G259" s="233"/>
      <c r="H259" s="233"/>
      <c r="I259" s="233"/>
      <c r="J259" s="233"/>
      <c r="K259" s="233"/>
      <c r="L259" s="233"/>
      <c r="M259" s="233"/>
      <c r="N259" s="233"/>
      <c r="O259" s="233"/>
      <c r="P259" s="233"/>
      <c r="Q259" s="233"/>
      <c r="R259" s="233"/>
      <c r="S259" s="233"/>
      <c r="T259" s="233"/>
      <c r="U259" s="233"/>
      <c r="V259" s="233"/>
      <c r="W259" s="233"/>
      <c r="X259" s="233"/>
      <c r="Y259" s="233"/>
      <c r="Z259" s="233"/>
    </row>
    <row r="260">
      <c r="A260" s="233"/>
      <c r="B260" s="243"/>
      <c r="C260" s="98" t="s">
        <v>5523</v>
      </c>
      <c r="D260" s="215">
        <v>2800.0</v>
      </c>
      <c r="E260" s="244" t="s">
        <v>5279</v>
      </c>
      <c r="F260" s="233"/>
      <c r="G260" s="233"/>
      <c r="H260" s="233"/>
      <c r="I260" s="233"/>
      <c r="J260" s="233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  <c r="Z260" s="233"/>
    </row>
    <row r="261">
      <c r="A261" s="233"/>
      <c r="B261" s="243"/>
      <c r="C261" s="98" t="s">
        <v>5524</v>
      </c>
      <c r="D261" s="215">
        <v>6000.0</v>
      </c>
      <c r="E261" s="244" t="s">
        <v>5279</v>
      </c>
      <c r="F261" s="233"/>
      <c r="G261" s="233"/>
      <c r="H261" s="233"/>
      <c r="I261" s="233"/>
      <c r="J261" s="233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</row>
    <row r="262">
      <c r="A262" s="233"/>
      <c r="B262" s="243"/>
      <c r="C262" s="98" t="s">
        <v>5525</v>
      </c>
      <c r="D262" s="215">
        <v>2500.0</v>
      </c>
      <c r="E262" s="244" t="s">
        <v>5279</v>
      </c>
      <c r="F262" s="233"/>
      <c r="G262" s="233"/>
      <c r="H262" s="233"/>
      <c r="I262" s="233"/>
      <c r="J262" s="233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</row>
    <row r="263">
      <c r="A263" s="233"/>
      <c r="B263" s="243"/>
      <c r="C263" s="98" t="s">
        <v>5522</v>
      </c>
      <c r="D263" s="215">
        <v>3000.0</v>
      </c>
      <c r="E263" s="244" t="s">
        <v>5279</v>
      </c>
      <c r="F263" s="233"/>
      <c r="G263" s="233"/>
      <c r="H263" s="233"/>
      <c r="I263" s="233"/>
      <c r="J263" s="233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</row>
    <row r="264">
      <c r="A264" s="233"/>
      <c r="B264" s="245"/>
      <c r="C264" s="246" t="s">
        <v>5526</v>
      </c>
      <c r="D264" s="247">
        <v>2000.0</v>
      </c>
      <c r="E264" s="248" t="s">
        <v>5279</v>
      </c>
      <c r="F264" s="233"/>
      <c r="G264" s="233"/>
      <c r="H264" s="233"/>
      <c r="I264" s="233"/>
      <c r="J264" s="233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</row>
    <row r="265">
      <c r="A265" s="233"/>
      <c r="B265" s="249"/>
      <c r="C265" s="99"/>
      <c r="D265" s="1"/>
      <c r="E265" s="1"/>
      <c r="F265" s="233"/>
      <c r="G265" s="233"/>
      <c r="H265" s="233"/>
      <c r="I265" s="233"/>
      <c r="J265" s="233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</row>
    <row r="266">
      <c r="A266" s="233"/>
      <c r="B266" s="239" t="s">
        <v>153</v>
      </c>
      <c r="C266" s="240" t="s">
        <v>5527</v>
      </c>
      <c r="D266" s="241">
        <v>0.0</v>
      </c>
      <c r="E266" s="242" t="s">
        <v>5279</v>
      </c>
      <c r="F266" s="233"/>
      <c r="G266" s="233"/>
      <c r="H266" s="233"/>
      <c r="I266" s="233"/>
      <c r="J266" s="233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</row>
    <row r="267">
      <c r="A267" s="233"/>
      <c r="B267" s="243"/>
      <c r="C267" s="98" t="s">
        <v>5528</v>
      </c>
      <c r="D267" s="215">
        <v>4000.0</v>
      </c>
      <c r="E267" s="244" t="s">
        <v>5279</v>
      </c>
      <c r="F267" s="233"/>
      <c r="G267" s="233"/>
      <c r="H267" s="233"/>
      <c r="I267" s="233"/>
      <c r="J267" s="233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</row>
    <row r="268">
      <c r="A268" s="233"/>
      <c r="B268" s="243"/>
      <c r="C268" s="98" t="s">
        <v>5529</v>
      </c>
      <c r="D268" s="215">
        <v>3500.0</v>
      </c>
      <c r="E268" s="244" t="s">
        <v>5279</v>
      </c>
      <c r="F268" s="233"/>
      <c r="G268" s="233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</row>
    <row r="269">
      <c r="A269" s="233"/>
      <c r="B269" s="243"/>
      <c r="C269" s="98" t="s">
        <v>5530</v>
      </c>
      <c r="D269" s="215">
        <v>6000.0</v>
      </c>
      <c r="E269" s="244" t="s">
        <v>5279</v>
      </c>
      <c r="F269" s="233"/>
      <c r="G269" s="233"/>
      <c r="H269" s="233"/>
      <c r="I269" s="233"/>
      <c r="J269" s="233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</row>
    <row r="270">
      <c r="A270" s="233"/>
      <c r="B270" s="243"/>
      <c r="C270" s="98" t="s">
        <v>5531</v>
      </c>
      <c r="D270" s="215">
        <v>3000.0</v>
      </c>
      <c r="E270" s="244" t="s">
        <v>5279</v>
      </c>
      <c r="F270" s="233"/>
      <c r="G270" s="233"/>
      <c r="H270" s="233"/>
      <c r="I270" s="233"/>
      <c r="J270" s="233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</row>
    <row r="271">
      <c r="A271" s="233"/>
      <c r="B271" s="243"/>
      <c r="C271" s="98" t="s">
        <v>5532</v>
      </c>
      <c r="D271" s="215">
        <v>3500.0</v>
      </c>
      <c r="E271" s="244" t="s">
        <v>5279</v>
      </c>
      <c r="F271" s="233"/>
      <c r="G271" s="233"/>
      <c r="H271" s="233"/>
      <c r="I271" s="233"/>
      <c r="J271" s="233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</row>
    <row r="272">
      <c r="A272" s="233"/>
      <c r="B272" s="243"/>
      <c r="C272" s="98" t="s">
        <v>5533</v>
      </c>
      <c r="D272" s="215">
        <v>2000.0</v>
      </c>
      <c r="E272" s="244" t="s">
        <v>5279</v>
      </c>
      <c r="F272" s="233"/>
      <c r="G272" s="233"/>
      <c r="H272" s="233"/>
      <c r="I272" s="233"/>
      <c r="J272" s="233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</row>
    <row r="273">
      <c r="A273" s="233"/>
      <c r="B273" s="243"/>
      <c r="C273" s="98" t="s">
        <v>5534</v>
      </c>
      <c r="D273" s="215">
        <v>3500.0</v>
      </c>
      <c r="E273" s="244" t="s">
        <v>5279</v>
      </c>
      <c r="F273" s="233"/>
      <c r="G273" s="233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  <c r="Z273" s="233"/>
    </row>
    <row r="274">
      <c r="A274" s="233"/>
      <c r="B274" s="243"/>
      <c r="C274" s="98" t="s">
        <v>5535</v>
      </c>
      <c r="D274" s="215">
        <v>6500.0</v>
      </c>
      <c r="E274" s="244" t="s">
        <v>5279</v>
      </c>
      <c r="F274" s="233"/>
      <c r="G274" s="233"/>
      <c r="H274" s="233"/>
      <c r="I274" s="233"/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  <c r="Z274" s="233"/>
    </row>
    <row r="275">
      <c r="A275" s="233"/>
      <c r="B275" s="243"/>
      <c r="C275" s="98" t="s">
        <v>5536</v>
      </c>
      <c r="D275" s="215">
        <v>3500.0</v>
      </c>
      <c r="E275" s="244" t="s">
        <v>5279</v>
      </c>
      <c r="F275" s="233"/>
      <c r="G275" s="233"/>
      <c r="H275" s="233"/>
      <c r="I275" s="233"/>
      <c r="J275" s="233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  <c r="Z275" s="233"/>
    </row>
    <row r="276">
      <c r="A276" s="233"/>
      <c r="B276" s="245"/>
      <c r="C276" s="246" t="s">
        <v>5537</v>
      </c>
      <c r="D276" s="247">
        <v>5000.0</v>
      </c>
      <c r="E276" s="248" t="s">
        <v>5279</v>
      </c>
      <c r="F276" s="233"/>
      <c r="G276" s="233"/>
      <c r="H276" s="233"/>
      <c r="I276" s="233"/>
      <c r="J276" s="233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  <c r="Z276" s="233"/>
    </row>
    <row r="277">
      <c r="A277" s="233"/>
      <c r="B277" s="249"/>
      <c r="C277" s="99"/>
      <c r="D277" s="1"/>
      <c r="E277" s="1"/>
      <c r="F277" s="233"/>
      <c r="G277" s="233"/>
      <c r="H277" s="233"/>
      <c r="I277" s="233"/>
      <c r="J277" s="233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  <c r="Z277" s="233"/>
    </row>
    <row r="278">
      <c r="A278" s="233"/>
      <c r="B278" s="239" t="s">
        <v>159</v>
      </c>
      <c r="C278" s="240" t="s">
        <v>5538</v>
      </c>
      <c r="D278" s="241">
        <v>0.0</v>
      </c>
      <c r="E278" s="242" t="s">
        <v>5279</v>
      </c>
      <c r="F278" s="233"/>
      <c r="G278" s="233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  <c r="Z278" s="233"/>
    </row>
    <row r="279">
      <c r="A279" s="233"/>
      <c r="B279" s="243"/>
      <c r="C279" s="98" t="s">
        <v>5539</v>
      </c>
      <c r="D279" s="215">
        <v>4500.0</v>
      </c>
      <c r="E279" s="244" t="s">
        <v>5279</v>
      </c>
      <c r="F279" s="233"/>
      <c r="G279" s="233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</row>
    <row r="280">
      <c r="A280" s="233"/>
      <c r="B280" s="243"/>
      <c r="C280" s="98" t="s">
        <v>5540</v>
      </c>
      <c r="D280" s="215">
        <v>5500.0</v>
      </c>
      <c r="E280" s="244" t="s">
        <v>5279</v>
      </c>
      <c r="F280" s="233"/>
      <c r="G280" s="233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</row>
    <row r="281">
      <c r="A281" s="233"/>
      <c r="B281" s="243"/>
      <c r="C281" s="98" t="s">
        <v>5541</v>
      </c>
      <c r="D281" s="215">
        <v>4500.0</v>
      </c>
      <c r="E281" s="244" t="s">
        <v>5279</v>
      </c>
      <c r="F281" s="233"/>
      <c r="G281" s="233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</row>
    <row r="282">
      <c r="A282" s="233"/>
      <c r="B282" s="243"/>
      <c r="C282" s="98" t="s">
        <v>5542</v>
      </c>
      <c r="D282" s="215">
        <v>3000.0</v>
      </c>
      <c r="E282" s="244" t="s">
        <v>5279</v>
      </c>
      <c r="F282" s="233"/>
      <c r="G282" s="233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</row>
    <row r="283">
      <c r="A283" s="233"/>
      <c r="B283" s="243"/>
      <c r="C283" s="98" t="s">
        <v>5543</v>
      </c>
      <c r="D283" s="215">
        <v>3500.0</v>
      </c>
      <c r="E283" s="244" t="s">
        <v>5279</v>
      </c>
      <c r="F283" s="233"/>
      <c r="G283" s="233"/>
      <c r="H283" s="233"/>
      <c r="I283" s="233"/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</row>
    <row r="284">
      <c r="A284" s="233"/>
      <c r="B284" s="243"/>
      <c r="C284" s="98" t="s">
        <v>5544</v>
      </c>
      <c r="D284" s="215">
        <v>6500.0</v>
      </c>
      <c r="E284" s="244" t="s">
        <v>5279</v>
      </c>
      <c r="F284" s="233"/>
      <c r="G284" s="233"/>
      <c r="H284" s="233"/>
      <c r="I284" s="233"/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</row>
    <row r="285">
      <c r="A285" s="233"/>
      <c r="B285" s="243"/>
      <c r="C285" s="98" t="s">
        <v>5545</v>
      </c>
      <c r="D285" s="215">
        <v>4000.0</v>
      </c>
      <c r="E285" s="244" t="s">
        <v>5279</v>
      </c>
      <c r="F285" s="233"/>
      <c r="G285" s="233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</row>
    <row r="286">
      <c r="A286" s="233"/>
      <c r="B286" s="243"/>
      <c r="C286" s="98" t="s">
        <v>5546</v>
      </c>
      <c r="D286" s="215">
        <v>3500.0</v>
      </c>
      <c r="E286" s="244" t="s">
        <v>5279</v>
      </c>
      <c r="F286" s="233"/>
      <c r="G286" s="233"/>
      <c r="H286" s="233"/>
      <c r="I286" s="233"/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</row>
    <row r="287">
      <c r="A287" s="233"/>
      <c r="B287" s="243"/>
      <c r="C287" s="98" t="s">
        <v>5547</v>
      </c>
      <c r="D287" s="215">
        <v>6000.0</v>
      </c>
      <c r="E287" s="244" t="s">
        <v>5279</v>
      </c>
      <c r="F287" s="233"/>
      <c r="G287" s="233"/>
      <c r="H287" s="233"/>
      <c r="I287" s="233"/>
      <c r="J287" s="233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</row>
    <row r="288">
      <c r="A288" s="233"/>
      <c r="B288" s="243"/>
      <c r="C288" s="98" t="s">
        <v>5548</v>
      </c>
      <c r="D288" s="215">
        <v>5000.0</v>
      </c>
      <c r="E288" s="244" t="s">
        <v>5279</v>
      </c>
      <c r="F288" s="233"/>
      <c r="G288" s="233"/>
      <c r="H288" s="233"/>
      <c r="I288" s="233"/>
      <c r="J288" s="233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</row>
    <row r="289">
      <c r="A289" s="233"/>
      <c r="B289" s="243"/>
      <c r="C289" s="98" t="s">
        <v>5549</v>
      </c>
      <c r="D289" s="215">
        <v>2000.0</v>
      </c>
      <c r="E289" s="244" t="s">
        <v>5279</v>
      </c>
      <c r="F289" s="233"/>
      <c r="G289" s="233"/>
      <c r="H289" s="233"/>
      <c r="I289" s="233"/>
      <c r="J289" s="233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</row>
    <row r="290">
      <c r="A290" s="233"/>
      <c r="B290" s="243"/>
      <c r="C290" s="98" t="s">
        <v>5550</v>
      </c>
      <c r="D290" s="215">
        <v>6500.0</v>
      </c>
      <c r="E290" s="244" t="s">
        <v>5279</v>
      </c>
      <c r="F290" s="233"/>
      <c r="G290" s="233"/>
      <c r="H290" s="233"/>
      <c r="I290" s="233"/>
      <c r="J290" s="233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</row>
    <row r="291">
      <c r="A291" s="233"/>
      <c r="B291" s="243"/>
      <c r="C291" s="98" t="s">
        <v>5551</v>
      </c>
      <c r="D291" s="215">
        <v>3500.0</v>
      </c>
      <c r="E291" s="244" t="s">
        <v>5279</v>
      </c>
      <c r="F291" s="233"/>
      <c r="G291" s="233"/>
      <c r="H291" s="233"/>
      <c r="I291" s="233"/>
      <c r="J291" s="233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</row>
    <row r="292">
      <c r="A292" s="233"/>
      <c r="B292" s="245"/>
      <c r="C292" s="246" t="s">
        <v>5552</v>
      </c>
      <c r="D292" s="247">
        <v>3000.0</v>
      </c>
      <c r="E292" s="248" t="s">
        <v>5279</v>
      </c>
      <c r="F292" s="233"/>
      <c r="G292" s="233"/>
      <c r="H292" s="233"/>
      <c r="I292" s="233"/>
      <c r="J292" s="233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</row>
    <row r="293">
      <c r="A293" s="233"/>
      <c r="B293" s="249"/>
      <c r="C293" s="99"/>
      <c r="D293" s="1"/>
      <c r="E293" s="1"/>
      <c r="F293" s="233"/>
      <c r="G293" s="233"/>
      <c r="H293" s="233"/>
      <c r="I293" s="233"/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</row>
    <row r="294">
      <c r="A294" s="233"/>
      <c r="B294" s="239" t="s">
        <v>167</v>
      </c>
      <c r="C294" s="240" t="s">
        <v>5553</v>
      </c>
      <c r="D294" s="241">
        <v>0.0</v>
      </c>
      <c r="E294" s="242" t="s">
        <v>5279</v>
      </c>
      <c r="F294" s="233"/>
      <c r="G294" s="233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</row>
    <row r="295">
      <c r="A295" s="233"/>
      <c r="B295" s="243"/>
      <c r="C295" s="98" t="s">
        <v>5554</v>
      </c>
      <c r="D295" s="215">
        <v>6500.0</v>
      </c>
      <c r="E295" s="244" t="s">
        <v>5279</v>
      </c>
      <c r="F295" s="233"/>
      <c r="G295" s="233"/>
      <c r="H295" s="233"/>
      <c r="I295" s="233"/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</row>
    <row r="296">
      <c r="A296" s="233"/>
      <c r="B296" s="243"/>
      <c r="C296" s="98" t="s">
        <v>5555</v>
      </c>
      <c r="D296" s="215">
        <v>4500.0</v>
      </c>
      <c r="E296" s="244" t="s">
        <v>5279</v>
      </c>
      <c r="F296" s="233"/>
      <c r="G296" s="233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</row>
    <row r="297">
      <c r="A297" s="233"/>
      <c r="B297" s="243"/>
      <c r="C297" s="98" t="s">
        <v>5556</v>
      </c>
      <c r="D297" s="215">
        <v>5000.0</v>
      </c>
      <c r="E297" s="244" t="s">
        <v>5279</v>
      </c>
      <c r="F297" s="233"/>
      <c r="G297" s="233"/>
      <c r="H297" s="233"/>
      <c r="I297" s="233"/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</row>
    <row r="298">
      <c r="A298" s="233"/>
      <c r="B298" s="243"/>
      <c r="C298" s="98" t="s">
        <v>5557</v>
      </c>
      <c r="D298" s="215">
        <v>4500.0</v>
      </c>
      <c r="E298" s="244" t="s">
        <v>5279</v>
      </c>
      <c r="F298" s="233"/>
      <c r="G298" s="233"/>
      <c r="H298" s="233"/>
      <c r="I298" s="233"/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</row>
    <row r="299">
      <c r="A299" s="233"/>
      <c r="B299" s="243"/>
      <c r="C299" s="98" t="s">
        <v>5558</v>
      </c>
      <c r="D299" s="215">
        <v>6000.0</v>
      </c>
      <c r="E299" s="244" t="s">
        <v>5279</v>
      </c>
      <c r="F299" s="233"/>
      <c r="G299" s="233"/>
      <c r="H299" s="233"/>
      <c r="I299" s="233"/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</row>
    <row r="300">
      <c r="A300" s="233"/>
      <c r="B300" s="243"/>
      <c r="C300" s="98" t="s">
        <v>5559</v>
      </c>
      <c r="D300" s="215">
        <v>3000.0</v>
      </c>
      <c r="E300" s="244" t="s">
        <v>5279</v>
      </c>
      <c r="F300" s="233"/>
      <c r="G300" s="233"/>
      <c r="H300" s="233"/>
      <c r="I300" s="233"/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</row>
    <row r="301">
      <c r="A301" s="233"/>
      <c r="B301" s="243"/>
      <c r="C301" s="98" t="s">
        <v>5560</v>
      </c>
      <c r="D301" s="215">
        <v>3500.0</v>
      </c>
      <c r="E301" s="244" t="s">
        <v>5279</v>
      </c>
      <c r="F301" s="233"/>
      <c r="G301" s="233"/>
      <c r="H301" s="233"/>
      <c r="I301" s="233"/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</row>
    <row r="302">
      <c r="A302" s="233"/>
      <c r="B302" s="243"/>
      <c r="C302" s="98" t="s">
        <v>5561</v>
      </c>
      <c r="D302" s="215">
        <v>3500.0</v>
      </c>
      <c r="E302" s="244" t="s">
        <v>5279</v>
      </c>
      <c r="F302" s="233"/>
      <c r="G302" s="233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</row>
    <row r="303">
      <c r="A303" s="233"/>
      <c r="B303" s="243"/>
      <c r="C303" s="98" t="s">
        <v>5562</v>
      </c>
      <c r="D303" s="215">
        <v>2000.0</v>
      </c>
      <c r="E303" s="244" t="s">
        <v>5279</v>
      </c>
      <c r="F303" s="233"/>
      <c r="G303" s="233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</row>
    <row r="304">
      <c r="A304" s="233"/>
      <c r="B304" s="243"/>
      <c r="C304" s="98" t="s">
        <v>5563</v>
      </c>
      <c r="D304" s="215">
        <v>7000.0</v>
      </c>
      <c r="E304" s="244" t="s">
        <v>5279</v>
      </c>
      <c r="F304" s="233"/>
      <c r="G304" s="233"/>
      <c r="H304" s="233"/>
      <c r="I304" s="233"/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</row>
    <row r="305">
      <c r="A305" s="233"/>
      <c r="B305" s="243"/>
      <c r="C305" s="98" t="s">
        <v>5564</v>
      </c>
      <c r="D305" s="215">
        <v>4500.0</v>
      </c>
      <c r="E305" s="244" t="s">
        <v>5279</v>
      </c>
      <c r="F305" s="233"/>
      <c r="G305" s="233"/>
      <c r="H305" s="233"/>
      <c r="I305" s="233"/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</row>
    <row r="306">
      <c r="A306" s="233"/>
      <c r="B306" s="245"/>
      <c r="C306" s="246" t="s">
        <v>5565</v>
      </c>
      <c r="D306" s="247">
        <v>3500.0</v>
      </c>
      <c r="E306" s="248" t="s">
        <v>5279</v>
      </c>
      <c r="F306" s="233"/>
      <c r="G306" s="233"/>
      <c r="H306" s="233"/>
      <c r="I306" s="233"/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</row>
    <row r="307">
      <c r="A307" s="233"/>
      <c r="B307" s="249"/>
      <c r="C307" s="99"/>
      <c r="D307" s="1"/>
      <c r="E307" s="1"/>
      <c r="F307" s="233"/>
      <c r="G307" s="233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</row>
    <row r="308">
      <c r="A308" s="233"/>
      <c r="B308" s="239" t="s">
        <v>175</v>
      </c>
      <c r="C308" s="240" t="s">
        <v>5566</v>
      </c>
      <c r="D308" s="241">
        <v>0.0</v>
      </c>
      <c r="E308" s="242" t="s">
        <v>5279</v>
      </c>
      <c r="F308" s="233"/>
      <c r="G308" s="233"/>
      <c r="H308" s="233"/>
      <c r="I308" s="233"/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</row>
    <row r="309">
      <c r="A309" s="233"/>
      <c r="B309" s="243"/>
      <c r="C309" s="98" t="s">
        <v>5567</v>
      </c>
      <c r="D309" s="215">
        <v>9000.0</v>
      </c>
      <c r="E309" s="244" t="s">
        <v>5279</v>
      </c>
      <c r="F309" s="233"/>
      <c r="G309" s="233"/>
      <c r="H309" s="233"/>
      <c r="I309" s="233"/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</row>
    <row r="310">
      <c r="A310" s="233"/>
      <c r="B310" s="243"/>
      <c r="C310" s="98" t="s">
        <v>5568</v>
      </c>
      <c r="D310" s="215">
        <v>6000.0</v>
      </c>
      <c r="E310" s="244" t="s">
        <v>5279</v>
      </c>
      <c r="F310" s="233"/>
      <c r="G310" s="233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</row>
    <row r="311">
      <c r="A311" s="233"/>
      <c r="B311" s="243"/>
      <c r="C311" s="98" t="s">
        <v>5569</v>
      </c>
      <c r="D311" s="215">
        <v>6000.0</v>
      </c>
      <c r="E311" s="244" t="s">
        <v>5279</v>
      </c>
      <c r="F311" s="233"/>
      <c r="G311" s="233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</row>
    <row r="312">
      <c r="A312" s="233"/>
      <c r="B312" s="243"/>
      <c r="C312" s="98" t="s">
        <v>5570</v>
      </c>
      <c r="D312" s="215">
        <v>5000.0</v>
      </c>
      <c r="E312" s="244" t="s">
        <v>5279</v>
      </c>
      <c r="F312" s="233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</row>
    <row r="313">
      <c r="A313" s="233"/>
      <c r="B313" s="243"/>
      <c r="C313" s="98" t="s">
        <v>5571</v>
      </c>
      <c r="D313" s="215">
        <v>7000.0</v>
      </c>
      <c r="E313" s="244" t="s">
        <v>5279</v>
      </c>
      <c r="F313" s="233"/>
      <c r="G313" s="233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</row>
    <row r="314">
      <c r="A314" s="233"/>
      <c r="B314" s="243"/>
      <c r="C314" s="98" t="s">
        <v>5572</v>
      </c>
      <c r="D314" s="215">
        <v>3500.0</v>
      </c>
      <c r="E314" s="244" t="s">
        <v>5279</v>
      </c>
      <c r="F314" s="233"/>
      <c r="G314" s="233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</row>
    <row r="315">
      <c r="A315" s="233"/>
      <c r="B315" s="243"/>
      <c r="C315" s="98" t="s">
        <v>5573</v>
      </c>
      <c r="D315" s="215">
        <v>4000.0</v>
      </c>
      <c r="E315" s="244" t="s">
        <v>5279</v>
      </c>
      <c r="F315" s="233"/>
      <c r="G315" s="233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</row>
    <row r="316">
      <c r="A316" s="233"/>
      <c r="B316" s="243"/>
      <c r="C316" s="98" t="s">
        <v>5574</v>
      </c>
      <c r="D316" s="215">
        <v>4000.0</v>
      </c>
      <c r="E316" s="244" t="s">
        <v>5279</v>
      </c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</row>
    <row r="317">
      <c r="A317" s="233"/>
      <c r="B317" s="243"/>
      <c r="C317" s="98" t="s">
        <v>5575</v>
      </c>
      <c r="D317" s="215">
        <v>2000.0</v>
      </c>
      <c r="E317" s="244" t="s">
        <v>5279</v>
      </c>
      <c r="F317" s="233"/>
      <c r="G317" s="233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</row>
    <row r="318">
      <c r="A318" s="233"/>
      <c r="B318" s="243"/>
      <c r="C318" s="98" t="s">
        <v>5576</v>
      </c>
      <c r="D318" s="215">
        <v>5000.0</v>
      </c>
      <c r="E318" s="244" t="s">
        <v>5279</v>
      </c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</row>
    <row r="319">
      <c r="A319" s="233"/>
      <c r="B319" s="243"/>
      <c r="C319" s="98" t="s">
        <v>5577</v>
      </c>
      <c r="D319" s="215">
        <v>7500.0</v>
      </c>
      <c r="E319" s="244" t="s">
        <v>5279</v>
      </c>
      <c r="F319" s="233"/>
      <c r="G319" s="233"/>
      <c r="H319" s="233"/>
      <c r="I319" s="233"/>
      <c r="J319" s="233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</row>
    <row r="320">
      <c r="A320" s="233"/>
      <c r="B320" s="245"/>
      <c r="C320" s="246" t="s">
        <v>5578</v>
      </c>
      <c r="D320" s="247">
        <v>4000.0</v>
      </c>
      <c r="E320" s="248" t="s">
        <v>5279</v>
      </c>
      <c r="F320" s="233"/>
      <c r="G320" s="233"/>
      <c r="H320" s="233"/>
      <c r="I320" s="233"/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</row>
    <row r="321">
      <c r="A321" s="233"/>
      <c r="B321" s="249"/>
      <c r="C321" s="99"/>
      <c r="D321" s="1"/>
      <c r="E321" s="1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</row>
    <row r="322">
      <c r="A322" s="233"/>
      <c r="B322" s="239" t="s">
        <v>183</v>
      </c>
      <c r="C322" s="240" t="s">
        <v>5579</v>
      </c>
      <c r="D322" s="241">
        <v>0.0</v>
      </c>
      <c r="E322" s="242" t="s">
        <v>5279</v>
      </c>
      <c r="F322" s="233"/>
      <c r="G322" s="233"/>
      <c r="H322" s="233"/>
      <c r="I322" s="233"/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</row>
    <row r="323">
      <c r="A323" s="233"/>
      <c r="B323" s="243"/>
      <c r="C323" s="98" t="s">
        <v>5580</v>
      </c>
      <c r="D323" s="215">
        <v>5500.0</v>
      </c>
      <c r="E323" s="244" t="s">
        <v>5279</v>
      </c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</row>
    <row r="324">
      <c r="A324" s="233"/>
      <c r="B324" s="243"/>
      <c r="C324" s="98" t="s">
        <v>5581</v>
      </c>
      <c r="D324" s="215">
        <v>4000.0</v>
      </c>
      <c r="E324" s="244" t="s">
        <v>5279</v>
      </c>
      <c r="F324" s="233"/>
      <c r="G324" s="233"/>
      <c r="H324" s="233"/>
      <c r="I324" s="233"/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</row>
    <row r="325">
      <c r="A325" s="233"/>
      <c r="B325" s="243"/>
      <c r="C325" s="98" t="s">
        <v>5582</v>
      </c>
      <c r="D325" s="215">
        <v>6000.0</v>
      </c>
      <c r="E325" s="244" t="s">
        <v>5279</v>
      </c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</row>
    <row r="326">
      <c r="A326" s="233"/>
      <c r="B326" s="243"/>
      <c r="C326" s="98" t="s">
        <v>5583</v>
      </c>
      <c r="D326" s="215">
        <v>4500.0</v>
      </c>
      <c r="E326" s="244" t="s">
        <v>5279</v>
      </c>
      <c r="F326" s="233"/>
      <c r="G326" s="233"/>
      <c r="H326" s="233"/>
      <c r="I326" s="233"/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</row>
    <row r="327">
      <c r="A327" s="233"/>
      <c r="B327" s="243"/>
      <c r="C327" s="98" t="s">
        <v>5584</v>
      </c>
      <c r="D327" s="215">
        <v>4500.0</v>
      </c>
      <c r="E327" s="244" t="s">
        <v>5279</v>
      </c>
      <c r="F327" s="233"/>
      <c r="G327" s="233"/>
      <c r="H327" s="233"/>
      <c r="I327" s="233"/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</row>
    <row r="328">
      <c r="A328" s="233"/>
      <c r="B328" s="243"/>
      <c r="C328" s="98" t="s">
        <v>5585</v>
      </c>
      <c r="D328" s="215">
        <v>2000.0</v>
      </c>
      <c r="E328" s="244" t="s">
        <v>5279</v>
      </c>
      <c r="F328" s="233"/>
      <c r="G328" s="233"/>
      <c r="H328" s="233"/>
      <c r="I328" s="233"/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</row>
    <row r="329">
      <c r="A329" s="233"/>
      <c r="B329" s="243"/>
      <c r="C329" s="98" t="s">
        <v>5586</v>
      </c>
      <c r="D329" s="215">
        <v>3000.0</v>
      </c>
      <c r="E329" s="244" t="s">
        <v>5279</v>
      </c>
      <c r="F329" s="233"/>
      <c r="G329" s="233"/>
      <c r="H329" s="233"/>
      <c r="I329" s="233"/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</row>
    <row r="330">
      <c r="A330" s="233"/>
      <c r="B330" s="243"/>
      <c r="C330" s="98" t="s">
        <v>5587</v>
      </c>
      <c r="D330" s="215">
        <v>3500.0</v>
      </c>
      <c r="E330" s="244" t="s">
        <v>5279</v>
      </c>
      <c r="F330" s="233"/>
      <c r="G330" s="233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</row>
    <row r="331">
      <c r="A331" s="233"/>
      <c r="B331" s="243"/>
      <c r="C331" s="98" t="s">
        <v>5588</v>
      </c>
      <c r="D331" s="215">
        <v>7500.0</v>
      </c>
      <c r="E331" s="244" t="s">
        <v>5279</v>
      </c>
      <c r="F331" s="233"/>
      <c r="G331" s="233"/>
      <c r="H331" s="233"/>
      <c r="I331" s="233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</row>
    <row r="332">
      <c r="A332" s="233"/>
      <c r="B332" s="243"/>
      <c r="C332" s="98" t="s">
        <v>5589</v>
      </c>
      <c r="D332" s="215">
        <v>3500.0</v>
      </c>
      <c r="E332" s="244" t="s">
        <v>5279</v>
      </c>
      <c r="F332" s="233"/>
      <c r="G332" s="233"/>
      <c r="H332" s="233"/>
      <c r="I332" s="233"/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</row>
    <row r="333">
      <c r="A333" s="233"/>
      <c r="B333" s="243"/>
      <c r="C333" s="98" t="s">
        <v>5590</v>
      </c>
      <c r="D333" s="215">
        <v>3500.0</v>
      </c>
      <c r="E333" s="244" t="s">
        <v>5279</v>
      </c>
      <c r="F333" s="233"/>
      <c r="G333" s="233"/>
      <c r="H333" s="233"/>
      <c r="I333" s="233"/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</row>
    <row r="334">
      <c r="A334" s="233"/>
      <c r="B334" s="245"/>
      <c r="C334" s="246" t="s">
        <v>5591</v>
      </c>
      <c r="D334" s="247">
        <v>6000.0</v>
      </c>
      <c r="E334" s="248" t="s">
        <v>5279</v>
      </c>
      <c r="F334" s="233"/>
      <c r="G334" s="233"/>
      <c r="H334" s="233"/>
      <c r="I334" s="233"/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</row>
    <row r="335">
      <c r="A335" s="233"/>
      <c r="B335" s="249"/>
      <c r="C335" s="99"/>
      <c r="D335" s="1"/>
      <c r="E335" s="1"/>
      <c r="F335" s="233"/>
      <c r="G335" s="233"/>
      <c r="H335" s="233"/>
      <c r="I335" s="233"/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</row>
    <row r="336">
      <c r="A336" s="233"/>
      <c r="B336" s="239" t="s">
        <v>185</v>
      </c>
      <c r="C336" s="240" t="s">
        <v>5592</v>
      </c>
      <c r="D336" s="241">
        <v>0.0</v>
      </c>
      <c r="E336" s="242" t="s">
        <v>5279</v>
      </c>
      <c r="F336" s="233"/>
      <c r="G336" s="233"/>
      <c r="H336" s="233"/>
      <c r="I336" s="233"/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</row>
    <row r="337">
      <c r="A337" s="233"/>
      <c r="B337" s="243"/>
      <c r="C337" s="98" t="s">
        <v>5593</v>
      </c>
      <c r="D337" s="215">
        <v>9000.0</v>
      </c>
      <c r="E337" s="244" t="s">
        <v>5279</v>
      </c>
      <c r="F337" s="233"/>
      <c r="G337" s="233"/>
      <c r="H337" s="233"/>
      <c r="I337" s="233"/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</row>
    <row r="338">
      <c r="A338" s="233"/>
      <c r="B338" s="243"/>
      <c r="C338" s="98" t="s">
        <v>5594</v>
      </c>
      <c r="D338" s="215">
        <v>6000.0</v>
      </c>
      <c r="E338" s="244" t="s">
        <v>5279</v>
      </c>
      <c r="F338" s="233"/>
      <c r="G338" s="233"/>
      <c r="H338" s="233"/>
      <c r="I338" s="233"/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</row>
    <row r="339">
      <c r="A339" s="233"/>
      <c r="B339" s="243"/>
      <c r="C339" s="98" t="s">
        <v>5595</v>
      </c>
      <c r="D339" s="215">
        <v>6000.0</v>
      </c>
      <c r="E339" s="244" t="s">
        <v>5279</v>
      </c>
      <c r="F339" s="233"/>
      <c r="G339" s="233"/>
      <c r="H339" s="233"/>
      <c r="I339" s="233"/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</row>
    <row r="340">
      <c r="A340" s="233"/>
      <c r="B340" s="243"/>
      <c r="C340" s="98" t="s">
        <v>5596</v>
      </c>
      <c r="D340" s="215">
        <v>7500.0</v>
      </c>
      <c r="E340" s="244" t="s">
        <v>5279</v>
      </c>
      <c r="F340" s="233"/>
      <c r="G340" s="233"/>
      <c r="H340" s="233"/>
      <c r="I340" s="233"/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</row>
    <row r="341">
      <c r="A341" s="233"/>
      <c r="B341" s="243"/>
      <c r="C341" s="98" t="s">
        <v>5597</v>
      </c>
      <c r="D341" s="215">
        <v>6000.0</v>
      </c>
      <c r="E341" s="244" t="s">
        <v>5279</v>
      </c>
      <c r="F341" s="233"/>
      <c r="G341" s="233"/>
      <c r="H341" s="233"/>
      <c r="I341" s="233"/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</row>
    <row r="342">
      <c r="A342" s="233"/>
      <c r="B342" s="243"/>
      <c r="C342" s="98" t="s">
        <v>5598</v>
      </c>
      <c r="D342" s="215">
        <v>2500.0</v>
      </c>
      <c r="E342" s="244" t="s">
        <v>5279</v>
      </c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</row>
    <row r="343">
      <c r="A343" s="233"/>
      <c r="B343" s="243"/>
      <c r="C343" s="98" t="s">
        <v>5599</v>
      </c>
      <c r="D343" s="215">
        <v>4000.0</v>
      </c>
      <c r="E343" s="244" t="s">
        <v>5279</v>
      </c>
      <c r="F343" s="233"/>
      <c r="G343" s="233"/>
      <c r="H343" s="233"/>
      <c r="I343" s="233"/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</row>
    <row r="344">
      <c r="A344" s="233"/>
      <c r="B344" s="243"/>
      <c r="C344" s="98" t="s">
        <v>5600</v>
      </c>
      <c r="D344" s="215">
        <v>4500.0</v>
      </c>
      <c r="E344" s="244" t="s">
        <v>5279</v>
      </c>
      <c r="F344" s="233"/>
      <c r="G344" s="233"/>
      <c r="H344" s="233"/>
      <c r="I344" s="233"/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</row>
    <row r="345">
      <c r="A345" s="233"/>
      <c r="B345" s="243"/>
      <c r="C345" s="98" t="s">
        <v>5601</v>
      </c>
      <c r="D345" s="215">
        <v>4000.0</v>
      </c>
      <c r="E345" s="244" t="s">
        <v>5279</v>
      </c>
      <c r="F345" s="233"/>
      <c r="G345" s="233"/>
      <c r="H345" s="233"/>
      <c r="I345" s="233"/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</row>
    <row r="346">
      <c r="A346" s="233"/>
      <c r="B346" s="243"/>
      <c r="C346" s="98" t="s">
        <v>5602</v>
      </c>
      <c r="D346" s="215">
        <v>8000.0</v>
      </c>
      <c r="E346" s="244" t="s">
        <v>5279</v>
      </c>
      <c r="F346" s="233"/>
      <c r="G346" s="233"/>
      <c r="H346" s="233"/>
      <c r="I346" s="233"/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</row>
    <row r="347">
      <c r="A347" s="233"/>
      <c r="B347" s="243"/>
      <c r="C347" s="98" t="s">
        <v>5603</v>
      </c>
      <c r="D347" s="215">
        <v>4000.0</v>
      </c>
      <c r="E347" s="244" t="s">
        <v>5279</v>
      </c>
      <c r="F347" s="233"/>
      <c r="G347" s="233"/>
      <c r="H347" s="233"/>
      <c r="I347" s="233"/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</row>
    <row r="348">
      <c r="A348" s="233"/>
      <c r="B348" s="245"/>
      <c r="C348" s="246" t="s">
        <v>5604</v>
      </c>
      <c r="D348" s="247">
        <v>8000.0</v>
      </c>
      <c r="E348" s="248" t="s">
        <v>5279</v>
      </c>
      <c r="F348" s="233"/>
      <c r="G348" s="233"/>
      <c r="H348" s="233"/>
      <c r="I348" s="233"/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</row>
    <row r="349">
      <c r="A349" s="233"/>
      <c r="B349" s="249"/>
      <c r="C349" s="99"/>
      <c r="D349" s="1"/>
      <c r="E349" s="1"/>
      <c r="F349" s="233"/>
      <c r="G349" s="233"/>
      <c r="H349" s="233"/>
      <c r="I349" s="233"/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</row>
    <row r="350">
      <c r="A350" s="233"/>
      <c r="B350" s="239" t="s">
        <v>193</v>
      </c>
      <c r="C350" s="240" t="s">
        <v>5605</v>
      </c>
      <c r="D350" s="241">
        <v>0.0</v>
      </c>
      <c r="E350" s="242" t="s">
        <v>5279</v>
      </c>
      <c r="F350" s="233"/>
      <c r="G350" s="233"/>
      <c r="H350" s="233"/>
      <c r="I350" s="233"/>
      <c r="J350" s="233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</row>
    <row r="351">
      <c r="A351" s="233"/>
      <c r="B351" s="243"/>
      <c r="C351" s="98" t="s">
        <v>5606</v>
      </c>
      <c r="D351" s="215">
        <v>9500.0</v>
      </c>
      <c r="E351" s="244" t="s">
        <v>5279</v>
      </c>
      <c r="F351" s="233"/>
      <c r="G351" s="233"/>
      <c r="H351" s="233"/>
      <c r="I351" s="233"/>
      <c r="J351" s="233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</row>
    <row r="352">
      <c r="A352" s="233"/>
      <c r="B352" s="243"/>
      <c r="C352" s="98" t="s">
        <v>5607</v>
      </c>
      <c r="D352" s="215">
        <v>6500.0</v>
      </c>
      <c r="E352" s="244" t="s">
        <v>5279</v>
      </c>
      <c r="F352" s="233"/>
      <c r="G352" s="233"/>
      <c r="H352" s="233"/>
      <c r="I352" s="233"/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</row>
    <row r="353">
      <c r="A353" s="233"/>
      <c r="B353" s="243"/>
      <c r="C353" s="98" t="s">
        <v>5608</v>
      </c>
      <c r="D353" s="215">
        <v>6000.0</v>
      </c>
      <c r="E353" s="244" t="s">
        <v>5279</v>
      </c>
      <c r="F353" s="233"/>
      <c r="G353" s="233"/>
      <c r="H353" s="233"/>
      <c r="I353" s="233"/>
      <c r="J353" s="233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</row>
    <row r="354">
      <c r="A354" s="233"/>
      <c r="B354" s="243"/>
      <c r="C354" s="98" t="s">
        <v>5609</v>
      </c>
      <c r="D354" s="215">
        <v>6500.0</v>
      </c>
      <c r="E354" s="244" t="s">
        <v>5279</v>
      </c>
      <c r="F354" s="233"/>
      <c r="G354" s="233"/>
      <c r="H354" s="233"/>
      <c r="I354" s="233"/>
      <c r="J354" s="233"/>
      <c r="K354" s="233"/>
      <c r="L354" s="233"/>
      <c r="M354" s="233"/>
      <c r="N354" s="233"/>
      <c r="O354" s="233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  <c r="Z354" s="233"/>
    </row>
    <row r="355">
      <c r="A355" s="233"/>
      <c r="B355" s="243"/>
      <c r="C355" s="98" t="s">
        <v>5610</v>
      </c>
      <c r="D355" s="215">
        <v>2500.0</v>
      </c>
      <c r="E355" s="244" t="s">
        <v>5279</v>
      </c>
      <c r="F355" s="233"/>
      <c r="G355" s="233"/>
      <c r="H355" s="233"/>
      <c r="I355" s="233"/>
      <c r="J355" s="233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</row>
    <row r="356">
      <c r="A356" s="233"/>
      <c r="B356" s="243"/>
      <c r="C356" s="98" t="s">
        <v>5611</v>
      </c>
      <c r="D356" s="215">
        <v>4000.0</v>
      </c>
      <c r="E356" s="244" t="s">
        <v>5279</v>
      </c>
      <c r="F356" s="233"/>
      <c r="G356" s="233"/>
      <c r="H356" s="233"/>
      <c r="I356" s="233"/>
      <c r="J356" s="233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</row>
    <row r="357">
      <c r="A357" s="233"/>
      <c r="B357" s="243"/>
      <c r="C357" s="98" t="s">
        <v>5612</v>
      </c>
      <c r="D357" s="215">
        <v>4500.0</v>
      </c>
      <c r="E357" s="244" t="s">
        <v>5279</v>
      </c>
      <c r="F357" s="233"/>
      <c r="G357" s="233"/>
      <c r="H357" s="233"/>
      <c r="I357" s="233"/>
      <c r="J357" s="233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</row>
    <row r="358">
      <c r="A358" s="233"/>
      <c r="B358" s="243"/>
      <c r="C358" s="98" t="s">
        <v>5613</v>
      </c>
      <c r="D358" s="215">
        <v>7500.0</v>
      </c>
      <c r="E358" s="244" t="s">
        <v>5279</v>
      </c>
      <c r="F358" s="233"/>
      <c r="G358" s="233"/>
      <c r="H358" s="233"/>
      <c r="I358" s="233"/>
      <c r="J358" s="233"/>
      <c r="K358" s="233"/>
      <c r="L358" s="233"/>
      <c r="M358" s="233"/>
      <c r="N358" s="233"/>
      <c r="O358" s="233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  <c r="Z358" s="233"/>
    </row>
    <row r="359">
      <c r="A359" s="233"/>
      <c r="B359" s="243"/>
      <c r="C359" s="98" t="s">
        <v>5614</v>
      </c>
      <c r="D359" s="215">
        <v>4500.0</v>
      </c>
      <c r="E359" s="244" t="s">
        <v>5279</v>
      </c>
      <c r="F359" s="233"/>
      <c r="G359" s="233"/>
      <c r="H359" s="233"/>
      <c r="I359" s="233"/>
      <c r="J359" s="233"/>
      <c r="K359" s="233"/>
      <c r="L359" s="233"/>
      <c r="M359" s="233"/>
      <c r="N359" s="233"/>
      <c r="O359" s="233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  <c r="Z359" s="233"/>
    </row>
    <row r="360">
      <c r="A360" s="233"/>
      <c r="B360" s="243"/>
      <c r="C360" s="98" t="s">
        <v>5615</v>
      </c>
      <c r="D360" s="215">
        <v>8500.0</v>
      </c>
      <c r="E360" s="244" t="s">
        <v>5279</v>
      </c>
      <c r="F360" s="233"/>
      <c r="G360" s="233"/>
      <c r="H360" s="233"/>
      <c r="I360" s="233"/>
      <c r="J360" s="233"/>
      <c r="K360" s="233"/>
      <c r="L360" s="233"/>
      <c r="M360" s="233"/>
      <c r="N360" s="233"/>
      <c r="O360" s="233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  <c r="Z360" s="233"/>
    </row>
    <row r="361">
      <c r="A361" s="233"/>
      <c r="B361" s="243"/>
      <c r="C361" s="98" t="s">
        <v>5616</v>
      </c>
      <c r="D361" s="215">
        <v>4500.0</v>
      </c>
      <c r="E361" s="244" t="s">
        <v>5279</v>
      </c>
      <c r="F361" s="233"/>
      <c r="G361" s="233"/>
      <c r="H361" s="233"/>
      <c r="I361" s="233"/>
      <c r="J361" s="233"/>
      <c r="K361" s="233"/>
      <c r="L361" s="233"/>
      <c r="M361" s="233"/>
      <c r="N361" s="233"/>
      <c r="O361" s="233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  <c r="Z361" s="233"/>
    </row>
    <row r="362">
      <c r="A362" s="233"/>
      <c r="B362" s="245"/>
      <c r="C362" s="246" t="s">
        <v>5617</v>
      </c>
      <c r="D362" s="247">
        <v>7000.0</v>
      </c>
      <c r="E362" s="248" t="s">
        <v>5279</v>
      </c>
      <c r="F362" s="233"/>
      <c r="G362" s="233"/>
      <c r="H362" s="233"/>
      <c r="I362" s="233"/>
      <c r="J362" s="233"/>
      <c r="K362" s="233"/>
      <c r="L362" s="233"/>
      <c r="M362" s="233"/>
      <c r="N362" s="233"/>
      <c r="O362" s="233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  <c r="Z362" s="233"/>
    </row>
    <row r="363">
      <c r="A363" s="233"/>
      <c r="B363" s="249"/>
      <c r="C363" s="99"/>
      <c r="D363" s="1"/>
      <c r="E363" s="1"/>
      <c r="F363" s="233"/>
      <c r="G363" s="233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  <c r="Z363" s="233"/>
    </row>
    <row r="364">
      <c r="A364" s="233"/>
      <c r="B364" s="239" t="s">
        <v>201</v>
      </c>
      <c r="C364" s="240" t="s">
        <v>5618</v>
      </c>
      <c r="D364" s="241">
        <v>0.0</v>
      </c>
      <c r="E364" s="242" t="s">
        <v>5279</v>
      </c>
      <c r="F364" s="233"/>
      <c r="G364" s="233"/>
      <c r="H364" s="233"/>
      <c r="I364" s="233"/>
      <c r="J364" s="233"/>
      <c r="K364" s="233"/>
      <c r="L364" s="233"/>
      <c r="M364" s="233"/>
      <c r="N364" s="233"/>
      <c r="O364" s="233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  <c r="Z364" s="233"/>
    </row>
    <row r="365">
      <c r="A365" s="233"/>
      <c r="B365" s="243"/>
      <c r="C365" s="98" t="s">
        <v>5619</v>
      </c>
      <c r="D365" s="215">
        <v>9500.0</v>
      </c>
      <c r="E365" s="244" t="s">
        <v>5279</v>
      </c>
      <c r="F365" s="233"/>
      <c r="G365" s="233"/>
      <c r="H365" s="233"/>
      <c r="I365" s="233"/>
      <c r="J365" s="233"/>
      <c r="K365" s="233"/>
      <c r="L365" s="233"/>
      <c r="M365" s="233"/>
      <c r="N365" s="233"/>
      <c r="O365" s="233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  <c r="Z365" s="233"/>
    </row>
    <row r="366">
      <c r="A366" s="233"/>
      <c r="B366" s="243"/>
      <c r="C366" s="98" t="s">
        <v>5620</v>
      </c>
      <c r="D366" s="215">
        <v>6500.0</v>
      </c>
      <c r="E366" s="244" t="s">
        <v>5279</v>
      </c>
      <c r="F366" s="233"/>
      <c r="G366" s="233"/>
      <c r="H366" s="233"/>
      <c r="I366" s="233"/>
      <c r="J366" s="233"/>
      <c r="K366" s="233"/>
      <c r="L366" s="233"/>
      <c r="M366" s="233"/>
      <c r="N366" s="233"/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</row>
    <row r="367">
      <c r="A367" s="233"/>
      <c r="B367" s="243"/>
      <c r="C367" s="98" t="s">
        <v>5621</v>
      </c>
      <c r="D367" s="215">
        <v>6500.0</v>
      </c>
      <c r="E367" s="244" t="s">
        <v>5279</v>
      </c>
      <c r="F367" s="233"/>
      <c r="G367" s="233"/>
      <c r="H367" s="233"/>
      <c r="I367" s="233"/>
      <c r="J367" s="233"/>
      <c r="K367" s="233"/>
      <c r="L367" s="233"/>
      <c r="M367" s="233"/>
      <c r="N367" s="233"/>
      <c r="O367" s="233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233"/>
    </row>
    <row r="368">
      <c r="A368" s="233"/>
      <c r="B368" s="243"/>
      <c r="C368" s="98" t="s">
        <v>5622</v>
      </c>
      <c r="D368" s="215">
        <v>6500.0</v>
      </c>
      <c r="E368" s="244" t="s">
        <v>5279</v>
      </c>
      <c r="F368" s="233"/>
      <c r="G368" s="233"/>
      <c r="H368" s="233"/>
      <c r="I368" s="233"/>
      <c r="J368" s="233"/>
      <c r="K368" s="233"/>
      <c r="L368" s="233"/>
      <c r="M368" s="233"/>
      <c r="N368" s="233"/>
      <c r="O368" s="233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33"/>
    </row>
    <row r="369">
      <c r="A369" s="233"/>
      <c r="B369" s="243"/>
      <c r="C369" s="98" t="s">
        <v>5623</v>
      </c>
      <c r="D369" s="215">
        <v>8000.0</v>
      </c>
      <c r="E369" s="244" t="s">
        <v>5279</v>
      </c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  <c r="Z369" s="233"/>
    </row>
    <row r="370">
      <c r="A370" s="233"/>
      <c r="B370" s="243"/>
      <c r="C370" s="98" t="s">
        <v>5624</v>
      </c>
      <c r="D370" s="215">
        <v>4000.0</v>
      </c>
      <c r="E370" s="244" t="s">
        <v>5279</v>
      </c>
      <c r="F370" s="233"/>
      <c r="G370" s="233"/>
      <c r="H370" s="233"/>
      <c r="I370" s="233"/>
      <c r="J370" s="233"/>
      <c r="K370" s="233"/>
      <c r="L370" s="233"/>
      <c r="M370" s="233"/>
      <c r="N370" s="233"/>
      <c r="O370" s="233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  <c r="Z370" s="233"/>
    </row>
    <row r="371">
      <c r="A371" s="233"/>
      <c r="B371" s="243"/>
      <c r="C371" s="98" t="s">
        <v>5625</v>
      </c>
      <c r="D371" s="215">
        <v>5000.0</v>
      </c>
      <c r="E371" s="244" t="s">
        <v>5279</v>
      </c>
      <c r="F371" s="233"/>
      <c r="G371" s="233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  <c r="Z371" s="233"/>
    </row>
    <row r="372">
      <c r="A372" s="233"/>
      <c r="B372" s="243"/>
      <c r="C372" s="98" t="s">
        <v>5626</v>
      </c>
      <c r="D372" s="215">
        <v>9500.0</v>
      </c>
      <c r="E372" s="244" t="s">
        <v>5279</v>
      </c>
      <c r="F372" s="233"/>
      <c r="G372" s="233"/>
      <c r="H372" s="233"/>
      <c r="I372" s="233"/>
      <c r="J372" s="233"/>
      <c r="K372" s="233"/>
      <c r="L372" s="233"/>
      <c r="M372" s="233"/>
      <c r="N372" s="233"/>
      <c r="O372" s="233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  <c r="Z372" s="233"/>
    </row>
    <row r="373">
      <c r="A373" s="233"/>
      <c r="B373" s="243"/>
      <c r="C373" s="98" t="s">
        <v>5627</v>
      </c>
      <c r="D373" s="215">
        <v>6500.0</v>
      </c>
      <c r="E373" s="244" t="s">
        <v>5279</v>
      </c>
      <c r="F373" s="233"/>
      <c r="G373" s="233"/>
      <c r="H373" s="233"/>
      <c r="I373" s="233"/>
      <c r="J373" s="233"/>
      <c r="K373" s="233"/>
      <c r="L373" s="233"/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</row>
    <row r="374">
      <c r="A374" s="233"/>
      <c r="B374" s="243"/>
      <c r="C374" s="98" t="s">
        <v>5628</v>
      </c>
      <c r="D374" s="215">
        <v>5500.0</v>
      </c>
      <c r="E374" s="244" t="s">
        <v>5279</v>
      </c>
      <c r="F374" s="233"/>
      <c r="G374" s="233"/>
      <c r="H374" s="233"/>
      <c r="I374" s="233"/>
      <c r="J374" s="233"/>
      <c r="K374" s="233"/>
      <c r="L374" s="233"/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</row>
    <row r="375">
      <c r="A375" s="233"/>
      <c r="B375" s="243"/>
      <c r="C375" s="98" t="s">
        <v>5629</v>
      </c>
      <c r="D375" s="215">
        <v>2500.0</v>
      </c>
      <c r="E375" s="244" t="s">
        <v>5279</v>
      </c>
      <c r="F375" s="233"/>
      <c r="G375" s="233"/>
      <c r="H375" s="233"/>
      <c r="I375" s="233"/>
      <c r="J375" s="233"/>
      <c r="K375" s="233"/>
      <c r="L375" s="233"/>
      <c r="M375" s="233"/>
      <c r="N375" s="233"/>
      <c r="O375" s="233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  <c r="Z375" s="233"/>
    </row>
    <row r="376">
      <c r="A376" s="233"/>
      <c r="B376" s="245"/>
      <c r="C376" s="246" t="s">
        <v>5630</v>
      </c>
      <c r="D376" s="247">
        <v>4000.0</v>
      </c>
      <c r="E376" s="248" t="s">
        <v>5279</v>
      </c>
      <c r="F376" s="233"/>
      <c r="G376" s="233"/>
      <c r="H376" s="233"/>
      <c r="I376" s="233"/>
      <c r="J376" s="233"/>
      <c r="K376" s="233"/>
      <c r="L376" s="233"/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</row>
    <row r="377">
      <c r="A377" s="233"/>
      <c r="B377" s="249"/>
      <c r="C377" s="99"/>
      <c r="D377" s="1"/>
      <c r="E377" s="1"/>
      <c r="F377" s="233"/>
      <c r="G377" s="233"/>
      <c r="H377" s="233"/>
      <c r="I377" s="233"/>
      <c r="J377" s="233"/>
      <c r="K377" s="233"/>
      <c r="L377" s="233"/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</row>
    <row r="378">
      <c r="A378" s="233"/>
      <c r="B378" s="239" t="s">
        <v>212</v>
      </c>
      <c r="C378" s="240" t="s">
        <v>5631</v>
      </c>
      <c r="D378" s="241">
        <v>0.0</v>
      </c>
      <c r="E378" s="242" t="s">
        <v>5279</v>
      </c>
      <c r="F378" s="233"/>
      <c r="G378" s="233"/>
      <c r="H378" s="233"/>
      <c r="I378" s="233"/>
      <c r="J378" s="233"/>
      <c r="K378" s="233"/>
      <c r="L378" s="233"/>
      <c r="M378" s="233"/>
      <c r="N378" s="233"/>
      <c r="O378" s="233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  <c r="Z378" s="233"/>
    </row>
    <row r="379">
      <c r="A379" s="233"/>
      <c r="B379" s="243"/>
      <c r="C379" s="98" t="s">
        <v>5632</v>
      </c>
      <c r="D379" s="215">
        <v>9500.0</v>
      </c>
      <c r="E379" s="244" t="s">
        <v>5279</v>
      </c>
      <c r="F379" s="233"/>
      <c r="G379" s="233"/>
      <c r="H379" s="233"/>
      <c r="I379" s="233"/>
      <c r="J379" s="233"/>
      <c r="K379" s="233"/>
      <c r="L379" s="233"/>
      <c r="M379" s="233"/>
      <c r="N379" s="233"/>
      <c r="O379" s="233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  <c r="Z379" s="233"/>
    </row>
    <row r="380">
      <c r="A380" s="233"/>
      <c r="B380" s="243"/>
      <c r="C380" s="98" t="s">
        <v>5633</v>
      </c>
      <c r="D380" s="215">
        <v>6500.0</v>
      </c>
      <c r="E380" s="244" t="s">
        <v>5279</v>
      </c>
      <c r="F380" s="233"/>
      <c r="G380" s="233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</row>
    <row r="381">
      <c r="A381" s="233"/>
      <c r="B381" s="243"/>
      <c r="C381" s="98" t="s">
        <v>5634</v>
      </c>
      <c r="D381" s="215">
        <v>6500.0</v>
      </c>
      <c r="E381" s="244" t="s">
        <v>5279</v>
      </c>
      <c r="F381" s="233"/>
      <c r="G381" s="233"/>
      <c r="H381" s="233"/>
      <c r="I381" s="233"/>
      <c r="J381" s="233"/>
      <c r="K381" s="233"/>
      <c r="L381" s="233"/>
      <c r="M381" s="233"/>
      <c r="N381" s="233"/>
      <c r="O381" s="233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  <c r="Z381" s="233"/>
    </row>
    <row r="382">
      <c r="A382" s="233"/>
      <c r="B382" s="243"/>
      <c r="C382" s="98" t="s">
        <v>5635</v>
      </c>
      <c r="D382" s="215">
        <v>6500.0</v>
      </c>
      <c r="E382" s="244" t="s">
        <v>5279</v>
      </c>
      <c r="F382" s="233"/>
      <c r="G382" s="233"/>
      <c r="H382" s="233"/>
      <c r="I382" s="233"/>
      <c r="J382" s="233"/>
      <c r="K382" s="233"/>
      <c r="L382" s="233"/>
      <c r="M382" s="233"/>
      <c r="N382" s="233"/>
      <c r="O382" s="233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  <c r="Z382" s="233"/>
    </row>
    <row r="383">
      <c r="A383" s="233"/>
      <c r="B383" s="243"/>
      <c r="C383" s="98" t="s">
        <v>5636</v>
      </c>
      <c r="D383" s="215">
        <v>8000.0</v>
      </c>
      <c r="E383" s="244" t="s">
        <v>5279</v>
      </c>
      <c r="F383" s="233"/>
      <c r="G383" s="233"/>
      <c r="H383" s="233"/>
      <c r="I383" s="233"/>
      <c r="J383" s="233"/>
      <c r="K383" s="233"/>
      <c r="L383" s="233"/>
      <c r="M383" s="233"/>
      <c r="N383" s="233"/>
      <c r="O383" s="233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  <c r="Z383" s="233"/>
    </row>
    <row r="384">
      <c r="A384" s="233"/>
      <c r="B384" s="243"/>
      <c r="C384" s="98" t="s">
        <v>5637</v>
      </c>
      <c r="D384" s="215">
        <v>4000.0</v>
      </c>
      <c r="E384" s="244" t="s">
        <v>5279</v>
      </c>
      <c r="F384" s="233"/>
      <c r="G384" s="233"/>
      <c r="H384" s="233"/>
      <c r="I384" s="233"/>
      <c r="J384" s="233"/>
      <c r="K384" s="233"/>
      <c r="L384" s="233"/>
      <c r="M384" s="233"/>
      <c r="N384" s="233"/>
      <c r="O384" s="233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  <c r="Z384" s="233"/>
    </row>
    <row r="385">
      <c r="A385" s="233"/>
      <c r="B385" s="243"/>
      <c r="C385" s="98" t="s">
        <v>5638</v>
      </c>
      <c r="D385" s="215">
        <v>5000.0</v>
      </c>
      <c r="E385" s="244" t="s">
        <v>5279</v>
      </c>
      <c r="F385" s="233"/>
      <c r="G385" s="233"/>
      <c r="H385" s="233"/>
      <c r="I385" s="233"/>
      <c r="J385" s="233"/>
      <c r="K385" s="233"/>
      <c r="L385" s="233"/>
      <c r="M385" s="233"/>
      <c r="N385" s="233"/>
      <c r="O385" s="233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  <c r="Z385" s="233"/>
    </row>
    <row r="386">
      <c r="A386" s="233"/>
      <c r="B386" s="243"/>
      <c r="C386" s="98" t="s">
        <v>5639</v>
      </c>
      <c r="D386" s="215">
        <v>9500.0</v>
      </c>
      <c r="E386" s="244" t="s">
        <v>5279</v>
      </c>
      <c r="F386" s="233"/>
      <c r="G386" s="233"/>
      <c r="H386" s="233"/>
      <c r="I386" s="233"/>
      <c r="J386" s="233"/>
      <c r="K386" s="233"/>
      <c r="L386" s="233"/>
      <c r="M386" s="233"/>
      <c r="N386" s="233"/>
      <c r="O386" s="233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  <c r="Z386" s="233"/>
    </row>
    <row r="387">
      <c r="A387" s="233"/>
      <c r="B387" s="243"/>
      <c r="C387" s="98" t="s">
        <v>5640</v>
      </c>
      <c r="D387" s="215">
        <v>7500.0</v>
      </c>
      <c r="E387" s="244" t="s">
        <v>5279</v>
      </c>
      <c r="F387" s="233"/>
      <c r="G387" s="233"/>
      <c r="H387" s="233"/>
      <c r="I387" s="233"/>
      <c r="J387" s="233"/>
      <c r="K387" s="233"/>
      <c r="L387" s="233"/>
      <c r="M387" s="233"/>
      <c r="N387" s="233"/>
      <c r="O387" s="233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  <c r="Z387" s="233"/>
    </row>
    <row r="388">
      <c r="A388" s="233"/>
      <c r="B388" s="243"/>
      <c r="C388" s="98" t="s">
        <v>5641</v>
      </c>
      <c r="D388" s="215">
        <v>5000.0</v>
      </c>
      <c r="E388" s="244" t="s">
        <v>5279</v>
      </c>
      <c r="F388" s="233"/>
      <c r="G388" s="233"/>
      <c r="H388" s="233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</row>
    <row r="389">
      <c r="A389" s="233"/>
      <c r="B389" s="243"/>
      <c r="C389" s="98" t="s">
        <v>5642</v>
      </c>
      <c r="D389" s="215">
        <v>4000.0</v>
      </c>
      <c r="E389" s="244" t="s">
        <v>5279</v>
      </c>
      <c r="F389" s="233"/>
      <c r="G389" s="233"/>
      <c r="H389" s="233"/>
      <c r="I389" s="233"/>
      <c r="J389" s="233"/>
      <c r="K389" s="233"/>
      <c r="L389" s="233"/>
      <c r="M389" s="233"/>
      <c r="N389" s="233"/>
      <c r="O389" s="233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  <c r="Z389" s="233"/>
    </row>
    <row r="390">
      <c r="A390" s="233"/>
      <c r="B390" s="245"/>
      <c r="C390" s="246" t="s">
        <v>5643</v>
      </c>
      <c r="D390" s="247">
        <v>2500.0</v>
      </c>
      <c r="E390" s="248" t="s">
        <v>5279</v>
      </c>
      <c r="F390" s="233"/>
      <c r="G390" s="233"/>
      <c r="H390" s="233"/>
      <c r="I390" s="233"/>
      <c r="J390" s="233"/>
      <c r="K390" s="233"/>
      <c r="L390" s="233"/>
      <c r="M390" s="233"/>
      <c r="N390" s="233"/>
      <c r="O390" s="233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  <c r="Z390" s="233"/>
    </row>
    <row r="391">
      <c r="A391" s="233"/>
      <c r="B391" s="249"/>
      <c r="C391" s="99"/>
      <c r="D391" s="1"/>
      <c r="E391" s="1"/>
      <c r="F391" s="233"/>
      <c r="G391" s="233"/>
      <c r="H391" s="233"/>
      <c r="I391" s="233"/>
      <c r="J391" s="233"/>
      <c r="K391" s="233"/>
      <c r="L391" s="233"/>
      <c r="M391" s="233"/>
      <c r="N391" s="233"/>
      <c r="O391" s="233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  <c r="Z391" s="233"/>
    </row>
    <row r="392">
      <c r="A392" s="233"/>
      <c r="B392" s="239" t="s">
        <v>220</v>
      </c>
      <c r="C392" s="240" t="s">
        <v>5644</v>
      </c>
      <c r="D392" s="241">
        <v>0.0</v>
      </c>
      <c r="E392" s="242" t="s">
        <v>5279</v>
      </c>
      <c r="F392" s="233"/>
      <c r="G392" s="233"/>
      <c r="H392" s="233"/>
      <c r="I392" s="233"/>
      <c r="J392" s="233"/>
      <c r="K392" s="233"/>
      <c r="L392" s="233"/>
      <c r="M392" s="233"/>
      <c r="N392" s="233"/>
      <c r="O392" s="233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  <c r="Z392" s="233"/>
    </row>
    <row r="393">
      <c r="A393" s="233"/>
      <c r="B393" s="243"/>
      <c r="C393" s="98" t="s">
        <v>5645</v>
      </c>
      <c r="D393" s="215">
        <v>9500.0</v>
      </c>
      <c r="E393" s="244" t="s">
        <v>5279</v>
      </c>
      <c r="F393" s="233"/>
      <c r="G393" s="233"/>
      <c r="H393" s="233"/>
      <c r="I393" s="233"/>
      <c r="J393" s="233"/>
      <c r="K393" s="233"/>
      <c r="L393" s="233"/>
      <c r="M393" s="233"/>
      <c r="N393" s="233"/>
      <c r="O393" s="233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  <c r="Z393" s="233"/>
    </row>
    <row r="394">
      <c r="A394" s="233"/>
      <c r="B394" s="243"/>
      <c r="C394" s="98" t="s">
        <v>5646</v>
      </c>
      <c r="D394" s="215">
        <v>7000.0</v>
      </c>
      <c r="E394" s="244" t="s">
        <v>5279</v>
      </c>
      <c r="F394" s="233"/>
      <c r="G394" s="233"/>
      <c r="H394" s="233"/>
      <c r="I394" s="233"/>
      <c r="J394" s="233"/>
      <c r="K394" s="233"/>
      <c r="L394" s="233"/>
      <c r="M394" s="233"/>
      <c r="N394" s="233"/>
      <c r="O394" s="233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  <c r="Z394" s="233"/>
    </row>
    <row r="395">
      <c r="A395" s="233"/>
      <c r="B395" s="243"/>
      <c r="C395" s="98" t="s">
        <v>5647</v>
      </c>
      <c r="D395" s="215">
        <v>6500.0</v>
      </c>
      <c r="E395" s="244" t="s">
        <v>5279</v>
      </c>
      <c r="F395" s="233"/>
      <c r="G395" s="233"/>
      <c r="H395" s="233"/>
      <c r="I395" s="233"/>
      <c r="J395" s="233"/>
      <c r="K395" s="233"/>
      <c r="L395" s="233"/>
      <c r="M395" s="233"/>
      <c r="N395" s="233"/>
      <c r="O395" s="233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  <c r="Z395" s="233"/>
    </row>
    <row r="396">
      <c r="A396" s="233"/>
      <c r="B396" s="243"/>
      <c r="C396" s="98" t="s">
        <v>5648</v>
      </c>
      <c r="D396" s="215">
        <v>7000.0</v>
      </c>
      <c r="E396" s="244" t="s">
        <v>5279</v>
      </c>
      <c r="F396" s="233"/>
      <c r="G396" s="233"/>
      <c r="H396" s="233"/>
      <c r="I396" s="233"/>
      <c r="J396" s="233"/>
      <c r="K396" s="233"/>
      <c r="L396" s="233"/>
      <c r="M396" s="233"/>
      <c r="N396" s="233"/>
      <c r="O396" s="233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  <c r="Z396" s="233"/>
    </row>
    <row r="397">
      <c r="A397" s="233"/>
      <c r="B397" s="243"/>
      <c r="C397" s="98" t="s">
        <v>5649</v>
      </c>
      <c r="D397" s="215">
        <v>10000.0</v>
      </c>
      <c r="E397" s="244" t="s">
        <v>5279</v>
      </c>
      <c r="F397" s="233"/>
      <c r="G397" s="233"/>
      <c r="H397" s="233"/>
      <c r="I397" s="233"/>
      <c r="J397" s="233"/>
      <c r="K397" s="233"/>
      <c r="L397" s="233"/>
      <c r="M397" s="233"/>
      <c r="N397" s="233"/>
      <c r="O397" s="233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  <c r="Z397" s="233"/>
    </row>
    <row r="398">
      <c r="A398" s="233"/>
      <c r="B398" s="243"/>
      <c r="C398" s="98" t="s">
        <v>5650</v>
      </c>
      <c r="D398" s="215">
        <v>4000.0</v>
      </c>
      <c r="E398" s="244" t="s">
        <v>5279</v>
      </c>
      <c r="F398" s="233"/>
      <c r="G398" s="233"/>
      <c r="H398" s="233"/>
      <c r="I398" s="233"/>
      <c r="J398" s="233"/>
      <c r="K398" s="233"/>
      <c r="L398" s="233"/>
      <c r="M398" s="233"/>
      <c r="N398" s="233"/>
      <c r="O398" s="233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  <c r="Z398" s="233"/>
    </row>
    <row r="399">
      <c r="A399" s="233"/>
      <c r="B399" s="243"/>
      <c r="C399" s="98" t="s">
        <v>5651</v>
      </c>
      <c r="D399" s="215">
        <v>5000.0</v>
      </c>
      <c r="E399" s="244" t="s">
        <v>5279</v>
      </c>
      <c r="F399" s="233"/>
      <c r="G399" s="233"/>
      <c r="H399" s="233"/>
      <c r="I399" s="233"/>
      <c r="J399" s="233"/>
      <c r="K399" s="233"/>
      <c r="L399" s="233"/>
      <c r="M399" s="233"/>
      <c r="N399" s="233"/>
      <c r="O399" s="233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  <c r="Z399" s="233"/>
    </row>
    <row r="400">
      <c r="A400" s="233"/>
      <c r="B400" s="243"/>
      <c r="C400" s="98" t="s">
        <v>5652</v>
      </c>
      <c r="D400" s="215">
        <v>9500.0</v>
      </c>
      <c r="E400" s="244" t="s">
        <v>5279</v>
      </c>
      <c r="F400" s="233"/>
      <c r="G400" s="233"/>
      <c r="H400" s="233"/>
      <c r="I400" s="233"/>
      <c r="J400" s="233"/>
      <c r="K400" s="233"/>
      <c r="L400" s="233"/>
      <c r="M400" s="233"/>
      <c r="N400" s="233"/>
      <c r="O400" s="233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  <c r="Z400" s="233"/>
    </row>
    <row r="401">
      <c r="A401" s="233"/>
      <c r="B401" s="243"/>
      <c r="C401" s="98" t="s">
        <v>5653</v>
      </c>
      <c r="D401" s="215">
        <v>9500.0</v>
      </c>
      <c r="E401" s="244" t="s">
        <v>5279</v>
      </c>
      <c r="F401" s="233"/>
      <c r="G401" s="233"/>
      <c r="H401" s="233"/>
      <c r="I401" s="233"/>
      <c r="J401" s="233"/>
      <c r="K401" s="233"/>
      <c r="L401" s="233"/>
      <c r="M401" s="233"/>
      <c r="N401" s="233"/>
      <c r="O401" s="233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  <c r="Z401" s="233"/>
    </row>
    <row r="402">
      <c r="A402" s="233"/>
      <c r="B402" s="243"/>
      <c r="C402" s="98" t="s">
        <v>5654</v>
      </c>
      <c r="D402" s="215">
        <v>6000.0</v>
      </c>
      <c r="E402" s="244" t="s">
        <v>5279</v>
      </c>
      <c r="F402" s="233"/>
      <c r="G402" s="233"/>
      <c r="H402" s="233"/>
      <c r="I402" s="233"/>
      <c r="J402" s="233"/>
      <c r="K402" s="233"/>
      <c r="L402" s="233"/>
      <c r="M402" s="233"/>
      <c r="N402" s="233"/>
      <c r="O402" s="233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  <c r="Z402" s="233"/>
    </row>
    <row r="403">
      <c r="A403" s="233"/>
      <c r="B403" s="243"/>
      <c r="C403" s="98" t="s">
        <v>5655</v>
      </c>
      <c r="D403" s="215">
        <v>3000.0</v>
      </c>
      <c r="E403" s="244" t="s">
        <v>5279</v>
      </c>
      <c r="F403" s="233"/>
      <c r="G403" s="233"/>
      <c r="H403" s="233"/>
      <c r="I403" s="233"/>
      <c r="J403" s="233"/>
      <c r="K403" s="233"/>
      <c r="L403" s="233"/>
      <c r="M403" s="233"/>
      <c r="N403" s="233"/>
      <c r="O403" s="233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  <c r="Z403" s="233"/>
    </row>
    <row r="404">
      <c r="A404" s="233"/>
      <c r="B404" s="245"/>
      <c r="C404" s="246" t="s">
        <v>5656</v>
      </c>
      <c r="D404" s="247">
        <v>4000.0</v>
      </c>
      <c r="E404" s="248" t="s">
        <v>5279</v>
      </c>
      <c r="F404" s="233"/>
      <c r="G404" s="233"/>
      <c r="H404" s="233"/>
      <c r="I404" s="233"/>
      <c r="J404" s="233"/>
      <c r="K404" s="233"/>
      <c r="L404" s="233"/>
      <c r="M404" s="233"/>
      <c r="N404" s="233"/>
      <c r="O404" s="233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  <c r="Z404" s="233"/>
    </row>
    <row r="405">
      <c r="A405" s="233"/>
      <c r="B405" s="249"/>
      <c r="C405" s="99"/>
      <c r="D405" s="1"/>
      <c r="E405" s="1"/>
      <c r="F405" s="233"/>
      <c r="G405" s="233"/>
      <c r="H405" s="233"/>
      <c r="I405" s="233"/>
      <c r="J405" s="233"/>
      <c r="K405" s="233"/>
      <c r="L405" s="233"/>
      <c r="M405" s="233"/>
      <c r="N405" s="233"/>
      <c r="O405" s="233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  <c r="Z405" s="233"/>
    </row>
    <row r="406">
      <c r="A406" s="233"/>
      <c r="B406" s="239" t="s">
        <v>228</v>
      </c>
      <c r="C406" s="240" t="s">
        <v>5657</v>
      </c>
      <c r="D406" s="241">
        <v>16000.0</v>
      </c>
      <c r="E406" s="242" t="s">
        <v>5279</v>
      </c>
      <c r="F406" s="233"/>
      <c r="G406" s="233"/>
      <c r="H406" s="233"/>
      <c r="I406" s="233"/>
      <c r="J406" s="233"/>
      <c r="K406" s="233"/>
      <c r="L406" s="233"/>
      <c r="M406" s="233"/>
      <c r="N406" s="233"/>
      <c r="O406" s="233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  <c r="Z406" s="233"/>
    </row>
    <row r="407">
      <c r="A407" s="233"/>
      <c r="B407" s="243"/>
      <c r="C407" s="98" t="s">
        <v>5658</v>
      </c>
      <c r="D407" s="215">
        <v>9500.0</v>
      </c>
      <c r="E407" s="244" t="s">
        <v>5279</v>
      </c>
      <c r="F407" s="233"/>
      <c r="G407" s="233"/>
      <c r="H407" s="233"/>
      <c r="I407" s="233"/>
      <c r="J407" s="233"/>
      <c r="K407" s="233"/>
      <c r="L407" s="233"/>
      <c r="M407" s="233"/>
      <c r="N407" s="233"/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</row>
    <row r="408">
      <c r="A408" s="233"/>
      <c r="B408" s="243"/>
      <c r="C408" s="98" t="s">
        <v>5659</v>
      </c>
      <c r="D408" s="215">
        <v>8500.0</v>
      </c>
      <c r="E408" s="244" t="s">
        <v>5279</v>
      </c>
      <c r="F408" s="233"/>
      <c r="G408" s="233"/>
      <c r="H408" s="233"/>
      <c r="I408" s="233"/>
      <c r="J408" s="233"/>
      <c r="K408" s="233"/>
      <c r="L408" s="233"/>
      <c r="M408" s="233"/>
      <c r="N408" s="233"/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</row>
    <row r="409">
      <c r="A409" s="233"/>
      <c r="B409" s="243"/>
      <c r="C409" s="98" t="s">
        <v>5660</v>
      </c>
      <c r="D409" s="215">
        <v>6000.0</v>
      </c>
      <c r="E409" s="244" t="s">
        <v>5279</v>
      </c>
      <c r="F409" s="233"/>
      <c r="G409" s="233"/>
      <c r="H409" s="233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</row>
    <row r="410">
      <c r="A410" s="233"/>
      <c r="B410" s="243"/>
      <c r="C410" s="98" t="s">
        <v>5661</v>
      </c>
      <c r="D410" s="215">
        <v>10000.0</v>
      </c>
      <c r="E410" s="244" t="s">
        <v>5279</v>
      </c>
      <c r="F410" s="233"/>
      <c r="G410" s="233"/>
      <c r="H410" s="233"/>
      <c r="I410" s="233"/>
      <c r="J410" s="233"/>
      <c r="K410" s="233"/>
      <c r="L410" s="233"/>
      <c r="M410" s="233"/>
      <c r="N410" s="233"/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</row>
    <row r="411">
      <c r="A411" s="233"/>
      <c r="B411" s="243"/>
      <c r="C411" s="98" t="s">
        <v>5662</v>
      </c>
      <c r="D411" s="215">
        <v>5000.0</v>
      </c>
      <c r="E411" s="244" t="s">
        <v>5279</v>
      </c>
      <c r="F411" s="233"/>
      <c r="G411" s="233"/>
      <c r="H411" s="233"/>
      <c r="I411" s="233"/>
      <c r="J411" s="233"/>
      <c r="K411" s="233"/>
      <c r="L411" s="233"/>
      <c r="M411" s="233"/>
      <c r="N411" s="233"/>
      <c r="O411" s="233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  <c r="Z411" s="233"/>
    </row>
    <row r="412">
      <c r="A412" s="233"/>
      <c r="B412" s="243"/>
      <c r="C412" s="98" t="s">
        <v>5663</v>
      </c>
      <c r="D412" s="215">
        <v>6000.0</v>
      </c>
      <c r="E412" s="244" t="s">
        <v>5279</v>
      </c>
      <c r="F412" s="233"/>
      <c r="G412" s="233"/>
      <c r="H412" s="233"/>
      <c r="I412" s="233"/>
      <c r="J412" s="233"/>
      <c r="K412" s="233"/>
      <c r="L412" s="233"/>
      <c r="M412" s="233"/>
      <c r="N412" s="233"/>
      <c r="O412" s="233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  <c r="Z412" s="233"/>
    </row>
    <row r="413">
      <c r="A413" s="233"/>
      <c r="B413" s="243"/>
      <c r="C413" s="98" t="s">
        <v>5664</v>
      </c>
      <c r="D413" s="215">
        <v>9500.0</v>
      </c>
      <c r="E413" s="244" t="s">
        <v>5279</v>
      </c>
      <c r="F413" s="233"/>
      <c r="G413" s="233"/>
      <c r="H413" s="233"/>
      <c r="I413" s="233"/>
      <c r="J413" s="233"/>
      <c r="K413" s="233"/>
      <c r="L413" s="233"/>
      <c r="M413" s="233"/>
      <c r="N413" s="233"/>
      <c r="O413" s="233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  <c r="Z413" s="233"/>
    </row>
    <row r="414">
      <c r="A414" s="233"/>
      <c r="B414" s="243"/>
      <c r="C414" s="98" t="s">
        <v>5665</v>
      </c>
      <c r="D414" s="215">
        <v>9500.0</v>
      </c>
      <c r="E414" s="244" t="s">
        <v>5279</v>
      </c>
      <c r="F414" s="233"/>
      <c r="G414" s="233"/>
      <c r="H414" s="233"/>
      <c r="I414" s="233"/>
      <c r="J414" s="233"/>
      <c r="K414" s="233"/>
      <c r="L414" s="233"/>
      <c r="M414" s="233"/>
      <c r="N414" s="233"/>
      <c r="O414" s="233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  <c r="Z414" s="233"/>
    </row>
    <row r="415">
      <c r="A415" s="233"/>
      <c r="B415" s="243"/>
      <c r="C415" s="98" t="s">
        <v>5666</v>
      </c>
      <c r="D415" s="215">
        <v>6500.0</v>
      </c>
      <c r="E415" s="244" t="s">
        <v>5279</v>
      </c>
      <c r="F415" s="233"/>
      <c r="G415" s="233"/>
      <c r="H415" s="233"/>
      <c r="I415" s="233"/>
      <c r="J415" s="233"/>
      <c r="K415" s="233"/>
      <c r="L415" s="233"/>
      <c r="M415" s="233"/>
      <c r="N415" s="233"/>
      <c r="O415" s="233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  <c r="Z415" s="233"/>
    </row>
    <row r="416">
      <c r="A416" s="233"/>
      <c r="B416" s="243"/>
      <c r="C416" s="98" t="s">
        <v>5667</v>
      </c>
      <c r="D416" s="215">
        <v>4500.0</v>
      </c>
      <c r="E416" s="244" t="s">
        <v>5279</v>
      </c>
      <c r="F416" s="233"/>
      <c r="G416" s="233"/>
      <c r="H416" s="233"/>
      <c r="I416" s="233"/>
      <c r="J416" s="233"/>
      <c r="K416" s="233"/>
      <c r="L416" s="233"/>
      <c r="M416" s="233"/>
      <c r="N416" s="233"/>
      <c r="O416" s="233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  <c r="Z416" s="233"/>
    </row>
    <row r="417">
      <c r="A417" s="233"/>
      <c r="B417" s="245"/>
      <c r="C417" s="246" t="s">
        <v>5668</v>
      </c>
      <c r="D417" s="247">
        <v>3000.0</v>
      </c>
      <c r="E417" s="248" t="s">
        <v>5279</v>
      </c>
      <c r="F417" s="233"/>
      <c r="G417" s="233"/>
      <c r="H417" s="233"/>
      <c r="I417" s="233"/>
      <c r="J417" s="233"/>
      <c r="K417" s="233"/>
      <c r="L417" s="233"/>
      <c r="M417" s="233"/>
      <c r="N417" s="233"/>
      <c r="O417" s="233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  <c r="Z417" s="233"/>
    </row>
    <row r="418">
      <c r="A418" s="233"/>
      <c r="B418" s="249"/>
      <c r="C418" s="99"/>
      <c r="D418" s="1"/>
      <c r="E418" s="1"/>
      <c r="F418" s="233"/>
      <c r="G418" s="233"/>
      <c r="H418" s="233"/>
      <c r="I418" s="233"/>
      <c r="J418" s="233"/>
      <c r="K418" s="233"/>
      <c r="L418" s="233"/>
      <c r="M418" s="233"/>
      <c r="N418" s="233"/>
      <c r="O418" s="233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  <c r="Z418" s="233"/>
    </row>
    <row r="419">
      <c r="A419" s="233"/>
      <c r="B419" s="239" t="s">
        <v>236</v>
      </c>
      <c r="C419" s="240" t="s">
        <v>5669</v>
      </c>
      <c r="D419" s="241">
        <v>0.0</v>
      </c>
      <c r="E419" s="242" t="s">
        <v>5279</v>
      </c>
      <c r="F419" s="233"/>
      <c r="G419" s="233"/>
      <c r="H419" s="233"/>
      <c r="I419" s="233"/>
      <c r="J419" s="233"/>
      <c r="K419" s="233"/>
      <c r="L419" s="233"/>
      <c r="M419" s="233"/>
      <c r="N419" s="233"/>
      <c r="O419" s="233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  <c r="Z419" s="233"/>
    </row>
    <row r="420">
      <c r="A420" s="233"/>
      <c r="B420" s="243"/>
      <c r="C420" s="98" t="s">
        <v>5670</v>
      </c>
      <c r="D420" s="215">
        <v>10000.0</v>
      </c>
      <c r="E420" s="244" t="s">
        <v>5671</v>
      </c>
      <c r="F420" s="233"/>
      <c r="G420" s="233"/>
      <c r="H420" s="233"/>
      <c r="I420" s="233"/>
      <c r="J420" s="233"/>
      <c r="K420" s="233"/>
      <c r="L420" s="233"/>
      <c r="M420" s="233"/>
      <c r="N420" s="233"/>
      <c r="O420" s="233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  <c r="Z420" s="233"/>
    </row>
    <row r="421">
      <c r="A421" s="233"/>
      <c r="B421" s="243"/>
      <c r="C421" s="98" t="s">
        <v>5672</v>
      </c>
      <c r="D421" s="215">
        <v>7000.0</v>
      </c>
      <c r="E421" s="244" t="s">
        <v>5671</v>
      </c>
      <c r="F421" s="233"/>
      <c r="G421" s="233"/>
      <c r="H421" s="233"/>
      <c r="I421" s="233"/>
      <c r="J421" s="233"/>
      <c r="K421" s="233"/>
      <c r="L421" s="233"/>
      <c r="M421" s="233"/>
      <c r="N421" s="233"/>
      <c r="O421" s="233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  <c r="Z421" s="233"/>
    </row>
    <row r="422">
      <c r="A422" s="233"/>
      <c r="B422" s="243"/>
      <c r="C422" s="98" t="s">
        <v>5673</v>
      </c>
      <c r="D422" s="215">
        <v>7000.0</v>
      </c>
      <c r="E422" s="244" t="s">
        <v>5671</v>
      </c>
      <c r="F422" s="233"/>
      <c r="G422" s="233"/>
      <c r="H422" s="233"/>
      <c r="I422" s="233"/>
      <c r="J422" s="233"/>
      <c r="K422" s="233"/>
      <c r="L422" s="233"/>
      <c r="M422" s="233"/>
      <c r="N422" s="233"/>
      <c r="O422" s="233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  <c r="Z422" s="233"/>
    </row>
    <row r="423">
      <c r="A423" s="233"/>
      <c r="B423" s="243"/>
      <c r="C423" s="98" t="s">
        <v>5674</v>
      </c>
      <c r="D423" s="215">
        <v>6000.0</v>
      </c>
      <c r="E423" s="244" t="s">
        <v>5279</v>
      </c>
      <c r="F423" s="233"/>
      <c r="G423" s="233"/>
      <c r="H423" s="233"/>
      <c r="I423" s="233"/>
      <c r="J423" s="233"/>
      <c r="K423" s="233"/>
      <c r="L423" s="233"/>
      <c r="M423" s="233"/>
      <c r="N423" s="233"/>
      <c r="O423" s="233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  <c r="Z423" s="233"/>
    </row>
    <row r="424">
      <c r="A424" s="233"/>
      <c r="B424" s="243"/>
      <c r="C424" s="98" t="s">
        <v>5675</v>
      </c>
      <c r="D424" s="215">
        <v>9000.0</v>
      </c>
      <c r="E424" s="244" t="s">
        <v>5279</v>
      </c>
      <c r="F424" s="233"/>
      <c r="G424" s="233"/>
      <c r="H424" s="233"/>
      <c r="I424" s="233"/>
      <c r="J424" s="233"/>
      <c r="K424" s="233"/>
      <c r="L424" s="233"/>
      <c r="M424" s="233"/>
      <c r="N424" s="233"/>
      <c r="O424" s="233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  <c r="Z424" s="233"/>
    </row>
    <row r="425">
      <c r="A425" s="233"/>
      <c r="B425" s="243"/>
      <c r="C425" s="98" t="s">
        <v>5676</v>
      </c>
      <c r="D425" s="215">
        <v>5000.0</v>
      </c>
      <c r="E425" s="244" t="s">
        <v>5279</v>
      </c>
      <c r="F425" s="233"/>
      <c r="G425" s="233"/>
      <c r="H425" s="233"/>
      <c r="I425" s="233"/>
      <c r="J425" s="233"/>
      <c r="K425" s="233"/>
      <c r="L425" s="233"/>
      <c r="M425" s="233"/>
      <c r="N425" s="233"/>
      <c r="O425" s="233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  <c r="Z425" s="233"/>
    </row>
    <row r="426">
      <c r="A426" s="233"/>
      <c r="B426" s="243"/>
      <c r="C426" s="98" t="s">
        <v>5677</v>
      </c>
      <c r="D426" s="215">
        <v>6000.0</v>
      </c>
      <c r="E426" s="244" t="s">
        <v>5279</v>
      </c>
      <c r="F426" s="233"/>
      <c r="G426" s="233"/>
      <c r="H426" s="233"/>
      <c r="I426" s="233"/>
      <c r="J426" s="233"/>
      <c r="K426" s="233"/>
      <c r="L426" s="233"/>
      <c r="M426" s="233"/>
      <c r="N426" s="233"/>
      <c r="O426" s="233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  <c r="Z426" s="233"/>
    </row>
    <row r="427">
      <c r="A427" s="233"/>
      <c r="B427" s="243"/>
      <c r="C427" s="98" t="s">
        <v>5678</v>
      </c>
      <c r="D427" s="215">
        <v>3000.0</v>
      </c>
      <c r="E427" s="244" t="s">
        <v>5279</v>
      </c>
      <c r="F427" s="233"/>
      <c r="G427" s="233"/>
      <c r="H427" s="233"/>
      <c r="I427" s="233"/>
      <c r="J427" s="233"/>
      <c r="K427" s="233"/>
      <c r="L427" s="233"/>
      <c r="M427" s="233"/>
      <c r="N427" s="233"/>
      <c r="O427" s="233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  <c r="Z427" s="233"/>
    </row>
    <row r="428">
      <c r="A428" s="233"/>
      <c r="B428" s="243"/>
      <c r="C428" s="98" t="s">
        <v>5679</v>
      </c>
      <c r="D428" s="215">
        <v>16000.0</v>
      </c>
      <c r="E428" s="244" t="s">
        <v>5279</v>
      </c>
      <c r="F428" s="233"/>
      <c r="G428" s="233"/>
      <c r="H428" s="233"/>
      <c r="I428" s="233"/>
      <c r="J428" s="233"/>
      <c r="K428" s="233"/>
      <c r="L428" s="233"/>
      <c r="M428" s="233"/>
      <c r="N428" s="233"/>
      <c r="O428" s="233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  <c r="Z428" s="233"/>
    </row>
    <row r="429">
      <c r="A429" s="233"/>
      <c r="B429" s="243"/>
      <c r="C429" s="98" t="s">
        <v>5680</v>
      </c>
      <c r="D429" s="215">
        <v>6500.0</v>
      </c>
      <c r="E429" s="244" t="s">
        <v>5279</v>
      </c>
      <c r="F429" s="233"/>
      <c r="G429" s="233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  <c r="Z429" s="233"/>
    </row>
    <row r="430">
      <c r="A430" s="233"/>
      <c r="B430" s="243"/>
      <c r="C430" s="98" t="s">
        <v>5681</v>
      </c>
      <c r="D430" s="215">
        <v>6500.0</v>
      </c>
      <c r="E430" s="244" t="s">
        <v>5279</v>
      </c>
      <c r="F430" s="233"/>
      <c r="G430" s="233"/>
      <c r="H430" s="233"/>
      <c r="I430" s="233"/>
      <c r="J430" s="233"/>
      <c r="K430" s="233"/>
      <c r="L430" s="233"/>
      <c r="M430" s="233"/>
      <c r="N430" s="233"/>
      <c r="O430" s="233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  <c r="Z430" s="233"/>
    </row>
    <row r="431">
      <c r="A431" s="233"/>
      <c r="B431" s="245"/>
      <c r="C431" s="246" t="s">
        <v>5682</v>
      </c>
      <c r="D431" s="247">
        <v>4500.0</v>
      </c>
      <c r="E431" s="248" t="s">
        <v>5279</v>
      </c>
      <c r="F431" s="233"/>
      <c r="G431" s="233"/>
      <c r="H431" s="233"/>
      <c r="I431" s="233"/>
      <c r="J431" s="233"/>
      <c r="K431" s="233"/>
      <c r="L431" s="233"/>
      <c r="M431" s="233"/>
      <c r="N431" s="233"/>
      <c r="O431" s="233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  <c r="Z431" s="233"/>
    </row>
    <row r="432">
      <c r="A432" s="233"/>
      <c r="B432" s="249"/>
      <c r="C432" s="99"/>
      <c r="D432" s="1"/>
      <c r="E432" s="1"/>
      <c r="F432" s="233"/>
      <c r="G432" s="233"/>
      <c r="H432" s="233"/>
      <c r="I432" s="233"/>
      <c r="J432" s="233"/>
      <c r="K432" s="233"/>
      <c r="L432" s="233"/>
      <c r="M432" s="233"/>
      <c r="N432" s="233"/>
      <c r="O432" s="233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  <c r="Z432" s="233"/>
    </row>
    <row r="433">
      <c r="A433" s="233"/>
      <c r="B433" s="239" t="s">
        <v>238</v>
      </c>
      <c r="C433" s="240" t="s">
        <v>5683</v>
      </c>
      <c r="D433" s="241">
        <v>0.0</v>
      </c>
      <c r="E433" s="242" t="s">
        <v>5279</v>
      </c>
      <c r="F433" s="233"/>
      <c r="G433" s="233"/>
      <c r="H433" s="233"/>
      <c r="I433" s="233"/>
      <c r="J433" s="233"/>
      <c r="K433" s="233"/>
      <c r="L433" s="233"/>
      <c r="M433" s="233"/>
      <c r="N433" s="233"/>
      <c r="O433" s="233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  <c r="Z433" s="233"/>
    </row>
    <row r="434">
      <c r="A434" s="233"/>
      <c r="B434" s="243"/>
      <c r="C434" s="98" t="s">
        <v>5684</v>
      </c>
      <c r="D434" s="215">
        <v>15000.0</v>
      </c>
      <c r="E434" s="244" t="s">
        <v>5671</v>
      </c>
      <c r="F434" s="233"/>
      <c r="G434" s="233"/>
      <c r="H434" s="233"/>
      <c r="I434" s="233"/>
      <c r="J434" s="233"/>
      <c r="K434" s="233"/>
      <c r="L434" s="233"/>
      <c r="M434" s="233"/>
      <c r="N434" s="233"/>
      <c r="O434" s="233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  <c r="Z434" s="233"/>
    </row>
    <row r="435">
      <c r="A435" s="233"/>
      <c r="B435" s="243"/>
      <c r="C435" s="98" t="s">
        <v>5685</v>
      </c>
      <c r="D435" s="215">
        <v>8500.0</v>
      </c>
      <c r="E435" s="244" t="s">
        <v>5671</v>
      </c>
      <c r="F435" s="233"/>
      <c r="G435" s="233"/>
      <c r="H435" s="233"/>
      <c r="I435" s="233"/>
      <c r="J435" s="233"/>
      <c r="K435" s="233"/>
      <c r="L435" s="233"/>
      <c r="M435" s="233"/>
      <c r="N435" s="233"/>
      <c r="O435" s="233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  <c r="Z435" s="233"/>
    </row>
    <row r="436">
      <c r="A436" s="233"/>
      <c r="B436" s="243"/>
      <c r="C436" s="98" t="s">
        <v>5686</v>
      </c>
      <c r="D436" s="215">
        <v>8500.0</v>
      </c>
      <c r="E436" s="244" t="s">
        <v>5671</v>
      </c>
      <c r="F436" s="233"/>
      <c r="G436" s="233"/>
      <c r="H436" s="233"/>
      <c r="I436" s="233"/>
      <c r="J436" s="233"/>
      <c r="K436" s="233"/>
      <c r="L436" s="233"/>
      <c r="M436" s="233"/>
      <c r="N436" s="233"/>
      <c r="O436" s="233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  <c r="Z436" s="233"/>
    </row>
    <row r="437">
      <c r="A437" s="233"/>
      <c r="B437" s="243"/>
      <c r="C437" s="98" t="s">
        <v>5687</v>
      </c>
      <c r="D437" s="215">
        <v>6000.0</v>
      </c>
      <c r="E437" s="244" t="s">
        <v>5279</v>
      </c>
      <c r="F437" s="233"/>
      <c r="G437" s="233"/>
      <c r="H437" s="233"/>
      <c r="I437" s="233"/>
      <c r="J437" s="233"/>
      <c r="K437" s="233"/>
      <c r="L437" s="233"/>
      <c r="M437" s="233"/>
      <c r="N437" s="233"/>
      <c r="O437" s="233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  <c r="Z437" s="233"/>
    </row>
    <row r="438">
      <c r="A438" s="233"/>
      <c r="B438" s="243"/>
      <c r="C438" s="98" t="s">
        <v>5688</v>
      </c>
      <c r="D438" s="215">
        <v>9000.0</v>
      </c>
      <c r="E438" s="244" t="s">
        <v>5279</v>
      </c>
      <c r="F438" s="233"/>
      <c r="G438" s="233"/>
      <c r="H438" s="233"/>
      <c r="I438" s="233"/>
      <c r="J438" s="233"/>
      <c r="K438" s="233"/>
      <c r="L438" s="233"/>
      <c r="M438" s="233"/>
      <c r="N438" s="233"/>
      <c r="O438" s="233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  <c r="Z438" s="233"/>
    </row>
    <row r="439">
      <c r="A439" s="233"/>
      <c r="B439" s="243"/>
      <c r="C439" s="98" t="s">
        <v>5689</v>
      </c>
      <c r="D439" s="215">
        <v>5000.0</v>
      </c>
      <c r="E439" s="244" t="s">
        <v>5279</v>
      </c>
      <c r="F439" s="233"/>
      <c r="G439" s="233"/>
      <c r="H439" s="233"/>
      <c r="I439" s="233"/>
      <c r="J439" s="233"/>
      <c r="K439" s="233"/>
      <c r="L439" s="233"/>
      <c r="M439" s="233"/>
      <c r="N439" s="233"/>
      <c r="O439" s="233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  <c r="Z439" s="233"/>
    </row>
    <row r="440">
      <c r="A440" s="233"/>
      <c r="B440" s="243"/>
      <c r="C440" s="98" t="s">
        <v>5690</v>
      </c>
      <c r="D440" s="215">
        <v>6000.0</v>
      </c>
      <c r="E440" s="244" t="s">
        <v>5279</v>
      </c>
      <c r="F440" s="233"/>
      <c r="G440" s="233"/>
      <c r="H440" s="233"/>
      <c r="I440" s="233"/>
      <c r="J440" s="233"/>
      <c r="K440" s="233"/>
      <c r="L440" s="233"/>
      <c r="M440" s="233"/>
      <c r="N440" s="233"/>
      <c r="O440" s="233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  <c r="Z440" s="233"/>
    </row>
    <row r="441">
      <c r="A441" s="233"/>
      <c r="B441" s="243"/>
      <c r="C441" s="98" t="s">
        <v>5691</v>
      </c>
      <c r="D441" s="215">
        <v>3000.0</v>
      </c>
      <c r="E441" s="244" t="s">
        <v>5279</v>
      </c>
      <c r="F441" s="233"/>
      <c r="G441" s="233"/>
      <c r="H441" s="233"/>
      <c r="I441" s="233"/>
      <c r="J441" s="233"/>
      <c r="K441" s="233"/>
      <c r="L441" s="233"/>
      <c r="M441" s="233"/>
      <c r="N441" s="233"/>
      <c r="O441" s="233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  <c r="Z441" s="233"/>
    </row>
    <row r="442">
      <c r="A442" s="233"/>
      <c r="B442" s="243"/>
      <c r="C442" s="98" t="s">
        <v>5692</v>
      </c>
      <c r="D442" s="215">
        <v>16000.0</v>
      </c>
      <c r="E442" s="244" t="s">
        <v>5279</v>
      </c>
      <c r="F442" s="233"/>
      <c r="G442" s="233"/>
      <c r="H442" s="233"/>
      <c r="I442" s="233"/>
      <c r="J442" s="233"/>
      <c r="K442" s="233"/>
      <c r="L442" s="233"/>
      <c r="M442" s="233"/>
      <c r="N442" s="233"/>
      <c r="O442" s="233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  <c r="Z442" s="233"/>
    </row>
    <row r="443">
      <c r="A443" s="233"/>
      <c r="B443" s="243"/>
      <c r="C443" s="98" t="s">
        <v>5693</v>
      </c>
      <c r="D443" s="215">
        <v>6500.0</v>
      </c>
      <c r="E443" s="244" t="s">
        <v>5279</v>
      </c>
      <c r="F443" s="233"/>
      <c r="G443" s="233"/>
      <c r="H443" s="233"/>
      <c r="I443" s="233"/>
      <c r="J443" s="233"/>
      <c r="K443" s="233"/>
      <c r="L443" s="233"/>
      <c r="M443" s="233"/>
      <c r="N443" s="233"/>
      <c r="O443" s="233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  <c r="Z443" s="233"/>
    </row>
    <row r="444">
      <c r="A444" s="233"/>
      <c r="B444" s="243"/>
      <c r="C444" s="98" t="s">
        <v>5694</v>
      </c>
      <c r="D444" s="215">
        <v>6500.0</v>
      </c>
      <c r="E444" s="244" t="s">
        <v>5279</v>
      </c>
      <c r="F444" s="233"/>
      <c r="G444" s="233"/>
      <c r="H444" s="233"/>
      <c r="I444" s="233"/>
      <c r="J444" s="233"/>
      <c r="K444" s="233"/>
      <c r="L444" s="233"/>
      <c r="M444" s="233"/>
      <c r="N444" s="233"/>
      <c r="O444" s="233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  <c r="Z444" s="233"/>
    </row>
    <row r="445">
      <c r="A445" s="233"/>
      <c r="B445" s="245"/>
      <c r="C445" s="246" t="s">
        <v>5695</v>
      </c>
      <c r="D445" s="247">
        <v>4500.0</v>
      </c>
      <c r="E445" s="248" t="s">
        <v>5279</v>
      </c>
      <c r="F445" s="233"/>
      <c r="G445" s="233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</row>
    <row r="446">
      <c r="A446" s="233"/>
      <c r="B446" s="249"/>
      <c r="C446" s="99"/>
      <c r="D446" s="1"/>
      <c r="E446" s="1"/>
      <c r="F446" s="233"/>
      <c r="G446" s="233"/>
      <c r="H446" s="233"/>
      <c r="I446" s="233"/>
      <c r="J446" s="233"/>
      <c r="K446" s="233"/>
      <c r="L446" s="233"/>
      <c r="M446" s="233"/>
      <c r="N446" s="233"/>
      <c r="O446" s="233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  <c r="Z446" s="233"/>
    </row>
    <row r="447">
      <c r="A447" s="233"/>
      <c r="B447" s="239" t="s">
        <v>246</v>
      </c>
      <c r="C447" s="240" t="s">
        <v>5696</v>
      </c>
      <c r="D447" s="241">
        <v>0.0</v>
      </c>
      <c r="E447" s="242" t="s">
        <v>5279</v>
      </c>
      <c r="F447" s="233"/>
      <c r="G447" s="233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  <c r="Z447" s="233"/>
    </row>
    <row r="448">
      <c r="A448" s="233"/>
      <c r="B448" s="243"/>
      <c r="C448" s="98" t="s">
        <v>5697</v>
      </c>
      <c r="D448" s="215">
        <v>15000.0</v>
      </c>
      <c r="E448" s="244" t="s">
        <v>5671</v>
      </c>
      <c r="F448" s="233"/>
      <c r="G448" s="233"/>
      <c r="H448" s="233"/>
      <c r="I448" s="233"/>
      <c r="J448" s="233"/>
      <c r="K448" s="233"/>
      <c r="L448" s="233"/>
      <c r="M448" s="233"/>
      <c r="N448" s="233"/>
      <c r="O448" s="233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  <c r="Z448" s="233"/>
    </row>
    <row r="449">
      <c r="A449" s="233"/>
      <c r="B449" s="243"/>
      <c r="C449" s="98" t="s">
        <v>5698</v>
      </c>
      <c r="D449" s="215">
        <v>10000.0</v>
      </c>
      <c r="E449" s="244" t="s">
        <v>5671</v>
      </c>
      <c r="F449" s="233"/>
      <c r="G449" s="233"/>
      <c r="H449" s="233"/>
      <c r="I449" s="233"/>
      <c r="J449" s="233"/>
      <c r="K449" s="233"/>
      <c r="L449" s="233"/>
      <c r="M449" s="233"/>
      <c r="N449" s="233"/>
      <c r="O449" s="233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  <c r="Z449" s="233"/>
    </row>
    <row r="450">
      <c r="A450" s="233"/>
      <c r="B450" s="243"/>
      <c r="C450" s="98" t="s">
        <v>5699</v>
      </c>
      <c r="D450" s="215">
        <v>10000.0</v>
      </c>
      <c r="E450" s="244" t="s">
        <v>5671</v>
      </c>
      <c r="F450" s="233"/>
      <c r="G450" s="233"/>
      <c r="H450" s="233"/>
      <c r="I450" s="233"/>
      <c r="J450" s="233"/>
      <c r="K450" s="233"/>
      <c r="L450" s="233"/>
      <c r="M450" s="233"/>
      <c r="N450" s="233"/>
      <c r="O450" s="233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  <c r="Z450" s="233"/>
    </row>
    <row r="451">
      <c r="A451" s="233"/>
      <c r="B451" s="243"/>
      <c r="C451" s="98" t="s">
        <v>5700</v>
      </c>
      <c r="D451" s="215">
        <v>6000.0</v>
      </c>
      <c r="E451" s="244" t="s">
        <v>5279</v>
      </c>
      <c r="F451" s="233"/>
      <c r="G451" s="233"/>
      <c r="H451" s="233"/>
      <c r="I451" s="233"/>
      <c r="J451" s="233"/>
      <c r="K451" s="233"/>
      <c r="L451" s="233"/>
      <c r="M451" s="233"/>
      <c r="N451" s="233"/>
      <c r="O451" s="233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  <c r="Z451" s="233"/>
    </row>
    <row r="452">
      <c r="A452" s="233"/>
      <c r="B452" s="243"/>
      <c r="C452" s="98" t="s">
        <v>5701</v>
      </c>
      <c r="D452" s="215">
        <v>10000.0</v>
      </c>
      <c r="E452" s="244" t="s">
        <v>5279</v>
      </c>
      <c r="F452" s="233"/>
      <c r="G452" s="233"/>
      <c r="H452" s="233"/>
      <c r="I452" s="233"/>
      <c r="J452" s="233"/>
      <c r="K452" s="233"/>
      <c r="L452" s="233"/>
      <c r="M452" s="233"/>
      <c r="N452" s="233"/>
      <c r="O452" s="233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33"/>
    </row>
    <row r="453">
      <c r="A453" s="233"/>
      <c r="B453" s="243"/>
      <c r="C453" s="98" t="s">
        <v>5702</v>
      </c>
      <c r="D453" s="215">
        <v>5000.0</v>
      </c>
      <c r="E453" s="244" t="s">
        <v>5279</v>
      </c>
      <c r="F453" s="233"/>
      <c r="G453" s="233"/>
      <c r="H453" s="233"/>
      <c r="I453" s="233"/>
      <c r="J453" s="233"/>
      <c r="K453" s="233"/>
      <c r="L453" s="233"/>
      <c r="M453" s="233"/>
      <c r="N453" s="233"/>
      <c r="O453" s="233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  <c r="Z453" s="233"/>
    </row>
    <row r="454">
      <c r="A454" s="233"/>
      <c r="B454" s="243"/>
      <c r="C454" s="98" t="s">
        <v>5703</v>
      </c>
      <c r="D454" s="215">
        <v>6000.0</v>
      </c>
      <c r="E454" s="244" t="s">
        <v>5279</v>
      </c>
      <c r="F454" s="233"/>
      <c r="G454" s="233"/>
      <c r="H454" s="233"/>
      <c r="I454" s="233"/>
      <c r="J454" s="233"/>
      <c r="K454" s="233"/>
      <c r="L454" s="233"/>
      <c r="M454" s="233"/>
      <c r="N454" s="233"/>
      <c r="O454" s="233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  <c r="Z454" s="233"/>
    </row>
    <row r="455">
      <c r="A455" s="233"/>
      <c r="B455" s="243"/>
      <c r="C455" s="98" t="s">
        <v>5704</v>
      </c>
      <c r="D455" s="215">
        <v>3000.0</v>
      </c>
      <c r="E455" s="244" t="s">
        <v>5279</v>
      </c>
      <c r="F455" s="233"/>
      <c r="G455" s="233"/>
      <c r="H455" s="233"/>
      <c r="I455" s="233"/>
      <c r="J455" s="233"/>
      <c r="K455" s="233"/>
      <c r="L455" s="233"/>
      <c r="M455" s="233"/>
      <c r="N455" s="233"/>
      <c r="O455" s="233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  <c r="Z455" s="233"/>
    </row>
    <row r="456">
      <c r="A456" s="233"/>
      <c r="B456" s="243"/>
      <c r="C456" s="98" t="s">
        <v>5705</v>
      </c>
      <c r="D456" s="215">
        <v>16000.0</v>
      </c>
      <c r="E456" s="244" t="s">
        <v>5279</v>
      </c>
      <c r="F456" s="233"/>
      <c r="G456" s="233"/>
      <c r="H456" s="233"/>
      <c r="I456" s="233"/>
      <c r="J456" s="233"/>
      <c r="K456" s="233"/>
      <c r="L456" s="233"/>
      <c r="M456" s="233"/>
      <c r="N456" s="233"/>
      <c r="O456" s="233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  <c r="Z456" s="233"/>
    </row>
    <row r="457">
      <c r="A457" s="233"/>
      <c r="B457" s="243"/>
      <c r="C457" s="98" t="s">
        <v>5706</v>
      </c>
      <c r="D457" s="215">
        <v>9500.0</v>
      </c>
      <c r="E457" s="244" t="s">
        <v>5279</v>
      </c>
      <c r="F457" s="233"/>
      <c r="G457" s="233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  <c r="Z457" s="233"/>
    </row>
    <row r="458">
      <c r="A458" s="233"/>
      <c r="B458" s="243"/>
      <c r="C458" s="98" t="s">
        <v>5707</v>
      </c>
      <c r="D458" s="215">
        <v>7500.0</v>
      </c>
      <c r="E458" s="244" t="s">
        <v>5279</v>
      </c>
      <c r="F458" s="233"/>
      <c r="G458" s="233"/>
      <c r="H458" s="233"/>
      <c r="I458" s="233"/>
      <c r="J458" s="233"/>
      <c r="K458" s="233"/>
      <c r="L458" s="233"/>
      <c r="M458" s="233"/>
      <c r="N458" s="233"/>
      <c r="O458" s="233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  <c r="Z458" s="233"/>
    </row>
    <row r="459">
      <c r="A459" s="233"/>
      <c r="B459" s="245"/>
      <c r="C459" s="246" t="s">
        <v>5708</v>
      </c>
      <c r="D459" s="247">
        <v>5000.0</v>
      </c>
      <c r="E459" s="248" t="s">
        <v>5279</v>
      </c>
      <c r="F459" s="233"/>
      <c r="G459" s="233"/>
      <c r="H459" s="233"/>
      <c r="I459" s="233"/>
      <c r="J459" s="233"/>
      <c r="K459" s="233"/>
      <c r="L459" s="233"/>
      <c r="M459" s="233"/>
      <c r="N459" s="233"/>
      <c r="O459" s="233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  <c r="Z459" s="233"/>
    </row>
    <row r="460">
      <c r="A460" s="233"/>
      <c r="B460" s="249"/>
      <c r="C460" s="99"/>
      <c r="D460" s="1"/>
      <c r="E460" s="1"/>
      <c r="F460" s="233"/>
      <c r="G460" s="233"/>
      <c r="H460" s="233"/>
      <c r="I460" s="233"/>
      <c r="J460" s="233"/>
      <c r="K460" s="233"/>
      <c r="L460" s="233"/>
      <c r="M460" s="233"/>
      <c r="N460" s="233"/>
      <c r="O460" s="233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  <c r="Z460" s="233"/>
    </row>
    <row r="461">
      <c r="A461" s="233"/>
      <c r="B461" s="239" t="s">
        <v>254</v>
      </c>
      <c r="C461" s="240" t="s">
        <v>5709</v>
      </c>
      <c r="D461" s="241">
        <v>0.0</v>
      </c>
      <c r="E461" s="242" t="s">
        <v>5279</v>
      </c>
      <c r="F461" s="233"/>
      <c r="G461" s="233"/>
      <c r="H461" s="233"/>
      <c r="I461" s="233"/>
      <c r="J461" s="233"/>
      <c r="K461" s="233"/>
      <c r="L461" s="233"/>
      <c r="M461" s="233"/>
      <c r="N461" s="233"/>
      <c r="O461" s="233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  <c r="Z461" s="233"/>
    </row>
    <row r="462">
      <c r="A462" s="233"/>
      <c r="B462" s="243"/>
      <c r="C462" s="98" t="s">
        <v>5710</v>
      </c>
      <c r="D462" s="215">
        <v>15000.0</v>
      </c>
      <c r="E462" s="244" t="s">
        <v>5671</v>
      </c>
      <c r="F462" s="233"/>
      <c r="G462" s="233"/>
      <c r="H462" s="233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  <c r="Z462" s="233"/>
    </row>
    <row r="463">
      <c r="A463" s="233"/>
      <c r="B463" s="243"/>
      <c r="C463" s="98" t="s">
        <v>5711</v>
      </c>
      <c r="D463" s="215">
        <v>10000.0</v>
      </c>
      <c r="E463" s="244" t="s">
        <v>5671</v>
      </c>
      <c r="F463" s="233"/>
      <c r="G463" s="233"/>
      <c r="H463" s="233"/>
      <c r="I463" s="233"/>
      <c r="J463" s="233"/>
      <c r="K463" s="233"/>
      <c r="L463" s="233"/>
      <c r="M463" s="233"/>
      <c r="N463" s="233"/>
      <c r="O463" s="233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  <c r="Z463" s="233"/>
    </row>
    <row r="464">
      <c r="A464" s="233"/>
      <c r="B464" s="243"/>
      <c r="C464" s="98" t="s">
        <v>5712</v>
      </c>
      <c r="D464" s="215">
        <v>10000.0</v>
      </c>
      <c r="E464" s="244" t="s">
        <v>5671</v>
      </c>
      <c r="F464" s="233"/>
      <c r="G464" s="233"/>
      <c r="H464" s="233"/>
      <c r="I464" s="233"/>
      <c r="J464" s="233"/>
      <c r="K464" s="233"/>
      <c r="L464" s="233"/>
      <c r="M464" s="233"/>
      <c r="N464" s="233"/>
      <c r="O464" s="233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  <c r="Z464" s="233"/>
    </row>
    <row r="465">
      <c r="A465" s="233"/>
      <c r="B465" s="243"/>
      <c r="C465" s="98" t="s">
        <v>5713</v>
      </c>
      <c r="D465" s="215">
        <v>6000.0</v>
      </c>
      <c r="E465" s="244" t="s">
        <v>5279</v>
      </c>
      <c r="F465" s="233"/>
      <c r="G465" s="233"/>
      <c r="H465" s="233"/>
      <c r="I465" s="233"/>
      <c r="J465" s="233"/>
      <c r="K465" s="233"/>
      <c r="L465" s="233"/>
      <c r="M465" s="233"/>
      <c r="N465" s="233"/>
      <c r="O465" s="233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  <c r="Z465" s="233"/>
    </row>
    <row r="466">
      <c r="A466" s="233"/>
      <c r="B466" s="243"/>
      <c r="C466" s="98" t="s">
        <v>5714</v>
      </c>
      <c r="D466" s="215">
        <v>12000.0</v>
      </c>
      <c r="E466" s="244" t="s">
        <v>5279</v>
      </c>
      <c r="F466" s="233"/>
      <c r="G466" s="233"/>
      <c r="H466" s="233"/>
      <c r="I466" s="233"/>
      <c r="J466" s="233"/>
      <c r="K466" s="233"/>
      <c r="L466" s="233"/>
      <c r="M466" s="233"/>
      <c r="N466" s="233"/>
      <c r="O466" s="233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  <c r="Z466" s="233"/>
    </row>
    <row r="467">
      <c r="A467" s="233"/>
      <c r="B467" s="243"/>
      <c r="C467" s="98" t="s">
        <v>5715</v>
      </c>
      <c r="D467" s="215">
        <v>6000.0</v>
      </c>
      <c r="E467" s="244" t="s">
        <v>5279</v>
      </c>
      <c r="F467" s="233"/>
      <c r="G467" s="233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  <c r="Z467" s="233"/>
    </row>
    <row r="468">
      <c r="A468" s="233"/>
      <c r="B468" s="243"/>
      <c r="C468" s="98" t="s">
        <v>5716</v>
      </c>
      <c r="D468" s="215">
        <v>7000.0</v>
      </c>
      <c r="E468" s="244" t="s">
        <v>5279</v>
      </c>
      <c r="F468" s="233"/>
      <c r="G468" s="233"/>
      <c r="H468" s="233"/>
      <c r="I468" s="233"/>
      <c r="J468" s="233"/>
      <c r="K468" s="233"/>
      <c r="L468" s="233"/>
      <c r="M468" s="233"/>
      <c r="N468" s="233"/>
      <c r="O468" s="233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  <c r="Z468" s="233"/>
    </row>
    <row r="469">
      <c r="A469" s="233"/>
      <c r="B469" s="243"/>
      <c r="C469" s="98" t="s">
        <v>5717</v>
      </c>
      <c r="D469" s="215">
        <v>3000.0</v>
      </c>
      <c r="E469" s="244" t="s">
        <v>5279</v>
      </c>
      <c r="F469" s="233"/>
      <c r="G469" s="233"/>
      <c r="H469" s="233"/>
      <c r="I469" s="233"/>
      <c r="J469" s="233"/>
      <c r="K469" s="233"/>
      <c r="L469" s="233"/>
      <c r="M469" s="233"/>
      <c r="N469" s="233"/>
      <c r="O469" s="233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  <c r="Z469" s="233"/>
    </row>
    <row r="470">
      <c r="A470" s="233"/>
      <c r="B470" s="243"/>
      <c r="C470" s="98" t="s">
        <v>5718</v>
      </c>
      <c r="D470" s="215">
        <v>16000.0</v>
      </c>
      <c r="E470" s="244" t="s">
        <v>5279</v>
      </c>
      <c r="F470" s="233"/>
      <c r="G470" s="233"/>
      <c r="H470" s="233"/>
      <c r="I470" s="233"/>
      <c r="J470" s="233"/>
      <c r="K470" s="233"/>
      <c r="L470" s="233"/>
      <c r="M470" s="233"/>
      <c r="N470" s="233"/>
      <c r="O470" s="233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  <c r="Z470" s="233"/>
    </row>
    <row r="471">
      <c r="A471" s="233"/>
      <c r="B471" s="243"/>
      <c r="C471" s="98" t="s">
        <v>5719</v>
      </c>
      <c r="D471" s="215">
        <v>10000.0</v>
      </c>
      <c r="E471" s="244" t="s">
        <v>5279</v>
      </c>
      <c r="F471" s="233"/>
      <c r="G471" s="233"/>
      <c r="H471" s="233"/>
      <c r="I471" s="233"/>
      <c r="J471" s="233"/>
      <c r="K471" s="233"/>
      <c r="L471" s="233"/>
      <c r="M471" s="233"/>
      <c r="N471" s="233"/>
      <c r="O471" s="233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  <c r="Z471" s="233"/>
    </row>
    <row r="472">
      <c r="A472" s="233"/>
      <c r="B472" s="243"/>
      <c r="C472" s="98" t="s">
        <v>5720</v>
      </c>
      <c r="D472" s="215">
        <v>8000.0</v>
      </c>
      <c r="E472" s="244" t="s">
        <v>5279</v>
      </c>
      <c r="F472" s="233"/>
      <c r="G472" s="233"/>
      <c r="H472" s="233"/>
      <c r="I472" s="233"/>
      <c r="J472" s="233"/>
      <c r="K472" s="233"/>
      <c r="L472" s="233"/>
      <c r="M472" s="233"/>
      <c r="N472" s="233"/>
      <c r="O472" s="233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  <c r="Z472" s="233"/>
    </row>
    <row r="473">
      <c r="A473" s="233"/>
      <c r="B473" s="245"/>
      <c r="C473" s="246" t="s">
        <v>5721</v>
      </c>
      <c r="D473" s="247">
        <v>5500.0</v>
      </c>
      <c r="E473" s="248" t="s">
        <v>5279</v>
      </c>
      <c r="F473" s="233"/>
      <c r="G473" s="233"/>
      <c r="H473" s="233"/>
      <c r="I473" s="233"/>
      <c r="J473" s="233"/>
      <c r="K473" s="233"/>
      <c r="L473" s="233"/>
      <c r="M473" s="233"/>
      <c r="N473" s="233"/>
      <c r="O473" s="233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  <c r="Z473" s="233"/>
    </row>
    <row r="474">
      <c r="A474" s="233"/>
      <c r="B474" s="249"/>
      <c r="C474" s="99"/>
      <c r="D474" s="1"/>
      <c r="E474" s="1"/>
      <c r="F474" s="233"/>
      <c r="G474" s="233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</row>
    <row r="475">
      <c r="A475" s="233"/>
      <c r="B475" s="239" t="s">
        <v>262</v>
      </c>
      <c r="C475" s="240" t="s">
        <v>5722</v>
      </c>
      <c r="D475" s="241">
        <v>0.0</v>
      </c>
      <c r="E475" s="242" t="s">
        <v>5279</v>
      </c>
      <c r="F475" s="233"/>
      <c r="G475" s="233"/>
      <c r="H475" s="233"/>
      <c r="I475" s="233"/>
      <c r="J475" s="233"/>
      <c r="K475" s="233"/>
      <c r="L475" s="233"/>
      <c r="M475" s="233"/>
      <c r="N475" s="233"/>
      <c r="O475" s="233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  <c r="Z475" s="233"/>
    </row>
    <row r="476">
      <c r="A476" s="233"/>
      <c r="B476" s="243"/>
      <c r="C476" s="98" t="s">
        <v>5723</v>
      </c>
      <c r="D476" s="215">
        <v>13000.0</v>
      </c>
      <c r="E476" s="244" t="s">
        <v>5279</v>
      </c>
      <c r="F476" s="233"/>
      <c r="G476" s="233"/>
      <c r="H476" s="233"/>
      <c r="I476" s="233"/>
      <c r="J476" s="233"/>
      <c r="K476" s="233"/>
      <c r="L476" s="233"/>
      <c r="M476" s="233"/>
      <c r="N476" s="233"/>
      <c r="O476" s="233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  <c r="Z476" s="233"/>
    </row>
    <row r="477">
      <c r="A477" s="233"/>
      <c r="B477" s="243"/>
      <c r="C477" s="98" t="s">
        <v>5724</v>
      </c>
      <c r="D477" s="215">
        <v>7000.0</v>
      </c>
      <c r="E477" s="244" t="s">
        <v>5279</v>
      </c>
      <c r="F477" s="233"/>
      <c r="G477" s="233"/>
      <c r="H477" s="233"/>
      <c r="I477" s="233"/>
      <c r="J477" s="233"/>
      <c r="K477" s="233"/>
      <c r="L477" s="233"/>
      <c r="M477" s="233"/>
      <c r="N477" s="233"/>
      <c r="O477" s="233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  <c r="Z477" s="233"/>
    </row>
    <row r="478">
      <c r="A478" s="233"/>
      <c r="B478" s="243"/>
      <c r="C478" s="98" t="s">
        <v>5725</v>
      </c>
      <c r="D478" s="215">
        <v>7500.0</v>
      </c>
      <c r="E478" s="244" t="s">
        <v>5279</v>
      </c>
      <c r="F478" s="233"/>
      <c r="G478" s="233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  <c r="Z478" s="233"/>
    </row>
    <row r="479">
      <c r="A479" s="233"/>
      <c r="B479" s="243"/>
      <c r="C479" s="98" t="s">
        <v>5726</v>
      </c>
      <c r="D479" s="215">
        <v>14000.0</v>
      </c>
      <c r="E479" s="244" t="s">
        <v>5279</v>
      </c>
      <c r="F479" s="233"/>
      <c r="G479" s="233"/>
      <c r="H479" s="233"/>
      <c r="I479" s="233"/>
      <c r="J479" s="233"/>
      <c r="K479" s="233"/>
      <c r="L479" s="233"/>
      <c r="M479" s="233"/>
      <c r="N479" s="233"/>
      <c r="O479" s="233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  <c r="Z479" s="233"/>
    </row>
    <row r="480">
      <c r="A480" s="233"/>
      <c r="B480" s="243"/>
      <c r="C480" s="98" t="s">
        <v>5727</v>
      </c>
      <c r="D480" s="215">
        <v>8000.0</v>
      </c>
      <c r="E480" s="244" t="s">
        <v>5279</v>
      </c>
      <c r="F480" s="233"/>
      <c r="G480" s="233"/>
      <c r="H480" s="233"/>
      <c r="I480" s="233"/>
      <c r="J480" s="233"/>
      <c r="K480" s="233"/>
      <c r="L480" s="233"/>
      <c r="M480" s="233"/>
      <c r="N480" s="233"/>
      <c r="O480" s="233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  <c r="Z480" s="233"/>
    </row>
    <row r="481">
      <c r="A481" s="233"/>
      <c r="B481" s="243"/>
      <c r="C481" s="98" t="s">
        <v>5728</v>
      </c>
      <c r="D481" s="215">
        <v>7000.0</v>
      </c>
      <c r="E481" s="244" t="s">
        <v>5279</v>
      </c>
      <c r="F481" s="233"/>
      <c r="G481" s="233"/>
      <c r="H481" s="233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  <c r="Z481" s="233"/>
    </row>
    <row r="482">
      <c r="A482" s="233"/>
      <c r="B482" s="245"/>
      <c r="C482" s="246" t="s">
        <v>5729</v>
      </c>
      <c r="D482" s="247">
        <v>10000.0</v>
      </c>
      <c r="E482" s="248" t="s">
        <v>5279</v>
      </c>
      <c r="F482" s="233"/>
      <c r="G482" s="233"/>
      <c r="H482" s="233"/>
      <c r="I482" s="233"/>
      <c r="J482" s="233"/>
      <c r="K482" s="233"/>
      <c r="L482" s="233"/>
      <c r="M482" s="233"/>
      <c r="N482" s="233"/>
      <c r="O482" s="233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  <c r="Z482" s="233"/>
    </row>
    <row r="483">
      <c r="A483" s="233"/>
      <c r="B483" s="249"/>
      <c r="C483" s="99"/>
      <c r="D483" s="1"/>
      <c r="E483" s="1"/>
      <c r="F483" s="233"/>
      <c r="G483" s="233"/>
      <c r="H483" s="233"/>
      <c r="I483" s="233"/>
      <c r="J483" s="233"/>
      <c r="K483" s="233"/>
      <c r="L483" s="233"/>
      <c r="M483" s="233"/>
      <c r="N483" s="233"/>
      <c r="O483" s="233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  <c r="Z483" s="233"/>
    </row>
    <row r="484">
      <c r="A484" s="233"/>
      <c r="B484" s="239" t="s">
        <v>269</v>
      </c>
      <c r="C484" s="240" t="s">
        <v>5730</v>
      </c>
      <c r="D484" s="241">
        <v>0.0</v>
      </c>
      <c r="E484" s="242" t="s">
        <v>5279</v>
      </c>
      <c r="F484" s="233"/>
      <c r="G484" s="233"/>
      <c r="H484" s="233"/>
      <c r="I484" s="233"/>
      <c r="J484" s="233"/>
      <c r="K484" s="233"/>
      <c r="L484" s="233"/>
      <c r="M484" s="233"/>
      <c r="N484" s="233"/>
      <c r="O484" s="233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  <c r="Z484" s="233"/>
    </row>
    <row r="485">
      <c r="A485" s="233"/>
      <c r="B485" s="243"/>
      <c r="C485" s="98" t="s">
        <v>5731</v>
      </c>
      <c r="D485" s="215">
        <v>17000.0</v>
      </c>
      <c r="E485" s="244" t="s">
        <v>5279</v>
      </c>
      <c r="F485" s="233"/>
      <c r="G485" s="233"/>
      <c r="H485" s="233"/>
      <c r="I485" s="233"/>
      <c r="J485" s="233"/>
      <c r="K485" s="233"/>
      <c r="L485" s="233"/>
      <c r="M485" s="233"/>
      <c r="N485" s="233"/>
      <c r="O485" s="233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  <c r="Z485" s="233"/>
    </row>
    <row r="486">
      <c r="A486" s="233"/>
      <c r="B486" s="243"/>
      <c r="C486" s="98" t="s">
        <v>5732</v>
      </c>
      <c r="D486" s="215">
        <v>10000.0</v>
      </c>
      <c r="E486" s="244" t="s">
        <v>5279</v>
      </c>
      <c r="F486" s="233"/>
      <c r="G486" s="233"/>
      <c r="H486" s="233"/>
      <c r="I486" s="233"/>
      <c r="J486" s="233"/>
      <c r="K486" s="233"/>
      <c r="L486" s="233"/>
      <c r="M486" s="233"/>
      <c r="N486" s="233"/>
      <c r="O486" s="233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  <c r="Z486" s="233"/>
    </row>
    <row r="487">
      <c r="A487" s="233"/>
      <c r="B487" s="243"/>
      <c r="C487" s="98" t="s">
        <v>5733</v>
      </c>
      <c r="D487" s="215">
        <v>10000.0</v>
      </c>
      <c r="E487" s="244" t="s">
        <v>5279</v>
      </c>
      <c r="F487" s="233"/>
      <c r="G487" s="233"/>
      <c r="H487" s="233"/>
      <c r="I487" s="233"/>
      <c r="J487" s="233"/>
      <c r="K487" s="233"/>
      <c r="L487" s="233"/>
      <c r="M487" s="233"/>
      <c r="N487" s="233"/>
      <c r="O487" s="233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  <c r="Z487" s="233"/>
    </row>
    <row r="488">
      <c r="A488" s="233"/>
      <c r="B488" s="243"/>
      <c r="C488" s="98" t="s">
        <v>5734</v>
      </c>
      <c r="D488" s="215">
        <v>14000.0</v>
      </c>
      <c r="E488" s="244" t="s">
        <v>5279</v>
      </c>
      <c r="F488" s="233"/>
      <c r="G488" s="233"/>
      <c r="H488" s="233"/>
      <c r="I488" s="233"/>
      <c r="J488" s="233"/>
      <c r="K488" s="233"/>
      <c r="L488" s="233"/>
      <c r="M488" s="233"/>
      <c r="N488" s="233"/>
      <c r="O488" s="233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  <c r="Z488" s="233"/>
    </row>
    <row r="489">
      <c r="A489" s="233"/>
      <c r="B489" s="243"/>
      <c r="C489" s="98" t="s">
        <v>5735</v>
      </c>
      <c r="D489" s="215">
        <v>8000.0</v>
      </c>
      <c r="E489" s="244" t="s">
        <v>5279</v>
      </c>
      <c r="F489" s="233"/>
      <c r="G489" s="233"/>
      <c r="H489" s="233"/>
      <c r="I489" s="233"/>
      <c r="J489" s="233"/>
      <c r="K489" s="233"/>
      <c r="L489" s="233"/>
      <c r="M489" s="233"/>
      <c r="N489" s="233"/>
      <c r="O489" s="233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  <c r="Z489" s="233"/>
    </row>
    <row r="490">
      <c r="A490" s="233"/>
      <c r="B490" s="243"/>
      <c r="C490" s="98" t="s">
        <v>5736</v>
      </c>
      <c r="D490" s="215">
        <v>7000.0</v>
      </c>
      <c r="E490" s="244" t="s">
        <v>5279</v>
      </c>
      <c r="F490" s="233"/>
      <c r="G490" s="233"/>
      <c r="H490" s="233"/>
      <c r="I490" s="233"/>
      <c r="J490" s="233"/>
      <c r="K490" s="233"/>
      <c r="L490" s="233"/>
      <c r="M490" s="233"/>
      <c r="N490" s="233"/>
      <c r="O490" s="233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  <c r="Z490" s="233"/>
    </row>
    <row r="491">
      <c r="A491" s="233"/>
      <c r="B491" s="245"/>
      <c r="C491" s="246" t="s">
        <v>5737</v>
      </c>
      <c r="D491" s="247">
        <v>9000.0</v>
      </c>
      <c r="E491" s="248" t="s">
        <v>5279</v>
      </c>
      <c r="F491" s="233"/>
      <c r="G491" s="233"/>
      <c r="H491" s="233"/>
      <c r="I491" s="233"/>
      <c r="J491" s="233"/>
      <c r="K491" s="233"/>
      <c r="L491" s="233"/>
      <c r="M491" s="233"/>
      <c r="N491" s="233"/>
      <c r="O491" s="233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  <c r="Z491" s="233"/>
    </row>
    <row r="492">
      <c r="A492" s="233"/>
      <c r="B492" s="249"/>
      <c r="C492" s="99"/>
      <c r="D492" s="1"/>
      <c r="E492" s="1"/>
      <c r="F492" s="233"/>
      <c r="G492" s="233"/>
      <c r="H492" s="233"/>
      <c r="I492" s="233"/>
      <c r="J492" s="233"/>
      <c r="K492" s="233"/>
      <c r="L492" s="233"/>
      <c r="M492" s="233"/>
      <c r="N492" s="233"/>
      <c r="O492" s="233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  <c r="Z492" s="233"/>
    </row>
    <row r="493">
      <c r="A493" s="233"/>
      <c r="B493" s="239" t="s">
        <v>276</v>
      </c>
      <c r="C493" s="240" t="s">
        <v>5738</v>
      </c>
      <c r="D493" s="241">
        <v>0.0</v>
      </c>
      <c r="E493" s="242" t="s">
        <v>5279</v>
      </c>
      <c r="F493" s="233"/>
      <c r="G493" s="233"/>
      <c r="H493" s="233"/>
      <c r="I493" s="233"/>
      <c r="J493" s="233"/>
      <c r="K493" s="233"/>
      <c r="L493" s="233"/>
      <c r="M493" s="233"/>
      <c r="N493" s="233"/>
      <c r="O493" s="233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  <c r="Z493" s="233"/>
    </row>
    <row r="494">
      <c r="A494" s="233"/>
      <c r="B494" s="243"/>
      <c r="C494" s="98" t="s">
        <v>5739</v>
      </c>
      <c r="D494" s="215">
        <v>20000.0</v>
      </c>
      <c r="E494" s="244" t="s">
        <v>5671</v>
      </c>
      <c r="F494" s="233"/>
      <c r="G494" s="233"/>
      <c r="H494" s="233"/>
      <c r="I494" s="233"/>
      <c r="J494" s="233"/>
      <c r="K494" s="233"/>
      <c r="L494" s="233"/>
      <c r="M494" s="233"/>
      <c r="N494" s="233"/>
      <c r="O494" s="233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33"/>
    </row>
    <row r="495">
      <c r="A495" s="233"/>
      <c r="B495" s="243"/>
      <c r="C495" s="98" t="s">
        <v>5740</v>
      </c>
      <c r="D495" s="215">
        <v>10000.0</v>
      </c>
      <c r="E495" s="244" t="s">
        <v>5279</v>
      </c>
      <c r="F495" s="233"/>
      <c r="G495" s="233"/>
      <c r="H495" s="233"/>
      <c r="I495" s="233"/>
      <c r="J495" s="233"/>
      <c r="K495" s="233"/>
      <c r="L495" s="233"/>
      <c r="M495" s="233"/>
      <c r="N495" s="233"/>
      <c r="O495" s="233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  <c r="Z495" s="233"/>
    </row>
    <row r="496">
      <c r="A496" s="233"/>
      <c r="B496" s="243"/>
      <c r="C496" s="98" t="s">
        <v>5741</v>
      </c>
      <c r="D496" s="215">
        <v>10000.0</v>
      </c>
      <c r="E496" s="244" t="s">
        <v>5279</v>
      </c>
      <c r="F496" s="233"/>
      <c r="G496" s="233"/>
      <c r="H496" s="233"/>
      <c r="I496" s="233"/>
      <c r="J496" s="233"/>
      <c r="K496" s="233"/>
      <c r="L496" s="233"/>
      <c r="M496" s="233"/>
      <c r="N496" s="233"/>
      <c r="O496" s="233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  <c r="Z496" s="233"/>
    </row>
    <row r="497">
      <c r="A497" s="233"/>
      <c r="B497" s="243"/>
      <c r="C497" s="98" t="s">
        <v>5742</v>
      </c>
      <c r="D497" s="215">
        <v>14000.0</v>
      </c>
      <c r="E497" s="244" t="s">
        <v>5279</v>
      </c>
      <c r="F497" s="233"/>
      <c r="G497" s="233"/>
      <c r="H497" s="233"/>
      <c r="I497" s="233"/>
      <c r="J497" s="233"/>
      <c r="K497" s="233"/>
      <c r="L497" s="233"/>
      <c r="M497" s="233"/>
      <c r="N497" s="233"/>
      <c r="O497" s="233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  <c r="Z497" s="233"/>
    </row>
    <row r="498">
      <c r="A498" s="233"/>
      <c r="B498" s="243"/>
      <c r="C498" s="98" t="s">
        <v>5743</v>
      </c>
      <c r="D498" s="215">
        <v>8000.0</v>
      </c>
      <c r="E498" s="244" t="s">
        <v>5279</v>
      </c>
      <c r="F498" s="233"/>
      <c r="G498" s="233"/>
      <c r="H498" s="233"/>
      <c r="I498" s="233"/>
      <c r="J498" s="233"/>
      <c r="K498" s="233"/>
      <c r="L498" s="233"/>
      <c r="M498" s="233"/>
      <c r="N498" s="233"/>
      <c r="O498" s="233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  <c r="Z498" s="233"/>
    </row>
    <row r="499">
      <c r="A499" s="233"/>
      <c r="B499" s="243"/>
      <c r="C499" s="98" t="s">
        <v>5744</v>
      </c>
      <c r="D499" s="215">
        <v>7500.0</v>
      </c>
      <c r="E499" s="244" t="s">
        <v>5279</v>
      </c>
      <c r="F499" s="233"/>
      <c r="G499" s="233"/>
      <c r="H499" s="233"/>
      <c r="I499" s="233"/>
      <c r="J499" s="233"/>
      <c r="K499" s="233"/>
      <c r="L499" s="233"/>
      <c r="M499" s="233"/>
      <c r="N499" s="233"/>
      <c r="O499" s="233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  <c r="Z499" s="233"/>
    </row>
    <row r="500">
      <c r="A500" s="233"/>
      <c r="B500" s="245"/>
      <c r="C500" s="246" t="s">
        <v>5745</v>
      </c>
      <c r="D500" s="247">
        <v>12000.0</v>
      </c>
      <c r="E500" s="248" t="s">
        <v>5279</v>
      </c>
      <c r="F500" s="233"/>
      <c r="G500" s="233"/>
      <c r="H500" s="233"/>
      <c r="I500" s="233"/>
      <c r="J500" s="233"/>
      <c r="K500" s="233"/>
      <c r="L500" s="233"/>
      <c r="M500" s="233"/>
      <c r="N500" s="233"/>
      <c r="O500" s="233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  <c r="Z500" s="233"/>
    </row>
    <row r="501">
      <c r="A501" s="233"/>
      <c r="B501" s="249"/>
      <c r="C501" s="99"/>
      <c r="D501" s="1"/>
      <c r="E501" s="1"/>
      <c r="F501" s="233"/>
      <c r="G501" s="233"/>
      <c r="H501" s="233"/>
      <c r="I501" s="233"/>
      <c r="J501" s="233"/>
      <c r="K501" s="233"/>
      <c r="L501" s="233"/>
      <c r="M501" s="233"/>
      <c r="N501" s="233"/>
      <c r="O501" s="233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  <c r="Z501" s="233"/>
    </row>
    <row r="502">
      <c r="A502" s="233"/>
      <c r="B502" s="239" t="s">
        <v>283</v>
      </c>
      <c r="C502" s="240" t="s">
        <v>5746</v>
      </c>
      <c r="D502" s="241">
        <v>0.0</v>
      </c>
      <c r="E502" s="242" t="s">
        <v>5279</v>
      </c>
      <c r="F502" s="233"/>
      <c r="G502" s="233"/>
      <c r="H502" s="233"/>
      <c r="I502" s="233"/>
      <c r="J502" s="233"/>
      <c r="K502" s="233"/>
      <c r="L502" s="233"/>
      <c r="M502" s="233"/>
      <c r="N502" s="233"/>
      <c r="O502" s="233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  <c r="Z502" s="233"/>
    </row>
    <row r="503">
      <c r="A503" s="233"/>
      <c r="B503" s="243"/>
      <c r="C503" s="98" t="s">
        <v>5747</v>
      </c>
      <c r="D503" s="215">
        <v>20000.0</v>
      </c>
      <c r="E503" s="244" t="s">
        <v>5671</v>
      </c>
      <c r="F503" s="233"/>
      <c r="G503" s="233"/>
      <c r="H503" s="233"/>
      <c r="I503" s="233"/>
      <c r="J503" s="233"/>
      <c r="K503" s="233"/>
      <c r="L503" s="233"/>
      <c r="M503" s="233"/>
      <c r="N503" s="233"/>
      <c r="O503" s="233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  <c r="Z503" s="233"/>
    </row>
    <row r="504">
      <c r="A504" s="233"/>
      <c r="B504" s="243"/>
      <c r="C504" s="98" t="s">
        <v>5748</v>
      </c>
      <c r="D504" s="215">
        <v>15000.0</v>
      </c>
      <c r="E504" s="244" t="s">
        <v>5279</v>
      </c>
      <c r="F504" s="233"/>
      <c r="G504" s="233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  <c r="Z504" s="233"/>
    </row>
    <row r="505">
      <c r="A505" s="233"/>
      <c r="B505" s="243"/>
      <c r="C505" s="98" t="s">
        <v>5749</v>
      </c>
      <c r="D505" s="215">
        <v>15000.0</v>
      </c>
      <c r="E505" s="244" t="s">
        <v>5279</v>
      </c>
      <c r="F505" s="233"/>
      <c r="G505" s="233"/>
      <c r="H505" s="233"/>
      <c r="I505" s="233"/>
      <c r="J505" s="233"/>
      <c r="K505" s="233"/>
      <c r="L505" s="233"/>
      <c r="M505" s="233"/>
      <c r="N505" s="233"/>
      <c r="O505" s="233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  <c r="Z505" s="233"/>
    </row>
    <row r="506">
      <c r="A506" s="233"/>
      <c r="B506" s="243"/>
      <c r="C506" s="98" t="s">
        <v>5750</v>
      </c>
      <c r="D506" s="215">
        <v>16000.0</v>
      </c>
      <c r="E506" s="244" t="s">
        <v>5279</v>
      </c>
      <c r="F506" s="233"/>
      <c r="G506" s="233"/>
      <c r="H506" s="233"/>
      <c r="I506" s="233"/>
      <c r="J506" s="233"/>
      <c r="K506" s="233"/>
      <c r="L506" s="233"/>
      <c r="M506" s="233"/>
      <c r="N506" s="233"/>
      <c r="O506" s="233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  <c r="Z506" s="233"/>
    </row>
    <row r="507">
      <c r="A507" s="233"/>
      <c r="B507" s="243"/>
      <c r="C507" s="98" t="s">
        <v>5751</v>
      </c>
      <c r="D507" s="215">
        <v>8000.0</v>
      </c>
      <c r="E507" s="244" t="s">
        <v>5279</v>
      </c>
      <c r="F507" s="233"/>
      <c r="G507" s="233"/>
      <c r="H507" s="233"/>
      <c r="I507" s="233"/>
      <c r="J507" s="233"/>
      <c r="K507" s="233"/>
      <c r="L507" s="233"/>
      <c r="M507" s="233"/>
      <c r="N507" s="233"/>
      <c r="O507" s="233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  <c r="Z507" s="233"/>
    </row>
    <row r="508">
      <c r="A508" s="233"/>
      <c r="B508" s="243"/>
      <c r="C508" s="98" t="s">
        <v>5752</v>
      </c>
      <c r="D508" s="215">
        <v>7500.0</v>
      </c>
      <c r="E508" s="244" t="s">
        <v>5279</v>
      </c>
      <c r="F508" s="233"/>
      <c r="G508" s="233"/>
      <c r="H508" s="233"/>
      <c r="I508" s="233"/>
      <c r="J508" s="233"/>
      <c r="K508" s="233"/>
      <c r="L508" s="233"/>
      <c r="M508" s="233"/>
      <c r="N508" s="233"/>
      <c r="O508" s="233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  <c r="Z508" s="233"/>
    </row>
    <row r="509">
      <c r="A509" s="233"/>
      <c r="B509" s="245"/>
      <c r="C509" s="246" t="s">
        <v>5753</v>
      </c>
      <c r="D509" s="247">
        <v>12000.0</v>
      </c>
      <c r="E509" s="248" t="s">
        <v>5279</v>
      </c>
      <c r="F509" s="233"/>
      <c r="G509" s="233"/>
      <c r="H509" s="233"/>
      <c r="I509" s="233"/>
      <c r="J509" s="233"/>
      <c r="K509" s="233"/>
      <c r="L509" s="233"/>
      <c r="M509" s="233"/>
      <c r="N509" s="233"/>
      <c r="O509" s="233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  <c r="Z509" s="233"/>
    </row>
    <row r="510">
      <c r="A510" s="233"/>
      <c r="B510" s="233"/>
      <c r="C510" s="233"/>
      <c r="D510" s="233"/>
      <c r="E510" s="233"/>
      <c r="F510" s="233"/>
      <c r="G510" s="233"/>
      <c r="H510" s="233"/>
      <c r="I510" s="233"/>
      <c r="J510" s="233"/>
      <c r="K510" s="233"/>
      <c r="L510" s="233"/>
      <c r="M510" s="233"/>
      <c r="N510" s="233"/>
      <c r="O510" s="233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  <c r="Z510" s="233"/>
    </row>
    <row r="511">
      <c r="A511" s="233"/>
      <c r="B511" s="239" t="s">
        <v>290</v>
      </c>
      <c r="C511" s="240" t="s">
        <v>5754</v>
      </c>
      <c r="D511" s="241">
        <v>0.0</v>
      </c>
      <c r="E511" s="242" t="s">
        <v>5671</v>
      </c>
      <c r="F511" s="233"/>
      <c r="G511" s="233"/>
      <c r="H511" s="233"/>
      <c r="I511" s="233"/>
      <c r="J511" s="233"/>
      <c r="K511" s="233"/>
      <c r="L511" s="233"/>
      <c r="M511" s="233"/>
      <c r="N511" s="233"/>
      <c r="O511" s="233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  <c r="Z511" s="233"/>
    </row>
    <row r="512">
      <c r="A512" s="233"/>
      <c r="B512" s="243"/>
      <c r="C512" s="98" t="s">
        <v>5755</v>
      </c>
      <c r="D512" s="215">
        <v>20000.0</v>
      </c>
      <c r="E512" s="244" t="s">
        <v>5671</v>
      </c>
      <c r="F512" s="233"/>
      <c r="G512" s="233"/>
      <c r="H512" s="233"/>
      <c r="I512" s="233"/>
      <c r="J512" s="233"/>
      <c r="K512" s="233"/>
      <c r="L512" s="233"/>
      <c r="M512" s="233"/>
      <c r="N512" s="233"/>
      <c r="O512" s="233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  <c r="Z512" s="233"/>
    </row>
    <row r="513">
      <c r="A513" s="233"/>
      <c r="B513" s="243"/>
      <c r="C513" s="98" t="s">
        <v>5756</v>
      </c>
      <c r="D513" s="215">
        <v>10000.0</v>
      </c>
      <c r="E513" s="244" t="s">
        <v>5671</v>
      </c>
      <c r="F513" s="233"/>
      <c r="G513" s="233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  <c r="Z513" s="233"/>
    </row>
    <row r="514">
      <c r="A514" s="233"/>
      <c r="B514" s="243"/>
      <c r="C514" s="98" t="s">
        <v>5757</v>
      </c>
      <c r="D514" s="215">
        <v>10000.0</v>
      </c>
      <c r="E514" s="244" t="s">
        <v>5671</v>
      </c>
      <c r="F514" s="233"/>
      <c r="G514" s="233"/>
      <c r="H514" s="233"/>
      <c r="I514" s="233"/>
      <c r="J514" s="233"/>
      <c r="K514" s="233"/>
      <c r="L514" s="233"/>
      <c r="M514" s="233"/>
      <c r="N514" s="233"/>
      <c r="O514" s="233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  <c r="Z514" s="233"/>
    </row>
    <row r="515">
      <c r="A515" s="233"/>
      <c r="B515" s="243"/>
      <c r="C515" s="98" t="s">
        <v>5758</v>
      </c>
      <c r="D515" s="215">
        <v>9000.0</v>
      </c>
      <c r="E515" s="244" t="s">
        <v>5671</v>
      </c>
      <c r="F515" s="233"/>
      <c r="G515" s="233"/>
      <c r="H515" s="233"/>
      <c r="I515" s="233"/>
      <c r="J515" s="233"/>
      <c r="K515" s="233"/>
      <c r="L515" s="233"/>
      <c r="M515" s="233"/>
      <c r="N515" s="233"/>
      <c r="O515" s="233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  <c r="Z515" s="233"/>
    </row>
    <row r="516">
      <c r="A516" s="233"/>
      <c r="B516" s="243"/>
      <c r="C516" s="98" t="s">
        <v>5759</v>
      </c>
      <c r="D516" s="215">
        <v>10000.0</v>
      </c>
      <c r="E516" s="244" t="s">
        <v>5671</v>
      </c>
      <c r="F516" s="233"/>
      <c r="G516" s="233"/>
      <c r="H516" s="233"/>
      <c r="I516" s="233"/>
      <c r="J516" s="233"/>
      <c r="K516" s="233"/>
      <c r="L516" s="233"/>
      <c r="M516" s="233"/>
      <c r="N516" s="233"/>
      <c r="O516" s="233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  <c r="Z516" s="233"/>
    </row>
    <row r="517">
      <c r="A517" s="233"/>
      <c r="B517" s="243"/>
      <c r="C517" s="98" t="s">
        <v>5760</v>
      </c>
      <c r="D517" s="215">
        <v>8000.0</v>
      </c>
      <c r="E517" s="244" t="s">
        <v>5671</v>
      </c>
      <c r="F517" s="233"/>
      <c r="G517" s="233"/>
      <c r="H517" s="233"/>
      <c r="I517" s="233"/>
      <c r="J517" s="233"/>
      <c r="K517" s="233"/>
      <c r="L517" s="233"/>
      <c r="M517" s="233"/>
      <c r="N517" s="233"/>
      <c r="O517" s="233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  <c r="Z517" s="233"/>
    </row>
    <row r="518">
      <c r="A518" s="233"/>
      <c r="B518" s="243"/>
      <c r="C518" s="98" t="s">
        <v>5761</v>
      </c>
      <c r="D518" s="215">
        <v>12000.0</v>
      </c>
      <c r="E518" s="244" t="s">
        <v>5671</v>
      </c>
      <c r="F518" s="233"/>
      <c r="G518" s="233"/>
      <c r="H518" s="233"/>
      <c r="I518" s="233"/>
      <c r="J518" s="233"/>
      <c r="K518" s="233"/>
      <c r="L518" s="233"/>
      <c r="M518" s="233"/>
      <c r="N518" s="233"/>
      <c r="O518" s="233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  <c r="Z518" s="233"/>
    </row>
    <row r="519">
      <c r="A519" s="233"/>
      <c r="B519" s="243"/>
      <c r="C519" s="98" t="s">
        <v>5762</v>
      </c>
      <c r="D519" s="215">
        <v>10000.0</v>
      </c>
      <c r="E519" s="244" t="s">
        <v>5671</v>
      </c>
      <c r="F519" s="233"/>
      <c r="G519" s="233"/>
      <c r="H519" s="233"/>
      <c r="I519" s="233"/>
      <c r="J519" s="233"/>
      <c r="K519" s="233"/>
      <c r="L519" s="233"/>
      <c r="M519" s="233"/>
      <c r="N519" s="233"/>
      <c r="O519" s="233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  <c r="Z519" s="233"/>
    </row>
    <row r="520">
      <c r="A520" s="233"/>
      <c r="B520" s="245"/>
      <c r="C520" s="246" t="s">
        <v>5763</v>
      </c>
      <c r="D520" s="247">
        <v>5000.0</v>
      </c>
      <c r="E520" s="248" t="s">
        <v>5671</v>
      </c>
      <c r="F520" s="233"/>
      <c r="G520" s="233"/>
      <c r="H520" s="233"/>
      <c r="I520" s="233"/>
      <c r="J520" s="233"/>
      <c r="K520" s="233"/>
      <c r="L520" s="233"/>
      <c r="M520" s="233"/>
      <c r="N520" s="233"/>
      <c r="O520" s="233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  <c r="Z520" s="233"/>
    </row>
    <row r="521">
      <c r="A521" s="233"/>
      <c r="B521" s="233"/>
      <c r="C521" s="233"/>
      <c r="D521" s="233"/>
      <c r="E521" s="233"/>
      <c r="F521" s="233"/>
      <c r="G521" s="233"/>
      <c r="H521" s="233"/>
      <c r="I521" s="233"/>
      <c r="J521" s="233"/>
      <c r="K521" s="233"/>
      <c r="L521" s="233"/>
      <c r="M521" s="233"/>
      <c r="N521" s="233"/>
      <c r="O521" s="233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  <c r="Z521" s="233"/>
    </row>
    <row r="522">
      <c r="A522" s="233"/>
      <c r="B522" s="239" t="s">
        <v>297</v>
      </c>
      <c r="C522" s="240" t="s">
        <v>5764</v>
      </c>
      <c r="D522" s="241">
        <v>0.0</v>
      </c>
      <c r="E522" s="242" t="s">
        <v>5671</v>
      </c>
      <c r="F522" s="233"/>
      <c r="G522" s="233"/>
      <c r="H522" s="233"/>
      <c r="I522" s="233"/>
      <c r="J522" s="233"/>
      <c r="K522" s="233"/>
      <c r="L522" s="233"/>
      <c r="M522" s="233"/>
      <c r="N522" s="233"/>
      <c r="O522" s="233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  <c r="Z522" s="233"/>
    </row>
    <row r="523">
      <c r="A523" s="233"/>
      <c r="B523" s="243"/>
      <c r="C523" s="98" t="s">
        <v>5765</v>
      </c>
      <c r="D523" s="215">
        <v>20000.0</v>
      </c>
      <c r="E523" s="244" t="s">
        <v>5671</v>
      </c>
      <c r="F523" s="233"/>
      <c r="G523" s="233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  <c r="Z523" s="233"/>
    </row>
    <row r="524">
      <c r="A524" s="233"/>
      <c r="B524" s="243"/>
      <c r="C524" s="98" t="s">
        <v>5766</v>
      </c>
      <c r="D524" s="215">
        <v>12000.0</v>
      </c>
      <c r="E524" s="244" t="s">
        <v>5671</v>
      </c>
      <c r="F524" s="233"/>
      <c r="G524" s="233"/>
      <c r="H524" s="233"/>
      <c r="I524" s="233"/>
      <c r="J524" s="233"/>
      <c r="K524" s="233"/>
      <c r="L524" s="233"/>
      <c r="M524" s="233"/>
      <c r="N524" s="233"/>
      <c r="O524" s="233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  <c r="Z524" s="233"/>
    </row>
    <row r="525">
      <c r="A525" s="233"/>
      <c r="B525" s="243"/>
      <c r="C525" s="98" t="s">
        <v>5767</v>
      </c>
      <c r="D525" s="215">
        <v>15000.0</v>
      </c>
      <c r="E525" s="244" t="s">
        <v>5671</v>
      </c>
      <c r="F525" s="233"/>
      <c r="G525" s="233"/>
      <c r="H525" s="233"/>
      <c r="I525" s="233"/>
      <c r="J525" s="233"/>
      <c r="K525" s="233"/>
      <c r="L525" s="233"/>
      <c r="M525" s="233"/>
      <c r="N525" s="233"/>
      <c r="O525" s="233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  <c r="Z525" s="233"/>
    </row>
    <row r="526">
      <c r="A526" s="233"/>
      <c r="B526" s="243"/>
      <c r="C526" s="98" t="s">
        <v>5768</v>
      </c>
      <c r="D526" s="215">
        <v>9000.0</v>
      </c>
      <c r="E526" s="244" t="s">
        <v>5671</v>
      </c>
      <c r="F526" s="233"/>
      <c r="G526" s="233"/>
      <c r="H526" s="233"/>
      <c r="I526" s="233"/>
      <c r="J526" s="233"/>
      <c r="K526" s="233"/>
      <c r="L526" s="233"/>
      <c r="M526" s="233"/>
      <c r="N526" s="233"/>
      <c r="O526" s="233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  <c r="Z526" s="233"/>
    </row>
    <row r="527">
      <c r="A527" s="233"/>
      <c r="B527" s="243"/>
      <c r="C527" s="98" t="s">
        <v>5769</v>
      </c>
      <c r="D527" s="215">
        <v>10000.0</v>
      </c>
      <c r="E527" s="244" t="s">
        <v>5671</v>
      </c>
      <c r="F527" s="233"/>
      <c r="G527" s="233"/>
      <c r="H527" s="233"/>
      <c r="I527" s="233"/>
      <c r="J527" s="233"/>
      <c r="K527" s="233"/>
      <c r="L527" s="233"/>
      <c r="M527" s="233"/>
      <c r="N527" s="233"/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</row>
    <row r="528">
      <c r="A528" s="233"/>
      <c r="B528" s="243"/>
      <c r="C528" s="98" t="s">
        <v>5770</v>
      </c>
      <c r="D528" s="215">
        <v>8000.0</v>
      </c>
      <c r="E528" s="244" t="s">
        <v>5671</v>
      </c>
      <c r="F528" s="233"/>
      <c r="G528" s="233"/>
      <c r="H528" s="233"/>
      <c r="I528" s="233"/>
      <c r="J528" s="233"/>
      <c r="K528" s="233"/>
      <c r="L528" s="233"/>
      <c r="M528" s="233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</row>
    <row r="529">
      <c r="A529" s="233"/>
      <c r="B529" s="243"/>
      <c r="C529" s="98" t="s">
        <v>5771</v>
      </c>
      <c r="D529" s="215">
        <v>12000.0</v>
      </c>
      <c r="E529" s="244" t="s">
        <v>5671</v>
      </c>
      <c r="F529" s="233"/>
      <c r="G529" s="233"/>
      <c r="H529" s="233"/>
      <c r="I529" s="233"/>
      <c r="J529" s="233"/>
      <c r="K529" s="233"/>
      <c r="L529" s="233"/>
      <c r="M529" s="233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</row>
    <row r="530">
      <c r="A530" s="233"/>
      <c r="B530" s="243"/>
      <c r="C530" s="98" t="s">
        <v>5772</v>
      </c>
      <c r="D530" s="215">
        <v>10000.0</v>
      </c>
      <c r="E530" s="244" t="s">
        <v>5671</v>
      </c>
      <c r="F530" s="233"/>
      <c r="G530" s="233"/>
      <c r="H530" s="233"/>
      <c r="I530" s="233"/>
      <c r="J530" s="233"/>
      <c r="K530" s="233"/>
      <c r="L530" s="233"/>
      <c r="M530" s="233"/>
      <c r="N530" s="233"/>
      <c r="O530" s="233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  <c r="Z530" s="233"/>
    </row>
    <row r="531">
      <c r="A531" s="233"/>
      <c r="B531" s="245"/>
      <c r="C531" s="246" t="s">
        <v>5773</v>
      </c>
      <c r="D531" s="247">
        <v>5000.0</v>
      </c>
      <c r="E531" s="248" t="s">
        <v>5671</v>
      </c>
      <c r="F531" s="233"/>
      <c r="G531" s="233"/>
      <c r="H531" s="233"/>
      <c r="I531" s="233"/>
      <c r="J531" s="233"/>
      <c r="K531" s="233"/>
      <c r="L531" s="233"/>
      <c r="M531" s="233"/>
      <c r="N531" s="233"/>
      <c r="O531" s="233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  <c r="Z531" s="233"/>
    </row>
    <row r="532">
      <c r="A532" s="233"/>
      <c r="B532" s="233"/>
      <c r="C532" s="233"/>
      <c r="D532" s="233"/>
      <c r="E532" s="233"/>
      <c r="F532" s="233"/>
      <c r="G532" s="233"/>
      <c r="H532" s="233"/>
      <c r="I532" s="233"/>
      <c r="J532" s="233"/>
      <c r="K532" s="233"/>
      <c r="L532" s="233"/>
      <c r="M532" s="233"/>
      <c r="N532" s="233"/>
      <c r="O532" s="233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  <c r="Z532" s="233"/>
    </row>
    <row r="533">
      <c r="A533" s="233"/>
      <c r="B533" s="239" t="s">
        <v>304</v>
      </c>
      <c r="C533" s="240" t="s">
        <v>5774</v>
      </c>
      <c r="D533" s="241">
        <v>0.0</v>
      </c>
      <c r="E533" s="242" t="s">
        <v>5671</v>
      </c>
      <c r="F533" s="233"/>
      <c r="G533" s="233"/>
      <c r="H533" s="233"/>
      <c r="I533" s="233"/>
      <c r="J533" s="233"/>
      <c r="K533" s="233"/>
      <c r="L533" s="233"/>
      <c r="M533" s="233"/>
      <c r="N533" s="233"/>
      <c r="O533" s="233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  <c r="Z533" s="233"/>
    </row>
    <row r="534">
      <c r="A534" s="233"/>
      <c r="B534" s="243"/>
      <c r="C534" s="98" t="s">
        <v>5775</v>
      </c>
      <c r="D534" s="215">
        <v>25000.0</v>
      </c>
      <c r="E534" s="244" t="s">
        <v>5671</v>
      </c>
      <c r="F534" s="233"/>
      <c r="G534" s="233"/>
      <c r="H534" s="233"/>
      <c r="I534" s="233"/>
      <c r="J534" s="233"/>
      <c r="K534" s="233"/>
      <c r="L534" s="233"/>
      <c r="M534" s="233"/>
      <c r="N534" s="233"/>
      <c r="O534" s="233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  <c r="Z534" s="233"/>
    </row>
    <row r="535">
      <c r="A535" s="233"/>
      <c r="B535" s="243"/>
      <c r="C535" s="98" t="s">
        <v>5776</v>
      </c>
      <c r="D535" s="215">
        <v>15000.0</v>
      </c>
      <c r="E535" s="244" t="s">
        <v>5671</v>
      </c>
      <c r="F535" s="233"/>
      <c r="G535" s="233"/>
      <c r="H535" s="233"/>
      <c r="I535" s="233"/>
      <c r="J535" s="233"/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  <c r="Z535" s="233"/>
    </row>
    <row r="536">
      <c r="A536" s="233"/>
      <c r="B536" s="243"/>
      <c r="C536" s="98" t="s">
        <v>5777</v>
      </c>
      <c r="D536" s="215">
        <v>15000.0</v>
      </c>
      <c r="E536" s="244" t="s">
        <v>5671</v>
      </c>
      <c r="F536" s="233"/>
      <c r="G536" s="233"/>
      <c r="H536" s="233"/>
      <c r="I536" s="233"/>
      <c r="J536" s="233"/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33"/>
    </row>
    <row r="537">
      <c r="A537" s="233"/>
      <c r="B537" s="243"/>
      <c r="C537" s="98" t="s">
        <v>5778</v>
      </c>
      <c r="D537" s="215">
        <v>9000.0</v>
      </c>
      <c r="E537" s="244" t="s">
        <v>5671</v>
      </c>
      <c r="F537" s="233"/>
      <c r="G537" s="233"/>
      <c r="H537" s="233"/>
      <c r="I537" s="233"/>
      <c r="J537" s="233"/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  <c r="Z537" s="233"/>
    </row>
    <row r="538">
      <c r="A538" s="233"/>
      <c r="B538" s="243"/>
      <c r="C538" s="98" t="s">
        <v>5779</v>
      </c>
      <c r="D538" s="215">
        <v>12000.0</v>
      </c>
      <c r="E538" s="244" t="s">
        <v>5671</v>
      </c>
      <c r="F538" s="233"/>
      <c r="G538" s="233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  <c r="Z538" s="233"/>
    </row>
    <row r="539">
      <c r="A539" s="233"/>
      <c r="B539" s="243"/>
      <c r="C539" s="98" t="s">
        <v>5780</v>
      </c>
      <c r="D539" s="215">
        <v>8000.0</v>
      </c>
      <c r="E539" s="244" t="s">
        <v>5671</v>
      </c>
      <c r="F539" s="233"/>
      <c r="G539" s="233"/>
      <c r="H539" s="233"/>
      <c r="I539" s="233"/>
      <c r="J539" s="233"/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  <c r="Z539" s="233"/>
    </row>
    <row r="540">
      <c r="A540" s="233"/>
      <c r="B540" s="243"/>
      <c r="C540" s="98" t="s">
        <v>5781</v>
      </c>
      <c r="D540" s="215">
        <v>14000.0</v>
      </c>
      <c r="E540" s="244" t="s">
        <v>5671</v>
      </c>
      <c r="F540" s="233"/>
      <c r="G540" s="233"/>
      <c r="H540" s="233"/>
      <c r="I540" s="233"/>
      <c r="J540" s="233"/>
      <c r="K540" s="233"/>
      <c r="L540" s="233"/>
      <c r="M540" s="233"/>
      <c r="N540" s="233"/>
      <c r="O540" s="233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  <c r="Z540" s="233"/>
    </row>
    <row r="541">
      <c r="A541" s="233"/>
      <c r="B541" s="243"/>
      <c r="C541" s="98" t="s">
        <v>5782</v>
      </c>
      <c r="D541" s="215">
        <v>12000.0</v>
      </c>
      <c r="E541" s="244" t="s">
        <v>5671</v>
      </c>
      <c r="F541" s="233"/>
      <c r="G541" s="233"/>
      <c r="H541" s="233"/>
      <c r="I541" s="233"/>
      <c r="J541" s="233"/>
      <c r="K541" s="233"/>
      <c r="L541" s="233"/>
      <c r="M541" s="233"/>
      <c r="N541" s="233"/>
      <c r="O541" s="233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  <c r="Z541" s="233"/>
    </row>
    <row r="542">
      <c r="A542" s="233"/>
      <c r="B542" s="245"/>
      <c r="C542" s="246" t="s">
        <v>5783</v>
      </c>
      <c r="D542" s="247">
        <v>5500.0</v>
      </c>
      <c r="E542" s="248" t="s">
        <v>5671</v>
      </c>
      <c r="F542" s="233"/>
      <c r="G542" s="233"/>
      <c r="H542" s="233"/>
      <c r="I542" s="233"/>
      <c r="J542" s="233"/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  <c r="Z542" s="233"/>
    </row>
    <row r="543">
      <c r="A543" s="233"/>
      <c r="B543" s="233"/>
      <c r="C543" s="233"/>
      <c r="D543" s="233"/>
      <c r="E543" s="233"/>
      <c r="F543" s="233"/>
      <c r="G543" s="233"/>
      <c r="H543" s="233"/>
      <c r="I543" s="233"/>
      <c r="J543" s="233"/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  <c r="Z543" s="233"/>
    </row>
    <row r="544">
      <c r="A544" s="233"/>
      <c r="B544" s="239" t="s">
        <v>311</v>
      </c>
      <c r="C544" s="240" t="s">
        <v>5784</v>
      </c>
      <c r="D544" s="241">
        <v>0.0</v>
      </c>
      <c r="E544" s="242" t="s">
        <v>5671</v>
      </c>
      <c r="F544" s="233"/>
      <c r="G544" s="233"/>
      <c r="H544" s="233"/>
      <c r="I544" s="233"/>
      <c r="J544" s="233"/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  <c r="Z544" s="233"/>
    </row>
    <row r="545">
      <c r="A545" s="233"/>
      <c r="B545" s="243"/>
      <c r="C545" s="98" t="s">
        <v>5785</v>
      </c>
      <c r="D545" s="215">
        <v>25000.0</v>
      </c>
      <c r="E545" s="244" t="s">
        <v>5671</v>
      </c>
      <c r="F545" s="233"/>
      <c r="G545" s="233"/>
      <c r="H545" s="233"/>
      <c r="I545" s="233"/>
      <c r="J545" s="233"/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  <c r="Z545" s="233"/>
    </row>
    <row r="546">
      <c r="A546" s="233"/>
      <c r="B546" s="243"/>
      <c r="C546" s="98" t="s">
        <v>5786</v>
      </c>
      <c r="D546" s="215">
        <v>20000.0</v>
      </c>
      <c r="E546" s="244" t="s">
        <v>5671</v>
      </c>
      <c r="F546" s="233"/>
      <c r="G546" s="233"/>
      <c r="H546" s="233"/>
      <c r="I546" s="233"/>
      <c r="J546" s="233"/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  <c r="Z546" s="233"/>
    </row>
    <row r="547">
      <c r="A547" s="233"/>
      <c r="B547" s="243"/>
      <c r="C547" s="98" t="s">
        <v>5787</v>
      </c>
      <c r="D547" s="215">
        <v>15000.0</v>
      </c>
      <c r="E547" s="244" t="s">
        <v>5671</v>
      </c>
      <c r="F547" s="233"/>
      <c r="G547" s="233"/>
      <c r="H547" s="233"/>
      <c r="I547" s="233"/>
      <c r="J547" s="233"/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  <c r="Z547" s="233"/>
    </row>
    <row r="548">
      <c r="A548" s="233"/>
      <c r="B548" s="243"/>
      <c r="C548" s="98" t="s">
        <v>5788</v>
      </c>
      <c r="D548" s="215">
        <v>10000.0</v>
      </c>
      <c r="E548" s="244" t="s">
        <v>5671</v>
      </c>
      <c r="F548" s="233"/>
      <c r="G548" s="233"/>
      <c r="H548" s="233"/>
      <c r="I548" s="233"/>
      <c r="J548" s="233"/>
      <c r="K548" s="233"/>
      <c r="L548" s="233"/>
      <c r="M548" s="233"/>
      <c r="N548" s="233"/>
      <c r="O548" s="233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  <c r="Z548" s="233"/>
    </row>
    <row r="549">
      <c r="A549" s="233"/>
      <c r="B549" s="243"/>
      <c r="C549" s="98" t="s">
        <v>5789</v>
      </c>
      <c r="D549" s="215">
        <v>12000.0</v>
      </c>
      <c r="E549" s="244" t="s">
        <v>5671</v>
      </c>
      <c r="F549" s="233"/>
      <c r="G549" s="233"/>
      <c r="H549" s="233"/>
      <c r="I549" s="233"/>
      <c r="J549" s="233"/>
      <c r="K549" s="233"/>
      <c r="L549" s="233"/>
      <c r="M549" s="233"/>
      <c r="N549" s="233"/>
      <c r="O549" s="233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  <c r="Z549" s="233"/>
    </row>
    <row r="550">
      <c r="A550" s="233"/>
      <c r="B550" s="243"/>
      <c r="C550" s="98" t="s">
        <v>5790</v>
      </c>
      <c r="D550" s="215">
        <v>8000.0</v>
      </c>
      <c r="E550" s="244" t="s">
        <v>5671</v>
      </c>
      <c r="F550" s="233"/>
      <c r="G550" s="233"/>
      <c r="H550" s="233"/>
      <c r="I550" s="233"/>
      <c r="J550" s="233"/>
      <c r="K550" s="233"/>
      <c r="L550" s="233"/>
      <c r="M550" s="233"/>
      <c r="N550" s="233"/>
      <c r="O550" s="233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  <c r="Z550" s="233"/>
    </row>
    <row r="551">
      <c r="A551" s="233"/>
      <c r="B551" s="243"/>
      <c r="C551" s="98" t="s">
        <v>5791</v>
      </c>
      <c r="D551" s="215">
        <v>14000.0</v>
      </c>
      <c r="E551" s="244" t="s">
        <v>5671</v>
      </c>
      <c r="F551" s="233"/>
      <c r="G551" s="233"/>
      <c r="H551" s="233"/>
      <c r="I551" s="233"/>
      <c r="J551" s="233"/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</row>
    <row r="552">
      <c r="A552" s="233"/>
      <c r="B552" s="243"/>
      <c r="C552" s="98" t="s">
        <v>5792</v>
      </c>
      <c r="D552" s="215">
        <v>12000.0</v>
      </c>
      <c r="E552" s="244" t="s">
        <v>5671</v>
      </c>
      <c r="F552" s="233"/>
      <c r="G552" s="233"/>
      <c r="H552" s="233"/>
      <c r="I552" s="233"/>
      <c r="J552" s="233"/>
      <c r="K552" s="233"/>
      <c r="L552" s="233"/>
      <c r="M552" s="233"/>
      <c r="N552" s="233"/>
      <c r="O552" s="233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</row>
    <row r="553">
      <c r="A553" s="233"/>
      <c r="B553" s="245"/>
      <c r="C553" s="246" t="s">
        <v>5793</v>
      </c>
      <c r="D553" s="247">
        <v>5500.0</v>
      </c>
      <c r="E553" s="248" t="s">
        <v>5671</v>
      </c>
      <c r="F553" s="233"/>
      <c r="G553" s="233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</row>
    <row r="554">
      <c r="A554" s="233"/>
      <c r="B554" s="233"/>
      <c r="C554" s="233"/>
      <c r="D554" s="233"/>
      <c r="E554" s="233"/>
      <c r="F554" s="233"/>
      <c r="G554" s="233"/>
      <c r="H554" s="233"/>
      <c r="I554" s="233"/>
      <c r="J554" s="233"/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  <c r="Z554" s="233"/>
    </row>
    <row r="555">
      <c r="A555" s="233"/>
      <c r="B555" s="239" t="s">
        <v>318</v>
      </c>
      <c r="C555" s="240" t="s">
        <v>5794</v>
      </c>
      <c r="D555" s="241">
        <v>0.0</v>
      </c>
      <c r="E555" s="242" t="s">
        <v>5671</v>
      </c>
      <c r="F555" s="233"/>
      <c r="G555" s="233"/>
      <c r="H555" s="233"/>
      <c r="I555" s="233"/>
      <c r="J555" s="233"/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  <c r="Z555" s="233"/>
    </row>
    <row r="556">
      <c r="A556" s="233"/>
      <c r="B556" s="243"/>
      <c r="C556" s="98" t="s">
        <v>5795</v>
      </c>
      <c r="D556" s="215">
        <v>20000.0</v>
      </c>
      <c r="E556" s="244" t="s">
        <v>5671</v>
      </c>
      <c r="F556" s="233"/>
      <c r="G556" s="233"/>
      <c r="H556" s="233"/>
      <c r="I556" s="233"/>
      <c r="J556" s="233"/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  <c r="Z556" s="233"/>
    </row>
    <row r="557">
      <c r="A557" s="233"/>
      <c r="B557" s="243"/>
      <c r="C557" s="98" t="s">
        <v>5796</v>
      </c>
      <c r="D557" s="215">
        <v>15000.0</v>
      </c>
      <c r="E557" s="244" t="s">
        <v>5671</v>
      </c>
      <c r="F557" s="233"/>
      <c r="G557" s="233"/>
      <c r="H557" s="233"/>
      <c r="I557" s="233"/>
      <c r="J557" s="233"/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  <c r="Z557" s="233"/>
    </row>
    <row r="558">
      <c r="A558" s="233"/>
      <c r="B558" s="243"/>
      <c r="C558" s="98" t="s">
        <v>5797</v>
      </c>
      <c r="D558" s="215">
        <v>20000.0</v>
      </c>
      <c r="E558" s="244" t="s">
        <v>5671</v>
      </c>
      <c r="F558" s="233"/>
      <c r="G558" s="233"/>
      <c r="H558" s="233"/>
      <c r="I558" s="233"/>
      <c r="J558" s="233"/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  <c r="Z558" s="233"/>
    </row>
    <row r="559">
      <c r="A559" s="233"/>
      <c r="B559" s="243"/>
      <c r="C559" s="98" t="s">
        <v>5798</v>
      </c>
      <c r="D559" s="215">
        <v>12000.0</v>
      </c>
      <c r="E559" s="244" t="s">
        <v>5671</v>
      </c>
      <c r="F559" s="233"/>
      <c r="G559" s="233"/>
      <c r="H559" s="233"/>
      <c r="I559" s="233"/>
      <c r="J559" s="233"/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  <c r="Z559" s="233"/>
    </row>
    <row r="560">
      <c r="A560" s="233"/>
      <c r="B560" s="243"/>
      <c r="C560" s="98" t="s">
        <v>5799</v>
      </c>
      <c r="D560" s="215">
        <v>12000.0</v>
      </c>
      <c r="E560" s="244" t="s">
        <v>5671</v>
      </c>
      <c r="F560" s="233"/>
      <c r="G560" s="233"/>
      <c r="H560" s="233"/>
      <c r="I560" s="233"/>
      <c r="J560" s="233"/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  <c r="Z560" s="233"/>
    </row>
    <row r="561">
      <c r="A561" s="233"/>
      <c r="B561" s="243"/>
      <c r="C561" s="98" t="s">
        <v>5800</v>
      </c>
      <c r="D561" s="215">
        <v>8000.0</v>
      </c>
      <c r="E561" s="244" t="s">
        <v>5671</v>
      </c>
      <c r="F561" s="233"/>
      <c r="G561" s="233"/>
      <c r="H561" s="233"/>
      <c r="I561" s="233"/>
      <c r="J561" s="233"/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  <c r="Z561" s="233"/>
    </row>
    <row r="562">
      <c r="A562" s="233"/>
      <c r="B562" s="243"/>
      <c r="C562" s="98" t="s">
        <v>5801</v>
      </c>
      <c r="D562" s="215">
        <v>14000.0</v>
      </c>
      <c r="E562" s="244" t="s">
        <v>5671</v>
      </c>
      <c r="F562" s="233"/>
      <c r="G562" s="233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  <c r="Z562" s="233"/>
    </row>
    <row r="563">
      <c r="A563" s="233"/>
      <c r="B563" s="243"/>
      <c r="C563" s="98" t="s">
        <v>5802</v>
      </c>
      <c r="D563" s="215">
        <v>10000.0</v>
      </c>
      <c r="E563" s="244" t="s">
        <v>5671</v>
      </c>
      <c r="F563" s="233"/>
      <c r="G563" s="233"/>
      <c r="H563" s="233"/>
      <c r="I563" s="233"/>
      <c r="J563" s="233"/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  <c r="Z563" s="233"/>
    </row>
    <row r="564">
      <c r="A564" s="233"/>
      <c r="B564" s="245"/>
      <c r="C564" s="246" t="s">
        <v>5803</v>
      </c>
      <c r="D564" s="247">
        <v>6500.0</v>
      </c>
      <c r="E564" s="248" t="s">
        <v>5671</v>
      </c>
      <c r="F564" s="233"/>
      <c r="G564" s="233"/>
      <c r="H564" s="233"/>
      <c r="I564" s="233"/>
      <c r="J564" s="233"/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  <c r="Z564" s="233"/>
    </row>
    <row r="565">
      <c r="A565" s="233"/>
      <c r="B565" s="233"/>
      <c r="C565" s="233"/>
      <c r="D565" s="233"/>
      <c r="E565" s="233"/>
      <c r="F565" s="233"/>
      <c r="G565" s="233"/>
      <c r="H565" s="233"/>
      <c r="I565" s="233"/>
      <c r="J565" s="233"/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  <c r="Z565" s="233"/>
    </row>
    <row r="566">
      <c r="A566" s="233"/>
      <c r="B566" s="239" t="s">
        <v>332</v>
      </c>
      <c r="C566" s="240" t="s">
        <v>5804</v>
      </c>
      <c r="D566" s="241">
        <v>0.0</v>
      </c>
      <c r="E566" s="242" t="s">
        <v>5671</v>
      </c>
      <c r="F566" s="233"/>
      <c r="G566" s="233"/>
      <c r="H566" s="233"/>
      <c r="I566" s="233"/>
      <c r="J566" s="233"/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  <c r="Z566" s="233"/>
    </row>
    <row r="567">
      <c r="A567" s="233"/>
      <c r="B567" s="243"/>
      <c r="C567" s="98" t="s">
        <v>5805</v>
      </c>
      <c r="D567" s="215">
        <v>22000.0</v>
      </c>
      <c r="E567" s="244" t="s">
        <v>5671</v>
      </c>
      <c r="F567" s="233"/>
      <c r="G567" s="233"/>
      <c r="H567" s="233"/>
      <c r="I567" s="233"/>
      <c r="J567" s="233"/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  <c r="Z567" s="233"/>
    </row>
    <row r="568">
      <c r="A568" s="233"/>
      <c r="B568" s="243"/>
      <c r="C568" s="98" t="s">
        <v>5806</v>
      </c>
      <c r="D568" s="215">
        <v>15000.0</v>
      </c>
      <c r="E568" s="244" t="s">
        <v>5671</v>
      </c>
      <c r="F568" s="233"/>
      <c r="G568" s="233"/>
      <c r="H568" s="233"/>
      <c r="I568" s="233"/>
      <c r="J568" s="233"/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  <c r="Z568" s="233"/>
    </row>
    <row r="569">
      <c r="A569" s="233"/>
      <c r="B569" s="243"/>
      <c r="C569" s="98" t="s">
        <v>5807</v>
      </c>
      <c r="D569" s="215">
        <v>20000.0</v>
      </c>
      <c r="E569" s="244" t="s">
        <v>5671</v>
      </c>
      <c r="F569" s="233"/>
      <c r="G569" s="233"/>
      <c r="H569" s="233"/>
      <c r="I569" s="233"/>
      <c r="J569" s="233"/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  <c r="Z569" s="233"/>
    </row>
    <row r="570">
      <c r="A570" s="233"/>
      <c r="B570" s="243"/>
      <c r="C570" s="98" t="s">
        <v>5808</v>
      </c>
      <c r="D570" s="215">
        <v>12000.0</v>
      </c>
      <c r="E570" s="244" t="s">
        <v>5671</v>
      </c>
      <c r="F570" s="233"/>
      <c r="G570" s="233"/>
      <c r="H570" s="233"/>
      <c r="I570" s="233"/>
      <c r="J570" s="233"/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  <c r="Z570" s="233"/>
    </row>
    <row r="571">
      <c r="A571" s="233"/>
      <c r="B571" s="243"/>
      <c r="C571" s="98" t="s">
        <v>5809</v>
      </c>
      <c r="D571" s="215">
        <v>12000.0</v>
      </c>
      <c r="E571" s="244" t="s">
        <v>5671</v>
      </c>
      <c r="F571" s="233"/>
      <c r="G571" s="233"/>
      <c r="H571" s="233"/>
      <c r="I571" s="233"/>
      <c r="J571" s="233"/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  <c r="Z571" s="233"/>
    </row>
    <row r="572">
      <c r="A572" s="233"/>
      <c r="B572" s="243"/>
      <c r="C572" s="98" t="s">
        <v>5810</v>
      </c>
      <c r="D572" s="215">
        <v>8000.0</v>
      </c>
      <c r="E572" s="244" t="s">
        <v>5671</v>
      </c>
      <c r="F572" s="233"/>
      <c r="G572" s="233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  <c r="Z572" s="233"/>
    </row>
    <row r="573">
      <c r="A573" s="233"/>
      <c r="B573" s="243"/>
      <c r="C573" s="98" t="s">
        <v>5811</v>
      </c>
      <c r="D573" s="215">
        <v>14000.0</v>
      </c>
      <c r="E573" s="244" t="s">
        <v>5671</v>
      </c>
      <c r="F573" s="233"/>
      <c r="G573" s="233"/>
      <c r="H573" s="233"/>
      <c r="I573" s="233"/>
      <c r="J573" s="233"/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  <c r="Z573" s="233"/>
    </row>
    <row r="574">
      <c r="A574" s="233"/>
      <c r="B574" s="243"/>
      <c r="C574" s="98" t="s">
        <v>5812</v>
      </c>
      <c r="D574" s="215">
        <v>10000.0</v>
      </c>
      <c r="E574" s="244" t="s">
        <v>5671</v>
      </c>
      <c r="F574" s="233"/>
      <c r="G574" s="233"/>
      <c r="H574" s="233"/>
      <c r="I574" s="233"/>
      <c r="J574" s="233"/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  <c r="Z574" s="233"/>
    </row>
    <row r="575">
      <c r="A575" s="233"/>
      <c r="B575" s="245"/>
      <c r="C575" s="246" t="s">
        <v>5813</v>
      </c>
      <c r="D575" s="247">
        <v>6500.0</v>
      </c>
      <c r="E575" s="248" t="s">
        <v>5671</v>
      </c>
      <c r="F575" s="233"/>
      <c r="G575" s="233"/>
      <c r="H575" s="233"/>
      <c r="I575" s="233"/>
      <c r="J575" s="233"/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  <c r="Z575" s="233"/>
    </row>
    <row r="576">
      <c r="A576" s="233"/>
      <c r="B576" s="233"/>
      <c r="C576" s="233"/>
      <c r="D576" s="233"/>
      <c r="E576" s="233"/>
      <c r="F576" s="233"/>
      <c r="G576" s="233"/>
      <c r="H576" s="233"/>
      <c r="I576" s="233"/>
      <c r="J576" s="233"/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  <c r="Z576" s="233"/>
    </row>
    <row r="577">
      <c r="A577" s="233"/>
      <c r="B577" s="239" t="s">
        <v>339</v>
      </c>
      <c r="C577" s="240" t="s">
        <v>5814</v>
      </c>
      <c r="D577" s="241">
        <v>0.0</v>
      </c>
      <c r="E577" s="242" t="s">
        <v>5671</v>
      </c>
      <c r="F577" s="233"/>
      <c r="G577" s="233"/>
      <c r="H577" s="233"/>
      <c r="I577" s="233"/>
      <c r="J577" s="233"/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  <c r="Z577" s="233"/>
    </row>
    <row r="578">
      <c r="A578" s="233"/>
      <c r="B578" s="243"/>
      <c r="C578" s="98" t="s">
        <v>5815</v>
      </c>
      <c r="D578" s="215">
        <v>30000.0</v>
      </c>
      <c r="E578" s="244" t="s">
        <v>5671</v>
      </c>
      <c r="F578" s="233"/>
      <c r="G578" s="233"/>
      <c r="H578" s="233"/>
      <c r="I578" s="233"/>
      <c r="J578" s="233"/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  <c r="Z578" s="233"/>
    </row>
    <row r="579">
      <c r="A579" s="233"/>
      <c r="B579" s="243"/>
      <c r="C579" s="98" t="s">
        <v>5816</v>
      </c>
      <c r="D579" s="215">
        <v>15000.0</v>
      </c>
      <c r="E579" s="244" t="s">
        <v>5671</v>
      </c>
      <c r="F579" s="233"/>
      <c r="G579" s="233"/>
      <c r="H579" s="233"/>
      <c r="I579" s="233"/>
      <c r="J579" s="233"/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  <c r="Z579" s="233"/>
    </row>
    <row r="580">
      <c r="A580" s="233"/>
      <c r="B580" s="243"/>
      <c r="C580" s="98" t="s">
        <v>5817</v>
      </c>
      <c r="D580" s="215">
        <v>20000.0</v>
      </c>
      <c r="E580" s="244" t="s">
        <v>5671</v>
      </c>
      <c r="F580" s="233"/>
      <c r="G580" s="233"/>
      <c r="H580" s="233"/>
      <c r="I580" s="233"/>
      <c r="J580" s="233"/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  <c r="Z580" s="233"/>
    </row>
    <row r="581">
      <c r="A581" s="233"/>
      <c r="B581" s="243"/>
      <c r="C581" s="98" t="s">
        <v>5818</v>
      </c>
      <c r="D581" s="215">
        <v>12000.0</v>
      </c>
      <c r="E581" s="244" t="s">
        <v>5671</v>
      </c>
      <c r="F581" s="233"/>
      <c r="G581" s="233"/>
      <c r="H581" s="233"/>
      <c r="I581" s="233"/>
      <c r="J581" s="233"/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  <c r="Z581" s="233"/>
    </row>
    <row r="582">
      <c r="A582" s="233"/>
      <c r="B582" s="243"/>
      <c r="C582" s="98" t="s">
        <v>5819</v>
      </c>
      <c r="D582" s="215">
        <v>14000.0</v>
      </c>
      <c r="E582" s="244" t="s">
        <v>5671</v>
      </c>
      <c r="F582" s="233"/>
      <c r="G582" s="233"/>
      <c r="H582" s="233"/>
      <c r="I582" s="233"/>
      <c r="J582" s="233"/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</row>
    <row r="583">
      <c r="A583" s="233"/>
      <c r="B583" s="243"/>
      <c r="C583" s="98" t="s">
        <v>5820</v>
      </c>
      <c r="D583" s="215">
        <v>8000.0</v>
      </c>
      <c r="E583" s="244" t="s">
        <v>5671</v>
      </c>
      <c r="F583" s="233"/>
      <c r="G583" s="233"/>
      <c r="H583" s="233"/>
      <c r="I583" s="233"/>
      <c r="J583" s="233"/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  <c r="Z583" s="233"/>
    </row>
    <row r="584">
      <c r="A584" s="233"/>
      <c r="B584" s="243"/>
      <c r="C584" s="98" t="s">
        <v>5821</v>
      </c>
      <c r="D584" s="215">
        <v>16000.0</v>
      </c>
      <c r="E584" s="244" t="s">
        <v>5671</v>
      </c>
      <c r="F584" s="233"/>
      <c r="G584" s="233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  <c r="Z584" s="233"/>
    </row>
    <row r="585">
      <c r="A585" s="233"/>
      <c r="B585" s="243"/>
      <c r="C585" s="98" t="s">
        <v>5822</v>
      </c>
      <c r="D585" s="215">
        <v>12000.0</v>
      </c>
      <c r="E585" s="244" t="s">
        <v>5671</v>
      </c>
      <c r="F585" s="233"/>
      <c r="G585" s="233"/>
      <c r="H585" s="233"/>
      <c r="I585" s="233"/>
      <c r="J585" s="233"/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  <c r="Z585" s="233"/>
    </row>
    <row r="586">
      <c r="A586" s="233"/>
      <c r="B586" s="245"/>
      <c r="C586" s="246" t="s">
        <v>5823</v>
      </c>
      <c r="D586" s="247">
        <v>6500.0</v>
      </c>
      <c r="E586" s="248" t="s">
        <v>5671</v>
      </c>
      <c r="F586" s="233"/>
      <c r="G586" s="233"/>
      <c r="H586" s="233"/>
      <c r="I586" s="233"/>
      <c r="J586" s="233"/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  <c r="Z586" s="233"/>
    </row>
    <row r="587">
      <c r="A587" s="233"/>
      <c r="B587" s="233"/>
      <c r="C587" s="233"/>
      <c r="D587" s="233"/>
      <c r="E587" s="233"/>
      <c r="F587" s="233"/>
      <c r="G587" s="233"/>
      <c r="H587" s="233"/>
      <c r="I587" s="233"/>
      <c r="J587" s="233"/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  <c r="Z587" s="233"/>
    </row>
    <row r="588">
      <c r="A588" s="233"/>
      <c r="B588" s="239" t="s">
        <v>346</v>
      </c>
      <c r="C588" s="240" t="s">
        <v>5824</v>
      </c>
      <c r="D588" s="241">
        <v>0.0</v>
      </c>
      <c r="E588" s="242" t="s">
        <v>5671</v>
      </c>
      <c r="F588" s="233"/>
      <c r="G588" s="233"/>
      <c r="H588" s="233"/>
      <c r="I588" s="233"/>
      <c r="J588" s="233"/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  <c r="Z588" s="233"/>
    </row>
    <row r="589">
      <c r="A589" s="233"/>
      <c r="B589" s="243"/>
      <c r="C589" s="98" t="s">
        <v>5825</v>
      </c>
      <c r="D589" s="215">
        <v>35000.0</v>
      </c>
      <c r="E589" s="244" t="s">
        <v>5671</v>
      </c>
      <c r="F589" s="233"/>
      <c r="G589" s="233"/>
      <c r="H589" s="233"/>
      <c r="I589" s="233"/>
      <c r="J589" s="233"/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</row>
    <row r="590">
      <c r="A590" s="233"/>
      <c r="B590" s="243"/>
      <c r="C590" s="98" t="s">
        <v>5826</v>
      </c>
      <c r="D590" s="215">
        <v>15000.0</v>
      </c>
      <c r="E590" s="244" t="s">
        <v>5671</v>
      </c>
      <c r="F590" s="233"/>
      <c r="G590" s="233"/>
      <c r="H590" s="233"/>
      <c r="I590" s="233"/>
      <c r="J590" s="233"/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  <c r="Z590" s="233"/>
    </row>
    <row r="591">
      <c r="A591" s="233"/>
      <c r="B591" s="243"/>
      <c r="C591" s="98" t="s">
        <v>5827</v>
      </c>
      <c r="D591" s="215">
        <v>20000.0</v>
      </c>
      <c r="E591" s="244" t="s">
        <v>5671</v>
      </c>
      <c r="F591" s="233"/>
      <c r="G591" s="233"/>
      <c r="H591" s="233"/>
      <c r="I591" s="233"/>
      <c r="J591" s="233"/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  <c r="Z591" s="233"/>
    </row>
    <row r="592">
      <c r="A592" s="233"/>
      <c r="B592" s="243"/>
      <c r="C592" s="98" t="s">
        <v>5828</v>
      </c>
      <c r="D592" s="215">
        <v>12000.0</v>
      </c>
      <c r="E592" s="244" t="s">
        <v>5671</v>
      </c>
      <c r="F592" s="233"/>
      <c r="G592" s="233"/>
      <c r="H592" s="233"/>
      <c r="I592" s="233"/>
      <c r="J592" s="233"/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  <c r="Z592" s="233"/>
    </row>
    <row r="593">
      <c r="A593" s="233"/>
      <c r="B593" s="243"/>
      <c r="C593" s="98" t="s">
        <v>5829</v>
      </c>
      <c r="D593" s="215">
        <v>14000.0</v>
      </c>
      <c r="E593" s="244" t="s">
        <v>5671</v>
      </c>
      <c r="F593" s="233"/>
      <c r="G593" s="233"/>
      <c r="H593" s="233"/>
      <c r="I593" s="233"/>
      <c r="J593" s="233"/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  <c r="Z593" s="233"/>
    </row>
    <row r="594">
      <c r="A594" s="233"/>
      <c r="B594" s="243"/>
      <c r="C594" s="98" t="s">
        <v>5830</v>
      </c>
      <c r="D594" s="215">
        <v>8000.0</v>
      </c>
      <c r="E594" s="244" t="s">
        <v>5671</v>
      </c>
      <c r="F594" s="233"/>
      <c r="G594" s="233"/>
      <c r="H594" s="233"/>
      <c r="I594" s="233"/>
      <c r="J594" s="233"/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</row>
    <row r="595">
      <c r="A595" s="233"/>
      <c r="B595" s="243"/>
      <c r="C595" s="98" t="s">
        <v>5831</v>
      </c>
      <c r="D595" s="215">
        <v>16000.0</v>
      </c>
      <c r="E595" s="244" t="s">
        <v>5671</v>
      </c>
      <c r="F595" s="233"/>
      <c r="G595" s="233"/>
      <c r="H595" s="233"/>
      <c r="I595" s="233"/>
      <c r="J595" s="233"/>
      <c r="K595" s="233"/>
      <c r="L595" s="233"/>
      <c r="M595" s="233"/>
      <c r="N595" s="233"/>
      <c r="O595" s="233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  <c r="Z595" s="233"/>
    </row>
    <row r="596">
      <c r="A596" s="233"/>
      <c r="B596" s="243"/>
      <c r="C596" s="98" t="s">
        <v>5832</v>
      </c>
      <c r="D596" s="215">
        <v>12000.0</v>
      </c>
      <c r="E596" s="244" t="s">
        <v>5671</v>
      </c>
      <c r="F596" s="233"/>
      <c r="G596" s="233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  <c r="Z596" s="233"/>
    </row>
    <row r="597">
      <c r="A597" s="233"/>
      <c r="B597" s="245"/>
      <c r="C597" s="246" t="s">
        <v>5833</v>
      </c>
      <c r="D597" s="247">
        <v>6500.0</v>
      </c>
      <c r="E597" s="248" t="s">
        <v>5671</v>
      </c>
      <c r="F597" s="233"/>
      <c r="G597" s="233"/>
      <c r="H597" s="233"/>
      <c r="I597" s="233"/>
      <c r="J597" s="233"/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  <c r="Z597" s="233"/>
    </row>
    <row r="598">
      <c r="A598" s="233"/>
      <c r="B598" s="233"/>
      <c r="C598" s="233"/>
      <c r="D598" s="233"/>
      <c r="E598" s="233"/>
      <c r="F598" s="233"/>
      <c r="G598" s="233"/>
      <c r="H598" s="233"/>
      <c r="I598" s="233"/>
      <c r="J598" s="233"/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  <c r="Z598" s="233"/>
    </row>
    <row r="599">
      <c r="A599" s="233"/>
      <c r="B599" s="250" t="s">
        <v>353</v>
      </c>
      <c r="C599" s="251" t="s">
        <v>5834</v>
      </c>
      <c r="D599" s="252">
        <v>0.0</v>
      </c>
      <c r="E599" s="253" t="s">
        <v>5279</v>
      </c>
      <c r="F599" s="233"/>
      <c r="G599" s="233"/>
      <c r="H599" s="233"/>
      <c r="I599" s="233"/>
      <c r="J599" s="233"/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  <c r="Z599" s="233"/>
    </row>
    <row r="600">
      <c r="A600" s="233"/>
      <c r="B600" s="233"/>
      <c r="C600" s="233"/>
      <c r="D600" s="233"/>
      <c r="E600" s="233"/>
      <c r="F600" s="233"/>
      <c r="G600" s="233"/>
      <c r="H600" s="233"/>
      <c r="I600" s="233"/>
      <c r="J600" s="233"/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  <c r="Z600" s="233"/>
    </row>
    <row r="601">
      <c r="A601" s="233"/>
      <c r="B601" s="250" t="s">
        <v>360</v>
      </c>
      <c r="C601" s="251" t="s">
        <v>5835</v>
      </c>
      <c r="D601" s="252">
        <v>0.0</v>
      </c>
      <c r="E601" s="253" t="s">
        <v>5279</v>
      </c>
      <c r="F601" s="233"/>
      <c r="G601" s="233"/>
      <c r="H601" s="233"/>
      <c r="I601" s="233"/>
      <c r="J601" s="233"/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  <c r="Z601" s="233"/>
    </row>
    <row r="602">
      <c r="A602" s="233"/>
      <c r="B602" s="233"/>
      <c r="C602" s="233"/>
      <c r="D602" s="233"/>
      <c r="E602" s="233"/>
      <c r="F602" s="233"/>
      <c r="G602" s="233"/>
      <c r="H602" s="233"/>
      <c r="I602" s="233"/>
      <c r="J602" s="233"/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  <c r="Z602" s="233"/>
    </row>
    <row r="603">
      <c r="A603" s="233"/>
      <c r="B603" s="250" t="s">
        <v>367</v>
      </c>
      <c r="C603" s="251" t="s">
        <v>5836</v>
      </c>
      <c r="D603" s="252">
        <v>0.0</v>
      </c>
      <c r="E603" s="253" t="s">
        <v>5279</v>
      </c>
      <c r="F603" s="233"/>
      <c r="G603" s="233"/>
      <c r="H603" s="233"/>
      <c r="I603" s="233"/>
      <c r="J603" s="233"/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  <c r="Z603" s="233"/>
    </row>
    <row r="604">
      <c r="A604" s="233"/>
      <c r="B604" s="233"/>
      <c r="C604" s="233"/>
      <c r="D604" s="233"/>
      <c r="E604" s="233"/>
      <c r="F604" s="233"/>
      <c r="G604" s="233"/>
      <c r="H604" s="233"/>
      <c r="I604" s="233"/>
      <c r="J604" s="233"/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  <c r="Z604" s="233"/>
    </row>
    <row r="605">
      <c r="A605" s="233"/>
      <c r="B605" s="250" t="s">
        <v>374</v>
      </c>
      <c r="C605" s="251" t="s">
        <v>5837</v>
      </c>
      <c r="D605" s="252">
        <v>0.0</v>
      </c>
      <c r="E605" s="253" t="s">
        <v>5279</v>
      </c>
      <c r="F605" s="233"/>
      <c r="G605" s="233"/>
      <c r="H605" s="233"/>
      <c r="I605" s="233"/>
      <c r="J605" s="233"/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  <c r="Z605" s="233"/>
    </row>
    <row r="606">
      <c r="A606" s="233"/>
      <c r="B606" s="233"/>
      <c r="C606" s="233"/>
      <c r="D606" s="233"/>
      <c r="E606" s="233"/>
      <c r="F606" s="233"/>
      <c r="G606" s="233"/>
      <c r="H606" s="233"/>
      <c r="I606" s="233"/>
      <c r="J606" s="233"/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  <c r="Z606" s="233"/>
    </row>
    <row r="607">
      <c r="A607" s="233"/>
      <c r="B607" s="233"/>
      <c r="C607" s="233"/>
      <c r="D607" s="233"/>
      <c r="E607" s="233"/>
      <c r="F607" s="233"/>
      <c r="G607" s="233"/>
      <c r="H607" s="233"/>
      <c r="I607" s="233"/>
      <c r="J607" s="233"/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  <c r="Z607" s="233"/>
    </row>
    <row r="608">
      <c r="A608" s="233"/>
      <c r="B608" s="233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  <c r="Z608" s="233"/>
    </row>
    <row r="609">
      <c r="A609" s="233"/>
      <c r="B609" s="233"/>
      <c r="C609" s="233"/>
      <c r="D609" s="233"/>
      <c r="E609" s="233"/>
      <c r="F609" s="233"/>
      <c r="G609" s="233"/>
      <c r="H609" s="233"/>
      <c r="I609" s="233"/>
      <c r="J609" s="233"/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  <c r="Z609" s="233"/>
    </row>
    <row r="610">
      <c r="A610" s="233"/>
      <c r="B610" s="233"/>
      <c r="C610" s="233"/>
      <c r="D610" s="233"/>
      <c r="E610" s="233"/>
      <c r="F610" s="233"/>
      <c r="G610" s="233"/>
      <c r="H610" s="233"/>
      <c r="I610" s="233"/>
      <c r="J610" s="233"/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  <c r="Z610" s="233"/>
    </row>
    <row r="611">
      <c r="A611" s="233"/>
      <c r="B611" s="233"/>
      <c r="C611" s="233"/>
      <c r="D611" s="233"/>
      <c r="E611" s="233"/>
      <c r="F611" s="233"/>
      <c r="G611" s="233"/>
      <c r="H611" s="233"/>
      <c r="I611" s="233"/>
      <c r="J611" s="233"/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  <c r="Z611" s="233"/>
    </row>
    <row r="612">
      <c r="A612" s="233"/>
      <c r="B612" s="233"/>
      <c r="C612" s="233"/>
      <c r="D612" s="233"/>
      <c r="E612" s="233"/>
      <c r="F612" s="233"/>
      <c r="G612" s="233"/>
      <c r="H612" s="233"/>
      <c r="I612" s="233"/>
      <c r="J612" s="233"/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  <c r="Z612" s="233"/>
    </row>
    <row r="613">
      <c r="A613" s="233"/>
      <c r="B613" s="233"/>
      <c r="C613" s="233"/>
      <c r="D613" s="233"/>
      <c r="E613" s="233"/>
      <c r="F613" s="233"/>
      <c r="G613" s="233"/>
      <c r="H613" s="233"/>
      <c r="I613" s="233"/>
      <c r="J613" s="233"/>
      <c r="K613" s="233"/>
      <c r="L613" s="233"/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</row>
    <row r="614">
      <c r="A614" s="233"/>
      <c r="B614" s="233"/>
      <c r="C614" s="233"/>
      <c r="D614" s="233"/>
      <c r="E614" s="233"/>
      <c r="F614" s="233"/>
      <c r="G614" s="233"/>
      <c r="H614" s="233"/>
      <c r="I614" s="233"/>
      <c r="J614" s="233"/>
      <c r="K614" s="233"/>
      <c r="L614" s="233"/>
      <c r="M614" s="233"/>
      <c r="N614" s="233"/>
      <c r="O614" s="233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  <c r="Z614" s="233"/>
    </row>
    <row r="615">
      <c r="A615" s="233"/>
      <c r="B615" s="233"/>
      <c r="C615" s="233"/>
      <c r="D615" s="233"/>
      <c r="E615" s="233"/>
      <c r="F615" s="233"/>
      <c r="G615" s="233"/>
      <c r="H615" s="233"/>
      <c r="I615" s="233"/>
      <c r="J615" s="233"/>
      <c r="K615" s="233"/>
      <c r="L615" s="233"/>
      <c r="M615" s="233"/>
      <c r="N615" s="233"/>
      <c r="O615" s="233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  <c r="Z615" s="233"/>
    </row>
    <row r="616">
      <c r="A616" s="233"/>
      <c r="B616" s="233"/>
      <c r="C616" s="233"/>
      <c r="D616" s="233"/>
      <c r="E616" s="233"/>
      <c r="F616" s="233"/>
      <c r="G616" s="233"/>
      <c r="H616" s="233"/>
      <c r="I616" s="233"/>
      <c r="J616" s="233"/>
      <c r="K616" s="233"/>
      <c r="L616" s="233"/>
      <c r="M616" s="233"/>
      <c r="N616" s="233"/>
      <c r="O616" s="233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  <c r="Z616" s="233"/>
    </row>
    <row r="617">
      <c r="A617" s="233"/>
      <c r="B617" s="233"/>
      <c r="C617" s="233"/>
      <c r="D617" s="233"/>
      <c r="E617" s="233"/>
      <c r="F617" s="233"/>
      <c r="G617" s="233"/>
      <c r="H617" s="233"/>
      <c r="I617" s="233"/>
      <c r="J617" s="233"/>
      <c r="K617" s="233"/>
      <c r="L617" s="233"/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</row>
    <row r="618">
      <c r="A618" s="233"/>
      <c r="B618" s="233"/>
      <c r="C618" s="233"/>
      <c r="D618" s="233"/>
      <c r="E618" s="233"/>
      <c r="F618" s="233"/>
      <c r="G618" s="233"/>
      <c r="H618" s="233"/>
      <c r="I618" s="233"/>
      <c r="J618" s="233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  <c r="Z618" s="233"/>
    </row>
    <row r="619">
      <c r="A619" s="233"/>
      <c r="B619" s="233"/>
      <c r="C619" s="233"/>
      <c r="D619" s="233"/>
      <c r="E619" s="233"/>
      <c r="F619" s="233"/>
      <c r="G619" s="233"/>
      <c r="H619" s="233"/>
      <c r="I619" s="233"/>
      <c r="J619" s="233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  <c r="Z619" s="233"/>
    </row>
    <row r="620">
      <c r="A620" s="233"/>
      <c r="B620" s="233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  <c r="Z620" s="233"/>
    </row>
    <row r="621">
      <c r="A621" s="233"/>
      <c r="B621" s="233"/>
      <c r="C621" s="233"/>
      <c r="D621" s="233"/>
      <c r="E621" s="233"/>
      <c r="F621" s="233"/>
      <c r="G621" s="233"/>
      <c r="H621" s="233"/>
      <c r="I621" s="233"/>
      <c r="J621" s="233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  <c r="Z621" s="233"/>
    </row>
    <row r="622">
      <c r="A622" s="233"/>
      <c r="B622" s="233"/>
      <c r="C622" s="233"/>
      <c r="D622" s="233"/>
      <c r="E622" s="233"/>
      <c r="F622" s="233"/>
      <c r="G622" s="233"/>
      <c r="H622" s="233"/>
      <c r="I622" s="233"/>
      <c r="J622" s="233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  <c r="Z622" s="233"/>
    </row>
    <row r="623">
      <c r="A623" s="233"/>
      <c r="B623" s="233"/>
      <c r="C623" s="233"/>
      <c r="D623" s="233"/>
      <c r="E623" s="233"/>
      <c r="F623" s="233"/>
      <c r="G623" s="233"/>
      <c r="H623" s="233"/>
      <c r="I623" s="233"/>
      <c r="J623" s="233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</row>
    <row r="624">
      <c r="A624" s="233"/>
      <c r="B624" s="233"/>
      <c r="C624" s="233"/>
      <c r="D624" s="233"/>
      <c r="E624" s="233"/>
      <c r="F624" s="233"/>
      <c r="G624" s="233"/>
      <c r="H624" s="233"/>
      <c r="I624" s="233"/>
      <c r="J624" s="233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  <c r="Z624" s="233"/>
    </row>
    <row r="625">
      <c r="A625" s="233"/>
      <c r="B625" s="233"/>
      <c r="C625" s="233"/>
      <c r="D625" s="233"/>
      <c r="E625" s="233"/>
      <c r="F625" s="233"/>
      <c r="G625" s="233"/>
      <c r="H625" s="233"/>
      <c r="I625" s="233"/>
      <c r="J625" s="233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  <c r="Z625" s="233"/>
    </row>
    <row r="626">
      <c r="A626" s="233"/>
      <c r="B626" s="233"/>
      <c r="C626" s="233"/>
      <c r="D626" s="233"/>
      <c r="E626" s="233"/>
      <c r="F626" s="233"/>
      <c r="G626" s="233"/>
      <c r="H626" s="233"/>
      <c r="I626" s="233"/>
      <c r="J626" s="233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  <c r="Z626" s="233"/>
    </row>
    <row r="627">
      <c r="A627" s="233"/>
      <c r="B627" s="233"/>
      <c r="C627" s="233"/>
      <c r="D627" s="233"/>
      <c r="E627" s="233"/>
      <c r="F627" s="233"/>
      <c r="G627" s="233"/>
      <c r="H627" s="233"/>
      <c r="I627" s="233"/>
      <c r="J627" s="233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</row>
    <row r="628">
      <c r="A628" s="233"/>
      <c r="B628" s="233"/>
      <c r="C628" s="233"/>
      <c r="D628" s="233"/>
      <c r="E628" s="233"/>
      <c r="F628" s="233"/>
      <c r="G628" s="233"/>
      <c r="H628" s="233"/>
      <c r="I628" s="233"/>
      <c r="J628" s="233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  <c r="Z628" s="233"/>
    </row>
    <row r="629">
      <c r="A629" s="233"/>
      <c r="B629" s="233"/>
      <c r="C629" s="233"/>
      <c r="D629" s="233"/>
      <c r="E629" s="233"/>
      <c r="F629" s="233"/>
      <c r="G629" s="233"/>
      <c r="H629" s="233"/>
      <c r="I629" s="233"/>
      <c r="J629" s="233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  <c r="Z629" s="233"/>
    </row>
    <row r="630">
      <c r="A630" s="233"/>
      <c r="B630" s="233"/>
      <c r="C630" s="233"/>
      <c r="D630" s="233"/>
      <c r="E630" s="233"/>
      <c r="F630" s="233"/>
      <c r="G630" s="233"/>
      <c r="H630" s="233"/>
      <c r="I630" s="233"/>
      <c r="J630" s="233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  <c r="Z630" s="233"/>
    </row>
    <row r="631">
      <c r="A631" s="233"/>
      <c r="B631" s="233"/>
      <c r="C631" s="233"/>
      <c r="D631" s="233"/>
      <c r="E631" s="233"/>
      <c r="F631" s="233"/>
      <c r="G631" s="233"/>
      <c r="H631" s="233"/>
      <c r="I631" s="233"/>
      <c r="J631" s="233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  <c r="Z631" s="233"/>
    </row>
    <row r="632">
      <c r="A632" s="233"/>
      <c r="B632" s="233"/>
      <c r="C632" s="233"/>
      <c r="D632" s="233"/>
      <c r="E632" s="233"/>
      <c r="F632" s="233"/>
      <c r="G632" s="233"/>
      <c r="H632" s="233"/>
      <c r="I632" s="233"/>
      <c r="J632" s="233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  <c r="Z632" s="233"/>
    </row>
    <row r="633">
      <c r="A633" s="233"/>
      <c r="B633" s="233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  <c r="Z633" s="233"/>
    </row>
    <row r="634">
      <c r="A634" s="233"/>
      <c r="B634" s="233"/>
      <c r="C634" s="233"/>
      <c r="D634" s="233"/>
      <c r="E634" s="233"/>
      <c r="F634" s="233"/>
      <c r="G634" s="233"/>
      <c r="H634" s="233"/>
      <c r="I634" s="233"/>
      <c r="J634" s="233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  <c r="Z634" s="233"/>
    </row>
    <row r="635">
      <c r="A635" s="233"/>
      <c r="B635" s="233"/>
      <c r="C635" s="233"/>
      <c r="D635" s="233"/>
      <c r="E635" s="233"/>
      <c r="F635" s="233"/>
      <c r="G635" s="233"/>
      <c r="H635" s="233"/>
      <c r="I635" s="233"/>
      <c r="J635" s="233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  <c r="Z635" s="233"/>
    </row>
    <row r="636">
      <c r="A636" s="233"/>
      <c r="B636" s="233"/>
      <c r="C636" s="233"/>
      <c r="D636" s="233"/>
      <c r="E636" s="233"/>
      <c r="F636" s="233"/>
      <c r="G636" s="233"/>
      <c r="H636" s="233"/>
      <c r="I636" s="233"/>
      <c r="J636" s="233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  <c r="Z636" s="233"/>
    </row>
    <row r="637">
      <c r="A637" s="233"/>
      <c r="B637" s="233"/>
      <c r="C637" s="233"/>
      <c r="D637" s="233"/>
      <c r="E637" s="233"/>
      <c r="F637" s="233"/>
      <c r="G637" s="233"/>
      <c r="H637" s="233"/>
      <c r="I637" s="233"/>
      <c r="J637" s="233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  <c r="Z637" s="233"/>
    </row>
    <row r="638">
      <c r="A638" s="233"/>
      <c r="B638" s="233"/>
      <c r="C638" s="233"/>
      <c r="D638" s="233"/>
      <c r="E638" s="233"/>
      <c r="F638" s="233"/>
      <c r="G638" s="233"/>
      <c r="H638" s="233"/>
      <c r="I638" s="233"/>
      <c r="J638" s="233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  <c r="Z638" s="233"/>
    </row>
    <row r="639">
      <c r="A639" s="233"/>
      <c r="B639" s="233"/>
      <c r="C639" s="233"/>
      <c r="D639" s="233"/>
      <c r="E639" s="233"/>
      <c r="F639" s="233"/>
      <c r="G639" s="233"/>
      <c r="H639" s="233"/>
      <c r="I639" s="233"/>
      <c r="J639" s="233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  <c r="Z639" s="233"/>
    </row>
    <row r="640">
      <c r="A640" s="233"/>
      <c r="B640" s="233"/>
      <c r="C640" s="233"/>
      <c r="D640" s="233"/>
      <c r="E640" s="233"/>
      <c r="F640" s="233"/>
      <c r="G640" s="233"/>
      <c r="H640" s="233"/>
      <c r="I640" s="233"/>
      <c r="J640" s="233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  <c r="Z640" s="233"/>
    </row>
    <row r="641">
      <c r="A641" s="233"/>
      <c r="B641" s="233"/>
      <c r="C641" s="233"/>
      <c r="D641" s="233"/>
      <c r="E641" s="233"/>
      <c r="F641" s="233"/>
      <c r="G641" s="233"/>
      <c r="H641" s="233"/>
      <c r="I641" s="233"/>
      <c r="J641" s="233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  <c r="Z641" s="233"/>
    </row>
    <row r="642">
      <c r="A642" s="233"/>
      <c r="B642" s="233"/>
      <c r="C642" s="233"/>
      <c r="D642" s="233"/>
      <c r="E642" s="233"/>
      <c r="F642" s="233"/>
      <c r="G642" s="233"/>
      <c r="H642" s="233"/>
      <c r="I642" s="233"/>
      <c r="J642" s="233"/>
      <c r="K642" s="233"/>
      <c r="L642" s="233"/>
      <c r="M642" s="233"/>
      <c r="N642" s="233"/>
      <c r="O642" s="233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  <c r="Z642" s="233"/>
    </row>
    <row r="643">
      <c r="A643" s="233"/>
      <c r="B643" s="233"/>
      <c r="C643" s="233"/>
      <c r="D643" s="233"/>
      <c r="E643" s="233"/>
      <c r="F643" s="233"/>
      <c r="G643" s="233"/>
      <c r="H643" s="233"/>
      <c r="I643" s="233"/>
      <c r="J643" s="233"/>
      <c r="K643" s="233"/>
      <c r="L643" s="233"/>
      <c r="M643" s="233"/>
      <c r="N643" s="233"/>
      <c r="O643" s="233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  <c r="Z643" s="233"/>
    </row>
    <row r="644">
      <c r="A644" s="233"/>
      <c r="B644" s="233"/>
      <c r="C644" s="233"/>
      <c r="D644" s="233"/>
      <c r="E644" s="233"/>
      <c r="F644" s="233"/>
      <c r="G644" s="233"/>
      <c r="H644" s="233"/>
      <c r="I644" s="233"/>
      <c r="J644" s="233"/>
      <c r="K644" s="233"/>
      <c r="L644" s="233"/>
      <c r="M644" s="233"/>
      <c r="N644" s="233"/>
      <c r="O644" s="233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  <c r="Z644" s="233"/>
    </row>
    <row r="645">
      <c r="A645" s="233"/>
      <c r="B645" s="233"/>
      <c r="C645" s="233"/>
      <c r="D645" s="233"/>
      <c r="E645" s="233"/>
      <c r="F645" s="233"/>
      <c r="G645" s="233"/>
      <c r="H645" s="233"/>
      <c r="I645" s="233"/>
      <c r="J645" s="233"/>
      <c r="K645" s="233"/>
      <c r="L645" s="233"/>
      <c r="M645" s="233"/>
      <c r="N645" s="233"/>
      <c r="O645" s="233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  <c r="Z645" s="233"/>
    </row>
    <row r="646">
      <c r="A646" s="233"/>
      <c r="B646" s="233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  <c r="Z646" s="233"/>
    </row>
    <row r="647">
      <c r="A647" s="233"/>
      <c r="B647" s="233"/>
      <c r="C647" s="233"/>
      <c r="D647" s="233"/>
      <c r="E647" s="233"/>
      <c r="F647" s="233"/>
      <c r="G647" s="233"/>
      <c r="H647" s="233"/>
      <c r="I647" s="233"/>
      <c r="J647" s="233"/>
      <c r="K647" s="233"/>
      <c r="L647" s="233"/>
      <c r="M647" s="233"/>
      <c r="N647" s="233"/>
      <c r="O647" s="233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  <c r="Z647" s="233"/>
    </row>
    <row r="648">
      <c r="A648" s="233"/>
      <c r="B648" s="233"/>
      <c r="C648" s="233"/>
      <c r="D648" s="233"/>
      <c r="E648" s="233"/>
      <c r="F648" s="233"/>
      <c r="G648" s="233"/>
      <c r="H648" s="233"/>
      <c r="I648" s="233"/>
      <c r="J648" s="233"/>
      <c r="K648" s="233"/>
      <c r="L648" s="233"/>
      <c r="M648" s="233"/>
      <c r="N648" s="233"/>
      <c r="O648" s="233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  <c r="Z648" s="233"/>
    </row>
    <row r="649">
      <c r="A649" s="233"/>
      <c r="B649" s="233"/>
      <c r="C649" s="233"/>
      <c r="D649" s="233"/>
      <c r="E649" s="233"/>
      <c r="F649" s="233"/>
      <c r="G649" s="233"/>
      <c r="H649" s="233"/>
      <c r="I649" s="233"/>
      <c r="J649" s="233"/>
      <c r="K649" s="233"/>
      <c r="L649" s="233"/>
      <c r="M649" s="233"/>
      <c r="N649" s="233"/>
      <c r="O649" s="233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  <c r="Z649" s="233"/>
    </row>
    <row r="650">
      <c r="A650" s="233"/>
      <c r="B650" s="233"/>
      <c r="C650" s="233"/>
      <c r="D650" s="233"/>
      <c r="E650" s="233"/>
      <c r="F650" s="233"/>
      <c r="G650" s="233"/>
      <c r="H650" s="233"/>
      <c r="I650" s="233"/>
      <c r="J650" s="233"/>
      <c r="K650" s="233"/>
      <c r="L650" s="233"/>
      <c r="M650" s="233"/>
      <c r="N650" s="233"/>
      <c r="O650" s="233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  <c r="Z650" s="233"/>
    </row>
    <row r="651">
      <c r="A651" s="233"/>
      <c r="B651" s="233"/>
      <c r="C651" s="233"/>
      <c r="D651" s="233"/>
      <c r="E651" s="233"/>
      <c r="F651" s="233"/>
      <c r="G651" s="233"/>
      <c r="H651" s="233"/>
      <c r="I651" s="233"/>
      <c r="J651" s="233"/>
      <c r="K651" s="233"/>
      <c r="L651" s="233"/>
      <c r="M651" s="233"/>
      <c r="N651" s="233"/>
      <c r="O651" s="233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  <c r="Z651" s="233"/>
    </row>
    <row r="652">
      <c r="A652" s="233"/>
      <c r="B652" s="233"/>
      <c r="C652" s="233"/>
      <c r="D652" s="233"/>
      <c r="E652" s="233"/>
      <c r="F652" s="233"/>
      <c r="G652" s="233"/>
      <c r="H652" s="233"/>
      <c r="I652" s="233"/>
      <c r="J652" s="233"/>
      <c r="K652" s="233"/>
      <c r="L652" s="233"/>
      <c r="M652" s="233"/>
      <c r="N652" s="233"/>
      <c r="O652" s="233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  <c r="Z652" s="233"/>
    </row>
    <row r="653">
      <c r="A653" s="233"/>
      <c r="B653" s="233"/>
      <c r="C653" s="233"/>
      <c r="D653" s="233"/>
      <c r="E653" s="233"/>
      <c r="F653" s="233"/>
      <c r="G653" s="233"/>
      <c r="H653" s="233"/>
      <c r="I653" s="233"/>
      <c r="J653" s="233"/>
      <c r="K653" s="233"/>
      <c r="L653" s="233"/>
      <c r="M653" s="233"/>
      <c r="N653" s="233"/>
      <c r="O653" s="233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  <c r="Z653" s="233"/>
    </row>
    <row r="654">
      <c r="A654" s="233"/>
      <c r="B654" s="233"/>
      <c r="C654" s="233"/>
      <c r="D654" s="233"/>
      <c r="E654" s="233"/>
      <c r="F654" s="233"/>
      <c r="G654" s="233"/>
      <c r="H654" s="233"/>
      <c r="I654" s="233"/>
      <c r="J654" s="233"/>
      <c r="K654" s="233"/>
      <c r="L654" s="233"/>
      <c r="M654" s="233"/>
      <c r="N654" s="233"/>
      <c r="O654" s="233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  <c r="Z654" s="233"/>
    </row>
    <row r="655">
      <c r="A655" s="233"/>
      <c r="B655" s="233"/>
      <c r="C655" s="233"/>
      <c r="D655" s="233"/>
      <c r="E655" s="233"/>
      <c r="F655" s="233"/>
      <c r="G655" s="233"/>
      <c r="H655" s="233"/>
      <c r="I655" s="233"/>
      <c r="J655" s="233"/>
      <c r="K655" s="233"/>
      <c r="L655" s="233"/>
      <c r="M655" s="233"/>
      <c r="N655" s="233"/>
      <c r="O655" s="233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  <c r="Z655" s="233"/>
    </row>
    <row r="656">
      <c r="A656" s="233"/>
      <c r="B656" s="233"/>
      <c r="C656" s="233"/>
      <c r="D656" s="233"/>
      <c r="E656" s="233"/>
      <c r="F656" s="233"/>
      <c r="G656" s="233"/>
      <c r="H656" s="233"/>
      <c r="I656" s="233"/>
      <c r="J656" s="233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  <c r="Z656" s="233"/>
    </row>
    <row r="657">
      <c r="A657" s="233"/>
      <c r="B657" s="233"/>
      <c r="C657" s="233"/>
      <c r="D657" s="233"/>
      <c r="E657" s="233"/>
      <c r="F657" s="233"/>
      <c r="G657" s="233"/>
      <c r="H657" s="233"/>
      <c r="I657" s="233"/>
      <c r="J657" s="233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  <c r="Z657" s="233"/>
    </row>
    <row r="658">
      <c r="A658" s="233"/>
      <c r="B658" s="233"/>
      <c r="C658" s="233"/>
      <c r="D658" s="233"/>
      <c r="E658" s="233"/>
      <c r="F658" s="233"/>
      <c r="G658" s="233"/>
      <c r="H658" s="233"/>
      <c r="I658" s="233"/>
      <c r="J658" s="233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  <c r="Z658" s="233"/>
    </row>
    <row r="659">
      <c r="A659" s="233"/>
      <c r="B659" s="233"/>
      <c r="C659" s="233"/>
      <c r="D659" s="233"/>
      <c r="E659" s="233"/>
      <c r="F659" s="233"/>
      <c r="G659" s="233"/>
      <c r="H659" s="233"/>
      <c r="I659" s="233"/>
      <c r="J659" s="233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  <c r="Z659" s="233"/>
    </row>
    <row r="660">
      <c r="A660" s="233"/>
      <c r="B660" s="233"/>
      <c r="C660" s="233"/>
      <c r="D660" s="233"/>
      <c r="E660" s="233"/>
      <c r="F660" s="233"/>
      <c r="G660" s="233"/>
      <c r="H660" s="233"/>
      <c r="I660" s="233"/>
      <c r="J660" s="233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  <c r="Z660" s="233"/>
    </row>
    <row r="661">
      <c r="A661" s="233"/>
      <c r="B661" s="233"/>
      <c r="C661" s="233"/>
      <c r="D661" s="233"/>
      <c r="E661" s="233"/>
      <c r="F661" s="233"/>
      <c r="G661" s="233"/>
      <c r="H661" s="233"/>
      <c r="I661" s="233"/>
      <c r="J661" s="233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  <c r="Z661" s="233"/>
    </row>
    <row r="662">
      <c r="A662" s="233"/>
      <c r="B662" s="233"/>
      <c r="C662" s="233"/>
      <c r="D662" s="233"/>
      <c r="E662" s="233"/>
      <c r="F662" s="233"/>
      <c r="G662" s="233"/>
      <c r="H662" s="233"/>
      <c r="I662" s="233"/>
      <c r="J662" s="233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  <c r="Z662" s="233"/>
    </row>
    <row r="663">
      <c r="A663" s="233"/>
      <c r="B663" s="233"/>
      <c r="C663" s="233"/>
      <c r="D663" s="233"/>
      <c r="E663" s="233"/>
      <c r="F663" s="233"/>
      <c r="G663" s="233"/>
      <c r="H663" s="233"/>
      <c r="I663" s="233"/>
      <c r="J663" s="233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  <c r="Z663" s="233"/>
    </row>
    <row r="664">
      <c r="A664" s="233"/>
      <c r="B664" s="233"/>
      <c r="C664" s="233"/>
      <c r="D664" s="233"/>
      <c r="E664" s="233"/>
      <c r="F664" s="233"/>
      <c r="G664" s="233"/>
      <c r="H664" s="233"/>
      <c r="I664" s="233"/>
      <c r="J664" s="233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  <c r="Z664" s="233"/>
    </row>
    <row r="665">
      <c r="A665" s="233"/>
      <c r="B665" s="233"/>
      <c r="C665" s="233"/>
      <c r="D665" s="233"/>
      <c r="E665" s="233"/>
      <c r="F665" s="233"/>
      <c r="G665" s="233"/>
      <c r="H665" s="233"/>
      <c r="I665" s="233"/>
      <c r="J665" s="233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</row>
    <row r="666">
      <c r="A666" s="233"/>
      <c r="B666" s="233"/>
      <c r="C666" s="233"/>
      <c r="D666" s="233"/>
      <c r="E666" s="233"/>
      <c r="F666" s="233"/>
      <c r="G666" s="233"/>
      <c r="H666" s="233"/>
      <c r="I666" s="233"/>
      <c r="J666" s="233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  <c r="Z666" s="233"/>
    </row>
    <row r="667">
      <c r="A667" s="233"/>
      <c r="B667" s="233"/>
      <c r="C667" s="233"/>
      <c r="D667" s="233"/>
      <c r="E667" s="233"/>
      <c r="F667" s="233"/>
      <c r="G667" s="233"/>
      <c r="H667" s="233"/>
      <c r="I667" s="233"/>
      <c r="J667" s="233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  <c r="Z667" s="233"/>
    </row>
    <row r="668">
      <c r="A668" s="233"/>
      <c r="B668" s="233"/>
      <c r="C668" s="233"/>
      <c r="D668" s="233"/>
      <c r="E668" s="233"/>
      <c r="F668" s="233"/>
      <c r="G668" s="233"/>
      <c r="H668" s="233"/>
      <c r="I668" s="233"/>
      <c r="J668" s="233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  <c r="Z668" s="233"/>
    </row>
    <row r="669">
      <c r="A669" s="233"/>
      <c r="B669" s="233"/>
      <c r="C669" s="233"/>
      <c r="D669" s="233"/>
      <c r="E669" s="233"/>
      <c r="F669" s="233"/>
      <c r="G669" s="233"/>
      <c r="H669" s="233"/>
      <c r="I669" s="233"/>
      <c r="J669" s="233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</row>
    <row r="670">
      <c r="A670" s="233"/>
      <c r="B670" s="233"/>
      <c r="C670" s="233"/>
      <c r="D670" s="233"/>
      <c r="E670" s="233"/>
      <c r="F670" s="233"/>
      <c r="G670" s="233"/>
      <c r="H670" s="233"/>
      <c r="I670" s="233"/>
      <c r="J670" s="233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</row>
    <row r="671">
      <c r="A671" s="233"/>
      <c r="B671" s="233"/>
      <c r="C671" s="233"/>
      <c r="D671" s="233"/>
      <c r="E671" s="233"/>
      <c r="F671" s="233"/>
      <c r="G671" s="233"/>
      <c r="H671" s="233"/>
      <c r="I671" s="233"/>
      <c r="J671" s="233"/>
      <c r="K671" s="233"/>
      <c r="L671" s="233"/>
      <c r="M671" s="233"/>
      <c r="N671" s="233"/>
      <c r="O671" s="233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  <c r="Z671" s="233"/>
    </row>
    <row r="672">
      <c r="A672" s="233"/>
      <c r="B672" s="233"/>
      <c r="C672" s="233"/>
      <c r="D672" s="233"/>
      <c r="E672" s="233"/>
      <c r="F672" s="233"/>
      <c r="G672" s="233"/>
      <c r="H672" s="233"/>
      <c r="I672" s="233"/>
      <c r="J672" s="233"/>
      <c r="K672" s="233"/>
      <c r="L672" s="233"/>
      <c r="M672" s="233"/>
      <c r="N672" s="233"/>
      <c r="O672" s="233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  <c r="Z672" s="233"/>
    </row>
    <row r="673">
      <c r="A673" s="233"/>
      <c r="B673" s="233"/>
      <c r="C673" s="233"/>
      <c r="D673" s="233"/>
      <c r="E673" s="233"/>
      <c r="F673" s="233"/>
      <c r="G673" s="233"/>
      <c r="H673" s="233"/>
      <c r="I673" s="233"/>
      <c r="J673" s="233"/>
      <c r="K673" s="233"/>
      <c r="L673" s="233"/>
      <c r="M673" s="233"/>
      <c r="N673" s="233"/>
      <c r="O673" s="233"/>
      <c r="P673" s="233"/>
      <c r="Q673" s="233"/>
      <c r="R673" s="233"/>
      <c r="S673" s="233"/>
      <c r="T673" s="233"/>
      <c r="U673" s="233"/>
      <c r="V673" s="233"/>
      <c r="W673" s="233"/>
      <c r="X673" s="233"/>
      <c r="Y673" s="233"/>
      <c r="Z673" s="233"/>
    </row>
    <row r="674">
      <c r="A674" s="233"/>
      <c r="B674" s="233"/>
      <c r="C674" s="233"/>
      <c r="D674" s="233"/>
      <c r="E674" s="233"/>
      <c r="F674" s="233"/>
      <c r="G674" s="233"/>
      <c r="H674" s="233"/>
      <c r="I674" s="233"/>
      <c r="J674" s="233"/>
      <c r="K674" s="233"/>
      <c r="L674" s="233"/>
      <c r="M674" s="233"/>
      <c r="N674" s="233"/>
      <c r="O674" s="233"/>
      <c r="P674" s="233"/>
      <c r="Q674" s="233"/>
      <c r="R674" s="233"/>
      <c r="S674" s="233"/>
      <c r="T674" s="233"/>
      <c r="U674" s="233"/>
      <c r="V674" s="233"/>
      <c r="W674" s="233"/>
      <c r="X674" s="233"/>
      <c r="Y674" s="233"/>
      <c r="Z674" s="233"/>
    </row>
    <row r="675">
      <c r="A675" s="233"/>
      <c r="B675" s="233"/>
      <c r="C675" s="233"/>
      <c r="D675" s="233"/>
      <c r="E675" s="233"/>
      <c r="F675" s="233"/>
      <c r="G675" s="233"/>
      <c r="H675" s="233"/>
      <c r="I675" s="233"/>
      <c r="J675" s="233"/>
      <c r="K675" s="233"/>
      <c r="L675" s="233"/>
      <c r="M675" s="233"/>
      <c r="N675" s="233"/>
      <c r="O675" s="233"/>
      <c r="P675" s="233"/>
      <c r="Q675" s="233"/>
      <c r="R675" s="233"/>
      <c r="S675" s="233"/>
      <c r="T675" s="233"/>
      <c r="U675" s="233"/>
      <c r="V675" s="233"/>
      <c r="W675" s="233"/>
      <c r="X675" s="233"/>
      <c r="Y675" s="233"/>
      <c r="Z675" s="233"/>
    </row>
    <row r="676">
      <c r="A676" s="233"/>
      <c r="B676" s="233"/>
      <c r="C676" s="233"/>
      <c r="D676" s="233"/>
      <c r="E676" s="233"/>
      <c r="F676" s="233"/>
      <c r="G676" s="233"/>
      <c r="H676" s="233"/>
      <c r="I676" s="233"/>
      <c r="J676" s="233"/>
      <c r="K676" s="233"/>
      <c r="L676" s="233"/>
      <c r="M676" s="233"/>
      <c r="N676" s="233"/>
      <c r="O676" s="233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  <c r="Z676" s="233"/>
    </row>
    <row r="677">
      <c r="A677" s="233"/>
      <c r="B677" s="233"/>
      <c r="C677" s="233"/>
      <c r="D677" s="233"/>
      <c r="E677" s="233"/>
      <c r="F677" s="233"/>
      <c r="G677" s="233"/>
      <c r="H677" s="233"/>
      <c r="I677" s="233"/>
      <c r="J677" s="233"/>
      <c r="K677" s="233"/>
      <c r="L677" s="233"/>
      <c r="M677" s="233"/>
      <c r="N677" s="233"/>
      <c r="O677" s="233"/>
      <c r="P677" s="233"/>
      <c r="Q677" s="233"/>
      <c r="R677" s="233"/>
      <c r="S677" s="233"/>
      <c r="T677" s="233"/>
      <c r="U677" s="233"/>
      <c r="V677" s="233"/>
      <c r="W677" s="233"/>
      <c r="X677" s="233"/>
      <c r="Y677" s="233"/>
      <c r="Z677" s="233"/>
    </row>
    <row r="678">
      <c r="A678" s="233"/>
      <c r="B678" s="233"/>
      <c r="C678" s="233"/>
      <c r="D678" s="233"/>
      <c r="E678" s="233"/>
      <c r="F678" s="233"/>
      <c r="G678" s="233"/>
      <c r="H678" s="233"/>
      <c r="I678" s="233"/>
      <c r="J678" s="233"/>
      <c r="K678" s="233"/>
      <c r="L678" s="233"/>
      <c r="M678" s="233"/>
      <c r="N678" s="233"/>
      <c r="O678" s="233"/>
      <c r="P678" s="233"/>
      <c r="Q678" s="233"/>
      <c r="R678" s="233"/>
      <c r="S678" s="233"/>
      <c r="T678" s="233"/>
      <c r="U678" s="233"/>
      <c r="V678" s="233"/>
      <c r="W678" s="233"/>
      <c r="X678" s="233"/>
      <c r="Y678" s="233"/>
      <c r="Z678" s="233"/>
    </row>
    <row r="679">
      <c r="A679" s="233"/>
      <c r="B679" s="233"/>
      <c r="C679" s="233"/>
      <c r="D679" s="233"/>
      <c r="E679" s="233"/>
      <c r="F679" s="233"/>
      <c r="G679" s="233"/>
      <c r="H679" s="233"/>
      <c r="I679" s="233"/>
      <c r="J679" s="233"/>
      <c r="K679" s="233"/>
      <c r="L679" s="233"/>
      <c r="M679" s="233"/>
      <c r="N679" s="233"/>
      <c r="O679" s="233"/>
      <c r="P679" s="233"/>
      <c r="Q679" s="233"/>
      <c r="R679" s="233"/>
      <c r="S679" s="233"/>
      <c r="T679" s="233"/>
      <c r="U679" s="233"/>
      <c r="V679" s="233"/>
      <c r="W679" s="233"/>
      <c r="X679" s="233"/>
      <c r="Y679" s="233"/>
      <c r="Z679" s="233"/>
    </row>
    <row r="680">
      <c r="A680" s="233"/>
      <c r="B680" s="233"/>
      <c r="C680" s="233"/>
      <c r="D680" s="233"/>
      <c r="E680" s="233"/>
      <c r="F680" s="233"/>
      <c r="G680" s="233"/>
      <c r="H680" s="233"/>
      <c r="I680" s="233"/>
      <c r="J680" s="233"/>
      <c r="K680" s="233"/>
      <c r="L680" s="233"/>
      <c r="M680" s="233"/>
      <c r="N680" s="233"/>
      <c r="O680" s="233"/>
      <c r="P680" s="233"/>
      <c r="Q680" s="233"/>
      <c r="R680" s="233"/>
      <c r="S680" s="233"/>
      <c r="T680" s="233"/>
      <c r="U680" s="233"/>
      <c r="V680" s="233"/>
      <c r="W680" s="233"/>
      <c r="X680" s="233"/>
      <c r="Y680" s="233"/>
      <c r="Z680" s="233"/>
    </row>
    <row r="681">
      <c r="A681" s="233"/>
      <c r="B681" s="233"/>
      <c r="C681" s="233"/>
      <c r="D681" s="233"/>
      <c r="E681" s="233"/>
      <c r="F681" s="233"/>
      <c r="G681" s="233"/>
      <c r="H681" s="233"/>
      <c r="I681" s="233"/>
      <c r="J681" s="233"/>
      <c r="K681" s="233"/>
      <c r="L681" s="233"/>
      <c r="M681" s="233"/>
      <c r="N681" s="233"/>
      <c r="O681" s="233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  <c r="Z681" s="233"/>
    </row>
    <row r="682">
      <c r="A682" s="233"/>
      <c r="B682" s="233"/>
      <c r="C682" s="233"/>
      <c r="D682" s="233"/>
      <c r="E682" s="233"/>
      <c r="F682" s="233"/>
      <c r="G682" s="233"/>
      <c r="H682" s="233"/>
      <c r="I682" s="233"/>
      <c r="J682" s="233"/>
      <c r="K682" s="233"/>
      <c r="L682" s="233"/>
      <c r="M682" s="233"/>
      <c r="N682" s="233"/>
      <c r="O682" s="233"/>
      <c r="P682" s="233"/>
      <c r="Q682" s="233"/>
      <c r="R682" s="233"/>
      <c r="S682" s="233"/>
      <c r="T682" s="233"/>
      <c r="U682" s="233"/>
      <c r="V682" s="233"/>
      <c r="W682" s="233"/>
      <c r="X682" s="233"/>
      <c r="Y682" s="233"/>
      <c r="Z682" s="233"/>
    </row>
    <row r="683">
      <c r="A683" s="233"/>
      <c r="B683" s="233"/>
      <c r="C683" s="233"/>
      <c r="D683" s="233"/>
      <c r="E683" s="233"/>
      <c r="F683" s="233"/>
      <c r="G683" s="233"/>
      <c r="H683" s="233"/>
      <c r="I683" s="233"/>
      <c r="J683" s="233"/>
      <c r="K683" s="233"/>
      <c r="L683" s="233"/>
      <c r="M683" s="233"/>
      <c r="N683" s="233"/>
      <c r="O683" s="233"/>
      <c r="P683" s="233"/>
      <c r="Q683" s="233"/>
      <c r="R683" s="233"/>
      <c r="S683" s="233"/>
      <c r="T683" s="233"/>
      <c r="U683" s="233"/>
      <c r="V683" s="233"/>
      <c r="W683" s="233"/>
      <c r="X683" s="233"/>
      <c r="Y683" s="233"/>
      <c r="Z683" s="233"/>
    </row>
    <row r="684">
      <c r="A684" s="233"/>
      <c r="B684" s="233"/>
      <c r="C684" s="233"/>
      <c r="D684" s="233"/>
      <c r="E684" s="233"/>
      <c r="F684" s="233"/>
      <c r="G684" s="233"/>
      <c r="H684" s="233"/>
      <c r="I684" s="233"/>
      <c r="J684" s="233"/>
      <c r="K684" s="233"/>
      <c r="L684" s="233"/>
      <c r="M684" s="233"/>
      <c r="N684" s="233"/>
      <c r="O684" s="233"/>
      <c r="P684" s="233"/>
      <c r="Q684" s="233"/>
      <c r="R684" s="233"/>
      <c r="S684" s="233"/>
      <c r="T684" s="233"/>
      <c r="U684" s="233"/>
      <c r="V684" s="233"/>
      <c r="W684" s="233"/>
      <c r="X684" s="233"/>
      <c r="Y684" s="233"/>
      <c r="Z684" s="233"/>
    </row>
    <row r="685">
      <c r="A685" s="233"/>
      <c r="B685" s="233"/>
      <c r="C685" s="233"/>
      <c r="D685" s="233"/>
      <c r="E685" s="233"/>
      <c r="F685" s="233"/>
      <c r="G685" s="233"/>
      <c r="H685" s="233"/>
      <c r="I685" s="233"/>
      <c r="J685" s="233"/>
      <c r="K685" s="233"/>
      <c r="L685" s="233"/>
      <c r="M685" s="233"/>
      <c r="N685" s="233"/>
      <c r="O685" s="233"/>
      <c r="P685" s="233"/>
      <c r="Q685" s="233"/>
      <c r="R685" s="233"/>
      <c r="S685" s="233"/>
      <c r="T685" s="233"/>
      <c r="U685" s="233"/>
      <c r="V685" s="233"/>
      <c r="W685" s="233"/>
      <c r="X685" s="233"/>
      <c r="Y685" s="233"/>
      <c r="Z685" s="233"/>
    </row>
    <row r="686">
      <c r="A686" s="233"/>
      <c r="B686" s="233"/>
      <c r="C686" s="233"/>
      <c r="D686" s="233"/>
      <c r="E686" s="233"/>
      <c r="F686" s="233"/>
      <c r="G686" s="233"/>
      <c r="H686" s="233"/>
      <c r="I686" s="233"/>
      <c r="J686" s="233"/>
      <c r="K686" s="233"/>
      <c r="L686" s="233"/>
      <c r="M686" s="233"/>
      <c r="N686" s="233"/>
      <c r="O686" s="233"/>
      <c r="P686" s="233"/>
      <c r="Q686" s="233"/>
      <c r="R686" s="233"/>
      <c r="S686" s="233"/>
      <c r="T686" s="233"/>
      <c r="U686" s="233"/>
      <c r="V686" s="233"/>
      <c r="W686" s="233"/>
      <c r="X686" s="233"/>
      <c r="Y686" s="233"/>
      <c r="Z686" s="233"/>
    </row>
    <row r="687">
      <c r="A687" s="233"/>
      <c r="B687" s="233"/>
      <c r="C687" s="233"/>
      <c r="D687" s="233"/>
      <c r="E687" s="233"/>
      <c r="F687" s="233"/>
      <c r="G687" s="233"/>
      <c r="H687" s="233"/>
      <c r="I687" s="233"/>
      <c r="J687" s="233"/>
      <c r="K687" s="233"/>
      <c r="L687" s="233"/>
      <c r="M687" s="233"/>
      <c r="N687" s="233"/>
      <c r="O687" s="233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  <c r="Z687" s="233"/>
    </row>
    <row r="688">
      <c r="A688" s="233"/>
      <c r="B688" s="233"/>
      <c r="C688" s="233"/>
      <c r="D688" s="233"/>
      <c r="E688" s="233"/>
      <c r="F688" s="233"/>
      <c r="G688" s="233"/>
      <c r="H688" s="233"/>
      <c r="I688" s="233"/>
      <c r="J688" s="233"/>
      <c r="K688" s="233"/>
      <c r="L688" s="233"/>
      <c r="M688" s="233"/>
      <c r="N688" s="233"/>
      <c r="O688" s="233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  <c r="Z688" s="233"/>
    </row>
    <row r="689">
      <c r="A689" s="233"/>
      <c r="B689" s="233"/>
      <c r="C689" s="233"/>
      <c r="D689" s="233"/>
      <c r="E689" s="233"/>
      <c r="F689" s="233"/>
      <c r="G689" s="233"/>
      <c r="H689" s="233"/>
      <c r="I689" s="233"/>
      <c r="J689" s="233"/>
      <c r="K689" s="233"/>
      <c r="L689" s="233"/>
      <c r="M689" s="233"/>
      <c r="N689" s="233"/>
      <c r="O689" s="233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  <c r="Z689" s="233"/>
    </row>
    <row r="690">
      <c r="A690" s="233"/>
      <c r="B690" s="233"/>
      <c r="C690" s="233"/>
      <c r="D690" s="233"/>
      <c r="E690" s="233"/>
      <c r="F690" s="233"/>
      <c r="G690" s="233"/>
      <c r="H690" s="233"/>
      <c r="I690" s="233"/>
      <c r="J690" s="233"/>
      <c r="K690" s="233"/>
      <c r="L690" s="233"/>
      <c r="M690" s="233"/>
      <c r="N690" s="233"/>
      <c r="O690" s="233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  <c r="Z690" s="233"/>
    </row>
    <row r="691">
      <c r="A691" s="233"/>
      <c r="B691" s="233"/>
      <c r="C691" s="233"/>
      <c r="D691" s="233"/>
      <c r="E691" s="233"/>
      <c r="F691" s="233"/>
      <c r="G691" s="233"/>
      <c r="H691" s="233"/>
      <c r="I691" s="233"/>
      <c r="J691" s="233"/>
      <c r="K691" s="233"/>
      <c r="L691" s="233"/>
      <c r="M691" s="233"/>
      <c r="N691" s="233"/>
      <c r="O691" s="233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  <c r="Z691" s="233"/>
    </row>
    <row r="692">
      <c r="A692" s="233"/>
      <c r="B692" s="233"/>
      <c r="C692" s="233"/>
      <c r="D692" s="233"/>
      <c r="E692" s="233"/>
      <c r="F692" s="233"/>
      <c r="G692" s="233"/>
      <c r="H692" s="233"/>
      <c r="I692" s="233"/>
      <c r="J692" s="233"/>
      <c r="K692" s="233"/>
      <c r="L692" s="233"/>
      <c r="M692" s="233"/>
      <c r="N692" s="233"/>
      <c r="O692" s="233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  <c r="Z692" s="233"/>
    </row>
    <row r="693">
      <c r="A693" s="233"/>
      <c r="B693" s="233"/>
      <c r="C693" s="233"/>
      <c r="D693" s="233"/>
      <c r="E693" s="233"/>
      <c r="F693" s="233"/>
      <c r="G693" s="233"/>
      <c r="H693" s="233"/>
      <c r="I693" s="233"/>
      <c r="J693" s="233"/>
      <c r="K693" s="233"/>
      <c r="L693" s="233"/>
      <c r="M693" s="233"/>
      <c r="N693" s="233"/>
      <c r="O693" s="233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  <c r="Z693" s="233"/>
    </row>
    <row r="694">
      <c r="A694" s="233"/>
      <c r="B694" s="233"/>
      <c r="C694" s="233"/>
      <c r="D694" s="233"/>
      <c r="E694" s="233"/>
      <c r="F694" s="233"/>
      <c r="G694" s="233"/>
      <c r="H694" s="233"/>
      <c r="I694" s="233"/>
      <c r="J694" s="233"/>
      <c r="K694" s="233"/>
      <c r="L694" s="233"/>
      <c r="M694" s="233"/>
      <c r="N694" s="233"/>
      <c r="O694" s="233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  <c r="Z694" s="233"/>
    </row>
    <row r="695">
      <c r="A695" s="233"/>
      <c r="B695" s="233"/>
      <c r="C695" s="233"/>
      <c r="D695" s="233"/>
      <c r="E695" s="233"/>
      <c r="F695" s="233"/>
      <c r="G695" s="233"/>
      <c r="H695" s="233"/>
      <c r="I695" s="233"/>
      <c r="J695" s="233"/>
      <c r="K695" s="233"/>
      <c r="L695" s="233"/>
      <c r="M695" s="233"/>
      <c r="N695" s="233"/>
      <c r="O695" s="233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  <c r="Z695" s="233"/>
    </row>
    <row r="696">
      <c r="A696" s="233"/>
      <c r="B696" s="233"/>
      <c r="C696" s="233"/>
      <c r="D696" s="233"/>
      <c r="E696" s="233"/>
      <c r="F696" s="233"/>
      <c r="G696" s="233"/>
      <c r="H696" s="233"/>
      <c r="I696" s="233"/>
      <c r="J696" s="233"/>
      <c r="K696" s="233"/>
      <c r="L696" s="233"/>
      <c r="M696" s="233"/>
      <c r="N696" s="233"/>
      <c r="O696" s="233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  <c r="Z696" s="233"/>
    </row>
    <row r="697">
      <c r="A697" s="233"/>
      <c r="B697" s="233"/>
      <c r="C697" s="233"/>
      <c r="D697" s="233"/>
      <c r="E697" s="233"/>
      <c r="F697" s="233"/>
      <c r="G697" s="233"/>
      <c r="H697" s="233"/>
      <c r="I697" s="233"/>
      <c r="J697" s="233"/>
      <c r="K697" s="233"/>
      <c r="L697" s="233"/>
      <c r="M697" s="233"/>
      <c r="N697" s="233"/>
      <c r="O697" s="233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  <c r="Z697" s="233"/>
    </row>
    <row r="698">
      <c r="A698" s="233"/>
      <c r="B698" s="233"/>
      <c r="C698" s="233"/>
      <c r="D698" s="233"/>
      <c r="E698" s="233"/>
      <c r="F698" s="233"/>
      <c r="G698" s="233"/>
      <c r="H698" s="233"/>
      <c r="I698" s="233"/>
      <c r="J698" s="233"/>
      <c r="K698" s="233"/>
      <c r="L698" s="233"/>
      <c r="M698" s="233"/>
      <c r="N698" s="233"/>
      <c r="O698" s="233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  <c r="Z698" s="233"/>
    </row>
    <row r="699">
      <c r="A699" s="233"/>
      <c r="B699" s="233"/>
      <c r="C699" s="233"/>
      <c r="D699" s="233"/>
      <c r="E699" s="233"/>
      <c r="F699" s="233"/>
      <c r="G699" s="233"/>
      <c r="H699" s="233"/>
      <c r="I699" s="233"/>
      <c r="J699" s="233"/>
      <c r="K699" s="233"/>
      <c r="L699" s="233"/>
      <c r="M699" s="233"/>
      <c r="N699" s="233"/>
      <c r="O699" s="233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  <c r="Z699" s="233"/>
    </row>
    <row r="700">
      <c r="A700" s="233"/>
      <c r="B700" s="233"/>
      <c r="C700" s="233"/>
      <c r="D700" s="233"/>
      <c r="E700" s="233"/>
      <c r="F700" s="233"/>
      <c r="G700" s="233"/>
      <c r="H700" s="233"/>
      <c r="I700" s="233"/>
      <c r="J700" s="233"/>
      <c r="K700" s="233"/>
      <c r="L700" s="233"/>
      <c r="M700" s="233"/>
      <c r="N700" s="233"/>
      <c r="O700" s="233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  <c r="Z700" s="233"/>
    </row>
    <row r="701">
      <c r="A701" s="233"/>
      <c r="B701" s="233"/>
      <c r="C701" s="233"/>
      <c r="D701" s="233"/>
      <c r="E701" s="233"/>
      <c r="F701" s="233"/>
      <c r="G701" s="233"/>
      <c r="H701" s="233"/>
      <c r="I701" s="233"/>
      <c r="J701" s="233"/>
      <c r="K701" s="233"/>
      <c r="L701" s="233"/>
      <c r="M701" s="233"/>
      <c r="N701" s="233"/>
      <c r="O701" s="233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  <c r="Z701" s="233"/>
    </row>
    <row r="702">
      <c r="A702" s="233"/>
      <c r="B702" s="233"/>
      <c r="C702" s="233"/>
      <c r="D702" s="233"/>
      <c r="E702" s="233"/>
      <c r="F702" s="233"/>
      <c r="G702" s="233"/>
      <c r="H702" s="233"/>
      <c r="I702" s="233"/>
      <c r="J702" s="233"/>
      <c r="K702" s="233"/>
      <c r="L702" s="233"/>
      <c r="M702" s="233"/>
      <c r="N702" s="233"/>
      <c r="O702" s="233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  <c r="Z702" s="233"/>
    </row>
    <row r="703">
      <c r="A703" s="233"/>
      <c r="B703" s="233"/>
      <c r="C703" s="233"/>
      <c r="D703" s="233"/>
      <c r="E703" s="233"/>
      <c r="F703" s="233"/>
      <c r="G703" s="233"/>
      <c r="H703" s="233"/>
      <c r="I703" s="233"/>
      <c r="J703" s="233"/>
      <c r="K703" s="233"/>
      <c r="L703" s="233"/>
      <c r="M703" s="233"/>
      <c r="N703" s="233"/>
      <c r="O703" s="233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  <c r="Z703" s="233"/>
    </row>
    <row r="704">
      <c r="A704" s="233"/>
      <c r="B704" s="233"/>
      <c r="C704" s="233"/>
      <c r="D704" s="233"/>
      <c r="E704" s="233"/>
      <c r="F704" s="233"/>
      <c r="G704" s="233"/>
      <c r="H704" s="233"/>
      <c r="I704" s="233"/>
      <c r="J704" s="233"/>
      <c r="K704" s="233"/>
      <c r="L704" s="233"/>
      <c r="M704" s="233"/>
      <c r="N704" s="233"/>
      <c r="O704" s="233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  <c r="Z704" s="233"/>
    </row>
    <row r="705">
      <c r="A705" s="233"/>
      <c r="B705" s="233"/>
      <c r="C705" s="233"/>
      <c r="D705" s="233"/>
      <c r="E705" s="233"/>
      <c r="F705" s="233"/>
      <c r="G705" s="233"/>
      <c r="H705" s="233"/>
      <c r="I705" s="233"/>
      <c r="J705" s="233"/>
      <c r="K705" s="233"/>
      <c r="L705" s="233"/>
      <c r="M705" s="233"/>
      <c r="N705" s="233"/>
      <c r="O705" s="233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  <c r="Z705" s="233"/>
    </row>
    <row r="706">
      <c r="A706" s="233"/>
      <c r="B706" s="233"/>
      <c r="C706" s="233"/>
      <c r="D706" s="233"/>
      <c r="E706" s="233"/>
      <c r="F706" s="233"/>
      <c r="G706" s="233"/>
      <c r="H706" s="233"/>
      <c r="I706" s="233"/>
      <c r="J706" s="233"/>
      <c r="K706" s="233"/>
      <c r="L706" s="233"/>
      <c r="M706" s="233"/>
      <c r="N706" s="233"/>
      <c r="O706" s="233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  <c r="Z706" s="233"/>
    </row>
    <row r="707">
      <c r="A707" s="233"/>
      <c r="B707" s="233"/>
      <c r="C707" s="233"/>
      <c r="D707" s="233"/>
      <c r="E707" s="233"/>
      <c r="F707" s="233"/>
      <c r="G707" s="233"/>
      <c r="H707" s="233"/>
      <c r="I707" s="233"/>
      <c r="J707" s="233"/>
      <c r="K707" s="233"/>
      <c r="L707" s="233"/>
      <c r="M707" s="233"/>
      <c r="N707" s="233"/>
      <c r="O707" s="233"/>
      <c r="P707" s="233"/>
      <c r="Q707" s="233"/>
      <c r="R707" s="233"/>
      <c r="S707" s="233"/>
      <c r="T707" s="233"/>
      <c r="U707" s="233"/>
      <c r="V707" s="233"/>
      <c r="W707" s="233"/>
      <c r="X707" s="233"/>
      <c r="Y707" s="233"/>
      <c r="Z707" s="233"/>
    </row>
    <row r="708">
      <c r="A708" s="233"/>
      <c r="B708" s="233"/>
      <c r="C708" s="233"/>
      <c r="D708" s="233"/>
      <c r="E708" s="233"/>
      <c r="F708" s="233"/>
      <c r="G708" s="233"/>
      <c r="H708" s="233"/>
      <c r="I708" s="233"/>
      <c r="J708" s="233"/>
      <c r="K708" s="233"/>
      <c r="L708" s="233"/>
      <c r="M708" s="233"/>
      <c r="N708" s="233"/>
      <c r="O708" s="233"/>
      <c r="P708" s="233"/>
      <c r="Q708" s="233"/>
      <c r="R708" s="233"/>
      <c r="S708" s="233"/>
      <c r="T708" s="233"/>
      <c r="U708" s="233"/>
      <c r="V708" s="233"/>
      <c r="W708" s="233"/>
      <c r="X708" s="233"/>
      <c r="Y708" s="233"/>
      <c r="Z708" s="233"/>
    </row>
    <row r="709">
      <c r="A709" s="233"/>
      <c r="B709" s="233"/>
      <c r="C709" s="233"/>
      <c r="D709" s="233"/>
      <c r="E709" s="233"/>
      <c r="F709" s="233"/>
      <c r="G709" s="233"/>
      <c r="H709" s="233"/>
      <c r="I709" s="233"/>
      <c r="J709" s="233"/>
      <c r="K709" s="233"/>
      <c r="L709" s="233"/>
      <c r="M709" s="233"/>
      <c r="N709" s="233"/>
      <c r="O709" s="233"/>
      <c r="P709" s="233"/>
      <c r="Q709" s="233"/>
      <c r="R709" s="233"/>
      <c r="S709" s="233"/>
      <c r="T709" s="233"/>
      <c r="U709" s="233"/>
      <c r="V709" s="233"/>
      <c r="W709" s="233"/>
      <c r="X709" s="233"/>
      <c r="Y709" s="233"/>
      <c r="Z709" s="233"/>
    </row>
    <row r="710">
      <c r="A710" s="233"/>
      <c r="B710" s="233"/>
      <c r="C710" s="233"/>
      <c r="D710" s="233"/>
      <c r="E710" s="233"/>
      <c r="F710" s="233"/>
      <c r="G710" s="233"/>
      <c r="H710" s="233"/>
      <c r="I710" s="233"/>
      <c r="J710" s="233"/>
      <c r="K710" s="233"/>
      <c r="L710" s="233"/>
      <c r="M710" s="233"/>
      <c r="N710" s="233"/>
      <c r="O710" s="233"/>
      <c r="P710" s="233"/>
      <c r="Q710" s="233"/>
      <c r="R710" s="233"/>
      <c r="S710" s="233"/>
      <c r="T710" s="233"/>
      <c r="U710" s="233"/>
      <c r="V710" s="233"/>
      <c r="W710" s="233"/>
      <c r="X710" s="233"/>
      <c r="Y710" s="233"/>
      <c r="Z710" s="233"/>
    </row>
    <row r="711">
      <c r="A711" s="233"/>
      <c r="B711" s="233"/>
      <c r="C711" s="233"/>
      <c r="D711" s="233"/>
      <c r="E711" s="233"/>
      <c r="F711" s="233"/>
      <c r="G711" s="233"/>
      <c r="H711" s="233"/>
      <c r="I711" s="233"/>
      <c r="J711" s="233"/>
      <c r="K711" s="233"/>
      <c r="L711" s="233"/>
      <c r="M711" s="233"/>
      <c r="N711" s="233"/>
      <c r="O711" s="233"/>
      <c r="P711" s="233"/>
      <c r="Q711" s="233"/>
      <c r="R711" s="233"/>
      <c r="S711" s="233"/>
      <c r="T711" s="233"/>
      <c r="U711" s="233"/>
      <c r="V711" s="233"/>
      <c r="W711" s="233"/>
      <c r="X711" s="233"/>
      <c r="Y711" s="233"/>
      <c r="Z711" s="233"/>
    </row>
    <row r="712">
      <c r="A712" s="233"/>
      <c r="B712" s="233"/>
      <c r="C712" s="233"/>
      <c r="D712" s="233"/>
      <c r="E712" s="233"/>
      <c r="F712" s="233"/>
      <c r="G712" s="233"/>
      <c r="H712" s="233"/>
      <c r="I712" s="233"/>
      <c r="J712" s="233"/>
      <c r="K712" s="233"/>
      <c r="L712" s="233"/>
      <c r="M712" s="233"/>
      <c r="N712" s="233"/>
      <c r="O712" s="233"/>
      <c r="P712" s="233"/>
      <c r="Q712" s="233"/>
      <c r="R712" s="233"/>
      <c r="S712" s="233"/>
      <c r="T712" s="233"/>
      <c r="U712" s="233"/>
      <c r="V712" s="233"/>
      <c r="W712" s="233"/>
      <c r="X712" s="233"/>
      <c r="Y712" s="233"/>
      <c r="Z712" s="233"/>
    </row>
    <row r="713">
      <c r="A713" s="233"/>
      <c r="B713" s="233"/>
      <c r="C713" s="233"/>
      <c r="D713" s="233"/>
      <c r="E713" s="233"/>
      <c r="F713" s="233"/>
      <c r="G713" s="233"/>
      <c r="H713" s="233"/>
      <c r="I713" s="233"/>
      <c r="J713" s="233"/>
      <c r="K713" s="233"/>
      <c r="L713" s="233"/>
      <c r="M713" s="233"/>
      <c r="N713" s="233"/>
      <c r="O713" s="233"/>
      <c r="P713" s="233"/>
      <c r="Q713" s="233"/>
      <c r="R713" s="233"/>
      <c r="S713" s="233"/>
      <c r="T713" s="233"/>
      <c r="U713" s="233"/>
      <c r="V713" s="233"/>
      <c r="W713" s="233"/>
      <c r="X713" s="233"/>
      <c r="Y713" s="233"/>
      <c r="Z713" s="233"/>
    </row>
    <row r="714">
      <c r="A714" s="233"/>
      <c r="B714" s="233"/>
      <c r="C714" s="233"/>
      <c r="D714" s="233"/>
      <c r="E714" s="233"/>
      <c r="F714" s="233"/>
      <c r="G714" s="233"/>
      <c r="H714" s="233"/>
      <c r="I714" s="233"/>
      <c r="J714" s="233"/>
      <c r="K714" s="233"/>
      <c r="L714" s="233"/>
      <c r="M714" s="233"/>
      <c r="N714" s="233"/>
      <c r="O714" s="233"/>
      <c r="P714" s="233"/>
      <c r="Q714" s="233"/>
      <c r="R714" s="233"/>
      <c r="S714" s="233"/>
      <c r="T714" s="233"/>
      <c r="U714" s="233"/>
      <c r="V714" s="233"/>
      <c r="W714" s="233"/>
      <c r="X714" s="233"/>
      <c r="Y714" s="233"/>
      <c r="Z714" s="233"/>
    </row>
    <row r="715">
      <c r="A715" s="233"/>
      <c r="B715" s="233"/>
      <c r="C715" s="233"/>
      <c r="D715" s="233"/>
      <c r="E715" s="233"/>
      <c r="F715" s="233"/>
      <c r="G715" s="233"/>
      <c r="H715" s="233"/>
      <c r="I715" s="233"/>
      <c r="J715" s="233"/>
      <c r="K715" s="233"/>
      <c r="L715" s="233"/>
      <c r="M715" s="233"/>
      <c r="N715" s="233"/>
      <c r="O715" s="233"/>
      <c r="P715" s="233"/>
      <c r="Q715" s="233"/>
      <c r="R715" s="233"/>
      <c r="S715" s="233"/>
      <c r="T715" s="233"/>
      <c r="U715" s="233"/>
      <c r="V715" s="233"/>
      <c r="W715" s="233"/>
      <c r="X715" s="233"/>
      <c r="Y715" s="233"/>
      <c r="Z715" s="233"/>
    </row>
    <row r="716">
      <c r="A716" s="233"/>
      <c r="B716" s="233"/>
      <c r="C716" s="233"/>
      <c r="D716" s="233"/>
      <c r="E716" s="233"/>
      <c r="F716" s="233"/>
      <c r="G716" s="233"/>
      <c r="H716" s="233"/>
      <c r="I716" s="233"/>
      <c r="J716" s="233"/>
      <c r="K716" s="233"/>
      <c r="L716" s="233"/>
      <c r="M716" s="233"/>
      <c r="N716" s="233"/>
      <c r="O716" s="233"/>
      <c r="P716" s="233"/>
      <c r="Q716" s="233"/>
      <c r="R716" s="233"/>
      <c r="S716" s="233"/>
      <c r="T716" s="233"/>
      <c r="U716" s="233"/>
      <c r="V716" s="233"/>
      <c r="W716" s="233"/>
      <c r="X716" s="233"/>
      <c r="Y716" s="233"/>
      <c r="Z716" s="233"/>
    </row>
    <row r="717">
      <c r="A717" s="233"/>
      <c r="B717" s="233"/>
      <c r="C717" s="233"/>
      <c r="D717" s="233"/>
      <c r="E717" s="233"/>
      <c r="F717" s="233"/>
      <c r="G717" s="233"/>
      <c r="H717" s="233"/>
      <c r="I717" s="233"/>
      <c r="J717" s="233"/>
      <c r="K717" s="233"/>
      <c r="L717" s="233"/>
      <c r="M717" s="233"/>
      <c r="N717" s="233"/>
      <c r="O717" s="233"/>
      <c r="P717" s="233"/>
      <c r="Q717" s="233"/>
      <c r="R717" s="233"/>
      <c r="S717" s="233"/>
      <c r="T717" s="233"/>
      <c r="U717" s="233"/>
      <c r="V717" s="233"/>
      <c r="W717" s="233"/>
      <c r="X717" s="233"/>
      <c r="Y717" s="233"/>
      <c r="Z717" s="233"/>
    </row>
    <row r="718">
      <c r="A718" s="233"/>
      <c r="B718" s="233"/>
      <c r="C718" s="233"/>
      <c r="D718" s="233"/>
      <c r="E718" s="233"/>
      <c r="F718" s="233"/>
      <c r="G718" s="233"/>
      <c r="H718" s="233"/>
      <c r="I718" s="233"/>
      <c r="J718" s="233"/>
      <c r="K718" s="233"/>
      <c r="L718" s="233"/>
      <c r="M718" s="233"/>
      <c r="N718" s="233"/>
      <c r="O718" s="233"/>
      <c r="P718" s="233"/>
      <c r="Q718" s="233"/>
      <c r="R718" s="233"/>
      <c r="S718" s="233"/>
      <c r="T718" s="233"/>
      <c r="U718" s="233"/>
      <c r="V718" s="233"/>
      <c r="W718" s="233"/>
      <c r="X718" s="233"/>
      <c r="Y718" s="233"/>
      <c r="Z718" s="233"/>
    </row>
    <row r="719">
      <c r="A719" s="233"/>
      <c r="B719" s="233"/>
      <c r="C719" s="233"/>
      <c r="D719" s="233"/>
      <c r="E719" s="233"/>
      <c r="F719" s="233"/>
      <c r="G719" s="233"/>
      <c r="H719" s="233"/>
      <c r="I719" s="233"/>
      <c r="J719" s="233"/>
      <c r="K719" s="233"/>
      <c r="L719" s="233"/>
      <c r="M719" s="233"/>
      <c r="N719" s="233"/>
      <c r="O719" s="233"/>
      <c r="P719" s="233"/>
      <c r="Q719" s="233"/>
      <c r="R719" s="233"/>
      <c r="S719" s="233"/>
      <c r="T719" s="233"/>
      <c r="U719" s="233"/>
      <c r="V719" s="233"/>
      <c r="W719" s="233"/>
      <c r="X719" s="233"/>
      <c r="Y719" s="233"/>
      <c r="Z719" s="233"/>
    </row>
    <row r="720">
      <c r="A720" s="233"/>
      <c r="B720" s="233"/>
      <c r="C720" s="233"/>
      <c r="D720" s="233"/>
      <c r="E720" s="233"/>
      <c r="F720" s="233"/>
      <c r="G720" s="233"/>
      <c r="H720" s="233"/>
      <c r="I720" s="233"/>
      <c r="J720" s="233"/>
      <c r="K720" s="233"/>
      <c r="L720" s="233"/>
      <c r="M720" s="233"/>
      <c r="N720" s="233"/>
      <c r="O720" s="233"/>
      <c r="P720" s="233"/>
      <c r="Q720" s="233"/>
      <c r="R720" s="233"/>
      <c r="S720" s="233"/>
      <c r="T720" s="233"/>
      <c r="U720" s="233"/>
      <c r="V720" s="233"/>
      <c r="W720" s="233"/>
      <c r="X720" s="233"/>
      <c r="Y720" s="233"/>
      <c r="Z720" s="233"/>
    </row>
    <row r="721">
      <c r="A721" s="233"/>
      <c r="B721" s="233"/>
      <c r="C721" s="233"/>
      <c r="D721" s="233"/>
      <c r="E721" s="233"/>
      <c r="F721" s="233"/>
      <c r="G721" s="233"/>
      <c r="H721" s="233"/>
      <c r="I721" s="233"/>
      <c r="J721" s="233"/>
      <c r="K721" s="233"/>
      <c r="L721" s="233"/>
      <c r="M721" s="233"/>
      <c r="N721" s="233"/>
      <c r="O721" s="233"/>
      <c r="P721" s="233"/>
      <c r="Q721" s="233"/>
      <c r="R721" s="233"/>
      <c r="S721" s="233"/>
      <c r="T721" s="233"/>
      <c r="U721" s="233"/>
      <c r="V721" s="233"/>
      <c r="W721" s="233"/>
      <c r="X721" s="233"/>
      <c r="Y721" s="233"/>
      <c r="Z721" s="233"/>
    </row>
    <row r="722">
      <c r="A722" s="233"/>
      <c r="B722" s="233"/>
      <c r="C722" s="233"/>
      <c r="D722" s="233"/>
      <c r="E722" s="233"/>
      <c r="F722" s="233"/>
      <c r="G722" s="233"/>
      <c r="H722" s="233"/>
      <c r="I722" s="233"/>
      <c r="J722" s="233"/>
      <c r="K722" s="233"/>
      <c r="L722" s="233"/>
      <c r="M722" s="233"/>
      <c r="N722" s="233"/>
      <c r="O722" s="233"/>
      <c r="P722" s="233"/>
      <c r="Q722" s="233"/>
      <c r="R722" s="233"/>
      <c r="S722" s="233"/>
      <c r="T722" s="233"/>
      <c r="U722" s="233"/>
      <c r="V722" s="233"/>
      <c r="W722" s="233"/>
      <c r="X722" s="233"/>
      <c r="Y722" s="233"/>
      <c r="Z722" s="233"/>
    </row>
    <row r="723">
      <c r="A723" s="233"/>
      <c r="B723" s="233"/>
      <c r="C723" s="233"/>
      <c r="D723" s="233"/>
      <c r="E723" s="233"/>
      <c r="F723" s="233"/>
      <c r="G723" s="233"/>
      <c r="H723" s="233"/>
      <c r="I723" s="233"/>
      <c r="J723" s="233"/>
      <c r="K723" s="233"/>
      <c r="L723" s="233"/>
      <c r="M723" s="233"/>
      <c r="N723" s="233"/>
      <c r="O723" s="233"/>
      <c r="P723" s="233"/>
      <c r="Q723" s="233"/>
      <c r="R723" s="233"/>
      <c r="S723" s="233"/>
      <c r="T723" s="233"/>
      <c r="U723" s="233"/>
      <c r="V723" s="233"/>
      <c r="W723" s="233"/>
      <c r="X723" s="233"/>
      <c r="Y723" s="233"/>
      <c r="Z723" s="233"/>
    </row>
    <row r="724">
      <c r="A724" s="233"/>
      <c r="B724" s="233"/>
      <c r="C724" s="233"/>
      <c r="D724" s="233"/>
      <c r="E724" s="233"/>
      <c r="F724" s="233"/>
      <c r="G724" s="233"/>
      <c r="H724" s="233"/>
      <c r="I724" s="233"/>
      <c r="J724" s="233"/>
      <c r="K724" s="233"/>
      <c r="L724" s="233"/>
      <c r="M724" s="233"/>
      <c r="N724" s="233"/>
      <c r="O724" s="233"/>
      <c r="P724" s="233"/>
      <c r="Q724" s="233"/>
      <c r="R724" s="233"/>
      <c r="S724" s="233"/>
      <c r="T724" s="233"/>
      <c r="U724" s="233"/>
      <c r="V724" s="233"/>
      <c r="W724" s="233"/>
      <c r="X724" s="233"/>
      <c r="Y724" s="233"/>
      <c r="Z724" s="233"/>
    </row>
    <row r="725">
      <c r="A725" s="233"/>
      <c r="B725" s="233"/>
      <c r="C725" s="233"/>
      <c r="D725" s="233"/>
      <c r="E725" s="233"/>
      <c r="F725" s="233"/>
      <c r="G725" s="233"/>
      <c r="H725" s="233"/>
      <c r="I725" s="233"/>
      <c r="J725" s="233"/>
      <c r="K725" s="233"/>
      <c r="L725" s="233"/>
      <c r="M725" s="233"/>
      <c r="N725" s="233"/>
      <c r="O725" s="233"/>
      <c r="P725" s="233"/>
      <c r="Q725" s="233"/>
      <c r="R725" s="233"/>
      <c r="S725" s="233"/>
      <c r="T725" s="233"/>
      <c r="U725" s="233"/>
      <c r="V725" s="233"/>
      <c r="W725" s="233"/>
      <c r="X725" s="233"/>
      <c r="Y725" s="233"/>
      <c r="Z725" s="233"/>
    </row>
    <row r="726">
      <c r="A726" s="233"/>
      <c r="B726" s="233"/>
      <c r="C726" s="233"/>
      <c r="D726" s="233"/>
      <c r="E726" s="233"/>
      <c r="F726" s="233"/>
      <c r="G726" s="233"/>
      <c r="H726" s="233"/>
      <c r="I726" s="233"/>
      <c r="J726" s="233"/>
      <c r="K726" s="233"/>
      <c r="L726" s="233"/>
      <c r="M726" s="233"/>
      <c r="N726" s="233"/>
      <c r="O726" s="233"/>
      <c r="P726" s="233"/>
      <c r="Q726" s="233"/>
      <c r="R726" s="233"/>
      <c r="S726" s="233"/>
      <c r="T726" s="233"/>
      <c r="U726" s="233"/>
      <c r="V726" s="233"/>
      <c r="W726" s="233"/>
      <c r="X726" s="233"/>
      <c r="Y726" s="233"/>
      <c r="Z726" s="233"/>
    </row>
    <row r="727">
      <c r="A727" s="233"/>
      <c r="B727" s="233"/>
      <c r="C727" s="233"/>
      <c r="D727" s="233"/>
      <c r="E727" s="233"/>
      <c r="F727" s="233"/>
      <c r="G727" s="233"/>
      <c r="H727" s="233"/>
      <c r="I727" s="233"/>
      <c r="J727" s="233"/>
      <c r="K727" s="233"/>
      <c r="L727" s="233"/>
      <c r="M727" s="233"/>
      <c r="N727" s="233"/>
      <c r="O727" s="233"/>
      <c r="P727" s="233"/>
      <c r="Q727" s="233"/>
      <c r="R727" s="233"/>
      <c r="S727" s="233"/>
      <c r="T727" s="233"/>
      <c r="U727" s="233"/>
      <c r="V727" s="233"/>
      <c r="W727" s="233"/>
      <c r="X727" s="233"/>
      <c r="Y727" s="233"/>
      <c r="Z727" s="233"/>
    </row>
    <row r="728">
      <c r="A728" s="233"/>
      <c r="B728" s="233"/>
      <c r="C728" s="233"/>
      <c r="D728" s="233"/>
      <c r="E728" s="233"/>
      <c r="F728" s="233"/>
      <c r="G728" s="233"/>
      <c r="H728" s="233"/>
      <c r="I728" s="233"/>
      <c r="J728" s="233"/>
      <c r="K728" s="233"/>
      <c r="L728" s="233"/>
      <c r="M728" s="233"/>
      <c r="N728" s="233"/>
      <c r="O728" s="233"/>
      <c r="P728" s="233"/>
      <c r="Q728" s="233"/>
      <c r="R728" s="233"/>
      <c r="S728" s="233"/>
      <c r="T728" s="233"/>
      <c r="U728" s="233"/>
      <c r="V728" s="233"/>
      <c r="W728" s="233"/>
      <c r="X728" s="233"/>
      <c r="Y728" s="233"/>
      <c r="Z728" s="233"/>
    </row>
    <row r="729">
      <c r="A729" s="233"/>
      <c r="B729" s="233"/>
      <c r="C729" s="233"/>
      <c r="D729" s="233"/>
      <c r="E729" s="233"/>
      <c r="F729" s="233"/>
      <c r="G729" s="233"/>
      <c r="H729" s="233"/>
      <c r="I729" s="233"/>
      <c r="J729" s="233"/>
      <c r="K729" s="233"/>
      <c r="L729" s="233"/>
      <c r="M729" s="233"/>
      <c r="N729" s="233"/>
      <c r="O729" s="233"/>
      <c r="P729" s="233"/>
      <c r="Q729" s="233"/>
      <c r="R729" s="233"/>
      <c r="S729" s="233"/>
      <c r="T729" s="233"/>
      <c r="U729" s="233"/>
      <c r="V729" s="233"/>
      <c r="W729" s="233"/>
      <c r="X729" s="233"/>
      <c r="Y729" s="233"/>
      <c r="Z729" s="233"/>
    </row>
    <row r="730">
      <c r="A730" s="233"/>
      <c r="B730" s="233"/>
      <c r="C730" s="233"/>
      <c r="D730" s="233"/>
      <c r="E730" s="233"/>
      <c r="F730" s="233"/>
      <c r="G730" s="233"/>
      <c r="H730" s="233"/>
      <c r="I730" s="233"/>
      <c r="J730" s="233"/>
      <c r="K730" s="233"/>
      <c r="L730" s="233"/>
      <c r="M730" s="233"/>
      <c r="N730" s="233"/>
      <c r="O730" s="233"/>
      <c r="P730" s="233"/>
      <c r="Q730" s="233"/>
      <c r="R730" s="233"/>
      <c r="S730" s="233"/>
      <c r="T730" s="233"/>
      <c r="U730" s="233"/>
      <c r="V730" s="233"/>
      <c r="W730" s="233"/>
      <c r="X730" s="233"/>
      <c r="Y730" s="233"/>
      <c r="Z730" s="233"/>
    </row>
    <row r="731">
      <c r="A731" s="233"/>
      <c r="B731" s="233"/>
      <c r="C731" s="233"/>
      <c r="D731" s="233"/>
      <c r="E731" s="233"/>
      <c r="F731" s="233"/>
      <c r="G731" s="233"/>
      <c r="H731" s="233"/>
      <c r="I731" s="233"/>
      <c r="J731" s="233"/>
      <c r="K731" s="233"/>
      <c r="L731" s="233"/>
      <c r="M731" s="233"/>
      <c r="N731" s="233"/>
      <c r="O731" s="233"/>
      <c r="P731" s="233"/>
      <c r="Q731" s="233"/>
      <c r="R731" s="233"/>
      <c r="S731" s="233"/>
      <c r="T731" s="233"/>
      <c r="U731" s="233"/>
      <c r="V731" s="233"/>
      <c r="W731" s="233"/>
      <c r="X731" s="233"/>
      <c r="Y731" s="233"/>
      <c r="Z731" s="233"/>
    </row>
    <row r="732">
      <c r="A732" s="233"/>
      <c r="B732" s="233"/>
      <c r="C732" s="233"/>
      <c r="D732" s="233"/>
      <c r="E732" s="233"/>
      <c r="F732" s="233"/>
      <c r="G732" s="233"/>
      <c r="H732" s="233"/>
      <c r="I732" s="233"/>
      <c r="J732" s="233"/>
      <c r="K732" s="233"/>
      <c r="L732" s="233"/>
      <c r="M732" s="233"/>
      <c r="N732" s="233"/>
      <c r="O732" s="233"/>
      <c r="P732" s="233"/>
      <c r="Q732" s="233"/>
      <c r="R732" s="233"/>
      <c r="S732" s="233"/>
      <c r="T732" s="233"/>
      <c r="U732" s="233"/>
      <c r="V732" s="233"/>
      <c r="W732" s="233"/>
      <c r="X732" s="233"/>
      <c r="Y732" s="233"/>
      <c r="Z732" s="233"/>
    </row>
    <row r="733">
      <c r="A733" s="233"/>
      <c r="B733" s="233"/>
      <c r="C733" s="233"/>
      <c r="D733" s="233"/>
      <c r="E733" s="233"/>
      <c r="F733" s="233"/>
      <c r="G733" s="233"/>
      <c r="H733" s="233"/>
      <c r="I733" s="233"/>
      <c r="J733" s="233"/>
      <c r="K733" s="233"/>
      <c r="L733" s="233"/>
      <c r="M733" s="233"/>
      <c r="N733" s="233"/>
      <c r="O733" s="233"/>
      <c r="P733" s="233"/>
      <c r="Q733" s="233"/>
      <c r="R733" s="233"/>
      <c r="S733" s="233"/>
      <c r="T733" s="233"/>
      <c r="U733" s="233"/>
      <c r="V733" s="233"/>
      <c r="W733" s="233"/>
      <c r="X733" s="233"/>
      <c r="Y733" s="233"/>
      <c r="Z733" s="233"/>
    </row>
    <row r="734">
      <c r="A734" s="233"/>
      <c r="B734" s="233"/>
      <c r="C734" s="233"/>
      <c r="D734" s="233"/>
      <c r="E734" s="233"/>
      <c r="F734" s="233"/>
      <c r="G734" s="233"/>
      <c r="H734" s="233"/>
      <c r="I734" s="233"/>
      <c r="J734" s="233"/>
      <c r="K734" s="233"/>
      <c r="L734" s="233"/>
      <c r="M734" s="233"/>
      <c r="N734" s="233"/>
      <c r="O734" s="233"/>
      <c r="P734" s="233"/>
      <c r="Q734" s="233"/>
      <c r="R734" s="233"/>
      <c r="S734" s="233"/>
      <c r="T734" s="233"/>
      <c r="U734" s="233"/>
      <c r="V734" s="233"/>
      <c r="W734" s="233"/>
      <c r="X734" s="233"/>
      <c r="Y734" s="233"/>
      <c r="Z734" s="233"/>
    </row>
    <row r="735">
      <c r="A735" s="233"/>
      <c r="B735" s="233"/>
      <c r="C735" s="233"/>
      <c r="D735" s="233"/>
      <c r="E735" s="233"/>
      <c r="F735" s="233"/>
      <c r="G735" s="233"/>
      <c r="H735" s="233"/>
      <c r="I735" s="233"/>
      <c r="J735" s="233"/>
      <c r="K735" s="233"/>
      <c r="L735" s="233"/>
      <c r="M735" s="233"/>
      <c r="N735" s="233"/>
      <c r="O735" s="233"/>
      <c r="P735" s="233"/>
      <c r="Q735" s="233"/>
      <c r="R735" s="233"/>
      <c r="S735" s="233"/>
      <c r="T735" s="233"/>
      <c r="U735" s="233"/>
      <c r="V735" s="233"/>
      <c r="W735" s="233"/>
      <c r="X735" s="233"/>
      <c r="Y735" s="233"/>
      <c r="Z735" s="233"/>
    </row>
    <row r="736">
      <c r="A736" s="233"/>
      <c r="B736" s="233"/>
      <c r="C736" s="233"/>
      <c r="D736" s="233"/>
      <c r="E736" s="233"/>
      <c r="F736" s="233"/>
      <c r="G736" s="233"/>
      <c r="H736" s="233"/>
      <c r="I736" s="233"/>
      <c r="J736" s="233"/>
      <c r="K736" s="233"/>
      <c r="L736" s="233"/>
      <c r="M736" s="233"/>
      <c r="N736" s="233"/>
      <c r="O736" s="233"/>
      <c r="P736" s="233"/>
      <c r="Q736" s="233"/>
      <c r="R736" s="233"/>
      <c r="S736" s="233"/>
      <c r="T736" s="233"/>
      <c r="U736" s="233"/>
      <c r="V736" s="233"/>
      <c r="W736" s="233"/>
      <c r="X736" s="233"/>
      <c r="Y736" s="233"/>
      <c r="Z736" s="233"/>
    </row>
    <row r="737">
      <c r="A737" s="233"/>
      <c r="B737" s="233"/>
      <c r="C737" s="233"/>
      <c r="D737" s="233"/>
      <c r="E737" s="233"/>
      <c r="F737" s="233"/>
      <c r="G737" s="233"/>
      <c r="H737" s="233"/>
      <c r="I737" s="233"/>
      <c r="J737" s="233"/>
      <c r="K737" s="233"/>
      <c r="L737" s="233"/>
      <c r="M737" s="233"/>
      <c r="N737" s="233"/>
      <c r="O737" s="233"/>
      <c r="P737" s="233"/>
      <c r="Q737" s="233"/>
      <c r="R737" s="233"/>
      <c r="S737" s="233"/>
      <c r="T737" s="233"/>
      <c r="U737" s="233"/>
      <c r="V737" s="233"/>
      <c r="W737" s="233"/>
      <c r="X737" s="233"/>
      <c r="Y737" s="233"/>
      <c r="Z737" s="233"/>
    </row>
    <row r="738">
      <c r="A738" s="233"/>
      <c r="B738" s="233"/>
      <c r="C738" s="233"/>
      <c r="D738" s="233"/>
      <c r="E738" s="233"/>
      <c r="F738" s="233"/>
      <c r="G738" s="233"/>
      <c r="H738" s="233"/>
      <c r="I738" s="233"/>
      <c r="J738" s="233"/>
      <c r="K738" s="233"/>
      <c r="L738" s="233"/>
      <c r="M738" s="233"/>
      <c r="N738" s="233"/>
      <c r="O738" s="233"/>
      <c r="P738" s="233"/>
      <c r="Q738" s="233"/>
      <c r="R738" s="233"/>
      <c r="S738" s="233"/>
      <c r="T738" s="233"/>
      <c r="U738" s="233"/>
      <c r="V738" s="233"/>
      <c r="W738" s="233"/>
      <c r="X738" s="233"/>
      <c r="Y738" s="233"/>
      <c r="Z738" s="233"/>
    </row>
    <row r="739">
      <c r="A739" s="233"/>
      <c r="B739" s="233"/>
      <c r="C739" s="233"/>
      <c r="D739" s="233"/>
      <c r="E739" s="233"/>
      <c r="F739" s="233"/>
      <c r="G739" s="233"/>
      <c r="H739" s="233"/>
      <c r="I739" s="233"/>
      <c r="J739" s="233"/>
      <c r="K739" s="233"/>
      <c r="L739" s="233"/>
      <c r="M739" s="233"/>
      <c r="N739" s="233"/>
      <c r="O739" s="233"/>
      <c r="P739" s="233"/>
      <c r="Q739" s="233"/>
      <c r="R739" s="233"/>
      <c r="S739" s="233"/>
      <c r="T739" s="233"/>
      <c r="U739" s="233"/>
      <c r="V739" s="233"/>
      <c r="W739" s="233"/>
      <c r="X739" s="233"/>
      <c r="Y739" s="233"/>
      <c r="Z739" s="233"/>
    </row>
    <row r="740">
      <c r="A740" s="233"/>
      <c r="B740" s="233"/>
      <c r="C740" s="233"/>
      <c r="D740" s="233"/>
      <c r="E740" s="233"/>
      <c r="F740" s="233"/>
      <c r="G740" s="233"/>
      <c r="H740" s="233"/>
      <c r="I740" s="233"/>
      <c r="J740" s="233"/>
      <c r="K740" s="233"/>
      <c r="L740" s="233"/>
      <c r="M740" s="233"/>
      <c r="N740" s="233"/>
      <c r="O740" s="233"/>
      <c r="P740" s="233"/>
      <c r="Q740" s="233"/>
      <c r="R740" s="233"/>
      <c r="S740" s="233"/>
      <c r="T740" s="233"/>
      <c r="U740" s="233"/>
      <c r="V740" s="233"/>
      <c r="W740" s="233"/>
      <c r="X740" s="233"/>
      <c r="Y740" s="233"/>
      <c r="Z740" s="233"/>
    </row>
    <row r="741">
      <c r="A741" s="233"/>
      <c r="B741" s="233"/>
      <c r="C741" s="233"/>
      <c r="D741" s="233"/>
      <c r="E741" s="233"/>
      <c r="F741" s="233"/>
      <c r="G741" s="233"/>
      <c r="H741" s="233"/>
      <c r="I741" s="233"/>
      <c r="J741" s="233"/>
      <c r="K741" s="233"/>
      <c r="L741" s="233"/>
      <c r="M741" s="233"/>
      <c r="N741" s="233"/>
      <c r="O741" s="233"/>
      <c r="P741" s="233"/>
      <c r="Q741" s="233"/>
      <c r="R741" s="233"/>
      <c r="S741" s="233"/>
      <c r="T741" s="233"/>
      <c r="U741" s="233"/>
      <c r="V741" s="233"/>
      <c r="W741" s="233"/>
      <c r="X741" s="233"/>
      <c r="Y741" s="233"/>
      <c r="Z741" s="233"/>
    </row>
    <row r="742">
      <c r="A742" s="233"/>
      <c r="B742" s="233"/>
      <c r="C742" s="233"/>
      <c r="D742" s="233"/>
      <c r="E742" s="233"/>
      <c r="F742" s="233"/>
      <c r="G742" s="233"/>
      <c r="H742" s="233"/>
      <c r="I742" s="233"/>
      <c r="J742" s="233"/>
      <c r="K742" s="233"/>
      <c r="L742" s="233"/>
      <c r="M742" s="233"/>
      <c r="N742" s="233"/>
      <c r="O742" s="233"/>
      <c r="P742" s="233"/>
      <c r="Q742" s="233"/>
      <c r="R742" s="233"/>
      <c r="S742" s="233"/>
      <c r="T742" s="233"/>
      <c r="U742" s="233"/>
      <c r="V742" s="233"/>
      <c r="W742" s="233"/>
      <c r="X742" s="233"/>
      <c r="Y742" s="233"/>
      <c r="Z742" s="233"/>
    </row>
    <row r="743">
      <c r="A743" s="233"/>
      <c r="B743" s="233"/>
      <c r="C743" s="233"/>
      <c r="D743" s="233"/>
      <c r="E743" s="233"/>
      <c r="F743" s="233"/>
      <c r="G743" s="233"/>
      <c r="H743" s="233"/>
      <c r="I743" s="233"/>
      <c r="J743" s="233"/>
      <c r="K743" s="233"/>
      <c r="L743" s="233"/>
      <c r="M743" s="233"/>
      <c r="N743" s="233"/>
      <c r="O743" s="233"/>
      <c r="P743" s="233"/>
      <c r="Q743" s="233"/>
      <c r="R743" s="233"/>
      <c r="S743" s="233"/>
      <c r="T743" s="233"/>
      <c r="U743" s="233"/>
      <c r="V743" s="233"/>
      <c r="W743" s="233"/>
      <c r="X743" s="233"/>
      <c r="Y743" s="233"/>
      <c r="Z743" s="233"/>
    </row>
    <row r="744">
      <c r="A744" s="233"/>
      <c r="B744" s="233"/>
      <c r="C744" s="233"/>
      <c r="D744" s="233"/>
      <c r="E744" s="233"/>
      <c r="F744" s="233"/>
      <c r="G744" s="233"/>
      <c r="H744" s="233"/>
      <c r="I744" s="233"/>
      <c r="J744" s="233"/>
      <c r="K744" s="233"/>
      <c r="L744" s="233"/>
      <c r="M744" s="233"/>
      <c r="N744" s="233"/>
      <c r="O744" s="233"/>
      <c r="P744" s="233"/>
      <c r="Q744" s="233"/>
      <c r="R744" s="233"/>
      <c r="S744" s="233"/>
      <c r="T744" s="233"/>
      <c r="U744" s="233"/>
      <c r="V744" s="233"/>
      <c r="W744" s="233"/>
      <c r="X744" s="233"/>
      <c r="Y744" s="233"/>
      <c r="Z744" s="233"/>
    </row>
    <row r="745">
      <c r="A745" s="233"/>
      <c r="B745" s="233"/>
      <c r="C745" s="233"/>
      <c r="D745" s="233"/>
      <c r="E745" s="233"/>
      <c r="F745" s="233"/>
      <c r="G745" s="233"/>
      <c r="H745" s="233"/>
      <c r="I745" s="233"/>
      <c r="J745" s="233"/>
      <c r="K745" s="233"/>
      <c r="L745" s="233"/>
      <c r="M745" s="233"/>
      <c r="N745" s="233"/>
      <c r="O745" s="233"/>
      <c r="P745" s="233"/>
      <c r="Q745" s="233"/>
      <c r="R745" s="233"/>
      <c r="S745" s="233"/>
      <c r="T745" s="233"/>
      <c r="U745" s="233"/>
      <c r="V745" s="233"/>
      <c r="W745" s="233"/>
      <c r="X745" s="233"/>
      <c r="Y745" s="233"/>
      <c r="Z745" s="233"/>
    </row>
    <row r="746">
      <c r="A746" s="233"/>
      <c r="B746" s="233"/>
      <c r="C746" s="233"/>
      <c r="D746" s="233"/>
      <c r="E746" s="233"/>
      <c r="F746" s="233"/>
      <c r="G746" s="233"/>
      <c r="H746" s="233"/>
      <c r="I746" s="233"/>
      <c r="J746" s="233"/>
      <c r="K746" s="233"/>
      <c r="L746" s="233"/>
      <c r="M746" s="233"/>
      <c r="N746" s="233"/>
      <c r="O746" s="233"/>
      <c r="P746" s="233"/>
      <c r="Q746" s="233"/>
      <c r="R746" s="233"/>
      <c r="S746" s="233"/>
      <c r="T746" s="233"/>
      <c r="U746" s="233"/>
      <c r="V746" s="233"/>
      <c r="W746" s="233"/>
      <c r="X746" s="233"/>
      <c r="Y746" s="233"/>
      <c r="Z746" s="233"/>
    </row>
    <row r="747">
      <c r="A747" s="233"/>
      <c r="B747" s="233"/>
      <c r="C747" s="233"/>
      <c r="D747" s="233"/>
      <c r="E747" s="233"/>
      <c r="F747" s="233"/>
      <c r="G747" s="233"/>
      <c r="H747" s="233"/>
      <c r="I747" s="233"/>
      <c r="J747" s="233"/>
      <c r="K747" s="233"/>
      <c r="L747" s="233"/>
      <c r="M747" s="233"/>
      <c r="N747" s="233"/>
      <c r="O747" s="233"/>
      <c r="P747" s="233"/>
      <c r="Q747" s="233"/>
      <c r="R747" s="233"/>
      <c r="S747" s="233"/>
      <c r="T747" s="233"/>
      <c r="U747" s="233"/>
      <c r="V747" s="233"/>
      <c r="W747" s="233"/>
      <c r="X747" s="233"/>
      <c r="Y747" s="233"/>
      <c r="Z747" s="233"/>
    </row>
    <row r="748">
      <c r="A748" s="233"/>
      <c r="B748" s="233"/>
      <c r="C748" s="233"/>
      <c r="D748" s="233"/>
      <c r="E748" s="233"/>
      <c r="F748" s="233"/>
      <c r="G748" s="233"/>
      <c r="H748" s="233"/>
      <c r="I748" s="233"/>
      <c r="J748" s="233"/>
      <c r="K748" s="233"/>
      <c r="L748" s="233"/>
      <c r="M748" s="233"/>
      <c r="N748" s="233"/>
      <c r="O748" s="233"/>
      <c r="P748" s="233"/>
      <c r="Q748" s="233"/>
      <c r="R748" s="233"/>
      <c r="S748" s="233"/>
      <c r="T748" s="233"/>
      <c r="U748" s="233"/>
      <c r="V748" s="233"/>
      <c r="W748" s="233"/>
      <c r="X748" s="233"/>
      <c r="Y748" s="233"/>
      <c r="Z748" s="233"/>
    </row>
    <row r="749">
      <c r="A749" s="233"/>
      <c r="B749" s="233"/>
      <c r="C749" s="233"/>
      <c r="D749" s="233"/>
      <c r="E749" s="233"/>
      <c r="F749" s="233"/>
      <c r="G749" s="233"/>
      <c r="H749" s="233"/>
      <c r="I749" s="233"/>
      <c r="J749" s="233"/>
      <c r="K749" s="233"/>
      <c r="L749" s="233"/>
      <c r="M749" s="233"/>
      <c r="N749" s="233"/>
      <c r="O749" s="233"/>
      <c r="P749" s="233"/>
      <c r="Q749" s="233"/>
      <c r="R749" s="233"/>
      <c r="S749" s="233"/>
      <c r="T749" s="233"/>
      <c r="U749" s="233"/>
      <c r="V749" s="233"/>
      <c r="W749" s="233"/>
      <c r="X749" s="233"/>
      <c r="Y749" s="233"/>
      <c r="Z749" s="233"/>
    </row>
    <row r="750">
      <c r="A750" s="233"/>
      <c r="B750" s="233"/>
      <c r="C750" s="233"/>
      <c r="D750" s="233"/>
      <c r="E750" s="233"/>
      <c r="F750" s="233"/>
      <c r="G750" s="233"/>
      <c r="H750" s="233"/>
      <c r="I750" s="233"/>
      <c r="J750" s="233"/>
      <c r="K750" s="233"/>
      <c r="L750" s="233"/>
      <c r="M750" s="233"/>
      <c r="N750" s="233"/>
      <c r="O750" s="233"/>
      <c r="P750" s="233"/>
      <c r="Q750" s="233"/>
      <c r="R750" s="233"/>
      <c r="S750" s="233"/>
      <c r="T750" s="233"/>
      <c r="U750" s="233"/>
      <c r="V750" s="233"/>
      <c r="W750" s="233"/>
      <c r="X750" s="233"/>
      <c r="Y750" s="233"/>
      <c r="Z750" s="233"/>
    </row>
    <row r="751">
      <c r="A751" s="233"/>
      <c r="B751" s="233"/>
      <c r="C751" s="233"/>
      <c r="D751" s="233"/>
      <c r="E751" s="233"/>
      <c r="F751" s="233"/>
      <c r="G751" s="233"/>
      <c r="H751" s="233"/>
      <c r="I751" s="233"/>
      <c r="J751" s="233"/>
      <c r="K751" s="233"/>
      <c r="L751" s="233"/>
      <c r="M751" s="233"/>
      <c r="N751" s="233"/>
      <c r="O751" s="233"/>
      <c r="P751" s="233"/>
      <c r="Q751" s="233"/>
      <c r="R751" s="233"/>
      <c r="S751" s="233"/>
      <c r="T751" s="233"/>
      <c r="U751" s="233"/>
      <c r="V751" s="233"/>
      <c r="W751" s="233"/>
      <c r="X751" s="233"/>
      <c r="Y751" s="233"/>
      <c r="Z751" s="233"/>
    </row>
    <row r="752">
      <c r="A752" s="233"/>
      <c r="B752" s="233"/>
      <c r="C752" s="233"/>
      <c r="D752" s="233"/>
      <c r="E752" s="233"/>
      <c r="F752" s="233"/>
      <c r="G752" s="233"/>
      <c r="H752" s="233"/>
      <c r="I752" s="233"/>
      <c r="J752" s="233"/>
      <c r="K752" s="233"/>
      <c r="L752" s="233"/>
      <c r="M752" s="233"/>
      <c r="N752" s="233"/>
      <c r="O752" s="233"/>
      <c r="P752" s="233"/>
      <c r="Q752" s="233"/>
      <c r="R752" s="233"/>
      <c r="S752" s="233"/>
      <c r="T752" s="233"/>
      <c r="U752" s="233"/>
      <c r="V752" s="233"/>
      <c r="W752" s="233"/>
      <c r="X752" s="233"/>
      <c r="Y752" s="233"/>
      <c r="Z752" s="233"/>
    </row>
    <row r="753">
      <c r="A753" s="233"/>
      <c r="B753" s="233"/>
      <c r="C753" s="233"/>
      <c r="D753" s="233"/>
      <c r="E753" s="233"/>
      <c r="F753" s="233"/>
      <c r="G753" s="233"/>
      <c r="H753" s="233"/>
      <c r="I753" s="233"/>
      <c r="J753" s="233"/>
      <c r="K753" s="233"/>
      <c r="L753" s="233"/>
      <c r="M753" s="233"/>
      <c r="N753" s="233"/>
      <c r="O753" s="233"/>
      <c r="P753" s="233"/>
      <c r="Q753" s="233"/>
      <c r="R753" s="233"/>
      <c r="S753" s="233"/>
      <c r="T753" s="233"/>
      <c r="U753" s="233"/>
      <c r="V753" s="233"/>
      <c r="W753" s="233"/>
      <c r="X753" s="233"/>
      <c r="Y753" s="233"/>
      <c r="Z753" s="233"/>
    </row>
    <row r="754">
      <c r="A754" s="233"/>
      <c r="B754" s="233"/>
      <c r="C754" s="233"/>
      <c r="D754" s="233"/>
      <c r="E754" s="233"/>
      <c r="F754" s="233"/>
      <c r="G754" s="233"/>
      <c r="H754" s="233"/>
      <c r="I754" s="233"/>
      <c r="J754" s="233"/>
      <c r="K754" s="233"/>
      <c r="L754" s="233"/>
      <c r="M754" s="233"/>
      <c r="N754" s="233"/>
      <c r="O754" s="233"/>
      <c r="P754" s="233"/>
      <c r="Q754" s="233"/>
      <c r="R754" s="233"/>
      <c r="S754" s="233"/>
      <c r="T754" s="233"/>
      <c r="U754" s="233"/>
      <c r="V754" s="233"/>
      <c r="W754" s="233"/>
      <c r="X754" s="233"/>
      <c r="Y754" s="233"/>
      <c r="Z754" s="233"/>
    </row>
    <row r="755">
      <c r="A755" s="233"/>
      <c r="B755" s="233"/>
      <c r="C755" s="233"/>
      <c r="D755" s="233"/>
      <c r="E755" s="233"/>
      <c r="F755" s="233"/>
      <c r="G755" s="233"/>
      <c r="H755" s="233"/>
      <c r="I755" s="233"/>
      <c r="J755" s="233"/>
      <c r="K755" s="233"/>
      <c r="L755" s="233"/>
      <c r="M755" s="233"/>
      <c r="N755" s="233"/>
      <c r="O755" s="233"/>
      <c r="P755" s="233"/>
      <c r="Q755" s="233"/>
      <c r="R755" s="233"/>
      <c r="S755" s="233"/>
      <c r="T755" s="233"/>
      <c r="U755" s="233"/>
      <c r="V755" s="233"/>
      <c r="W755" s="233"/>
      <c r="X755" s="233"/>
      <c r="Y755" s="233"/>
      <c r="Z755" s="233"/>
    </row>
    <row r="756">
      <c r="A756" s="233"/>
      <c r="B756" s="233"/>
      <c r="C756" s="233"/>
      <c r="D756" s="233"/>
      <c r="E756" s="233"/>
      <c r="F756" s="233"/>
      <c r="G756" s="233"/>
      <c r="H756" s="233"/>
      <c r="I756" s="233"/>
      <c r="J756" s="233"/>
      <c r="K756" s="233"/>
      <c r="L756" s="233"/>
      <c r="M756" s="233"/>
      <c r="N756" s="233"/>
      <c r="O756" s="233"/>
      <c r="P756" s="233"/>
      <c r="Q756" s="233"/>
      <c r="R756" s="233"/>
      <c r="S756" s="233"/>
      <c r="T756" s="233"/>
      <c r="U756" s="233"/>
      <c r="V756" s="233"/>
      <c r="W756" s="233"/>
      <c r="X756" s="233"/>
      <c r="Y756" s="233"/>
      <c r="Z756" s="233"/>
    </row>
    <row r="757">
      <c r="A757" s="233"/>
      <c r="B757" s="233"/>
      <c r="C757" s="233"/>
      <c r="D757" s="233"/>
      <c r="E757" s="233"/>
      <c r="F757" s="233"/>
      <c r="G757" s="233"/>
      <c r="H757" s="233"/>
      <c r="I757" s="233"/>
      <c r="J757" s="233"/>
      <c r="K757" s="233"/>
      <c r="L757" s="233"/>
      <c r="M757" s="233"/>
      <c r="N757" s="233"/>
      <c r="O757" s="233"/>
      <c r="P757" s="233"/>
      <c r="Q757" s="233"/>
      <c r="R757" s="233"/>
      <c r="S757" s="233"/>
      <c r="T757" s="233"/>
      <c r="U757" s="233"/>
      <c r="V757" s="233"/>
      <c r="W757" s="233"/>
      <c r="X757" s="233"/>
      <c r="Y757" s="233"/>
      <c r="Z757" s="233"/>
    </row>
    <row r="758">
      <c r="A758" s="233"/>
      <c r="B758" s="233"/>
      <c r="C758" s="233"/>
      <c r="D758" s="233"/>
      <c r="E758" s="233"/>
      <c r="F758" s="233"/>
      <c r="G758" s="233"/>
      <c r="H758" s="233"/>
      <c r="I758" s="233"/>
      <c r="J758" s="233"/>
      <c r="K758" s="233"/>
      <c r="L758" s="233"/>
      <c r="M758" s="233"/>
      <c r="N758" s="233"/>
      <c r="O758" s="233"/>
      <c r="P758" s="233"/>
      <c r="Q758" s="233"/>
      <c r="R758" s="233"/>
      <c r="S758" s="233"/>
      <c r="T758" s="233"/>
      <c r="U758" s="233"/>
      <c r="V758" s="233"/>
      <c r="W758" s="233"/>
      <c r="X758" s="233"/>
      <c r="Y758" s="233"/>
      <c r="Z758" s="233"/>
    </row>
    <row r="759">
      <c r="A759" s="233"/>
      <c r="B759" s="233"/>
      <c r="C759" s="233"/>
      <c r="D759" s="233"/>
      <c r="E759" s="233"/>
      <c r="F759" s="233"/>
      <c r="G759" s="233"/>
      <c r="H759" s="233"/>
      <c r="I759" s="233"/>
      <c r="J759" s="233"/>
      <c r="K759" s="233"/>
      <c r="L759" s="233"/>
      <c r="M759" s="233"/>
      <c r="N759" s="233"/>
      <c r="O759" s="233"/>
      <c r="P759" s="233"/>
      <c r="Q759" s="233"/>
      <c r="R759" s="233"/>
      <c r="S759" s="233"/>
      <c r="T759" s="233"/>
      <c r="U759" s="233"/>
      <c r="V759" s="233"/>
      <c r="W759" s="233"/>
      <c r="X759" s="233"/>
      <c r="Y759" s="233"/>
      <c r="Z759" s="233"/>
    </row>
    <row r="760">
      <c r="A760" s="233"/>
      <c r="B760" s="233"/>
      <c r="C760" s="233"/>
      <c r="D760" s="233"/>
      <c r="E760" s="233"/>
      <c r="F760" s="233"/>
      <c r="G760" s="233"/>
      <c r="H760" s="233"/>
      <c r="I760" s="233"/>
      <c r="J760" s="233"/>
      <c r="K760" s="233"/>
      <c r="L760" s="233"/>
      <c r="M760" s="233"/>
      <c r="N760" s="233"/>
      <c r="O760" s="233"/>
      <c r="P760" s="233"/>
      <c r="Q760" s="233"/>
      <c r="R760" s="233"/>
      <c r="S760" s="233"/>
      <c r="T760" s="233"/>
      <c r="U760" s="233"/>
      <c r="V760" s="233"/>
      <c r="W760" s="233"/>
      <c r="X760" s="233"/>
      <c r="Y760" s="233"/>
      <c r="Z760" s="233"/>
    </row>
    <row r="761">
      <c r="A761" s="233"/>
      <c r="B761" s="233"/>
      <c r="C761" s="233"/>
      <c r="D761" s="233"/>
      <c r="E761" s="233"/>
      <c r="F761" s="233"/>
      <c r="G761" s="233"/>
      <c r="H761" s="233"/>
      <c r="I761" s="233"/>
      <c r="J761" s="233"/>
      <c r="K761" s="233"/>
      <c r="L761" s="233"/>
      <c r="M761" s="233"/>
      <c r="N761" s="233"/>
      <c r="O761" s="233"/>
      <c r="P761" s="233"/>
      <c r="Q761" s="233"/>
      <c r="R761" s="233"/>
      <c r="S761" s="233"/>
      <c r="T761" s="233"/>
      <c r="U761" s="233"/>
      <c r="V761" s="233"/>
      <c r="W761" s="233"/>
      <c r="X761" s="233"/>
      <c r="Y761" s="233"/>
      <c r="Z761" s="233"/>
    </row>
    <row r="762">
      <c r="A762" s="233"/>
      <c r="B762" s="233"/>
      <c r="C762" s="233"/>
      <c r="D762" s="233"/>
      <c r="E762" s="233"/>
      <c r="F762" s="233"/>
      <c r="G762" s="233"/>
      <c r="H762" s="233"/>
      <c r="I762" s="233"/>
      <c r="J762" s="233"/>
      <c r="K762" s="233"/>
      <c r="L762" s="233"/>
      <c r="M762" s="233"/>
      <c r="N762" s="233"/>
      <c r="O762" s="233"/>
      <c r="P762" s="233"/>
      <c r="Q762" s="233"/>
      <c r="R762" s="233"/>
      <c r="S762" s="233"/>
      <c r="T762" s="233"/>
      <c r="U762" s="233"/>
      <c r="V762" s="233"/>
      <c r="W762" s="233"/>
      <c r="X762" s="233"/>
      <c r="Y762" s="233"/>
      <c r="Z762" s="233"/>
    </row>
    <row r="763">
      <c r="A763" s="233"/>
      <c r="B763" s="233"/>
      <c r="C763" s="233"/>
      <c r="D763" s="233"/>
      <c r="E763" s="233"/>
      <c r="F763" s="233"/>
      <c r="G763" s="233"/>
      <c r="H763" s="233"/>
      <c r="I763" s="233"/>
      <c r="J763" s="233"/>
      <c r="K763" s="233"/>
      <c r="L763" s="233"/>
      <c r="M763" s="233"/>
      <c r="N763" s="233"/>
      <c r="O763" s="233"/>
      <c r="P763" s="233"/>
      <c r="Q763" s="233"/>
      <c r="R763" s="233"/>
      <c r="S763" s="233"/>
      <c r="T763" s="233"/>
      <c r="U763" s="233"/>
      <c r="V763" s="233"/>
      <c r="W763" s="233"/>
      <c r="X763" s="233"/>
      <c r="Y763" s="233"/>
      <c r="Z763" s="233"/>
    </row>
    <row r="764">
      <c r="A764" s="233"/>
      <c r="B764" s="233"/>
      <c r="C764" s="233"/>
      <c r="D764" s="233"/>
      <c r="E764" s="233"/>
      <c r="F764" s="233"/>
      <c r="G764" s="233"/>
      <c r="H764" s="233"/>
      <c r="I764" s="233"/>
      <c r="J764" s="233"/>
      <c r="K764" s="233"/>
      <c r="L764" s="233"/>
      <c r="M764" s="233"/>
      <c r="N764" s="233"/>
      <c r="O764" s="233"/>
      <c r="P764" s="233"/>
      <c r="Q764" s="233"/>
      <c r="R764" s="233"/>
      <c r="S764" s="233"/>
      <c r="T764" s="233"/>
      <c r="U764" s="233"/>
      <c r="V764" s="233"/>
      <c r="W764" s="233"/>
      <c r="X764" s="233"/>
      <c r="Y764" s="233"/>
      <c r="Z764" s="233"/>
    </row>
    <row r="765">
      <c r="A765" s="233"/>
      <c r="B765" s="233"/>
      <c r="C765" s="233"/>
      <c r="D765" s="233"/>
      <c r="E765" s="233"/>
      <c r="F765" s="233"/>
      <c r="G765" s="233"/>
      <c r="H765" s="233"/>
      <c r="I765" s="233"/>
      <c r="J765" s="233"/>
      <c r="K765" s="233"/>
      <c r="L765" s="233"/>
      <c r="M765" s="233"/>
      <c r="N765" s="233"/>
      <c r="O765" s="233"/>
      <c r="P765" s="233"/>
      <c r="Q765" s="233"/>
      <c r="R765" s="233"/>
      <c r="S765" s="233"/>
      <c r="T765" s="233"/>
      <c r="U765" s="233"/>
      <c r="V765" s="233"/>
      <c r="W765" s="233"/>
      <c r="X765" s="233"/>
      <c r="Y765" s="233"/>
      <c r="Z765" s="233"/>
    </row>
    <row r="766">
      <c r="A766" s="233"/>
      <c r="B766" s="233"/>
      <c r="C766" s="233"/>
      <c r="D766" s="233"/>
      <c r="E766" s="233"/>
      <c r="F766" s="233"/>
      <c r="G766" s="233"/>
      <c r="H766" s="233"/>
      <c r="I766" s="233"/>
      <c r="J766" s="233"/>
      <c r="K766" s="233"/>
      <c r="L766" s="233"/>
      <c r="M766" s="233"/>
      <c r="N766" s="233"/>
      <c r="O766" s="233"/>
      <c r="P766" s="233"/>
      <c r="Q766" s="233"/>
      <c r="R766" s="233"/>
      <c r="S766" s="233"/>
      <c r="T766" s="233"/>
      <c r="U766" s="233"/>
      <c r="V766" s="233"/>
      <c r="W766" s="233"/>
      <c r="X766" s="233"/>
      <c r="Y766" s="233"/>
      <c r="Z766" s="233"/>
    </row>
    <row r="767">
      <c r="A767" s="233"/>
      <c r="B767" s="233"/>
      <c r="C767" s="233"/>
      <c r="D767" s="233"/>
      <c r="E767" s="233"/>
      <c r="F767" s="233"/>
      <c r="G767" s="233"/>
      <c r="H767" s="233"/>
      <c r="I767" s="233"/>
      <c r="J767" s="233"/>
      <c r="K767" s="233"/>
      <c r="L767" s="233"/>
      <c r="M767" s="233"/>
      <c r="N767" s="233"/>
      <c r="O767" s="233"/>
      <c r="P767" s="233"/>
      <c r="Q767" s="233"/>
      <c r="R767" s="233"/>
      <c r="S767" s="233"/>
      <c r="T767" s="233"/>
      <c r="U767" s="233"/>
      <c r="V767" s="233"/>
      <c r="W767" s="233"/>
      <c r="X767" s="233"/>
      <c r="Y767" s="233"/>
      <c r="Z767" s="233"/>
    </row>
    <row r="768">
      <c r="A768" s="233"/>
      <c r="B768" s="233"/>
      <c r="C768" s="233"/>
      <c r="D768" s="233"/>
      <c r="E768" s="233"/>
      <c r="F768" s="233"/>
      <c r="G768" s="233"/>
      <c r="H768" s="233"/>
      <c r="I768" s="233"/>
      <c r="J768" s="233"/>
      <c r="K768" s="233"/>
      <c r="L768" s="233"/>
      <c r="M768" s="233"/>
      <c r="N768" s="233"/>
      <c r="O768" s="233"/>
      <c r="P768" s="233"/>
      <c r="Q768" s="233"/>
      <c r="R768" s="233"/>
      <c r="S768" s="233"/>
      <c r="T768" s="233"/>
      <c r="U768" s="233"/>
      <c r="V768" s="233"/>
      <c r="W768" s="233"/>
      <c r="X768" s="233"/>
      <c r="Y768" s="233"/>
      <c r="Z768" s="233"/>
    </row>
    <row r="769">
      <c r="A769" s="233"/>
      <c r="B769" s="233"/>
      <c r="C769" s="233"/>
      <c r="D769" s="233"/>
      <c r="E769" s="233"/>
      <c r="F769" s="233"/>
      <c r="G769" s="233"/>
      <c r="H769" s="233"/>
      <c r="I769" s="233"/>
      <c r="J769" s="233"/>
      <c r="K769" s="233"/>
      <c r="L769" s="233"/>
      <c r="M769" s="233"/>
      <c r="N769" s="233"/>
      <c r="O769" s="233"/>
      <c r="P769" s="233"/>
      <c r="Q769" s="233"/>
      <c r="R769" s="233"/>
      <c r="S769" s="233"/>
      <c r="T769" s="233"/>
      <c r="U769" s="233"/>
      <c r="V769" s="233"/>
      <c r="W769" s="233"/>
      <c r="X769" s="233"/>
      <c r="Y769" s="233"/>
      <c r="Z769" s="233"/>
    </row>
    <row r="770">
      <c r="A770" s="233"/>
      <c r="B770" s="233"/>
      <c r="C770" s="233"/>
      <c r="D770" s="233"/>
      <c r="E770" s="233"/>
      <c r="F770" s="233"/>
      <c r="G770" s="233"/>
      <c r="H770" s="233"/>
      <c r="I770" s="233"/>
      <c r="J770" s="233"/>
      <c r="K770" s="233"/>
      <c r="L770" s="233"/>
      <c r="M770" s="233"/>
      <c r="N770" s="233"/>
      <c r="O770" s="233"/>
      <c r="P770" s="233"/>
      <c r="Q770" s="233"/>
      <c r="R770" s="233"/>
      <c r="S770" s="233"/>
      <c r="T770" s="233"/>
      <c r="U770" s="233"/>
      <c r="V770" s="233"/>
      <c r="W770" s="233"/>
      <c r="X770" s="233"/>
      <c r="Y770" s="233"/>
      <c r="Z770" s="233"/>
    </row>
    <row r="771">
      <c r="A771" s="233"/>
      <c r="B771" s="233"/>
      <c r="C771" s="233"/>
      <c r="D771" s="233"/>
      <c r="E771" s="233"/>
      <c r="F771" s="233"/>
      <c r="G771" s="233"/>
      <c r="H771" s="233"/>
      <c r="I771" s="233"/>
      <c r="J771" s="233"/>
      <c r="K771" s="233"/>
      <c r="L771" s="233"/>
      <c r="M771" s="233"/>
      <c r="N771" s="233"/>
      <c r="O771" s="233"/>
      <c r="P771" s="233"/>
      <c r="Q771" s="233"/>
      <c r="R771" s="233"/>
      <c r="S771" s="233"/>
      <c r="T771" s="233"/>
      <c r="U771" s="233"/>
      <c r="V771" s="233"/>
      <c r="W771" s="233"/>
      <c r="X771" s="233"/>
      <c r="Y771" s="233"/>
      <c r="Z771" s="233"/>
    </row>
    <row r="772">
      <c r="A772" s="233"/>
      <c r="B772" s="233"/>
      <c r="C772" s="233"/>
      <c r="D772" s="233"/>
      <c r="E772" s="233"/>
      <c r="F772" s="233"/>
      <c r="G772" s="233"/>
      <c r="H772" s="233"/>
      <c r="I772" s="233"/>
      <c r="J772" s="233"/>
      <c r="K772" s="233"/>
      <c r="L772" s="233"/>
      <c r="M772" s="233"/>
      <c r="N772" s="233"/>
      <c r="O772" s="233"/>
      <c r="P772" s="233"/>
      <c r="Q772" s="233"/>
      <c r="R772" s="233"/>
      <c r="S772" s="233"/>
      <c r="T772" s="233"/>
      <c r="U772" s="233"/>
      <c r="V772" s="233"/>
      <c r="W772" s="233"/>
      <c r="X772" s="233"/>
      <c r="Y772" s="233"/>
      <c r="Z772" s="233"/>
    </row>
    <row r="773">
      <c r="A773" s="233"/>
      <c r="B773" s="233"/>
      <c r="C773" s="233"/>
      <c r="D773" s="233"/>
      <c r="E773" s="233"/>
      <c r="F773" s="233"/>
      <c r="G773" s="233"/>
      <c r="H773" s="233"/>
      <c r="I773" s="233"/>
      <c r="J773" s="233"/>
      <c r="K773" s="233"/>
      <c r="L773" s="233"/>
      <c r="M773" s="233"/>
      <c r="N773" s="233"/>
      <c r="O773" s="233"/>
      <c r="P773" s="233"/>
      <c r="Q773" s="233"/>
      <c r="R773" s="233"/>
      <c r="S773" s="233"/>
      <c r="T773" s="233"/>
      <c r="U773" s="233"/>
      <c r="V773" s="233"/>
      <c r="W773" s="233"/>
      <c r="X773" s="233"/>
      <c r="Y773" s="233"/>
      <c r="Z773" s="233"/>
    </row>
    <row r="774">
      <c r="A774" s="233"/>
      <c r="B774" s="233"/>
      <c r="C774" s="233"/>
      <c r="D774" s="233"/>
      <c r="E774" s="233"/>
      <c r="F774" s="233"/>
      <c r="G774" s="233"/>
      <c r="H774" s="233"/>
      <c r="I774" s="233"/>
      <c r="J774" s="233"/>
      <c r="K774" s="233"/>
      <c r="L774" s="233"/>
      <c r="M774" s="233"/>
      <c r="N774" s="233"/>
      <c r="O774" s="233"/>
      <c r="P774" s="233"/>
      <c r="Q774" s="233"/>
      <c r="R774" s="233"/>
      <c r="S774" s="233"/>
      <c r="T774" s="233"/>
      <c r="U774" s="233"/>
      <c r="V774" s="233"/>
      <c r="W774" s="233"/>
      <c r="X774" s="233"/>
      <c r="Y774" s="233"/>
      <c r="Z774" s="233"/>
    </row>
    <row r="775">
      <c r="A775" s="233"/>
      <c r="B775" s="233"/>
      <c r="C775" s="233"/>
      <c r="D775" s="233"/>
      <c r="E775" s="233"/>
      <c r="F775" s="233"/>
      <c r="G775" s="233"/>
      <c r="H775" s="233"/>
      <c r="I775" s="233"/>
      <c r="J775" s="233"/>
      <c r="K775" s="233"/>
      <c r="L775" s="233"/>
      <c r="M775" s="233"/>
      <c r="N775" s="233"/>
      <c r="O775" s="233"/>
      <c r="P775" s="233"/>
      <c r="Q775" s="233"/>
      <c r="R775" s="233"/>
      <c r="S775" s="233"/>
      <c r="T775" s="233"/>
      <c r="U775" s="233"/>
      <c r="V775" s="233"/>
      <c r="W775" s="233"/>
      <c r="X775" s="233"/>
      <c r="Y775" s="233"/>
      <c r="Z775" s="233"/>
    </row>
    <row r="776">
      <c r="A776" s="233"/>
      <c r="B776" s="233"/>
      <c r="C776" s="233"/>
      <c r="D776" s="233"/>
      <c r="E776" s="233"/>
      <c r="F776" s="233"/>
      <c r="G776" s="233"/>
      <c r="H776" s="233"/>
      <c r="I776" s="233"/>
      <c r="J776" s="233"/>
      <c r="K776" s="233"/>
      <c r="L776" s="233"/>
      <c r="M776" s="233"/>
      <c r="N776" s="233"/>
      <c r="O776" s="233"/>
      <c r="P776" s="233"/>
      <c r="Q776" s="233"/>
      <c r="R776" s="233"/>
      <c r="S776" s="233"/>
      <c r="T776" s="233"/>
      <c r="U776" s="233"/>
      <c r="V776" s="233"/>
      <c r="W776" s="233"/>
      <c r="X776" s="233"/>
      <c r="Y776" s="233"/>
      <c r="Z776" s="233"/>
    </row>
    <row r="777">
      <c r="A777" s="233"/>
      <c r="B777" s="233"/>
      <c r="C777" s="233"/>
      <c r="D777" s="233"/>
      <c r="E777" s="233"/>
      <c r="F777" s="233"/>
      <c r="G777" s="233"/>
      <c r="H777" s="233"/>
      <c r="I777" s="233"/>
      <c r="J777" s="233"/>
      <c r="K777" s="233"/>
      <c r="L777" s="233"/>
      <c r="M777" s="233"/>
      <c r="N777" s="233"/>
      <c r="O777" s="233"/>
      <c r="P777" s="233"/>
      <c r="Q777" s="233"/>
      <c r="R777" s="233"/>
      <c r="S777" s="233"/>
      <c r="T777" s="233"/>
      <c r="U777" s="233"/>
      <c r="V777" s="233"/>
      <c r="W777" s="233"/>
      <c r="X777" s="233"/>
      <c r="Y777" s="233"/>
      <c r="Z777" s="233"/>
    </row>
    <row r="778">
      <c r="A778" s="233"/>
      <c r="B778" s="233"/>
      <c r="C778" s="233"/>
      <c r="D778" s="233"/>
      <c r="E778" s="233"/>
      <c r="F778" s="233"/>
      <c r="G778" s="233"/>
      <c r="H778" s="233"/>
      <c r="I778" s="233"/>
      <c r="J778" s="233"/>
      <c r="K778" s="233"/>
      <c r="L778" s="233"/>
      <c r="M778" s="233"/>
      <c r="N778" s="233"/>
      <c r="O778" s="233"/>
      <c r="P778" s="233"/>
      <c r="Q778" s="233"/>
      <c r="R778" s="233"/>
      <c r="S778" s="233"/>
      <c r="T778" s="233"/>
      <c r="U778" s="233"/>
      <c r="V778" s="233"/>
      <c r="W778" s="233"/>
      <c r="X778" s="233"/>
      <c r="Y778" s="233"/>
      <c r="Z778" s="233"/>
    </row>
    <row r="779">
      <c r="A779" s="233"/>
      <c r="B779" s="233"/>
      <c r="C779" s="233"/>
      <c r="D779" s="233"/>
      <c r="E779" s="233"/>
      <c r="F779" s="233"/>
      <c r="G779" s="233"/>
      <c r="H779" s="233"/>
      <c r="I779" s="233"/>
      <c r="J779" s="233"/>
      <c r="K779" s="233"/>
      <c r="L779" s="233"/>
      <c r="M779" s="233"/>
      <c r="N779" s="233"/>
      <c r="O779" s="233"/>
      <c r="P779" s="233"/>
      <c r="Q779" s="233"/>
      <c r="R779" s="233"/>
      <c r="S779" s="233"/>
      <c r="T779" s="233"/>
      <c r="U779" s="233"/>
      <c r="V779" s="233"/>
      <c r="W779" s="233"/>
      <c r="X779" s="233"/>
      <c r="Y779" s="233"/>
      <c r="Z779" s="233"/>
    </row>
    <row r="780">
      <c r="A780" s="233"/>
      <c r="B780" s="233"/>
      <c r="C780" s="233"/>
      <c r="D780" s="233"/>
      <c r="E780" s="233"/>
      <c r="F780" s="233"/>
      <c r="G780" s="233"/>
      <c r="H780" s="233"/>
      <c r="I780" s="233"/>
      <c r="J780" s="233"/>
      <c r="K780" s="233"/>
      <c r="L780" s="233"/>
      <c r="M780" s="233"/>
      <c r="N780" s="233"/>
      <c r="O780" s="233"/>
      <c r="P780" s="233"/>
      <c r="Q780" s="233"/>
      <c r="R780" s="233"/>
      <c r="S780" s="233"/>
      <c r="T780" s="233"/>
      <c r="U780" s="233"/>
      <c r="V780" s="233"/>
      <c r="W780" s="233"/>
      <c r="X780" s="233"/>
      <c r="Y780" s="233"/>
      <c r="Z780" s="233"/>
    </row>
    <row r="781">
      <c r="A781" s="233"/>
      <c r="B781" s="233"/>
      <c r="C781" s="233"/>
      <c r="D781" s="233"/>
      <c r="E781" s="233"/>
      <c r="F781" s="233"/>
      <c r="G781" s="233"/>
      <c r="H781" s="233"/>
      <c r="I781" s="233"/>
      <c r="J781" s="233"/>
      <c r="K781" s="233"/>
      <c r="L781" s="233"/>
      <c r="M781" s="233"/>
      <c r="N781" s="233"/>
      <c r="O781" s="233"/>
      <c r="P781" s="233"/>
      <c r="Q781" s="233"/>
      <c r="R781" s="233"/>
      <c r="S781" s="233"/>
      <c r="T781" s="233"/>
      <c r="U781" s="233"/>
      <c r="V781" s="233"/>
      <c r="W781" s="233"/>
      <c r="X781" s="233"/>
      <c r="Y781" s="233"/>
      <c r="Z781" s="233"/>
    </row>
    <row r="782">
      <c r="A782" s="233"/>
      <c r="B782" s="233"/>
      <c r="C782" s="233"/>
      <c r="D782" s="233"/>
      <c r="E782" s="233"/>
      <c r="F782" s="233"/>
      <c r="G782" s="233"/>
      <c r="H782" s="233"/>
      <c r="I782" s="233"/>
      <c r="J782" s="233"/>
      <c r="K782" s="233"/>
      <c r="L782" s="233"/>
      <c r="M782" s="233"/>
      <c r="N782" s="233"/>
      <c r="O782" s="233"/>
      <c r="P782" s="233"/>
      <c r="Q782" s="233"/>
      <c r="R782" s="233"/>
      <c r="S782" s="233"/>
      <c r="T782" s="233"/>
      <c r="U782" s="233"/>
      <c r="V782" s="233"/>
      <c r="W782" s="233"/>
      <c r="X782" s="233"/>
      <c r="Y782" s="233"/>
      <c r="Z782" s="233"/>
    </row>
    <row r="783">
      <c r="A783" s="233"/>
      <c r="B783" s="233"/>
      <c r="C783" s="233"/>
      <c r="D783" s="233"/>
      <c r="E783" s="233"/>
      <c r="F783" s="233"/>
      <c r="G783" s="233"/>
      <c r="H783" s="233"/>
      <c r="I783" s="233"/>
      <c r="J783" s="233"/>
      <c r="K783" s="233"/>
      <c r="L783" s="233"/>
      <c r="M783" s="233"/>
      <c r="N783" s="233"/>
      <c r="O783" s="233"/>
      <c r="P783" s="233"/>
      <c r="Q783" s="233"/>
      <c r="R783" s="233"/>
      <c r="S783" s="233"/>
      <c r="T783" s="233"/>
      <c r="U783" s="233"/>
      <c r="V783" s="233"/>
      <c r="W783" s="233"/>
      <c r="X783" s="233"/>
      <c r="Y783" s="233"/>
      <c r="Z783" s="233"/>
    </row>
    <row r="784">
      <c r="A784" s="233"/>
      <c r="B784" s="233"/>
      <c r="C784" s="233"/>
      <c r="D784" s="233"/>
      <c r="E784" s="233"/>
      <c r="F784" s="233"/>
      <c r="G784" s="233"/>
      <c r="H784" s="233"/>
      <c r="I784" s="233"/>
      <c r="J784" s="233"/>
      <c r="K784" s="233"/>
      <c r="L784" s="233"/>
      <c r="M784" s="233"/>
      <c r="N784" s="233"/>
      <c r="O784" s="233"/>
      <c r="P784" s="233"/>
      <c r="Q784" s="233"/>
      <c r="R784" s="233"/>
      <c r="S784" s="233"/>
      <c r="T784" s="233"/>
      <c r="U784" s="233"/>
      <c r="V784" s="233"/>
      <c r="W784" s="233"/>
      <c r="X784" s="233"/>
      <c r="Y784" s="233"/>
      <c r="Z784" s="233"/>
    </row>
    <row r="785">
      <c r="A785" s="233"/>
      <c r="B785" s="233"/>
      <c r="C785" s="233"/>
      <c r="D785" s="233"/>
      <c r="E785" s="233"/>
      <c r="F785" s="233"/>
      <c r="G785" s="233"/>
      <c r="H785" s="233"/>
      <c r="I785" s="233"/>
      <c r="J785" s="233"/>
      <c r="K785" s="233"/>
      <c r="L785" s="233"/>
      <c r="M785" s="233"/>
      <c r="N785" s="233"/>
      <c r="O785" s="233"/>
      <c r="P785" s="233"/>
      <c r="Q785" s="233"/>
      <c r="R785" s="233"/>
      <c r="S785" s="233"/>
      <c r="T785" s="233"/>
      <c r="U785" s="233"/>
      <c r="V785" s="233"/>
      <c r="W785" s="233"/>
      <c r="X785" s="233"/>
      <c r="Y785" s="233"/>
      <c r="Z785" s="233"/>
    </row>
    <row r="786">
      <c r="A786" s="233"/>
      <c r="B786" s="233"/>
      <c r="C786" s="233"/>
      <c r="D786" s="233"/>
      <c r="E786" s="233"/>
      <c r="F786" s="233"/>
      <c r="G786" s="233"/>
      <c r="H786" s="233"/>
      <c r="I786" s="233"/>
      <c r="J786" s="233"/>
      <c r="K786" s="233"/>
      <c r="L786" s="233"/>
      <c r="M786" s="233"/>
      <c r="N786" s="233"/>
      <c r="O786" s="233"/>
      <c r="P786" s="233"/>
      <c r="Q786" s="233"/>
      <c r="R786" s="233"/>
      <c r="S786" s="233"/>
      <c r="T786" s="233"/>
      <c r="U786" s="233"/>
      <c r="V786" s="233"/>
      <c r="W786" s="233"/>
      <c r="X786" s="233"/>
      <c r="Y786" s="233"/>
      <c r="Z786" s="233"/>
    </row>
    <row r="787">
      <c r="A787" s="233"/>
      <c r="B787" s="233"/>
      <c r="C787" s="233"/>
      <c r="D787" s="233"/>
      <c r="E787" s="233"/>
      <c r="F787" s="233"/>
      <c r="G787" s="233"/>
      <c r="H787" s="233"/>
      <c r="I787" s="233"/>
      <c r="J787" s="233"/>
      <c r="K787" s="233"/>
      <c r="L787" s="233"/>
      <c r="M787" s="233"/>
      <c r="N787" s="233"/>
      <c r="O787" s="233"/>
      <c r="P787" s="233"/>
      <c r="Q787" s="233"/>
      <c r="R787" s="233"/>
      <c r="S787" s="233"/>
      <c r="T787" s="233"/>
      <c r="U787" s="233"/>
      <c r="V787" s="233"/>
      <c r="W787" s="233"/>
      <c r="X787" s="233"/>
      <c r="Y787" s="233"/>
      <c r="Z787" s="233"/>
    </row>
    <row r="788">
      <c r="A788" s="233"/>
      <c r="B788" s="233"/>
      <c r="C788" s="233"/>
      <c r="D788" s="233"/>
      <c r="E788" s="233"/>
      <c r="F788" s="233"/>
      <c r="G788" s="233"/>
      <c r="H788" s="233"/>
      <c r="I788" s="233"/>
      <c r="J788" s="233"/>
      <c r="K788" s="233"/>
      <c r="L788" s="233"/>
      <c r="M788" s="233"/>
      <c r="N788" s="233"/>
      <c r="O788" s="233"/>
      <c r="P788" s="233"/>
      <c r="Q788" s="233"/>
      <c r="R788" s="233"/>
      <c r="S788" s="233"/>
      <c r="T788" s="233"/>
      <c r="U788" s="233"/>
      <c r="V788" s="233"/>
      <c r="W788" s="233"/>
      <c r="X788" s="233"/>
      <c r="Y788" s="233"/>
      <c r="Z788" s="233"/>
    </row>
    <row r="789">
      <c r="A789" s="233"/>
      <c r="B789" s="233"/>
      <c r="C789" s="233"/>
      <c r="D789" s="233"/>
      <c r="E789" s="233"/>
      <c r="F789" s="233"/>
      <c r="G789" s="233"/>
      <c r="H789" s="233"/>
      <c r="I789" s="233"/>
      <c r="J789" s="233"/>
      <c r="K789" s="233"/>
      <c r="L789" s="233"/>
      <c r="M789" s="233"/>
      <c r="N789" s="233"/>
      <c r="O789" s="233"/>
      <c r="P789" s="233"/>
      <c r="Q789" s="233"/>
      <c r="R789" s="233"/>
      <c r="S789" s="233"/>
      <c r="T789" s="233"/>
      <c r="U789" s="233"/>
      <c r="V789" s="233"/>
      <c r="W789" s="233"/>
      <c r="X789" s="233"/>
      <c r="Y789" s="233"/>
      <c r="Z789" s="233"/>
    </row>
    <row r="790">
      <c r="A790" s="233"/>
      <c r="B790" s="233"/>
      <c r="C790" s="233"/>
      <c r="D790" s="233"/>
      <c r="E790" s="233"/>
      <c r="F790" s="233"/>
      <c r="G790" s="233"/>
      <c r="H790" s="233"/>
      <c r="I790" s="233"/>
      <c r="J790" s="233"/>
      <c r="K790" s="233"/>
      <c r="L790" s="233"/>
      <c r="M790" s="233"/>
      <c r="N790" s="233"/>
      <c r="O790" s="233"/>
      <c r="P790" s="233"/>
      <c r="Q790" s="233"/>
      <c r="R790" s="233"/>
      <c r="S790" s="233"/>
      <c r="T790" s="233"/>
      <c r="U790" s="233"/>
      <c r="V790" s="233"/>
      <c r="W790" s="233"/>
      <c r="X790" s="233"/>
      <c r="Y790" s="233"/>
      <c r="Z790" s="233"/>
    </row>
    <row r="791">
      <c r="A791" s="233"/>
      <c r="B791" s="233"/>
      <c r="C791" s="233"/>
      <c r="D791" s="233"/>
      <c r="E791" s="233"/>
      <c r="F791" s="233"/>
      <c r="G791" s="233"/>
      <c r="H791" s="233"/>
      <c r="I791" s="233"/>
      <c r="J791" s="233"/>
      <c r="K791" s="233"/>
      <c r="L791" s="233"/>
      <c r="M791" s="233"/>
      <c r="N791" s="233"/>
      <c r="O791" s="233"/>
      <c r="P791" s="233"/>
      <c r="Q791" s="233"/>
      <c r="R791" s="233"/>
      <c r="S791" s="233"/>
      <c r="T791" s="233"/>
      <c r="U791" s="233"/>
      <c r="V791" s="233"/>
      <c r="W791" s="233"/>
      <c r="X791" s="233"/>
      <c r="Y791" s="233"/>
      <c r="Z791" s="233"/>
    </row>
    <row r="792">
      <c r="A792" s="233"/>
      <c r="B792" s="233"/>
      <c r="C792" s="233"/>
      <c r="D792" s="233"/>
      <c r="E792" s="233"/>
      <c r="F792" s="233"/>
      <c r="G792" s="233"/>
      <c r="H792" s="233"/>
      <c r="I792" s="233"/>
      <c r="J792" s="233"/>
      <c r="K792" s="233"/>
      <c r="L792" s="233"/>
      <c r="M792" s="233"/>
      <c r="N792" s="233"/>
      <c r="O792" s="233"/>
      <c r="P792" s="233"/>
      <c r="Q792" s="233"/>
      <c r="R792" s="233"/>
      <c r="S792" s="233"/>
      <c r="T792" s="233"/>
      <c r="U792" s="233"/>
      <c r="V792" s="233"/>
      <c r="W792" s="233"/>
      <c r="X792" s="233"/>
      <c r="Y792" s="233"/>
      <c r="Z792" s="233"/>
    </row>
    <row r="793">
      <c r="A793" s="233"/>
      <c r="B793" s="233"/>
      <c r="C793" s="233"/>
      <c r="D793" s="233"/>
      <c r="E793" s="233"/>
      <c r="F793" s="233"/>
      <c r="G793" s="233"/>
      <c r="H793" s="233"/>
      <c r="I793" s="233"/>
      <c r="J793" s="233"/>
      <c r="K793" s="233"/>
      <c r="L793" s="233"/>
      <c r="M793" s="233"/>
      <c r="N793" s="233"/>
      <c r="O793" s="233"/>
      <c r="P793" s="233"/>
      <c r="Q793" s="233"/>
      <c r="R793" s="233"/>
      <c r="S793" s="233"/>
      <c r="T793" s="233"/>
      <c r="U793" s="233"/>
      <c r="V793" s="233"/>
      <c r="W793" s="233"/>
      <c r="X793" s="233"/>
      <c r="Y793" s="233"/>
      <c r="Z793" s="233"/>
    </row>
    <row r="794">
      <c r="A794" s="233"/>
      <c r="B794" s="233"/>
      <c r="C794" s="233"/>
      <c r="D794" s="233"/>
      <c r="E794" s="233"/>
      <c r="F794" s="233"/>
      <c r="G794" s="233"/>
      <c r="H794" s="233"/>
      <c r="I794" s="233"/>
      <c r="J794" s="233"/>
      <c r="K794" s="233"/>
      <c r="L794" s="233"/>
      <c r="M794" s="233"/>
      <c r="N794" s="233"/>
      <c r="O794" s="233"/>
      <c r="P794" s="233"/>
      <c r="Q794" s="233"/>
      <c r="R794" s="233"/>
      <c r="S794" s="233"/>
      <c r="T794" s="233"/>
      <c r="U794" s="233"/>
      <c r="V794" s="233"/>
      <c r="W794" s="233"/>
      <c r="X794" s="233"/>
      <c r="Y794" s="233"/>
      <c r="Z794" s="233"/>
    </row>
    <row r="795">
      <c r="A795" s="233"/>
      <c r="B795" s="233"/>
      <c r="C795" s="233"/>
      <c r="D795" s="233"/>
      <c r="E795" s="233"/>
      <c r="F795" s="233"/>
      <c r="G795" s="233"/>
      <c r="H795" s="233"/>
      <c r="I795" s="233"/>
      <c r="J795" s="233"/>
      <c r="K795" s="233"/>
      <c r="L795" s="233"/>
      <c r="M795" s="233"/>
      <c r="N795" s="233"/>
      <c r="O795" s="233"/>
      <c r="P795" s="233"/>
      <c r="Q795" s="233"/>
      <c r="R795" s="233"/>
      <c r="S795" s="233"/>
      <c r="T795" s="233"/>
      <c r="U795" s="233"/>
      <c r="V795" s="233"/>
      <c r="W795" s="233"/>
      <c r="X795" s="233"/>
      <c r="Y795" s="233"/>
      <c r="Z795" s="233"/>
    </row>
    <row r="796">
      <c r="A796" s="233"/>
      <c r="B796" s="233"/>
      <c r="C796" s="233"/>
      <c r="D796" s="233"/>
      <c r="E796" s="233"/>
      <c r="F796" s="233"/>
      <c r="G796" s="233"/>
      <c r="H796" s="233"/>
      <c r="I796" s="233"/>
      <c r="J796" s="233"/>
      <c r="K796" s="233"/>
      <c r="L796" s="233"/>
      <c r="M796" s="233"/>
      <c r="N796" s="233"/>
      <c r="O796" s="233"/>
      <c r="P796" s="233"/>
      <c r="Q796" s="233"/>
      <c r="R796" s="233"/>
      <c r="S796" s="233"/>
      <c r="T796" s="233"/>
      <c r="U796" s="233"/>
      <c r="V796" s="233"/>
      <c r="W796" s="233"/>
      <c r="X796" s="233"/>
      <c r="Y796" s="233"/>
      <c r="Z796" s="233"/>
    </row>
    <row r="797">
      <c r="A797" s="233"/>
      <c r="B797" s="233"/>
      <c r="C797" s="233"/>
      <c r="D797" s="233"/>
      <c r="E797" s="233"/>
      <c r="F797" s="233"/>
      <c r="G797" s="233"/>
      <c r="H797" s="233"/>
      <c r="I797" s="233"/>
      <c r="J797" s="233"/>
      <c r="K797" s="233"/>
      <c r="L797" s="233"/>
      <c r="M797" s="233"/>
      <c r="N797" s="233"/>
      <c r="O797" s="233"/>
      <c r="P797" s="233"/>
      <c r="Q797" s="233"/>
      <c r="R797" s="233"/>
      <c r="S797" s="233"/>
      <c r="T797" s="233"/>
      <c r="U797" s="233"/>
      <c r="V797" s="233"/>
      <c r="W797" s="233"/>
      <c r="X797" s="233"/>
      <c r="Y797" s="233"/>
      <c r="Z797" s="233"/>
    </row>
    <row r="798">
      <c r="A798" s="233"/>
      <c r="B798" s="233"/>
      <c r="C798" s="233"/>
      <c r="D798" s="233"/>
      <c r="E798" s="233"/>
      <c r="F798" s="233"/>
      <c r="G798" s="233"/>
      <c r="H798" s="233"/>
      <c r="I798" s="233"/>
      <c r="J798" s="233"/>
      <c r="K798" s="233"/>
      <c r="L798" s="233"/>
      <c r="M798" s="233"/>
      <c r="N798" s="233"/>
      <c r="O798" s="233"/>
      <c r="P798" s="233"/>
      <c r="Q798" s="233"/>
      <c r="R798" s="233"/>
      <c r="S798" s="233"/>
      <c r="T798" s="233"/>
      <c r="U798" s="233"/>
      <c r="V798" s="233"/>
      <c r="W798" s="233"/>
      <c r="X798" s="233"/>
      <c r="Y798" s="233"/>
      <c r="Z798" s="233"/>
    </row>
    <row r="799">
      <c r="A799" s="233"/>
      <c r="B799" s="233"/>
      <c r="C799" s="233"/>
      <c r="D799" s="233"/>
      <c r="E799" s="233"/>
      <c r="F799" s="233"/>
      <c r="G799" s="233"/>
      <c r="H799" s="233"/>
      <c r="I799" s="233"/>
      <c r="J799" s="233"/>
      <c r="K799" s="233"/>
      <c r="L799" s="233"/>
      <c r="M799" s="233"/>
      <c r="N799" s="233"/>
      <c r="O799" s="233"/>
      <c r="P799" s="233"/>
      <c r="Q799" s="233"/>
      <c r="R799" s="233"/>
      <c r="S799" s="233"/>
      <c r="T799" s="233"/>
      <c r="U799" s="233"/>
      <c r="V799" s="233"/>
      <c r="W799" s="233"/>
      <c r="X799" s="233"/>
      <c r="Y799" s="233"/>
      <c r="Z799" s="233"/>
    </row>
    <row r="800">
      <c r="A800" s="233"/>
      <c r="B800" s="233"/>
      <c r="C800" s="233"/>
      <c r="D800" s="233"/>
      <c r="E800" s="233"/>
      <c r="F800" s="233"/>
      <c r="G800" s="233"/>
      <c r="H800" s="233"/>
      <c r="I800" s="233"/>
      <c r="J800" s="233"/>
      <c r="K800" s="233"/>
      <c r="L800" s="233"/>
      <c r="M800" s="233"/>
      <c r="N800" s="233"/>
      <c r="O800" s="233"/>
      <c r="P800" s="233"/>
      <c r="Q800" s="233"/>
      <c r="R800" s="233"/>
      <c r="S800" s="233"/>
      <c r="T800" s="233"/>
      <c r="U800" s="233"/>
      <c r="V800" s="233"/>
      <c r="W800" s="233"/>
      <c r="X800" s="233"/>
      <c r="Y800" s="233"/>
      <c r="Z800" s="233"/>
    </row>
    <row r="801">
      <c r="A801" s="233"/>
      <c r="B801" s="233"/>
      <c r="C801" s="233"/>
      <c r="D801" s="233"/>
      <c r="E801" s="233"/>
      <c r="F801" s="233"/>
      <c r="G801" s="233"/>
      <c r="H801" s="233"/>
      <c r="I801" s="233"/>
      <c r="J801" s="233"/>
      <c r="K801" s="233"/>
      <c r="L801" s="233"/>
      <c r="M801" s="233"/>
      <c r="N801" s="233"/>
      <c r="O801" s="233"/>
      <c r="P801" s="233"/>
      <c r="Q801" s="233"/>
      <c r="R801" s="233"/>
      <c r="S801" s="233"/>
      <c r="T801" s="233"/>
      <c r="U801" s="233"/>
      <c r="V801" s="233"/>
      <c r="W801" s="233"/>
      <c r="X801" s="233"/>
      <c r="Y801" s="233"/>
      <c r="Z801" s="233"/>
    </row>
    <row r="802">
      <c r="A802" s="233"/>
      <c r="B802" s="233"/>
      <c r="C802" s="233"/>
      <c r="D802" s="233"/>
      <c r="E802" s="233"/>
      <c r="F802" s="233"/>
      <c r="G802" s="233"/>
      <c r="H802" s="233"/>
      <c r="I802" s="233"/>
      <c r="J802" s="233"/>
      <c r="K802" s="233"/>
      <c r="L802" s="233"/>
      <c r="M802" s="233"/>
      <c r="N802" s="233"/>
      <c r="O802" s="233"/>
      <c r="P802" s="233"/>
      <c r="Q802" s="233"/>
      <c r="R802" s="233"/>
      <c r="S802" s="233"/>
      <c r="T802" s="233"/>
      <c r="U802" s="233"/>
      <c r="V802" s="233"/>
      <c r="W802" s="233"/>
      <c r="X802" s="233"/>
      <c r="Y802" s="233"/>
      <c r="Z802" s="233"/>
    </row>
    <row r="803">
      <c r="A803" s="233"/>
      <c r="B803" s="233"/>
      <c r="C803" s="233"/>
      <c r="D803" s="233"/>
      <c r="E803" s="233"/>
      <c r="F803" s="233"/>
      <c r="G803" s="233"/>
      <c r="H803" s="233"/>
      <c r="I803" s="233"/>
      <c r="J803" s="233"/>
      <c r="K803" s="233"/>
      <c r="L803" s="233"/>
      <c r="M803" s="233"/>
      <c r="N803" s="233"/>
      <c r="O803" s="233"/>
      <c r="P803" s="233"/>
      <c r="Q803" s="233"/>
      <c r="R803" s="233"/>
      <c r="S803" s="233"/>
      <c r="T803" s="233"/>
      <c r="U803" s="233"/>
      <c r="V803" s="233"/>
      <c r="W803" s="233"/>
      <c r="X803" s="233"/>
      <c r="Y803" s="233"/>
      <c r="Z803" s="233"/>
    </row>
    <row r="804">
      <c r="A804" s="233"/>
      <c r="B804" s="233"/>
      <c r="C804" s="233"/>
      <c r="D804" s="233"/>
      <c r="E804" s="233"/>
      <c r="F804" s="233"/>
      <c r="G804" s="233"/>
      <c r="H804" s="233"/>
      <c r="I804" s="233"/>
      <c r="J804" s="233"/>
      <c r="K804" s="233"/>
      <c r="L804" s="233"/>
      <c r="M804" s="233"/>
      <c r="N804" s="233"/>
      <c r="O804" s="233"/>
      <c r="P804" s="233"/>
      <c r="Q804" s="233"/>
      <c r="R804" s="233"/>
      <c r="S804" s="233"/>
      <c r="T804" s="233"/>
      <c r="U804" s="233"/>
      <c r="V804" s="233"/>
      <c r="W804" s="233"/>
      <c r="X804" s="233"/>
      <c r="Y804" s="233"/>
      <c r="Z804" s="233"/>
    </row>
    <row r="805">
      <c r="A805" s="233"/>
      <c r="B805" s="233"/>
      <c r="C805" s="233"/>
      <c r="D805" s="233"/>
      <c r="E805" s="233"/>
      <c r="F805" s="233"/>
      <c r="G805" s="233"/>
      <c r="H805" s="233"/>
      <c r="I805" s="233"/>
      <c r="J805" s="233"/>
      <c r="K805" s="233"/>
      <c r="L805" s="233"/>
      <c r="M805" s="233"/>
      <c r="N805" s="233"/>
      <c r="O805" s="233"/>
      <c r="P805" s="233"/>
      <c r="Q805" s="233"/>
      <c r="R805" s="233"/>
      <c r="S805" s="233"/>
      <c r="T805" s="233"/>
      <c r="U805" s="233"/>
      <c r="V805" s="233"/>
      <c r="W805" s="233"/>
      <c r="X805" s="233"/>
      <c r="Y805" s="233"/>
      <c r="Z805" s="233"/>
    </row>
    <row r="806">
      <c r="A806" s="233"/>
      <c r="B806" s="233"/>
      <c r="C806" s="233"/>
      <c r="D806" s="233"/>
      <c r="E806" s="233"/>
      <c r="F806" s="233"/>
      <c r="G806" s="233"/>
      <c r="H806" s="233"/>
      <c r="I806" s="233"/>
      <c r="J806" s="233"/>
      <c r="K806" s="233"/>
      <c r="L806" s="233"/>
      <c r="M806" s="233"/>
      <c r="N806" s="233"/>
      <c r="O806" s="233"/>
      <c r="P806" s="233"/>
      <c r="Q806" s="233"/>
      <c r="R806" s="233"/>
      <c r="S806" s="233"/>
      <c r="T806" s="233"/>
      <c r="U806" s="233"/>
      <c r="V806" s="233"/>
      <c r="W806" s="233"/>
      <c r="X806" s="233"/>
      <c r="Y806" s="233"/>
      <c r="Z806" s="233"/>
    </row>
    <row r="807">
      <c r="A807" s="233"/>
      <c r="B807" s="233"/>
      <c r="C807" s="233"/>
      <c r="D807" s="233"/>
      <c r="E807" s="233"/>
      <c r="F807" s="233"/>
      <c r="G807" s="233"/>
      <c r="H807" s="233"/>
      <c r="I807" s="233"/>
      <c r="J807" s="233"/>
      <c r="K807" s="233"/>
      <c r="L807" s="233"/>
      <c r="M807" s="233"/>
      <c r="N807" s="233"/>
      <c r="O807" s="233"/>
      <c r="P807" s="233"/>
      <c r="Q807" s="233"/>
      <c r="R807" s="233"/>
      <c r="S807" s="233"/>
      <c r="T807" s="233"/>
      <c r="U807" s="233"/>
      <c r="V807" s="233"/>
      <c r="W807" s="233"/>
      <c r="X807" s="233"/>
      <c r="Y807" s="233"/>
      <c r="Z807" s="233"/>
    </row>
    <row r="808">
      <c r="A808" s="233"/>
      <c r="B808" s="233"/>
      <c r="C808" s="233"/>
      <c r="D808" s="233"/>
      <c r="E808" s="233"/>
      <c r="F808" s="233"/>
      <c r="G808" s="233"/>
      <c r="H808" s="233"/>
      <c r="I808" s="233"/>
      <c r="J808" s="233"/>
      <c r="K808" s="233"/>
      <c r="L808" s="233"/>
      <c r="M808" s="233"/>
      <c r="N808" s="233"/>
      <c r="O808" s="233"/>
      <c r="P808" s="233"/>
      <c r="Q808" s="233"/>
      <c r="R808" s="233"/>
      <c r="S808" s="233"/>
      <c r="T808" s="233"/>
      <c r="U808" s="233"/>
      <c r="V808" s="233"/>
      <c r="W808" s="233"/>
      <c r="X808" s="233"/>
      <c r="Y808" s="233"/>
      <c r="Z808" s="233"/>
    </row>
    <row r="809">
      <c r="A809" s="233"/>
      <c r="B809" s="233"/>
      <c r="C809" s="233"/>
      <c r="D809" s="233"/>
      <c r="E809" s="233"/>
      <c r="F809" s="233"/>
      <c r="G809" s="233"/>
      <c r="H809" s="233"/>
      <c r="I809" s="233"/>
      <c r="J809" s="233"/>
      <c r="K809" s="233"/>
      <c r="L809" s="233"/>
      <c r="M809" s="233"/>
      <c r="N809" s="233"/>
      <c r="O809" s="233"/>
      <c r="P809" s="233"/>
      <c r="Q809" s="233"/>
      <c r="R809" s="233"/>
      <c r="S809" s="233"/>
      <c r="T809" s="233"/>
      <c r="U809" s="233"/>
      <c r="V809" s="233"/>
      <c r="W809" s="233"/>
      <c r="X809" s="233"/>
      <c r="Y809" s="233"/>
      <c r="Z809" s="233"/>
    </row>
    <row r="810">
      <c r="A810" s="233"/>
      <c r="B810" s="233"/>
      <c r="C810" s="233"/>
      <c r="D810" s="233"/>
      <c r="E810" s="233"/>
      <c r="F810" s="233"/>
      <c r="G810" s="233"/>
      <c r="H810" s="233"/>
      <c r="I810" s="233"/>
      <c r="J810" s="233"/>
      <c r="K810" s="233"/>
      <c r="L810" s="233"/>
      <c r="M810" s="233"/>
      <c r="N810" s="233"/>
      <c r="O810" s="233"/>
      <c r="P810" s="233"/>
      <c r="Q810" s="233"/>
      <c r="R810" s="233"/>
      <c r="S810" s="233"/>
      <c r="T810" s="233"/>
      <c r="U810" s="233"/>
      <c r="V810" s="233"/>
      <c r="W810" s="233"/>
      <c r="X810" s="233"/>
      <c r="Y810" s="233"/>
      <c r="Z810" s="233"/>
    </row>
    <row r="811">
      <c r="A811" s="233"/>
      <c r="B811" s="233"/>
      <c r="C811" s="233"/>
      <c r="D811" s="233"/>
      <c r="E811" s="233"/>
      <c r="F811" s="233"/>
      <c r="G811" s="233"/>
      <c r="H811" s="233"/>
      <c r="I811" s="233"/>
      <c r="J811" s="233"/>
      <c r="K811" s="233"/>
      <c r="L811" s="233"/>
      <c r="M811" s="233"/>
      <c r="N811" s="233"/>
      <c r="O811" s="233"/>
      <c r="P811" s="233"/>
      <c r="Q811" s="233"/>
      <c r="R811" s="233"/>
      <c r="S811" s="233"/>
      <c r="T811" s="233"/>
      <c r="U811" s="233"/>
      <c r="V811" s="233"/>
      <c r="W811" s="233"/>
      <c r="X811" s="233"/>
      <c r="Y811" s="233"/>
      <c r="Z811" s="233"/>
    </row>
    <row r="812">
      <c r="A812" s="233"/>
      <c r="B812" s="233"/>
      <c r="C812" s="233"/>
      <c r="D812" s="233"/>
      <c r="E812" s="233"/>
      <c r="F812" s="233"/>
      <c r="G812" s="233"/>
      <c r="H812" s="233"/>
      <c r="I812" s="233"/>
      <c r="J812" s="233"/>
      <c r="K812" s="233"/>
      <c r="L812" s="233"/>
      <c r="M812" s="233"/>
      <c r="N812" s="233"/>
      <c r="O812" s="233"/>
      <c r="P812" s="233"/>
      <c r="Q812" s="233"/>
      <c r="R812" s="233"/>
      <c r="S812" s="233"/>
      <c r="T812" s="233"/>
      <c r="U812" s="233"/>
      <c r="V812" s="233"/>
      <c r="W812" s="233"/>
      <c r="X812" s="233"/>
      <c r="Y812" s="233"/>
      <c r="Z812" s="233"/>
    </row>
    <row r="813">
      <c r="A813" s="233"/>
      <c r="B813" s="233"/>
      <c r="C813" s="233"/>
      <c r="D813" s="233"/>
      <c r="E813" s="233"/>
      <c r="F813" s="233"/>
      <c r="G813" s="233"/>
      <c r="H813" s="233"/>
      <c r="I813" s="233"/>
      <c r="J813" s="233"/>
      <c r="K813" s="233"/>
      <c r="L813" s="233"/>
      <c r="M813" s="233"/>
      <c r="N813" s="233"/>
      <c r="O813" s="233"/>
      <c r="P813" s="233"/>
      <c r="Q813" s="233"/>
      <c r="R813" s="233"/>
      <c r="S813" s="233"/>
      <c r="T813" s="233"/>
      <c r="U813" s="233"/>
      <c r="V813" s="233"/>
      <c r="W813" s="233"/>
      <c r="X813" s="233"/>
      <c r="Y813" s="233"/>
      <c r="Z813" s="233"/>
    </row>
    <row r="814">
      <c r="A814" s="233"/>
      <c r="B814" s="233"/>
      <c r="C814" s="233"/>
      <c r="D814" s="233"/>
      <c r="E814" s="233"/>
      <c r="F814" s="233"/>
      <c r="G814" s="233"/>
      <c r="H814" s="233"/>
      <c r="I814" s="233"/>
      <c r="J814" s="233"/>
      <c r="K814" s="233"/>
      <c r="L814" s="233"/>
      <c r="M814" s="233"/>
      <c r="N814" s="233"/>
      <c r="O814" s="233"/>
      <c r="P814" s="233"/>
      <c r="Q814" s="233"/>
      <c r="R814" s="233"/>
      <c r="S814" s="233"/>
      <c r="T814" s="233"/>
      <c r="U814" s="233"/>
      <c r="V814" s="233"/>
      <c r="W814" s="233"/>
      <c r="X814" s="233"/>
      <c r="Y814" s="233"/>
      <c r="Z814" s="233"/>
    </row>
    <row r="815">
      <c r="A815" s="233"/>
      <c r="B815" s="233"/>
      <c r="C815" s="233"/>
      <c r="D815" s="233"/>
      <c r="E815" s="233"/>
      <c r="F815" s="233"/>
      <c r="G815" s="233"/>
      <c r="H815" s="233"/>
      <c r="I815" s="233"/>
      <c r="J815" s="233"/>
      <c r="K815" s="233"/>
      <c r="L815" s="233"/>
      <c r="M815" s="233"/>
      <c r="N815" s="233"/>
      <c r="O815" s="233"/>
      <c r="P815" s="233"/>
      <c r="Q815" s="233"/>
      <c r="R815" s="233"/>
      <c r="S815" s="233"/>
      <c r="T815" s="233"/>
      <c r="U815" s="233"/>
      <c r="V815" s="233"/>
      <c r="W815" s="233"/>
      <c r="X815" s="233"/>
      <c r="Y815" s="233"/>
      <c r="Z815" s="233"/>
    </row>
    <row r="816">
      <c r="A816" s="233"/>
      <c r="B816" s="233"/>
      <c r="C816" s="233"/>
      <c r="D816" s="233"/>
      <c r="E816" s="233"/>
      <c r="F816" s="233"/>
      <c r="G816" s="233"/>
      <c r="H816" s="233"/>
      <c r="I816" s="233"/>
      <c r="J816" s="233"/>
      <c r="K816" s="233"/>
      <c r="L816" s="233"/>
      <c r="M816" s="233"/>
      <c r="N816" s="233"/>
      <c r="O816" s="233"/>
      <c r="P816" s="233"/>
      <c r="Q816" s="233"/>
      <c r="R816" s="233"/>
      <c r="S816" s="233"/>
      <c r="T816" s="233"/>
      <c r="U816" s="233"/>
      <c r="V816" s="233"/>
      <c r="W816" s="233"/>
      <c r="X816" s="233"/>
      <c r="Y816" s="233"/>
      <c r="Z816" s="233"/>
    </row>
    <row r="817">
      <c r="A817" s="233"/>
      <c r="B817" s="233"/>
      <c r="C817" s="233"/>
      <c r="D817" s="233"/>
      <c r="E817" s="233"/>
      <c r="F817" s="233"/>
      <c r="G817" s="233"/>
      <c r="H817" s="233"/>
      <c r="I817" s="233"/>
      <c r="J817" s="233"/>
      <c r="K817" s="233"/>
      <c r="L817" s="233"/>
      <c r="M817" s="233"/>
      <c r="N817" s="233"/>
      <c r="O817" s="233"/>
      <c r="P817" s="233"/>
      <c r="Q817" s="233"/>
      <c r="R817" s="233"/>
      <c r="S817" s="233"/>
      <c r="T817" s="233"/>
      <c r="U817" s="233"/>
      <c r="V817" s="233"/>
      <c r="W817" s="233"/>
      <c r="X817" s="233"/>
      <c r="Y817" s="233"/>
      <c r="Z817" s="233"/>
    </row>
    <row r="818">
      <c r="A818" s="233"/>
      <c r="B818" s="233"/>
      <c r="C818" s="233"/>
      <c r="D818" s="233"/>
      <c r="E818" s="233"/>
      <c r="F818" s="233"/>
      <c r="G818" s="233"/>
      <c r="H818" s="233"/>
      <c r="I818" s="233"/>
      <c r="J818" s="233"/>
      <c r="K818" s="233"/>
      <c r="L818" s="233"/>
      <c r="M818" s="233"/>
      <c r="N818" s="233"/>
      <c r="O818" s="233"/>
      <c r="P818" s="233"/>
      <c r="Q818" s="233"/>
      <c r="R818" s="233"/>
      <c r="S818" s="233"/>
      <c r="T818" s="233"/>
      <c r="U818" s="233"/>
      <c r="V818" s="233"/>
      <c r="W818" s="233"/>
      <c r="X818" s="233"/>
      <c r="Y818" s="233"/>
      <c r="Z818" s="233"/>
    </row>
    <row r="819">
      <c r="A819" s="233"/>
      <c r="B819" s="233"/>
      <c r="C819" s="233"/>
      <c r="D819" s="233"/>
      <c r="E819" s="233"/>
      <c r="F819" s="233"/>
      <c r="G819" s="233"/>
      <c r="H819" s="233"/>
      <c r="I819" s="233"/>
      <c r="J819" s="233"/>
      <c r="K819" s="233"/>
      <c r="L819" s="233"/>
      <c r="M819" s="233"/>
      <c r="N819" s="233"/>
      <c r="O819" s="233"/>
      <c r="P819" s="233"/>
      <c r="Q819" s="233"/>
      <c r="R819" s="233"/>
      <c r="S819" s="233"/>
      <c r="T819" s="233"/>
      <c r="U819" s="233"/>
      <c r="V819" s="233"/>
      <c r="W819" s="233"/>
      <c r="X819" s="233"/>
      <c r="Y819" s="233"/>
      <c r="Z819" s="233"/>
    </row>
    <row r="820">
      <c r="A820" s="233"/>
      <c r="B820" s="233"/>
      <c r="C820" s="233"/>
      <c r="D820" s="233"/>
      <c r="E820" s="233"/>
      <c r="F820" s="233"/>
      <c r="G820" s="233"/>
      <c r="H820" s="233"/>
      <c r="I820" s="233"/>
      <c r="J820" s="233"/>
      <c r="K820" s="233"/>
      <c r="L820" s="233"/>
      <c r="M820" s="233"/>
      <c r="N820" s="233"/>
      <c r="O820" s="233"/>
      <c r="P820" s="233"/>
      <c r="Q820" s="233"/>
      <c r="R820" s="233"/>
      <c r="S820" s="233"/>
      <c r="T820" s="233"/>
      <c r="U820" s="233"/>
      <c r="V820" s="233"/>
      <c r="W820" s="233"/>
      <c r="X820" s="233"/>
      <c r="Y820" s="233"/>
      <c r="Z820" s="233"/>
    </row>
    <row r="821">
      <c r="A821" s="233"/>
      <c r="B821" s="233"/>
      <c r="C821" s="233"/>
      <c r="D821" s="233"/>
      <c r="E821" s="233"/>
      <c r="F821" s="233"/>
      <c r="G821" s="233"/>
      <c r="H821" s="233"/>
      <c r="I821" s="233"/>
      <c r="J821" s="233"/>
      <c r="K821" s="233"/>
      <c r="L821" s="233"/>
      <c r="M821" s="233"/>
      <c r="N821" s="233"/>
      <c r="O821" s="233"/>
      <c r="P821" s="233"/>
      <c r="Q821" s="233"/>
      <c r="R821" s="233"/>
      <c r="S821" s="233"/>
      <c r="T821" s="233"/>
      <c r="U821" s="233"/>
      <c r="V821" s="233"/>
      <c r="W821" s="233"/>
      <c r="X821" s="233"/>
      <c r="Y821" s="233"/>
      <c r="Z821" s="233"/>
    </row>
    <row r="822">
      <c r="A822" s="233"/>
      <c r="B822" s="233"/>
      <c r="C822" s="233"/>
      <c r="D822" s="233"/>
      <c r="E822" s="233"/>
      <c r="F822" s="233"/>
      <c r="G822" s="233"/>
      <c r="H822" s="233"/>
      <c r="I822" s="233"/>
      <c r="J822" s="233"/>
      <c r="K822" s="233"/>
      <c r="L822" s="233"/>
      <c r="M822" s="233"/>
      <c r="N822" s="233"/>
      <c r="O822" s="233"/>
      <c r="P822" s="233"/>
      <c r="Q822" s="233"/>
      <c r="R822" s="233"/>
      <c r="S822" s="233"/>
      <c r="T822" s="233"/>
      <c r="U822" s="233"/>
      <c r="V822" s="233"/>
      <c r="W822" s="233"/>
      <c r="X822" s="233"/>
      <c r="Y822" s="233"/>
      <c r="Z822" s="233"/>
    </row>
    <row r="823">
      <c r="A823" s="233"/>
      <c r="B823" s="233"/>
      <c r="C823" s="233"/>
      <c r="D823" s="233"/>
      <c r="E823" s="233"/>
      <c r="F823" s="233"/>
      <c r="G823" s="233"/>
      <c r="H823" s="233"/>
      <c r="I823" s="233"/>
      <c r="J823" s="233"/>
      <c r="K823" s="233"/>
      <c r="L823" s="233"/>
      <c r="M823" s="233"/>
      <c r="N823" s="233"/>
      <c r="O823" s="233"/>
      <c r="P823" s="233"/>
      <c r="Q823" s="233"/>
      <c r="R823" s="233"/>
      <c r="S823" s="233"/>
      <c r="T823" s="233"/>
      <c r="U823" s="233"/>
      <c r="V823" s="233"/>
      <c r="W823" s="233"/>
      <c r="X823" s="233"/>
      <c r="Y823" s="233"/>
      <c r="Z823" s="233"/>
    </row>
    <row r="824">
      <c r="A824" s="233"/>
      <c r="B824" s="233"/>
      <c r="C824" s="233"/>
      <c r="D824" s="233"/>
      <c r="E824" s="233"/>
      <c r="F824" s="233"/>
      <c r="G824" s="233"/>
      <c r="H824" s="233"/>
      <c r="I824" s="233"/>
      <c r="J824" s="233"/>
      <c r="K824" s="233"/>
      <c r="L824" s="233"/>
      <c r="M824" s="233"/>
      <c r="N824" s="233"/>
      <c r="O824" s="233"/>
      <c r="P824" s="233"/>
      <c r="Q824" s="233"/>
      <c r="R824" s="233"/>
      <c r="S824" s="233"/>
      <c r="T824" s="233"/>
      <c r="U824" s="233"/>
      <c r="V824" s="233"/>
      <c r="W824" s="233"/>
      <c r="X824" s="233"/>
      <c r="Y824" s="233"/>
      <c r="Z824" s="233"/>
    </row>
    <row r="825">
      <c r="A825" s="233"/>
      <c r="B825" s="233"/>
      <c r="C825" s="233"/>
      <c r="D825" s="233"/>
      <c r="E825" s="233"/>
      <c r="F825" s="233"/>
      <c r="G825" s="233"/>
      <c r="H825" s="233"/>
      <c r="I825" s="233"/>
      <c r="J825" s="233"/>
      <c r="K825" s="233"/>
      <c r="L825" s="233"/>
      <c r="M825" s="233"/>
      <c r="N825" s="233"/>
      <c r="O825" s="233"/>
      <c r="P825" s="233"/>
      <c r="Q825" s="233"/>
      <c r="R825" s="233"/>
      <c r="S825" s="233"/>
      <c r="T825" s="233"/>
      <c r="U825" s="233"/>
      <c r="V825" s="233"/>
      <c r="W825" s="233"/>
      <c r="X825" s="233"/>
      <c r="Y825" s="233"/>
      <c r="Z825" s="233"/>
    </row>
    <row r="826">
      <c r="A826" s="233"/>
      <c r="B826" s="233"/>
      <c r="C826" s="233"/>
      <c r="D826" s="233"/>
      <c r="E826" s="233"/>
      <c r="F826" s="233"/>
      <c r="G826" s="233"/>
      <c r="H826" s="233"/>
      <c r="I826" s="233"/>
      <c r="J826" s="233"/>
      <c r="K826" s="233"/>
      <c r="L826" s="233"/>
      <c r="M826" s="233"/>
      <c r="N826" s="233"/>
      <c r="O826" s="233"/>
      <c r="P826" s="233"/>
      <c r="Q826" s="233"/>
      <c r="R826" s="233"/>
      <c r="S826" s="233"/>
      <c r="T826" s="233"/>
      <c r="U826" s="233"/>
      <c r="V826" s="233"/>
      <c r="W826" s="233"/>
      <c r="X826" s="233"/>
      <c r="Y826" s="233"/>
      <c r="Z826" s="233"/>
    </row>
    <row r="827">
      <c r="A827" s="233"/>
      <c r="B827" s="233"/>
      <c r="C827" s="233"/>
      <c r="D827" s="233"/>
      <c r="E827" s="233"/>
      <c r="F827" s="233"/>
      <c r="G827" s="233"/>
      <c r="H827" s="233"/>
      <c r="I827" s="233"/>
      <c r="J827" s="233"/>
      <c r="K827" s="233"/>
      <c r="L827" s="233"/>
      <c r="M827" s="233"/>
      <c r="N827" s="233"/>
      <c r="O827" s="233"/>
      <c r="P827" s="233"/>
      <c r="Q827" s="233"/>
      <c r="R827" s="233"/>
      <c r="S827" s="233"/>
      <c r="T827" s="233"/>
      <c r="U827" s="233"/>
      <c r="V827" s="233"/>
      <c r="W827" s="233"/>
      <c r="X827" s="233"/>
      <c r="Y827" s="233"/>
      <c r="Z827" s="233"/>
    </row>
    <row r="828">
      <c r="A828" s="233"/>
      <c r="B828" s="233"/>
      <c r="C828" s="233"/>
      <c r="D828" s="233"/>
      <c r="E828" s="233"/>
      <c r="F828" s="233"/>
      <c r="G828" s="233"/>
      <c r="H828" s="233"/>
      <c r="I828" s="233"/>
      <c r="J828" s="233"/>
      <c r="K828" s="233"/>
      <c r="L828" s="233"/>
      <c r="M828" s="233"/>
      <c r="N828" s="233"/>
      <c r="O828" s="233"/>
      <c r="P828" s="233"/>
      <c r="Q828" s="233"/>
      <c r="R828" s="233"/>
      <c r="S828" s="233"/>
      <c r="T828" s="233"/>
      <c r="U828" s="233"/>
      <c r="V828" s="233"/>
      <c r="W828" s="233"/>
      <c r="X828" s="233"/>
      <c r="Y828" s="233"/>
      <c r="Z828" s="233"/>
    </row>
    <row r="829">
      <c r="A829" s="233"/>
      <c r="B829" s="233"/>
      <c r="C829" s="233"/>
      <c r="D829" s="233"/>
      <c r="E829" s="233"/>
      <c r="F829" s="233"/>
      <c r="G829" s="233"/>
      <c r="H829" s="233"/>
      <c r="I829" s="233"/>
      <c r="J829" s="233"/>
      <c r="K829" s="233"/>
      <c r="L829" s="233"/>
      <c r="M829" s="233"/>
      <c r="N829" s="233"/>
      <c r="O829" s="233"/>
      <c r="P829" s="233"/>
      <c r="Q829" s="233"/>
      <c r="R829" s="233"/>
      <c r="S829" s="233"/>
      <c r="T829" s="233"/>
      <c r="U829" s="233"/>
      <c r="V829" s="233"/>
      <c r="W829" s="233"/>
      <c r="X829" s="233"/>
      <c r="Y829" s="233"/>
      <c r="Z829" s="233"/>
    </row>
    <row r="830">
      <c r="A830" s="233"/>
      <c r="B830" s="233"/>
      <c r="C830" s="233"/>
      <c r="D830" s="233"/>
      <c r="E830" s="233"/>
      <c r="F830" s="233"/>
      <c r="G830" s="233"/>
      <c r="H830" s="233"/>
      <c r="I830" s="233"/>
      <c r="J830" s="233"/>
      <c r="K830" s="233"/>
      <c r="L830" s="233"/>
      <c r="M830" s="233"/>
      <c r="N830" s="233"/>
      <c r="O830" s="233"/>
      <c r="P830" s="233"/>
      <c r="Q830" s="233"/>
      <c r="R830" s="233"/>
      <c r="S830" s="233"/>
      <c r="T830" s="233"/>
      <c r="U830" s="233"/>
      <c r="V830" s="233"/>
      <c r="W830" s="233"/>
      <c r="X830" s="233"/>
      <c r="Y830" s="233"/>
      <c r="Z830" s="233"/>
    </row>
    <row r="831">
      <c r="A831" s="233"/>
      <c r="B831" s="233"/>
      <c r="C831" s="233"/>
      <c r="D831" s="233"/>
      <c r="E831" s="233"/>
      <c r="F831" s="233"/>
      <c r="G831" s="233"/>
      <c r="H831" s="233"/>
      <c r="I831" s="233"/>
      <c r="J831" s="233"/>
      <c r="K831" s="233"/>
      <c r="L831" s="233"/>
      <c r="M831" s="233"/>
      <c r="N831" s="233"/>
      <c r="O831" s="233"/>
      <c r="P831" s="233"/>
      <c r="Q831" s="233"/>
      <c r="R831" s="233"/>
      <c r="S831" s="233"/>
      <c r="T831" s="233"/>
      <c r="U831" s="233"/>
      <c r="V831" s="233"/>
      <c r="W831" s="233"/>
      <c r="X831" s="233"/>
      <c r="Y831" s="233"/>
      <c r="Z831" s="233"/>
    </row>
    <row r="832">
      <c r="A832" s="233"/>
      <c r="B832" s="233"/>
      <c r="C832" s="233"/>
      <c r="D832" s="233"/>
      <c r="E832" s="233"/>
      <c r="F832" s="233"/>
      <c r="G832" s="233"/>
      <c r="H832" s="233"/>
      <c r="I832" s="233"/>
      <c r="J832" s="233"/>
      <c r="K832" s="233"/>
      <c r="L832" s="233"/>
      <c r="M832" s="233"/>
      <c r="N832" s="233"/>
      <c r="O832" s="233"/>
      <c r="P832" s="233"/>
      <c r="Q832" s="233"/>
      <c r="R832" s="233"/>
      <c r="S832" s="233"/>
      <c r="T832" s="233"/>
      <c r="U832" s="233"/>
      <c r="V832" s="233"/>
      <c r="W832" s="233"/>
      <c r="X832" s="233"/>
      <c r="Y832" s="233"/>
      <c r="Z832" s="233"/>
    </row>
    <row r="833">
      <c r="A833" s="233"/>
      <c r="B833" s="233"/>
      <c r="C833" s="233"/>
      <c r="D833" s="233"/>
      <c r="E833" s="233"/>
      <c r="F833" s="233"/>
      <c r="G833" s="233"/>
      <c r="H833" s="233"/>
      <c r="I833" s="233"/>
      <c r="J833" s="233"/>
      <c r="K833" s="233"/>
      <c r="L833" s="233"/>
      <c r="M833" s="233"/>
      <c r="N833" s="233"/>
      <c r="O833" s="233"/>
      <c r="P833" s="233"/>
      <c r="Q833" s="233"/>
      <c r="R833" s="233"/>
      <c r="S833" s="233"/>
      <c r="T833" s="233"/>
      <c r="U833" s="233"/>
      <c r="V833" s="233"/>
      <c r="W833" s="233"/>
      <c r="X833" s="233"/>
      <c r="Y833" s="233"/>
      <c r="Z833" s="233"/>
    </row>
    <row r="834">
      <c r="A834" s="233"/>
      <c r="B834" s="233"/>
      <c r="C834" s="233"/>
      <c r="D834" s="233"/>
      <c r="E834" s="233"/>
      <c r="F834" s="233"/>
      <c r="G834" s="233"/>
      <c r="H834" s="233"/>
      <c r="I834" s="233"/>
      <c r="J834" s="233"/>
      <c r="K834" s="233"/>
      <c r="L834" s="233"/>
      <c r="M834" s="233"/>
      <c r="N834" s="233"/>
      <c r="O834" s="233"/>
      <c r="P834" s="233"/>
      <c r="Q834" s="233"/>
      <c r="R834" s="233"/>
      <c r="S834" s="233"/>
      <c r="T834" s="233"/>
      <c r="U834" s="233"/>
      <c r="V834" s="233"/>
      <c r="W834" s="233"/>
      <c r="X834" s="233"/>
      <c r="Y834" s="233"/>
      <c r="Z834" s="233"/>
    </row>
    <row r="835">
      <c r="A835" s="233"/>
      <c r="B835" s="233"/>
      <c r="C835" s="233"/>
      <c r="D835" s="233"/>
      <c r="E835" s="233"/>
      <c r="F835" s="233"/>
      <c r="G835" s="233"/>
      <c r="H835" s="233"/>
      <c r="I835" s="233"/>
      <c r="J835" s="233"/>
      <c r="K835" s="233"/>
      <c r="L835" s="233"/>
      <c r="M835" s="233"/>
      <c r="N835" s="233"/>
      <c r="O835" s="233"/>
      <c r="P835" s="233"/>
      <c r="Q835" s="233"/>
      <c r="R835" s="233"/>
      <c r="S835" s="233"/>
      <c r="T835" s="233"/>
      <c r="U835" s="233"/>
      <c r="V835" s="233"/>
      <c r="W835" s="233"/>
      <c r="X835" s="233"/>
      <c r="Y835" s="233"/>
      <c r="Z835" s="233"/>
    </row>
    <row r="836">
      <c r="A836" s="233"/>
      <c r="B836" s="233"/>
      <c r="C836" s="233"/>
      <c r="D836" s="233"/>
      <c r="E836" s="233"/>
      <c r="F836" s="233"/>
      <c r="G836" s="233"/>
      <c r="H836" s="233"/>
      <c r="I836" s="233"/>
      <c r="J836" s="233"/>
      <c r="K836" s="233"/>
      <c r="L836" s="233"/>
      <c r="M836" s="233"/>
      <c r="N836" s="233"/>
      <c r="O836" s="233"/>
      <c r="P836" s="233"/>
      <c r="Q836" s="233"/>
      <c r="R836" s="233"/>
      <c r="S836" s="233"/>
      <c r="T836" s="233"/>
      <c r="U836" s="233"/>
      <c r="V836" s="233"/>
      <c r="W836" s="233"/>
      <c r="X836" s="233"/>
      <c r="Y836" s="233"/>
      <c r="Z836" s="233"/>
    </row>
    <row r="837">
      <c r="A837" s="233"/>
      <c r="B837" s="233"/>
      <c r="C837" s="233"/>
      <c r="D837" s="233"/>
      <c r="E837" s="233"/>
      <c r="F837" s="233"/>
      <c r="G837" s="233"/>
      <c r="H837" s="233"/>
      <c r="I837" s="233"/>
      <c r="J837" s="233"/>
      <c r="K837" s="233"/>
      <c r="L837" s="233"/>
      <c r="M837" s="233"/>
      <c r="N837" s="233"/>
      <c r="O837" s="233"/>
      <c r="P837" s="233"/>
      <c r="Q837" s="233"/>
      <c r="R837" s="233"/>
      <c r="S837" s="233"/>
      <c r="T837" s="233"/>
      <c r="U837" s="233"/>
      <c r="V837" s="233"/>
      <c r="W837" s="233"/>
      <c r="X837" s="233"/>
      <c r="Y837" s="233"/>
      <c r="Z837" s="233"/>
    </row>
    <row r="838">
      <c r="A838" s="233"/>
      <c r="B838" s="233"/>
      <c r="C838" s="233"/>
      <c r="D838" s="233"/>
      <c r="E838" s="233"/>
      <c r="F838" s="233"/>
      <c r="G838" s="233"/>
      <c r="H838" s="233"/>
      <c r="I838" s="233"/>
      <c r="J838" s="233"/>
      <c r="K838" s="233"/>
      <c r="L838" s="233"/>
      <c r="M838" s="233"/>
      <c r="N838" s="233"/>
      <c r="O838" s="233"/>
      <c r="P838" s="233"/>
      <c r="Q838" s="233"/>
      <c r="R838" s="233"/>
      <c r="S838" s="233"/>
      <c r="T838" s="233"/>
      <c r="U838" s="233"/>
      <c r="V838" s="233"/>
      <c r="W838" s="233"/>
      <c r="X838" s="233"/>
      <c r="Y838" s="233"/>
      <c r="Z838" s="233"/>
    </row>
    <row r="839">
      <c r="A839" s="233"/>
      <c r="B839" s="233"/>
      <c r="C839" s="233"/>
      <c r="D839" s="233"/>
      <c r="E839" s="233"/>
      <c r="F839" s="233"/>
      <c r="G839" s="233"/>
      <c r="H839" s="233"/>
      <c r="I839" s="233"/>
      <c r="J839" s="233"/>
      <c r="K839" s="233"/>
      <c r="L839" s="233"/>
      <c r="M839" s="233"/>
      <c r="N839" s="233"/>
      <c r="O839" s="233"/>
      <c r="P839" s="233"/>
      <c r="Q839" s="233"/>
      <c r="R839" s="233"/>
      <c r="S839" s="233"/>
      <c r="T839" s="233"/>
      <c r="U839" s="233"/>
      <c r="V839" s="233"/>
      <c r="W839" s="233"/>
      <c r="X839" s="233"/>
      <c r="Y839" s="233"/>
      <c r="Z839" s="233"/>
    </row>
    <row r="840">
      <c r="A840" s="233"/>
      <c r="B840" s="233"/>
      <c r="C840" s="233"/>
      <c r="D840" s="233"/>
      <c r="E840" s="233"/>
      <c r="F840" s="233"/>
      <c r="G840" s="233"/>
      <c r="H840" s="233"/>
      <c r="I840" s="233"/>
      <c r="J840" s="233"/>
      <c r="K840" s="233"/>
      <c r="L840" s="233"/>
      <c r="M840" s="233"/>
      <c r="N840" s="233"/>
      <c r="O840" s="233"/>
      <c r="P840" s="233"/>
      <c r="Q840" s="233"/>
      <c r="R840" s="233"/>
      <c r="S840" s="233"/>
      <c r="T840" s="233"/>
      <c r="U840" s="233"/>
      <c r="V840" s="233"/>
      <c r="W840" s="233"/>
      <c r="X840" s="233"/>
      <c r="Y840" s="233"/>
      <c r="Z840" s="233"/>
    </row>
    <row r="841">
      <c r="A841" s="233"/>
      <c r="B841" s="233"/>
      <c r="C841" s="233"/>
      <c r="D841" s="233"/>
      <c r="E841" s="233"/>
      <c r="F841" s="233"/>
      <c r="G841" s="233"/>
      <c r="H841" s="233"/>
      <c r="I841" s="233"/>
      <c r="J841" s="233"/>
      <c r="K841" s="233"/>
      <c r="L841" s="233"/>
      <c r="M841" s="233"/>
      <c r="N841" s="233"/>
      <c r="O841" s="233"/>
      <c r="P841" s="233"/>
      <c r="Q841" s="233"/>
      <c r="R841" s="233"/>
      <c r="S841" s="233"/>
      <c r="T841" s="233"/>
      <c r="U841" s="233"/>
      <c r="V841" s="233"/>
      <c r="W841" s="233"/>
      <c r="X841" s="233"/>
      <c r="Y841" s="233"/>
      <c r="Z841" s="233"/>
    </row>
    <row r="842">
      <c r="A842" s="233"/>
      <c r="B842" s="233"/>
      <c r="C842" s="233"/>
      <c r="D842" s="233"/>
      <c r="E842" s="233"/>
      <c r="F842" s="233"/>
      <c r="G842" s="233"/>
      <c r="H842" s="233"/>
      <c r="I842" s="233"/>
      <c r="J842" s="233"/>
      <c r="K842" s="233"/>
      <c r="L842" s="233"/>
      <c r="M842" s="233"/>
      <c r="N842" s="233"/>
      <c r="O842" s="233"/>
      <c r="P842" s="233"/>
      <c r="Q842" s="233"/>
      <c r="R842" s="233"/>
      <c r="S842" s="233"/>
      <c r="T842" s="233"/>
      <c r="U842" s="233"/>
      <c r="V842" s="233"/>
      <c r="W842" s="233"/>
      <c r="X842" s="233"/>
      <c r="Y842" s="233"/>
      <c r="Z842" s="233"/>
    </row>
    <row r="843">
      <c r="A843" s="233"/>
      <c r="B843" s="233"/>
      <c r="C843" s="233"/>
      <c r="D843" s="233"/>
      <c r="E843" s="233"/>
      <c r="F843" s="233"/>
      <c r="G843" s="233"/>
      <c r="H843" s="233"/>
      <c r="I843" s="233"/>
      <c r="J843" s="233"/>
      <c r="K843" s="233"/>
      <c r="L843" s="233"/>
      <c r="M843" s="233"/>
      <c r="N843" s="233"/>
      <c r="O843" s="233"/>
      <c r="P843" s="233"/>
      <c r="Q843" s="233"/>
      <c r="R843" s="233"/>
      <c r="S843" s="233"/>
      <c r="T843" s="233"/>
      <c r="U843" s="233"/>
      <c r="V843" s="233"/>
      <c r="W843" s="233"/>
      <c r="X843" s="233"/>
      <c r="Y843" s="233"/>
      <c r="Z843" s="233"/>
    </row>
    <row r="844">
      <c r="A844" s="233"/>
      <c r="B844" s="233"/>
      <c r="C844" s="233"/>
      <c r="D844" s="233"/>
      <c r="E844" s="233"/>
      <c r="F844" s="233"/>
      <c r="G844" s="233"/>
      <c r="H844" s="233"/>
      <c r="I844" s="233"/>
      <c r="J844" s="233"/>
      <c r="K844" s="233"/>
      <c r="L844" s="233"/>
      <c r="M844" s="233"/>
      <c r="N844" s="233"/>
      <c r="O844" s="233"/>
      <c r="P844" s="233"/>
      <c r="Q844" s="233"/>
      <c r="R844" s="233"/>
      <c r="S844" s="233"/>
      <c r="T844" s="233"/>
      <c r="U844" s="233"/>
      <c r="V844" s="233"/>
      <c r="W844" s="233"/>
      <c r="X844" s="233"/>
      <c r="Y844" s="233"/>
      <c r="Z844" s="233"/>
    </row>
    <row r="845">
      <c r="A845" s="233"/>
      <c r="B845" s="233"/>
      <c r="C845" s="233"/>
      <c r="D845" s="233"/>
      <c r="E845" s="233"/>
      <c r="F845" s="233"/>
      <c r="G845" s="233"/>
      <c r="H845" s="233"/>
      <c r="I845" s="233"/>
      <c r="J845" s="233"/>
      <c r="K845" s="233"/>
      <c r="L845" s="233"/>
      <c r="M845" s="233"/>
      <c r="N845" s="233"/>
      <c r="O845" s="233"/>
      <c r="P845" s="233"/>
      <c r="Q845" s="233"/>
      <c r="R845" s="233"/>
      <c r="S845" s="233"/>
      <c r="T845" s="233"/>
      <c r="U845" s="233"/>
      <c r="V845" s="233"/>
      <c r="W845" s="233"/>
      <c r="X845" s="233"/>
      <c r="Y845" s="233"/>
      <c r="Z845" s="233"/>
    </row>
    <row r="846">
      <c r="A846" s="233"/>
      <c r="B846" s="233"/>
      <c r="C846" s="233"/>
      <c r="D846" s="233"/>
      <c r="E846" s="233"/>
      <c r="F846" s="233"/>
      <c r="G846" s="233"/>
      <c r="H846" s="233"/>
      <c r="I846" s="233"/>
      <c r="J846" s="233"/>
      <c r="K846" s="233"/>
      <c r="L846" s="233"/>
      <c r="M846" s="233"/>
      <c r="N846" s="233"/>
      <c r="O846" s="233"/>
      <c r="P846" s="233"/>
      <c r="Q846" s="233"/>
      <c r="R846" s="233"/>
      <c r="S846" s="233"/>
      <c r="T846" s="233"/>
      <c r="U846" s="233"/>
      <c r="V846" s="233"/>
      <c r="W846" s="233"/>
      <c r="X846" s="233"/>
      <c r="Y846" s="233"/>
      <c r="Z846" s="233"/>
    </row>
    <row r="847">
      <c r="A847" s="233"/>
      <c r="B847" s="233"/>
      <c r="C847" s="233"/>
      <c r="D847" s="233"/>
      <c r="E847" s="233"/>
      <c r="F847" s="233"/>
      <c r="G847" s="233"/>
      <c r="H847" s="233"/>
      <c r="I847" s="233"/>
      <c r="J847" s="233"/>
      <c r="K847" s="233"/>
      <c r="L847" s="233"/>
      <c r="M847" s="233"/>
      <c r="N847" s="233"/>
      <c r="O847" s="233"/>
      <c r="P847" s="233"/>
      <c r="Q847" s="233"/>
      <c r="R847" s="233"/>
      <c r="S847" s="233"/>
      <c r="T847" s="233"/>
      <c r="U847" s="233"/>
      <c r="V847" s="233"/>
      <c r="W847" s="233"/>
      <c r="X847" s="233"/>
      <c r="Y847" s="233"/>
      <c r="Z847" s="233"/>
    </row>
    <row r="848">
      <c r="A848" s="233"/>
      <c r="B848" s="233"/>
      <c r="C848" s="233"/>
      <c r="D848" s="233"/>
      <c r="E848" s="233"/>
      <c r="F848" s="233"/>
      <c r="G848" s="233"/>
      <c r="H848" s="233"/>
      <c r="I848" s="233"/>
      <c r="J848" s="233"/>
      <c r="K848" s="233"/>
      <c r="L848" s="233"/>
      <c r="M848" s="233"/>
      <c r="N848" s="233"/>
      <c r="O848" s="233"/>
      <c r="P848" s="233"/>
      <c r="Q848" s="233"/>
      <c r="R848" s="233"/>
      <c r="S848" s="233"/>
      <c r="T848" s="233"/>
      <c r="U848" s="233"/>
      <c r="V848" s="233"/>
      <c r="W848" s="233"/>
      <c r="X848" s="233"/>
      <c r="Y848" s="233"/>
      <c r="Z848" s="233"/>
    </row>
    <row r="849">
      <c r="A849" s="233"/>
      <c r="B849" s="233"/>
      <c r="C849" s="233"/>
      <c r="D849" s="233"/>
      <c r="E849" s="233"/>
      <c r="F849" s="233"/>
      <c r="G849" s="233"/>
      <c r="H849" s="233"/>
      <c r="I849" s="233"/>
      <c r="J849" s="233"/>
      <c r="K849" s="233"/>
      <c r="L849" s="233"/>
      <c r="M849" s="233"/>
      <c r="N849" s="233"/>
      <c r="O849" s="233"/>
      <c r="P849" s="233"/>
      <c r="Q849" s="233"/>
      <c r="R849" s="233"/>
      <c r="S849" s="233"/>
      <c r="T849" s="233"/>
      <c r="U849" s="233"/>
      <c r="V849" s="233"/>
      <c r="W849" s="233"/>
      <c r="X849" s="233"/>
      <c r="Y849" s="233"/>
      <c r="Z849" s="233"/>
    </row>
    <row r="850">
      <c r="A850" s="233"/>
      <c r="B850" s="233"/>
      <c r="C850" s="233"/>
      <c r="D850" s="233"/>
      <c r="E850" s="233"/>
      <c r="F850" s="233"/>
      <c r="G850" s="233"/>
      <c r="H850" s="233"/>
      <c r="I850" s="233"/>
      <c r="J850" s="233"/>
      <c r="K850" s="233"/>
      <c r="L850" s="233"/>
      <c r="M850" s="233"/>
      <c r="N850" s="233"/>
      <c r="O850" s="233"/>
      <c r="P850" s="233"/>
      <c r="Q850" s="233"/>
      <c r="R850" s="233"/>
      <c r="S850" s="233"/>
      <c r="T850" s="233"/>
      <c r="U850" s="233"/>
      <c r="V850" s="233"/>
      <c r="W850" s="233"/>
      <c r="X850" s="233"/>
      <c r="Y850" s="233"/>
      <c r="Z850" s="233"/>
    </row>
    <row r="851">
      <c r="A851" s="233"/>
      <c r="B851" s="233"/>
      <c r="C851" s="233"/>
      <c r="D851" s="233"/>
      <c r="E851" s="233"/>
      <c r="F851" s="233"/>
      <c r="G851" s="233"/>
      <c r="H851" s="233"/>
      <c r="I851" s="233"/>
      <c r="J851" s="233"/>
      <c r="K851" s="233"/>
      <c r="L851" s="233"/>
      <c r="M851" s="233"/>
      <c r="N851" s="233"/>
      <c r="O851" s="233"/>
      <c r="P851" s="233"/>
      <c r="Q851" s="233"/>
      <c r="R851" s="233"/>
      <c r="S851" s="233"/>
      <c r="T851" s="233"/>
      <c r="U851" s="233"/>
      <c r="V851" s="233"/>
      <c r="W851" s="233"/>
      <c r="X851" s="233"/>
      <c r="Y851" s="233"/>
      <c r="Z851" s="233"/>
    </row>
    <row r="852">
      <c r="A852" s="233"/>
      <c r="B852" s="233"/>
      <c r="C852" s="233"/>
      <c r="D852" s="233"/>
      <c r="E852" s="233"/>
      <c r="F852" s="233"/>
      <c r="G852" s="233"/>
      <c r="H852" s="233"/>
      <c r="I852" s="233"/>
      <c r="J852" s="233"/>
      <c r="K852" s="233"/>
      <c r="L852" s="233"/>
      <c r="M852" s="233"/>
      <c r="N852" s="233"/>
      <c r="O852" s="233"/>
      <c r="P852" s="233"/>
      <c r="Q852" s="233"/>
      <c r="R852" s="233"/>
      <c r="S852" s="233"/>
      <c r="T852" s="233"/>
      <c r="U852" s="233"/>
      <c r="V852" s="233"/>
      <c r="W852" s="233"/>
      <c r="X852" s="233"/>
      <c r="Y852" s="233"/>
      <c r="Z852" s="233"/>
    </row>
    <row r="853">
      <c r="A853" s="233"/>
      <c r="B853" s="233"/>
      <c r="C853" s="233"/>
      <c r="D853" s="233"/>
      <c r="E853" s="233"/>
      <c r="F853" s="233"/>
      <c r="G853" s="233"/>
      <c r="H853" s="233"/>
      <c r="I853" s="233"/>
      <c r="J853" s="233"/>
      <c r="K853" s="233"/>
      <c r="L853" s="233"/>
      <c r="M853" s="233"/>
      <c r="N853" s="233"/>
      <c r="O853" s="233"/>
      <c r="P853" s="233"/>
      <c r="Q853" s="233"/>
      <c r="R853" s="233"/>
      <c r="S853" s="233"/>
      <c r="T853" s="233"/>
      <c r="U853" s="233"/>
      <c r="V853" s="233"/>
      <c r="W853" s="233"/>
      <c r="X853" s="233"/>
      <c r="Y853" s="233"/>
      <c r="Z853" s="233"/>
    </row>
    <row r="854">
      <c r="A854" s="233"/>
      <c r="B854" s="233"/>
      <c r="C854" s="233"/>
      <c r="D854" s="233"/>
      <c r="E854" s="233"/>
      <c r="F854" s="233"/>
      <c r="G854" s="233"/>
      <c r="H854" s="233"/>
      <c r="I854" s="233"/>
      <c r="J854" s="233"/>
      <c r="K854" s="233"/>
      <c r="L854" s="233"/>
      <c r="M854" s="233"/>
      <c r="N854" s="233"/>
      <c r="O854" s="233"/>
      <c r="P854" s="233"/>
      <c r="Q854" s="233"/>
      <c r="R854" s="233"/>
      <c r="S854" s="233"/>
      <c r="T854" s="233"/>
      <c r="U854" s="233"/>
      <c r="V854" s="233"/>
      <c r="W854" s="233"/>
      <c r="X854" s="233"/>
      <c r="Y854" s="233"/>
      <c r="Z854" s="233"/>
    </row>
    <row r="855">
      <c r="A855" s="233"/>
      <c r="B855" s="233"/>
      <c r="C855" s="233"/>
      <c r="D855" s="233"/>
      <c r="E855" s="233"/>
      <c r="F855" s="233"/>
      <c r="G855" s="233"/>
      <c r="H855" s="233"/>
      <c r="I855" s="233"/>
      <c r="J855" s="233"/>
      <c r="K855" s="233"/>
      <c r="L855" s="233"/>
      <c r="M855" s="233"/>
      <c r="N855" s="233"/>
      <c r="O855" s="233"/>
      <c r="P855" s="233"/>
      <c r="Q855" s="233"/>
      <c r="R855" s="233"/>
      <c r="S855" s="233"/>
      <c r="T855" s="233"/>
      <c r="U855" s="233"/>
      <c r="V855" s="233"/>
      <c r="W855" s="233"/>
      <c r="X855" s="233"/>
      <c r="Y855" s="233"/>
      <c r="Z855" s="233"/>
    </row>
    <row r="856">
      <c r="A856" s="233"/>
      <c r="B856" s="233"/>
      <c r="C856" s="233"/>
      <c r="D856" s="233"/>
      <c r="E856" s="233"/>
      <c r="F856" s="233"/>
      <c r="G856" s="233"/>
      <c r="H856" s="233"/>
      <c r="I856" s="233"/>
      <c r="J856" s="233"/>
      <c r="K856" s="233"/>
      <c r="L856" s="233"/>
      <c r="M856" s="233"/>
      <c r="N856" s="233"/>
      <c r="O856" s="233"/>
      <c r="P856" s="233"/>
      <c r="Q856" s="233"/>
      <c r="R856" s="233"/>
      <c r="S856" s="233"/>
      <c r="T856" s="233"/>
      <c r="U856" s="233"/>
      <c r="V856" s="233"/>
      <c r="W856" s="233"/>
      <c r="X856" s="233"/>
      <c r="Y856" s="233"/>
      <c r="Z856" s="233"/>
    </row>
    <row r="857">
      <c r="A857" s="233"/>
      <c r="B857" s="233"/>
      <c r="C857" s="233"/>
      <c r="D857" s="233"/>
      <c r="E857" s="233"/>
      <c r="F857" s="233"/>
      <c r="G857" s="233"/>
      <c r="H857" s="233"/>
      <c r="I857" s="233"/>
      <c r="J857" s="233"/>
      <c r="K857" s="233"/>
      <c r="L857" s="233"/>
      <c r="M857" s="233"/>
      <c r="N857" s="233"/>
      <c r="O857" s="233"/>
      <c r="P857" s="233"/>
      <c r="Q857" s="233"/>
      <c r="R857" s="233"/>
      <c r="S857" s="233"/>
      <c r="T857" s="233"/>
      <c r="U857" s="233"/>
      <c r="V857" s="233"/>
      <c r="W857" s="233"/>
      <c r="X857" s="233"/>
      <c r="Y857" s="233"/>
      <c r="Z857" s="233"/>
    </row>
    <row r="858">
      <c r="A858" s="233"/>
      <c r="B858" s="233"/>
      <c r="C858" s="233"/>
      <c r="D858" s="233"/>
      <c r="E858" s="233"/>
      <c r="F858" s="233"/>
      <c r="G858" s="233"/>
      <c r="H858" s="233"/>
      <c r="I858" s="233"/>
      <c r="J858" s="233"/>
      <c r="K858" s="233"/>
      <c r="L858" s="233"/>
      <c r="M858" s="233"/>
      <c r="N858" s="233"/>
      <c r="O858" s="233"/>
      <c r="P858" s="233"/>
      <c r="Q858" s="233"/>
      <c r="R858" s="233"/>
      <c r="S858" s="233"/>
      <c r="T858" s="233"/>
      <c r="U858" s="233"/>
      <c r="V858" s="233"/>
      <c r="W858" s="233"/>
      <c r="X858" s="233"/>
      <c r="Y858" s="233"/>
      <c r="Z858" s="233"/>
    </row>
    <row r="859">
      <c r="A859" s="233"/>
      <c r="B859" s="233"/>
      <c r="C859" s="233"/>
      <c r="D859" s="233"/>
      <c r="E859" s="233"/>
      <c r="F859" s="233"/>
      <c r="G859" s="233"/>
      <c r="H859" s="233"/>
      <c r="I859" s="233"/>
      <c r="J859" s="233"/>
      <c r="K859" s="233"/>
      <c r="L859" s="233"/>
      <c r="M859" s="233"/>
      <c r="N859" s="233"/>
      <c r="O859" s="233"/>
      <c r="P859" s="233"/>
      <c r="Q859" s="233"/>
      <c r="R859" s="233"/>
      <c r="S859" s="233"/>
      <c r="T859" s="233"/>
      <c r="U859" s="233"/>
      <c r="V859" s="233"/>
      <c r="W859" s="233"/>
      <c r="X859" s="233"/>
      <c r="Y859" s="233"/>
      <c r="Z859" s="233"/>
    </row>
    <row r="860">
      <c r="A860" s="233"/>
      <c r="B860" s="233"/>
      <c r="C860" s="233"/>
      <c r="D860" s="233"/>
      <c r="E860" s="233"/>
      <c r="F860" s="233"/>
      <c r="G860" s="233"/>
      <c r="H860" s="233"/>
      <c r="I860" s="233"/>
      <c r="J860" s="233"/>
      <c r="K860" s="233"/>
      <c r="L860" s="233"/>
      <c r="M860" s="233"/>
      <c r="N860" s="233"/>
      <c r="O860" s="233"/>
      <c r="P860" s="233"/>
      <c r="Q860" s="233"/>
      <c r="R860" s="233"/>
      <c r="S860" s="233"/>
      <c r="T860" s="233"/>
      <c r="U860" s="233"/>
      <c r="V860" s="233"/>
      <c r="W860" s="233"/>
      <c r="X860" s="233"/>
      <c r="Y860" s="233"/>
      <c r="Z860" s="233"/>
    </row>
    <row r="861">
      <c r="A861" s="233"/>
      <c r="B861" s="233"/>
      <c r="C861" s="233"/>
      <c r="D861" s="233"/>
      <c r="E861" s="233"/>
      <c r="F861" s="233"/>
      <c r="G861" s="233"/>
      <c r="H861" s="233"/>
      <c r="I861" s="233"/>
      <c r="J861" s="233"/>
      <c r="K861" s="233"/>
      <c r="L861" s="233"/>
      <c r="M861" s="233"/>
      <c r="N861" s="233"/>
      <c r="O861" s="233"/>
      <c r="P861" s="233"/>
      <c r="Q861" s="233"/>
      <c r="R861" s="233"/>
      <c r="S861" s="233"/>
      <c r="T861" s="233"/>
      <c r="U861" s="233"/>
      <c r="V861" s="233"/>
      <c r="W861" s="233"/>
      <c r="X861" s="233"/>
      <c r="Y861" s="233"/>
      <c r="Z861" s="233"/>
    </row>
    <row r="862">
      <c r="A862" s="233"/>
      <c r="B862" s="233"/>
      <c r="C862" s="233"/>
      <c r="D862" s="233"/>
      <c r="E862" s="233"/>
      <c r="F862" s="233"/>
      <c r="G862" s="233"/>
      <c r="H862" s="233"/>
      <c r="I862" s="233"/>
      <c r="J862" s="233"/>
      <c r="K862" s="233"/>
      <c r="L862" s="233"/>
      <c r="M862" s="233"/>
      <c r="N862" s="233"/>
      <c r="O862" s="233"/>
      <c r="P862" s="233"/>
      <c r="Q862" s="233"/>
      <c r="R862" s="233"/>
      <c r="S862" s="233"/>
      <c r="T862" s="233"/>
      <c r="U862" s="233"/>
      <c r="V862" s="233"/>
      <c r="W862" s="233"/>
      <c r="X862" s="233"/>
      <c r="Y862" s="233"/>
      <c r="Z862" s="233"/>
    </row>
    <row r="863">
      <c r="A863" s="233"/>
      <c r="B863" s="233"/>
      <c r="C863" s="233"/>
      <c r="D863" s="233"/>
      <c r="E863" s="233"/>
      <c r="F863" s="233"/>
      <c r="G863" s="233"/>
      <c r="H863" s="233"/>
      <c r="I863" s="233"/>
      <c r="J863" s="233"/>
      <c r="K863" s="233"/>
      <c r="L863" s="233"/>
      <c r="M863" s="233"/>
      <c r="N863" s="233"/>
      <c r="O863" s="233"/>
      <c r="P863" s="233"/>
      <c r="Q863" s="233"/>
      <c r="R863" s="233"/>
      <c r="S863" s="233"/>
      <c r="T863" s="233"/>
      <c r="U863" s="233"/>
      <c r="V863" s="233"/>
      <c r="W863" s="233"/>
      <c r="X863" s="233"/>
      <c r="Y863" s="233"/>
      <c r="Z863" s="233"/>
    </row>
    <row r="864">
      <c r="A864" s="233"/>
      <c r="B864" s="233"/>
      <c r="C864" s="233"/>
      <c r="D864" s="233"/>
      <c r="E864" s="233"/>
      <c r="F864" s="233"/>
      <c r="G864" s="233"/>
      <c r="H864" s="233"/>
      <c r="I864" s="233"/>
      <c r="J864" s="233"/>
      <c r="K864" s="233"/>
      <c r="L864" s="233"/>
      <c r="M864" s="233"/>
      <c r="N864" s="233"/>
      <c r="O864" s="233"/>
      <c r="P864" s="233"/>
      <c r="Q864" s="233"/>
      <c r="R864" s="233"/>
      <c r="S864" s="233"/>
      <c r="T864" s="233"/>
      <c r="U864" s="233"/>
      <c r="V864" s="233"/>
      <c r="W864" s="233"/>
      <c r="X864" s="233"/>
      <c r="Y864" s="233"/>
      <c r="Z864" s="233"/>
    </row>
    <row r="865">
      <c r="A865" s="233"/>
      <c r="B865" s="233"/>
      <c r="C865" s="233"/>
      <c r="D865" s="233"/>
      <c r="E865" s="233"/>
      <c r="F865" s="233"/>
      <c r="G865" s="233"/>
      <c r="H865" s="233"/>
      <c r="I865" s="233"/>
      <c r="J865" s="233"/>
      <c r="K865" s="233"/>
      <c r="L865" s="233"/>
      <c r="M865" s="233"/>
      <c r="N865" s="233"/>
      <c r="O865" s="233"/>
      <c r="P865" s="233"/>
      <c r="Q865" s="233"/>
      <c r="R865" s="233"/>
      <c r="S865" s="233"/>
      <c r="T865" s="233"/>
      <c r="U865" s="233"/>
      <c r="V865" s="233"/>
      <c r="W865" s="233"/>
      <c r="X865" s="233"/>
      <c r="Y865" s="233"/>
      <c r="Z865" s="233"/>
    </row>
    <row r="866">
      <c r="A866" s="233"/>
      <c r="B866" s="233"/>
      <c r="C866" s="233"/>
      <c r="D866" s="233"/>
      <c r="E866" s="233"/>
      <c r="F866" s="233"/>
      <c r="G866" s="233"/>
      <c r="H866" s="233"/>
      <c r="I866" s="233"/>
      <c r="J866" s="233"/>
      <c r="K866" s="233"/>
      <c r="L866" s="233"/>
      <c r="M866" s="233"/>
      <c r="N866" s="233"/>
      <c r="O866" s="233"/>
      <c r="P866" s="233"/>
      <c r="Q866" s="233"/>
      <c r="R866" s="233"/>
      <c r="S866" s="233"/>
      <c r="T866" s="233"/>
      <c r="U866" s="233"/>
      <c r="V866" s="233"/>
      <c r="W866" s="233"/>
      <c r="X866" s="233"/>
      <c r="Y866" s="233"/>
      <c r="Z866" s="233"/>
    </row>
    <row r="867">
      <c r="A867" s="233"/>
      <c r="B867" s="233"/>
      <c r="C867" s="233"/>
      <c r="D867" s="233"/>
      <c r="E867" s="233"/>
      <c r="F867" s="233"/>
      <c r="G867" s="233"/>
      <c r="H867" s="233"/>
      <c r="I867" s="233"/>
      <c r="J867" s="233"/>
      <c r="K867" s="233"/>
      <c r="L867" s="233"/>
      <c r="M867" s="233"/>
      <c r="N867" s="233"/>
      <c r="O867" s="233"/>
      <c r="P867" s="233"/>
      <c r="Q867" s="233"/>
      <c r="R867" s="233"/>
      <c r="S867" s="233"/>
      <c r="T867" s="233"/>
      <c r="U867" s="233"/>
      <c r="V867" s="233"/>
      <c r="W867" s="233"/>
      <c r="X867" s="233"/>
      <c r="Y867" s="233"/>
      <c r="Z867" s="233"/>
    </row>
    <row r="868">
      <c r="A868" s="233"/>
      <c r="B868" s="233"/>
      <c r="C868" s="233"/>
      <c r="D868" s="233"/>
      <c r="E868" s="233"/>
      <c r="F868" s="233"/>
      <c r="G868" s="233"/>
      <c r="H868" s="233"/>
      <c r="I868" s="233"/>
      <c r="J868" s="233"/>
      <c r="K868" s="233"/>
      <c r="L868" s="233"/>
      <c r="M868" s="233"/>
      <c r="N868" s="233"/>
      <c r="O868" s="233"/>
      <c r="P868" s="233"/>
      <c r="Q868" s="233"/>
      <c r="R868" s="233"/>
      <c r="S868" s="233"/>
      <c r="T868" s="233"/>
      <c r="U868" s="233"/>
      <c r="V868" s="233"/>
      <c r="W868" s="233"/>
      <c r="X868" s="233"/>
      <c r="Y868" s="233"/>
      <c r="Z868" s="233"/>
    </row>
    <row r="869">
      <c r="A869" s="233"/>
      <c r="B869" s="233"/>
      <c r="C869" s="233"/>
      <c r="D869" s="233"/>
      <c r="E869" s="233"/>
      <c r="F869" s="233"/>
      <c r="G869" s="233"/>
      <c r="H869" s="233"/>
      <c r="I869" s="233"/>
      <c r="J869" s="233"/>
      <c r="K869" s="233"/>
      <c r="L869" s="233"/>
      <c r="M869" s="233"/>
      <c r="N869" s="233"/>
      <c r="O869" s="233"/>
      <c r="P869" s="233"/>
      <c r="Q869" s="233"/>
      <c r="R869" s="233"/>
      <c r="S869" s="233"/>
      <c r="T869" s="233"/>
      <c r="U869" s="233"/>
      <c r="V869" s="233"/>
      <c r="W869" s="233"/>
      <c r="X869" s="233"/>
      <c r="Y869" s="233"/>
      <c r="Z869" s="233"/>
    </row>
    <row r="870">
      <c r="A870" s="233"/>
      <c r="B870" s="233"/>
      <c r="C870" s="233"/>
      <c r="D870" s="233"/>
      <c r="E870" s="233"/>
      <c r="F870" s="233"/>
      <c r="G870" s="233"/>
      <c r="H870" s="233"/>
      <c r="I870" s="233"/>
      <c r="J870" s="233"/>
      <c r="K870" s="233"/>
      <c r="L870" s="233"/>
      <c r="M870" s="233"/>
      <c r="N870" s="233"/>
      <c r="O870" s="233"/>
      <c r="P870" s="233"/>
      <c r="Q870" s="233"/>
      <c r="R870" s="233"/>
      <c r="S870" s="233"/>
      <c r="T870" s="233"/>
      <c r="U870" s="233"/>
      <c r="V870" s="233"/>
      <c r="W870" s="233"/>
      <c r="X870" s="233"/>
      <c r="Y870" s="233"/>
      <c r="Z870" s="233"/>
    </row>
    <row r="871">
      <c r="A871" s="233"/>
      <c r="B871" s="233"/>
      <c r="C871" s="233"/>
      <c r="D871" s="233"/>
      <c r="E871" s="233"/>
      <c r="F871" s="233"/>
      <c r="G871" s="233"/>
      <c r="H871" s="233"/>
      <c r="I871" s="233"/>
      <c r="J871" s="233"/>
      <c r="K871" s="233"/>
      <c r="L871" s="233"/>
      <c r="M871" s="233"/>
      <c r="N871" s="233"/>
      <c r="O871" s="233"/>
      <c r="P871" s="233"/>
      <c r="Q871" s="233"/>
      <c r="R871" s="233"/>
      <c r="S871" s="233"/>
      <c r="T871" s="233"/>
      <c r="U871" s="233"/>
      <c r="V871" s="233"/>
      <c r="W871" s="233"/>
      <c r="X871" s="233"/>
      <c r="Y871" s="233"/>
      <c r="Z871" s="233"/>
    </row>
    <row r="872">
      <c r="A872" s="233"/>
      <c r="B872" s="233"/>
      <c r="C872" s="233"/>
      <c r="D872" s="233"/>
      <c r="E872" s="233"/>
      <c r="F872" s="233"/>
      <c r="G872" s="233"/>
      <c r="H872" s="233"/>
      <c r="I872" s="233"/>
      <c r="J872" s="233"/>
      <c r="K872" s="233"/>
      <c r="L872" s="233"/>
      <c r="M872" s="233"/>
      <c r="N872" s="233"/>
      <c r="O872" s="233"/>
      <c r="P872" s="233"/>
      <c r="Q872" s="233"/>
      <c r="R872" s="233"/>
      <c r="S872" s="233"/>
      <c r="T872" s="233"/>
      <c r="U872" s="233"/>
      <c r="V872" s="233"/>
      <c r="W872" s="233"/>
      <c r="X872" s="233"/>
      <c r="Y872" s="233"/>
      <c r="Z872" s="233"/>
    </row>
    <row r="873">
      <c r="A873" s="233"/>
      <c r="B873" s="233"/>
      <c r="C873" s="233"/>
      <c r="D873" s="233"/>
      <c r="E873" s="233"/>
      <c r="F873" s="233"/>
      <c r="G873" s="233"/>
      <c r="H873" s="233"/>
      <c r="I873" s="233"/>
      <c r="J873" s="233"/>
      <c r="K873" s="233"/>
      <c r="L873" s="233"/>
      <c r="M873" s="233"/>
      <c r="N873" s="233"/>
      <c r="O873" s="233"/>
      <c r="P873" s="233"/>
      <c r="Q873" s="233"/>
      <c r="R873" s="233"/>
      <c r="S873" s="233"/>
      <c r="T873" s="233"/>
      <c r="U873" s="233"/>
      <c r="V873" s="233"/>
      <c r="W873" s="233"/>
      <c r="X873" s="233"/>
      <c r="Y873" s="233"/>
      <c r="Z873" s="233"/>
    </row>
    <row r="874">
      <c r="A874" s="233"/>
      <c r="B874" s="233"/>
      <c r="C874" s="233"/>
      <c r="D874" s="233"/>
      <c r="E874" s="233"/>
      <c r="F874" s="233"/>
      <c r="G874" s="233"/>
      <c r="H874" s="233"/>
      <c r="I874" s="233"/>
      <c r="J874" s="233"/>
      <c r="K874" s="233"/>
      <c r="L874" s="233"/>
      <c r="M874" s="233"/>
      <c r="N874" s="233"/>
      <c r="O874" s="233"/>
      <c r="P874" s="233"/>
      <c r="Q874" s="233"/>
      <c r="R874" s="233"/>
      <c r="S874" s="233"/>
      <c r="T874" s="233"/>
      <c r="U874" s="233"/>
      <c r="V874" s="233"/>
      <c r="W874" s="233"/>
      <c r="X874" s="233"/>
      <c r="Y874" s="233"/>
      <c r="Z874" s="233"/>
    </row>
    <row r="875">
      <c r="A875" s="233"/>
      <c r="B875" s="233"/>
      <c r="C875" s="233"/>
      <c r="D875" s="233"/>
      <c r="E875" s="233"/>
      <c r="F875" s="233"/>
      <c r="G875" s="233"/>
      <c r="H875" s="233"/>
      <c r="I875" s="233"/>
      <c r="J875" s="233"/>
      <c r="K875" s="233"/>
      <c r="L875" s="233"/>
      <c r="M875" s="233"/>
      <c r="N875" s="233"/>
      <c r="O875" s="233"/>
      <c r="P875" s="233"/>
      <c r="Q875" s="233"/>
      <c r="R875" s="233"/>
      <c r="S875" s="233"/>
      <c r="T875" s="233"/>
      <c r="U875" s="233"/>
      <c r="V875" s="233"/>
      <c r="W875" s="233"/>
      <c r="X875" s="233"/>
      <c r="Y875" s="233"/>
      <c r="Z875" s="233"/>
    </row>
    <row r="876">
      <c r="A876" s="233"/>
      <c r="B876" s="233"/>
      <c r="C876" s="233"/>
      <c r="D876" s="233"/>
      <c r="E876" s="233"/>
      <c r="F876" s="233"/>
      <c r="G876" s="233"/>
      <c r="H876" s="233"/>
      <c r="I876" s="233"/>
      <c r="J876" s="233"/>
      <c r="K876" s="233"/>
      <c r="L876" s="233"/>
      <c r="M876" s="233"/>
      <c r="N876" s="233"/>
      <c r="O876" s="233"/>
      <c r="P876" s="233"/>
      <c r="Q876" s="233"/>
      <c r="R876" s="233"/>
      <c r="S876" s="233"/>
      <c r="T876" s="233"/>
      <c r="U876" s="233"/>
      <c r="V876" s="233"/>
      <c r="W876" s="233"/>
      <c r="X876" s="233"/>
      <c r="Y876" s="233"/>
      <c r="Z876" s="233"/>
    </row>
    <row r="877">
      <c r="A877" s="233"/>
      <c r="B877" s="233"/>
      <c r="C877" s="233"/>
      <c r="D877" s="233"/>
      <c r="E877" s="233"/>
      <c r="F877" s="233"/>
      <c r="G877" s="233"/>
      <c r="H877" s="233"/>
      <c r="I877" s="233"/>
      <c r="J877" s="233"/>
      <c r="K877" s="233"/>
      <c r="L877" s="233"/>
      <c r="M877" s="233"/>
      <c r="N877" s="233"/>
      <c r="O877" s="233"/>
      <c r="P877" s="233"/>
      <c r="Q877" s="233"/>
      <c r="R877" s="233"/>
      <c r="S877" s="233"/>
      <c r="T877" s="233"/>
      <c r="U877" s="233"/>
      <c r="V877" s="233"/>
      <c r="W877" s="233"/>
      <c r="X877" s="233"/>
      <c r="Y877" s="233"/>
      <c r="Z877" s="233"/>
    </row>
    <row r="878">
      <c r="A878" s="233"/>
      <c r="B878" s="233"/>
      <c r="C878" s="233"/>
      <c r="D878" s="233"/>
      <c r="E878" s="233"/>
      <c r="F878" s="233"/>
      <c r="G878" s="233"/>
      <c r="H878" s="233"/>
      <c r="I878" s="233"/>
      <c r="J878" s="233"/>
      <c r="K878" s="233"/>
      <c r="L878" s="233"/>
      <c r="M878" s="233"/>
      <c r="N878" s="233"/>
      <c r="O878" s="233"/>
      <c r="P878" s="233"/>
      <c r="Q878" s="233"/>
      <c r="R878" s="233"/>
      <c r="S878" s="233"/>
      <c r="T878" s="233"/>
      <c r="U878" s="233"/>
      <c r="V878" s="233"/>
      <c r="W878" s="233"/>
      <c r="X878" s="233"/>
      <c r="Y878" s="233"/>
      <c r="Z878" s="233"/>
    </row>
    <row r="879">
      <c r="A879" s="233"/>
      <c r="B879" s="233"/>
      <c r="C879" s="233"/>
      <c r="D879" s="233"/>
      <c r="E879" s="233"/>
      <c r="F879" s="233"/>
      <c r="G879" s="233"/>
      <c r="H879" s="233"/>
      <c r="I879" s="233"/>
      <c r="J879" s="233"/>
      <c r="K879" s="233"/>
      <c r="L879" s="233"/>
      <c r="M879" s="233"/>
      <c r="N879" s="233"/>
      <c r="O879" s="233"/>
      <c r="P879" s="233"/>
      <c r="Q879" s="233"/>
      <c r="R879" s="233"/>
      <c r="S879" s="233"/>
      <c r="T879" s="233"/>
      <c r="U879" s="233"/>
      <c r="V879" s="233"/>
      <c r="W879" s="233"/>
      <c r="X879" s="233"/>
      <c r="Y879" s="233"/>
      <c r="Z879" s="233"/>
    </row>
    <row r="880">
      <c r="A880" s="233"/>
      <c r="B880" s="233"/>
      <c r="C880" s="233"/>
      <c r="D880" s="233"/>
      <c r="E880" s="233"/>
      <c r="F880" s="233"/>
      <c r="G880" s="233"/>
      <c r="H880" s="233"/>
      <c r="I880" s="233"/>
      <c r="J880" s="233"/>
      <c r="K880" s="233"/>
      <c r="L880" s="233"/>
      <c r="M880" s="233"/>
      <c r="N880" s="233"/>
      <c r="O880" s="233"/>
      <c r="P880" s="233"/>
      <c r="Q880" s="233"/>
      <c r="R880" s="233"/>
      <c r="S880" s="233"/>
      <c r="T880" s="233"/>
      <c r="U880" s="233"/>
      <c r="V880" s="233"/>
      <c r="W880" s="233"/>
      <c r="X880" s="233"/>
      <c r="Y880" s="233"/>
      <c r="Z880" s="233"/>
    </row>
    <row r="881">
      <c r="A881" s="233"/>
      <c r="B881" s="233"/>
      <c r="C881" s="233"/>
      <c r="D881" s="233"/>
      <c r="E881" s="233"/>
      <c r="F881" s="233"/>
      <c r="G881" s="233"/>
      <c r="H881" s="233"/>
      <c r="I881" s="233"/>
      <c r="J881" s="233"/>
      <c r="K881" s="233"/>
      <c r="L881" s="233"/>
      <c r="M881" s="233"/>
      <c r="N881" s="233"/>
      <c r="O881" s="233"/>
      <c r="P881" s="233"/>
      <c r="Q881" s="233"/>
      <c r="R881" s="233"/>
      <c r="S881" s="233"/>
      <c r="T881" s="233"/>
      <c r="U881" s="233"/>
      <c r="V881" s="233"/>
      <c r="W881" s="233"/>
      <c r="X881" s="233"/>
      <c r="Y881" s="233"/>
      <c r="Z881" s="233"/>
    </row>
    <row r="882">
      <c r="A882" s="233"/>
      <c r="B882" s="233"/>
      <c r="C882" s="233"/>
      <c r="D882" s="233"/>
      <c r="E882" s="233"/>
      <c r="F882" s="233"/>
      <c r="G882" s="233"/>
      <c r="H882" s="233"/>
      <c r="I882" s="233"/>
      <c r="J882" s="233"/>
      <c r="K882" s="233"/>
      <c r="L882" s="233"/>
      <c r="M882" s="233"/>
      <c r="N882" s="233"/>
      <c r="O882" s="233"/>
      <c r="P882" s="233"/>
      <c r="Q882" s="233"/>
      <c r="R882" s="233"/>
      <c r="S882" s="233"/>
      <c r="T882" s="233"/>
      <c r="U882" s="233"/>
      <c r="V882" s="233"/>
      <c r="W882" s="233"/>
      <c r="X882" s="233"/>
      <c r="Y882" s="233"/>
      <c r="Z882" s="233"/>
    </row>
    <row r="883">
      <c r="A883" s="233"/>
      <c r="B883" s="233"/>
      <c r="C883" s="233"/>
      <c r="D883" s="233"/>
      <c r="E883" s="233"/>
      <c r="F883" s="233"/>
      <c r="G883" s="233"/>
      <c r="H883" s="233"/>
      <c r="I883" s="233"/>
      <c r="J883" s="233"/>
      <c r="K883" s="233"/>
      <c r="L883" s="233"/>
      <c r="M883" s="233"/>
      <c r="N883" s="233"/>
      <c r="O883" s="233"/>
      <c r="P883" s="233"/>
      <c r="Q883" s="233"/>
      <c r="R883" s="233"/>
      <c r="S883" s="233"/>
      <c r="T883" s="233"/>
      <c r="U883" s="233"/>
      <c r="V883" s="233"/>
      <c r="W883" s="233"/>
      <c r="X883" s="233"/>
      <c r="Y883" s="233"/>
      <c r="Z883" s="233"/>
    </row>
    <row r="884">
      <c r="A884" s="233"/>
      <c r="B884" s="233"/>
      <c r="C884" s="233"/>
      <c r="D884" s="233"/>
      <c r="E884" s="233"/>
      <c r="F884" s="233"/>
      <c r="G884" s="233"/>
      <c r="H884" s="233"/>
      <c r="I884" s="233"/>
      <c r="J884" s="233"/>
      <c r="K884" s="233"/>
      <c r="L884" s="233"/>
      <c r="M884" s="233"/>
      <c r="N884" s="233"/>
      <c r="O884" s="233"/>
      <c r="P884" s="233"/>
      <c r="Q884" s="233"/>
      <c r="R884" s="233"/>
      <c r="S884" s="233"/>
      <c r="T884" s="233"/>
      <c r="U884" s="233"/>
      <c r="V884" s="233"/>
      <c r="W884" s="233"/>
      <c r="X884" s="233"/>
      <c r="Y884" s="233"/>
      <c r="Z884" s="233"/>
    </row>
    <row r="885">
      <c r="A885" s="233"/>
      <c r="B885" s="233"/>
      <c r="C885" s="233"/>
      <c r="D885" s="233"/>
      <c r="E885" s="233"/>
      <c r="F885" s="233"/>
      <c r="G885" s="233"/>
      <c r="H885" s="233"/>
      <c r="I885" s="233"/>
      <c r="J885" s="233"/>
      <c r="K885" s="233"/>
      <c r="L885" s="233"/>
      <c r="M885" s="233"/>
      <c r="N885" s="233"/>
      <c r="O885" s="233"/>
      <c r="P885" s="233"/>
      <c r="Q885" s="233"/>
      <c r="R885" s="233"/>
      <c r="S885" s="233"/>
      <c r="T885" s="233"/>
      <c r="U885" s="233"/>
      <c r="V885" s="233"/>
      <c r="W885" s="233"/>
      <c r="X885" s="233"/>
      <c r="Y885" s="233"/>
      <c r="Z885" s="233"/>
    </row>
    <row r="886">
      <c r="A886" s="233"/>
      <c r="B886" s="233"/>
      <c r="C886" s="233"/>
      <c r="D886" s="233"/>
      <c r="E886" s="233"/>
      <c r="F886" s="233"/>
      <c r="G886" s="233"/>
      <c r="H886" s="233"/>
      <c r="I886" s="233"/>
      <c r="J886" s="233"/>
      <c r="K886" s="233"/>
      <c r="L886" s="233"/>
      <c r="M886" s="233"/>
      <c r="N886" s="233"/>
      <c r="O886" s="233"/>
      <c r="P886" s="233"/>
      <c r="Q886" s="233"/>
      <c r="R886" s="233"/>
      <c r="S886" s="233"/>
      <c r="T886" s="233"/>
      <c r="U886" s="233"/>
      <c r="V886" s="233"/>
      <c r="W886" s="233"/>
      <c r="X886" s="233"/>
      <c r="Y886" s="233"/>
      <c r="Z886" s="233"/>
    </row>
    <row r="887">
      <c r="A887" s="233"/>
      <c r="B887" s="233"/>
      <c r="C887" s="233"/>
      <c r="D887" s="233"/>
      <c r="E887" s="233"/>
      <c r="F887" s="233"/>
      <c r="G887" s="233"/>
      <c r="H887" s="233"/>
      <c r="I887" s="233"/>
      <c r="J887" s="233"/>
      <c r="K887" s="233"/>
      <c r="L887" s="233"/>
      <c r="M887" s="233"/>
      <c r="N887" s="233"/>
      <c r="O887" s="233"/>
      <c r="P887" s="233"/>
      <c r="Q887" s="233"/>
      <c r="R887" s="233"/>
      <c r="S887" s="233"/>
      <c r="T887" s="233"/>
      <c r="U887" s="233"/>
      <c r="V887" s="233"/>
      <c r="W887" s="233"/>
      <c r="X887" s="233"/>
      <c r="Y887" s="233"/>
      <c r="Z887" s="233"/>
    </row>
    <row r="888">
      <c r="A888" s="233"/>
      <c r="B888" s="233"/>
      <c r="C888" s="233"/>
      <c r="D888" s="233"/>
      <c r="E888" s="233"/>
      <c r="F888" s="233"/>
      <c r="G888" s="233"/>
      <c r="H888" s="233"/>
      <c r="I888" s="233"/>
      <c r="J888" s="233"/>
      <c r="K888" s="233"/>
      <c r="L888" s="233"/>
      <c r="M888" s="233"/>
      <c r="N888" s="233"/>
      <c r="O888" s="233"/>
      <c r="P888" s="233"/>
      <c r="Q888" s="233"/>
      <c r="R888" s="233"/>
      <c r="S888" s="233"/>
      <c r="T888" s="233"/>
      <c r="U888" s="233"/>
      <c r="V888" s="233"/>
      <c r="W888" s="233"/>
      <c r="X888" s="233"/>
      <c r="Y888" s="233"/>
      <c r="Z888" s="233"/>
    </row>
    <row r="889">
      <c r="A889" s="233"/>
      <c r="B889" s="233"/>
      <c r="C889" s="233"/>
      <c r="D889" s="233"/>
      <c r="E889" s="233"/>
      <c r="F889" s="233"/>
      <c r="G889" s="233"/>
      <c r="H889" s="233"/>
      <c r="I889" s="233"/>
      <c r="J889" s="233"/>
      <c r="K889" s="233"/>
      <c r="L889" s="233"/>
      <c r="M889" s="233"/>
      <c r="N889" s="233"/>
      <c r="O889" s="233"/>
      <c r="P889" s="233"/>
      <c r="Q889" s="233"/>
      <c r="R889" s="233"/>
      <c r="S889" s="233"/>
      <c r="T889" s="233"/>
      <c r="U889" s="233"/>
      <c r="V889" s="233"/>
      <c r="W889" s="233"/>
      <c r="X889" s="233"/>
      <c r="Y889" s="233"/>
      <c r="Z889" s="233"/>
    </row>
    <row r="890">
      <c r="A890" s="233"/>
      <c r="B890" s="233"/>
      <c r="C890" s="233"/>
      <c r="D890" s="233"/>
      <c r="E890" s="233"/>
      <c r="F890" s="233"/>
      <c r="G890" s="233"/>
      <c r="H890" s="233"/>
      <c r="I890" s="233"/>
      <c r="J890" s="233"/>
      <c r="K890" s="233"/>
      <c r="L890" s="233"/>
      <c r="M890" s="233"/>
      <c r="N890" s="233"/>
      <c r="O890" s="233"/>
      <c r="P890" s="233"/>
      <c r="Q890" s="233"/>
      <c r="R890" s="233"/>
      <c r="S890" s="233"/>
      <c r="T890" s="233"/>
      <c r="U890" s="233"/>
      <c r="V890" s="233"/>
      <c r="W890" s="233"/>
      <c r="X890" s="233"/>
      <c r="Y890" s="233"/>
      <c r="Z890" s="233"/>
    </row>
    <row r="891">
      <c r="A891" s="233"/>
      <c r="B891" s="233"/>
      <c r="C891" s="233"/>
      <c r="D891" s="233"/>
      <c r="E891" s="233"/>
      <c r="F891" s="233"/>
      <c r="G891" s="233"/>
      <c r="H891" s="233"/>
      <c r="I891" s="233"/>
      <c r="J891" s="233"/>
      <c r="K891" s="233"/>
      <c r="L891" s="233"/>
      <c r="M891" s="233"/>
      <c r="N891" s="233"/>
      <c r="O891" s="233"/>
      <c r="P891" s="233"/>
      <c r="Q891" s="233"/>
      <c r="R891" s="233"/>
      <c r="S891" s="233"/>
      <c r="T891" s="233"/>
      <c r="U891" s="233"/>
      <c r="V891" s="233"/>
      <c r="W891" s="233"/>
      <c r="X891" s="233"/>
      <c r="Y891" s="233"/>
      <c r="Z891" s="233"/>
    </row>
    <row r="892">
      <c r="A892" s="233"/>
      <c r="B892" s="233"/>
      <c r="C892" s="233"/>
      <c r="D892" s="233"/>
      <c r="E892" s="233"/>
      <c r="F892" s="233"/>
      <c r="G892" s="233"/>
      <c r="H892" s="233"/>
      <c r="I892" s="233"/>
      <c r="J892" s="233"/>
      <c r="K892" s="233"/>
      <c r="L892" s="233"/>
      <c r="M892" s="233"/>
      <c r="N892" s="233"/>
      <c r="O892" s="233"/>
      <c r="P892" s="233"/>
      <c r="Q892" s="233"/>
      <c r="R892" s="233"/>
      <c r="S892" s="233"/>
      <c r="T892" s="233"/>
      <c r="U892" s="233"/>
      <c r="V892" s="233"/>
      <c r="W892" s="233"/>
      <c r="X892" s="233"/>
      <c r="Y892" s="233"/>
      <c r="Z892" s="233"/>
    </row>
    <row r="893">
      <c r="A893" s="233"/>
      <c r="B893" s="233"/>
      <c r="C893" s="233"/>
      <c r="D893" s="233"/>
      <c r="E893" s="233"/>
      <c r="F893" s="233"/>
      <c r="G893" s="233"/>
      <c r="H893" s="233"/>
      <c r="I893" s="233"/>
      <c r="J893" s="233"/>
      <c r="K893" s="233"/>
      <c r="L893" s="233"/>
      <c r="M893" s="233"/>
      <c r="N893" s="233"/>
      <c r="O893" s="233"/>
      <c r="P893" s="233"/>
      <c r="Q893" s="233"/>
      <c r="R893" s="233"/>
      <c r="S893" s="233"/>
      <c r="T893" s="233"/>
      <c r="U893" s="233"/>
      <c r="V893" s="233"/>
      <c r="W893" s="233"/>
      <c r="X893" s="233"/>
      <c r="Y893" s="233"/>
      <c r="Z893" s="233"/>
    </row>
    <row r="894">
      <c r="A894" s="233"/>
      <c r="B894" s="233"/>
      <c r="C894" s="233"/>
      <c r="D894" s="233"/>
      <c r="E894" s="233"/>
      <c r="F894" s="233"/>
      <c r="G894" s="233"/>
      <c r="H894" s="233"/>
      <c r="I894" s="233"/>
      <c r="J894" s="233"/>
      <c r="K894" s="233"/>
      <c r="L894" s="233"/>
      <c r="M894" s="233"/>
      <c r="N894" s="233"/>
      <c r="O894" s="233"/>
      <c r="P894" s="233"/>
      <c r="Q894" s="233"/>
      <c r="R894" s="233"/>
      <c r="S894" s="233"/>
      <c r="T894" s="233"/>
      <c r="U894" s="233"/>
      <c r="V894" s="233"/>
      <c r="W894" s="233"/>
      <c r="X894" s="233"/>
      <c r="Y894" s="233"/>
      <c r="Z894" s="233"/>
    </row>
    <row r="895">
      <c r="A895" s="233"/>
      <c r="B895" s="233"/>
      <c r="C895" s="233"/>
      <c r="D895" s="233"/>
      <c r="E895" s="233"/>
      <c r="F895" s="233"/>
      <c r="G895" s="233"/>
      <c r="H895" s="233"/>
      <c r="I895" s="233"/>
      <c r="J895" s="233"/>
      <c r="K895" s="233"/>
      <c r="L895" s="233"/>
      <c r="M895" s="233"/>
      <c r="N895" s="233"/>
      <c r="O895" s="233"/>
      <c r="P895" s="233"/>
      <c r="Q895" s="233"/>
      <c r="R895" s="233"/>
      <c r="S895" s="233"/>
      <c r="T895" s="233"/>
      <c r="U895" s="233"/>
      <c r="V895" s="233"/>
      <c r="W895" s="233"/>
      <c r="X895" s="233"/>
      <c r="Y895" s="233"/>
      <c r="Z895" s="233"/>
    </row>
    <row r="896">
      <c r="A896" s="233"/>
      <c r="B896" s="233"/>
      <c r="C896" s="233"/>
      <c r="D896" s="233"/>
      <c r="E896" s="233"/>
      <c r="F896" s="233"/>
      <c r="G896" s="233"/>
      <c r="H896" s="233"/>
      <c r="I896" s="233"/>
      <c r="J896" s="233"/>
      <c r="K896" s="233"/>
      <c r="L896" s="233"/>
      <c r="M896" s="233"/>
      <c r="N896" s="233"/>
      <c r="O896" s="233"/>
      <c r="P896" s="233"/>
      <c r="Q896" s="233"/>
      <c r="R896" s="233"/>
      <c r="S896" s="233"/>
      <c r="T896" s="233"/>
      <c r="U896" s="233"/>
      <c r="V896" s="233"/>
      <c r="W896" s="233"/>
      <c r="X896" s="233"/>
      <c r="Y896" s="233"/>
      <c r="Z896" s="233"/>
    </row>
    <row r="897">
      <c r="A897" s="233"/>
      <c r="B897" s="233"/>
      <c r="C897" s="233"/>
      <c r="D897" s="233"/>
      <c r="E897" s="233"/>
      <c r="F897" s="233"/>
      <c r="G897" s="233"/>
      <c r="H897" s="233"/>
      <c r="I897" s="233"/>
      <c r="J897" s="233"/>
      <c r="K897" s="233"/>
      <c r="L897" s="233"/>
      <c r="M897" s="233"/>
      <c r="N897" s="233"/>
      <c r="O897" s="233"/>
      <c r="P897" s="233"/>
      <c r="Q897" s="233"/>
      <c r="R897" s="233"/>
      <c r="S897" s="233"/>
      <c r="T897" s="233"/>
      <c r="U897" s="233"/>
      <c r="V897" s="233"/>
      <c r="W897" s="233"/>
      <c r="X897" s="233"/>
      <c r="Y897" s="233"/>
      <c r="Z897" s="233"/>
    </row>
    <row r="898">
      <c r="A898" s="233"/>
      <c r="B898" s="233"/>
      <c r="C898" s="233"/>
      <c r="D898" s="233"/>
      <c r="E898" s="233"/>
      <c r="F898" s="233"/>
      <c r="G898" s="233"/>
      <c r="H898" s="233"/>
      <c r="I898" s="233"/>
      <c r="J898" s="233"/>
      <c r="K898" s="233"/>
      <c r="L898" s="233"/>
      <c r="M898" s="233"/>
      <c r="N898" s="233"/>
      <c r="O898" s="233"/>
      <c r="P898" s="233"/>
      <c r="Q898" s="233"/>
      <c r="R898" s="233"/>
      <c r="S898" s="233"/>
      <c r="T898" s="233"/>
      <c r="U898" s="233"/>
      <c r="V898" s="233"/>
      <c r="W898" s="233"/>
      <c r="X898" s="233"/>
      <c r="Y898" s="233"/>
      <c r="Z898" s="233"/>
    </row>
    <row r="899">
      <c r="A899" s="233"/>
      <c r="B899" s="233"/>
      <c r="C899" s="233"/>
      <c r="D899" s="233"/>
      <c r="E899" s="233"/>
      <c r="F899" s="233"/>
      <c r="G899" s="233"/>
      <c r="H899" s="233"/>
      <c r="I899" s="233"/>
      <c r="J899" s="233"/>
      <c r="K899" s="233"/>
      <c r="L899" s="233"/>
      <c r="M899" s="233"/>
      <c r="N899" s="233"/>
      <c r="O899" s="233"/>
      <c r="P899" s="233"/>
      <c r="Q899" s="233"/>
      <c r="R899" s="233"/>
      <c r="S899" s="233"/>
      <c r="T899" s="233"/>
      <c r="U899" s="233"/>
      <c r="V899" s="233"/>
      <c r="W899" s="233"/>
      <c r="X899" s="233"/>
      <c r="Y899" s="233"/>
      <c r="Z899" s="233"/>
    </row>
    <row r="900">
      <c r="A900" s="233"/>
      <c r="B900" s="233"/>
      <c r="C900" s="233"/>
      <c r="D900" s="233"/>
      <c r="E900" s="233"/>
      <c r="F900" s="233"/>
      <c r="G900" s="233"/>
      <c r="H900" s="233"/>
      <c r="I900" s="233"/>
      <c r="J900" s="233"/>
      <c r="K900" s="233"/>
      <c r="L900" s="233"/>
      <c r="M900" s="233"/>
      <c r="N900" s="233"/>
      <c r="O900" s="233"/>
      <c r="P900" s="233"/>
      <c r="Q900" s="233"/>
      <c r="R900" s="233"/>
      <c r="S900" s="233"/>
      <c r="T900" s="233"/>
      <c r="U900" s="233"/>
      <c r="V900" s="233"/>
      <c r="W900" s="233"/>
      <c r="X900" s="233"/>
      <c r="Y900" s="233"/>
      <c r="Z900" s="233"/>
    </row>
    <row r="901">
      <c r="A901" s="233"/>
      <c r="B901" s="233"/>
      <c r="C901" s="233"/>
      <c r="D901" s="233"/>
      <c r="E901" s="233"/>
      <c r="F901" s="233"/>
      <c r="G901" s="233"/>
      <c r="H901" s="233"/>
      <c r="I901" s="233"/>
      <c r="J901" s="233"/>
      <c r="K901" s="233"/>
      <c r="L901" s="233"/>
      <c r="M901" s="233"/>
      <c r="N901" s="233"/>
      <c r="O901" s="233"/>
      <c r="P901" s="233"/>
      <c r="Q901" s="233"/>
      <c r="R901" s="233"/>
      <c r="S901" s="233"/>
      <c r="T901" s="233"/>
      <c r="U901" s="233"/>
      <c r="V901" s="233"/>
      <c r="W901" s="233"/>
      <c r="X901" s="233"/>
      <c r="Y901" s="233"/>
      <c r="Z901" s="233"/>
    </row>
    <row r="902">
      <c r="A902" s="233"/>
      <c r="B902" s="233"/>
      <c r="C902" s="233"/>
      <c r="D902" s="233"/>
      <c r="E902" s="233"/>
      <c r="F902" s="233"/>
      <c r="G902" s="233"/>
      <c r="H902" s="233"/>
      <c r="I902" s="233"/>
      <c r="J902" s="233"/>
      <c r="K902" s="233"/>
      <c r="L902" s="233"/>
      <c r="M902" s="233"/>
      <c r="N902" s="233"/>
      <c r="O902" s="233"/>
      <c r="P902" s="233"/>
      <c r="Q902" s="233"/>
      <c r="R902" s="233"/>
      <c r="S902" s="233"/>
      <c r="T902" s="233"/>
      <c r="U902" s="233"/>
      <c r="V902" s="233"/>
      <c r="W902" s="233"/>
      <c r="X902" s="233"/>
      <c r="Y902" s="233"/>
      <c r="Z902" s="233"/>
    </row>
    <row r="903">
      <c r="A903" s="233"/>
      <c r="B903" s="233"/>
      <c r="C903" s="233"/>
      <c r="D903" s="233"/>
      <c r="E903" s="233"/>
      <c r="F903" s="233"/>
      <c r="G903" s="233"/>
      <c r="H903" s="233"/>
      <c r="I903" s="233"/>
      <c r="J903" s="233"/>
      <c r="K903" s="233"/>
      <c r="L903" s="233"/>
      <c r="M903" s="233"/>
      <c r="N903" s="233"/>
      <c r="O903" s="233"/>
      <c r="P903" s="233"/>
      <c r="Q903" s="233"/>
      <c r="R903" s="233"/>
      <c r="S903" s="233"/>
      <c r="T903" s="233"/>
      <c r="U903" s="233"/>
      <c r="V903" s="233"/>
      <c r="W903" s="233"/>
      <c r="X903" s="233"/>
      <c r="Y903" s="233"/>
      <c r="Z903" s="233"/>
    </row>
    <row r="904">
      <c r="A904" s="233"/>
      <c r="B904" s="233"/>
      <c r="C904" s="233"/>
      <c r="D904" s="233"/>
      <c r="E904" s="233"/>
      <c r="F904" s="233"/>
      <c r="G904" s="233"/>
      <c r="H904" s="233"/>
      <c r="I904" s="233"/>
      <c r="J904" s="233"/>
      <c r="K904" s="233"/>
      <c r="L904" s="233"/>
      <c r="M904" s="233"/>
      <c r="N904" s="233"/>
      <c r="O904" s="233"/>
      <c r="P904" s="233"/>
      <c r="Q904" s="233"/>
      <c r="R904" s="233"/>
      <c r="S904" s="233"/>
      <c r="T904" s="233"/>
      <c r="U904" s="233"/>
      <c r="V904" s="233"/>
      <c r="W904" s="233"/>
      <c r="X904" s="233"/>
      <c r="Y904" s="233"/>
      <c r="Z904" s="233"/>
    </row>
    <row r="905">
      <c r="A905" s="233"/>
      <c r="B905" s="233"/>
      <c r="C905" s="233"/>
      <c r="D905" s="233"/>
      <c r="E905" s="233"/>
      <c r="F905" s="233"/>
      <c r="G905" s="233"/>
      <c r="H905" s="233"/>
      <c r="I905" s="233"/>
      <c r="J905" s="233"/>
      <c r="K905" s="233"/>
      <c r="L905" s="233"/>
      <c r="M905" s="233"/>
      <c r="N905" s="233"/>
      <c r="O905" s="233"/>
      <c r="P905" s="233"/>
      <c r="Q905" s="233"/>
      <c r="R905" s="233"/>
      <c r="S905" s="233"/>
      <c r="T905" s="233"/>
      <c r="U905" s="233"/>
      <c r="V905" s="233"/>
      <c r="W905" s="233"/>
      <c r="X905" s="233"/>
      <c r="Y905" s="233"/>
      <c r="Z905" s="233"/>
    </row>
    <row r="906">
      <c r="A906" s="233"/>
      <c r="B906" s="233"/>
      <c r="C906" s="233"/>
      <c r="D906" s="233"/>
      <c r="E906" s="233"/>
      <c r="F906" s="233"/>
      <c r="G906" s="233"/>
      <c r="H906" s="233"/>
      <c r="I906" s="233"/>
      <c r="J906" s="233"/>
      <c r="K906" s="233"/>
      <c r="L906" s="233"/>
      <c r="M906" s="233"/>
      <c r="N906" s="233"/>
      <c r="O906" s="233"/>
      <c r="P906" s="233"/>
      <c r="Q906" s="233"/>
      <c r="R906" s="233"/>
      <c r="S906" s="233"/>
      <c r="T906" s="233"/>
      <c r="U906" s="233"/>
      <c r="V906" s="233"/>
      <c r="W906" s="233"/>
      <c r="X906" s="233"/>
      <c r="Y906" s="233"/>
      <c r="Z906" s="233"/>
    </row>
    <row r="907">
      <c r="A907" s="233"/>
      <c r="B907" s="233"/>
      <c r="C907" s="233"/>
      <c r="D907" s="233"/>
      <c r="E907" s="233"/>
      <c r="F907" s="233"/>
      <c r="G907" s="233"/>
      <c r="H907" s="233"/>
      <c r="I907" s="233"/>
      <c r="J907" s="233"/>
      <c r="K907" s="233"/>
      <c r="L907" s="233"/>
      <c r="M907" s="233"/>
      <c r="N907" s="233"/>
      <c r="O907" s="233"/>
      <c r="P907" s="233"/>
      <c r="Q907" s="233"/>
      <c r="R907" s="233"/>
      <c r="S907" s="233"/>
      <c r="T907" s="233"/>
      <c r="U907" s="233"/>
      <c r="V907" s="233"/>
      <c r="W907" s="233"/>
      <c r="X907" s="233"/>
      <c r="Y907" s="233"/>
      <c r="Z907" s="233"/>
    </row>
    <row r="908">
      <c r="A908" s="233"/>
      <c r="B908" s="233"/>
      <c r="C908" s="233"/>
      <c r="D908" s="233"/>
      <c r="E908" s="233"/>
      <c r="F908" s="233"/>
      <c r="G908" s="233"/>
      <c r="H908" s="233"/>
      <c r="I908" s="233"/>
      <c r="J908" s="233"/>
      <c r="K908" s="233"/>
      <c r="L908" s="233"/>
      <c r="M908" s="233"/>
      <c r="N908" s="233"/>
      <c r="O908" s="233"/>
      <c r="P908" s="233"/>
      <c r="Q908" s="233"/>
      <c r="R908" s="233"/>
      <c r="S908" s="233"/>
      <c r="T908" s="233"/>
      <c r="U908" s="233"/>
      <c r="V908" s="233"/>
      <c r="W908" s="233"/>
      <c r="X908" s="233"/>
      <c r="Y908" s="233"/>
      <c r="Z908" s="233"/>
    </row>
    <row r="909">
      <c r="A909" s="233"/>
      <c r="B909" s="233"/>
      <c r="C909" s="233"/>
      <c r="D909" s="233"/>
      <c r="E909" s="233"/>
      <c r="F909" s="233"/>
      <c r="G909" s="233"/>
      <c r="H909" s="233"/>
      <c r="I909" s="233"/>
      <c r="J909" s="233"/>
      <c r="K909" s="233"/>
      <c r="L909" s="233"/>
      <c r="M909" s="233"/>
      <c r="N909" s="233"/>
      <c r="O909" s="233"/>
      <c r="P909" s="233"/>
      <c r="Q909" s="233"/>
      <c r="R909" s="233"/>
      <c r="S909" s="233"/>
      <c r="T909" s="233"/>
      <c r="U909" s="233"/>
      <c r="V909" s="233"/>
      <c r="W909" s="233"/>
      <c r="X909" s="233"/>
      <c r="Y909" s="233"/>
      <c r="Z909" s="233"/>
    </row>
    <row r="910">
      <c r="A910" s="233"/>
      <c r="B910" s="233"/>
      <c r="C910" s="233"/>
      <c r="D910" s="233"/>
      <c r="E910" s="233"/>
      <c r="F910" s="233"/>
      <c r="G910" s="233"/>
      <c r="H910" s="233"/>
      <c r="I910" s="233"/>
      <c r="J910" s="233"/>
      <c r="K910" s="233"/>
      <c r="L910" s="233"/>
      <c r="M910" s="233"/>
      <c r="N910" s="233"/>
      <c r="O910" s="233"/>
      <c r="P910" s="233"/>
      <c r="Q910" s="233"/>
      <c r="R910" s="233"/>
      <c r="S910" s="233"/>
      <c r="T910" s="233"/>
      <c r="U910" s="233"/>
      <c r="V910" s="233"/>
      <c r="W910" s="233"/>
      <c r="X910" s="233"/>
      <c r="Y910" s="233"/>
      <c r="Z910" s="233"/>
    </row>
    <row r="911">
      <c r="A911" s="233"/>
      <c r="B911" s="233"/>
      <c r="C911" s="233"/>
      <c r="D911" s="233"/>
      <c r="E911" s="233"/>
      <c r="F911" s="233"/>
      <c r="G911" s="233"/>
      <c r="H911" s="233"/>
      <c r="I911" s="233"/>
      <c r="J911" s="233"/>
      <c r="K911" s="233"/>
      <c r="L911" s="233"/>
      <c r="M911" s="233"/>
      <c r="N911" s="233"/>
      <c r="O911" s="233"/>
      <c r="P911" s="233"/>
      <c r="Q911" s="233"/>
      <c r="R911" s="233"/>
      <c r="S911" s="233"/>
      <c r="T911" s="233"/>
      <c r="U911" s="233"/>
      <c r="V911" s="233"/>
      <c r="W911" s="233"/>
      <c r="X911" s="233"/>
      <c r="Y911" s="233"/>
      <c r="Z911" s="233"/>
    </row>
    <row r="912">
      <c r="A912" s="233"/>
      <c r="B912" s="233"/>
      <c r="C912" s="233"/>
      <c r="D912" s="233"/>
      <c r="E912" s="233"/>
      <c r="F912" s="233"/>
      <c r="G912" s="233"/>
      <c r="H912" s="233"/>
      <c r="I912" s="233"/>
      <c r="J912" s="233"/>
      <c r="K912" s="233"/>
      <c r="L912" s="233"/>
      <c r="M912" s="233"/>
      <c r="N912" s="233"/>
      <c r="O912" s="233"/>
      <c r="P912" s="233"/>
      <c r="Q912" s="233"/>
      <c r="R912" s="233"/>
      <c r="S912" s="233"/>
      <c r="T912" s="233"/>
      <c r="U912" s="233"/>
      <c r="V912" s="233"/>
      <c r="W912" s="233"/>
      <c r="X912" s="233"/>
      <c r="Y912" s="233"/>
      <c r="Z912" s="233"/>
    </row>
    <row r="913">
      <c r="A913" s="233"/>
      <c r="B913" s="233"/>
      <c r="C913" s="233"/>
      <c r="D913" s="233"/>
      <c r="E913" s="233"/>
      <c r="F913" s="233"/>
      <c r="G913" s="233"/>
      <c r="H913" s="233"/>
      <c r="I913" s="233"/>
      <c r="J913" s="233"/>
      <c r="K913" s="233"/>
      <c r="L913" s="233"/>
      <c r="M913" s="233"/>
      <c r="N913" s="233"/>
      <c r="O913" s="233"/>
      <c r="P913" s="233"/>
      <c r="Q913" s="233"/>
      <c r="R913" s="233"/>
      <c r="S913" s="233"/>
      <c r="T913" s="233"/>
      <c r="U913" s="233"/>
      <c r="V913" s="233"/>
      <c r="W913" s="233"/>
      <c r="X913" s="233"/>
      <c r="Y913" s="233"/>
      <c r="Z913" s="233"/>
    </row>
    <row r="914">
      <c r="A914" s="233"/>
      <c r="B914" s="233"/>
      <c r="C914" s="233"/>
      <c r="D914" s="233"/>
      <c r="E914" s="233"/>
      <c r="F914" s="233"/>
      <c r="G914" s="233"/>
      <c r="H914" s="233"/>
      <c r="I914" s="233"/>
      <c r="J914" s="233"/>
      <c r="K914" s="233"/>
      <c r="L914" s="233"/>
      <c r="M914" s="233"/>
      <c r="N914" s="233"/>
      <c r="O914" s="233"/>
      <c r="P914" s="233"/>
      <c r="Q914" s="233"/>
      <c r="R914" s="233"/>
      <c r="S914" s="233"/>
      <c r="T914" s="233"/>
      <c r="U914" s="233"/>
      <c r="V914" s="233"/>
      <c r="W914" s="233"/>
      <c r="X914" s="233"/>
      <c r="Y914" s="233"/>
      <c r="Z914" s="233"/>
    </row>
    <row r="915">
      <c r="A915" s="233"/>
      <c r="B915" s="233"/>
      <c r="C915" s="233"/>
      <c r="D915" s="233"/>
      <c r="E915" s="233"/>
      <c r="F915" s="233"/>
      <c r="G915" s="233"/>
      <c r="H915" s="233"/>
      <c r="I915" s="233"/>
      <c r="J915" s="233"/>
      <c r="K915" s="233"/>
      <c r="L915" s="233"/>
      <c r="M915" s="233"/>
      <c r="N915" s="233"/>
      <c r="O915" s="233"/>
      <c r="P915" s="233"/>
      <c r="Q915" s="233"/>
      <c r="R915" s="233"/>
      <c r="S915" s="233"/>
      <c r="T915" s="233"/>
      <c r="U915" s="233"/>
      <c r="V915" s="233"/>
      <c r="W915" s="233"/>
      <c r="X915" s="233"/>
      <c r="Y915" s="233"/>
      <c r="Z915" s="233"/>
    </row>
    <row r="916">
      <c r="A916" s="233"/>
      <c r="B916" s="233"/>
      <c r="C916" s="233"/>
      <c r="D916" s="233"/>
      <c r="E916" s="233"/>
      <c r="F916" s="233"/>
      <c r="G916" s="233"/>
      <c r="H916" s="233"/>
      <c r="I916" s="233"/>
      <c r="J916" s="233"/>
      <c r="K916" s="233"/>
      <c r="L916" s="233"/>
      <c r="M916" s="233"/>
      <c r="N916" s="233"/>
      <c r="O916" s="233"/>
      <c r="P916" s="233"/>
      <c r="Q916" s="233"/>
      <c r="R916" s="233"/>
      <c r="S916" s="233"/>
      <c r="T916" s="233"/>
      <c r="U916" s="233"/>
      <c r="V916" s="233"/>
      <c r="W916" s="233"/>
      <c r="X916" s="233"/>
      <c r="Y916" s="233"/>
      <c r="Z916" s="233"/>
    </row>
    <row r="917">
      <c r="A917" s="233"/>
      <c r="B917" s="233"/>
      <c r="C917" s="233"/>
      <c r="D917" s="233"/>
      <c r="E917" s="233"/>
      <c r="F917" s="233"/>
      <c r="G917" s="233"/>
      <c r="H917" s="233"/>
      <c r="I917" s="233"/>
      <c r="J917" s="233"/>
      <c r="K917" s="233"/>
      <c r="L917" s="233"/>
      <c r="M917" s="233"/>
      <c r="N917" s="233"/>
      <c r="O917" s="233"/>
      <c r="P917" s="233"/>
      <c r="Q917" s="233"/>
      <c r="R917" s="233"/>
      <c r="S917" s="233"/>
      <c r="T917" s="233"/>
      <c r="U917" s="233"/>
      <c r="V917" s="233"/>
      <c r="W917" s="233"/>
      <c r="X917" s="233"/>
      <c r="Y917" s="233"/>
      <c r="Z917" s="233"/>
    </row>
    <row r="918">
      <c r="A918" s="233"/>
      <c r="B918" s="233"/>
      <c r="C918" s="233"/>
      <c r="D918" s="233"/>
      <c r="E918" s="233"/>
      <c r="F918" s="233"/>
      <c r="G918" s="233"/>
      <c r="H918" s="233"/>
      <c r="I918" s="233"/>
      <c r="J918" s="233"/>
      <c r="K918" s="233"/>
      <c r="L918" s="233"/>
      <c r="M918" s="233"/>
      <c r="N918" s="233"/>
      <c r="O918" s="233"/>
      <c r="P918" s="233"/>
      <c r="Q918" s="233"/>
      <c r="R918" s="233"/>
      <c r="S918" s="233"/>
      <c r="T918" s="233"/>
      <c r="U918" s="233"/>
      <c r="V918" s="233"/>
      <c r="W918" s="233"/>
      <c r="X918" s="233"/>
      <c r="Y918" s="233"/>
      <c r="Z918" s="233"/>
    </row>
    <row r="919">
      <c r="A919" s="233"/>
      <c r="B919" s="233"/>
      <c r="C919" s="233"/>
      <c r="D919" s="233"/>
      <c r="E919" s="233"/>
      <c r="F919" s="233"/>
      <c r="G919" s="233"/>
      <c r="H919" s="233"/>
      <c r="I919" s="233"/>
      <c r="J919" s="233"/>
      <c r="K919" s="233"/>
      <c r="L919" s="233"/>
      <c r="M919" s="233"/>
      <c r="N919" s="233"/>
      <c r="O919" s="233"/>
      <c r="P919" s="233"/>
      <c r="Q919" s="233"/>
      <c r="R919" s="233"/>
      <c r="S919" s="233"/>
      <c r="T919" s="233"/>
      <c r="U919" s="233"/>
      <c r="V919" s="233"/>
      <c r="W919" s="233"/>
      <c r="X919" s="233"/>
      <c r="Y919" s="233"/>
      <c r="Z919" s="233"/>
    </row>
    <row r="920">
      <c r="A920" s="233"/>
      <c r="B920" s="233"/>
      <c r="C920" s="233"/>
      <c r="D920" s="233"/>
      <c r="E920" s="233"/>
      <c r="F920" s="233"/>
      <c r="G920" s="233"/>
      <c r="H920" s="233"/>
      <c r="I920" s="233"/>
      <c r="J920" s="233"/>
      <c r="K920" s="233"/>
      <c r="L920" s="233"/>
      <c r="M920" s="233"/>
      <c r="N920" s="233"/>
      <c r="O920" s="233"/>
      <c r="P920" s="233"/>
      <c r="Q920" s="233"/>
      <c r="R920" s="233"/>
      <c r="S920" s="233"/>
      <c r="T920" s="233"/>
      <c r="U920" s="233"/>
      <c r="V920" s="233"/>
      <c r="W920" s="233"/>
      <c r="X920" s="233"/>
      <c r="Y920" s="233"/>
      <c r="Z920" s="233"/>
    </row>
    <row r="921">
      <c r="A921" s="233"/>
      <c r="B921" s="233"/>
      <c r="C921" s="233"/>
      <c r="D921" s="233"/>
      <c r="E921" s="233"/>
      <c r="F921" s="233"/>
      <c r="G921" s="233"/>
      <c r="H921" s="233"/>
      <c r="I921" s="233"/>
      <c r="J921" s="233"/>
      <c r="K921" s="233"/>
      <c r="L921" s="233"/>
      <c r="M921" s="233"/>
      <c r="N921" s="233"/>
      <c r="O921" s="233"/>
      <c r="P921" s="233"/>
      <c r="Q921" s="233"/>
      <c r="R921" s="233"/>
      <c r="S921" s="233"/>
      <c r="T921" s="233"/>
      <c r="U921" s="233"/>
      <c r="V921" s="233"/>
      <c r="W921" s="233"/>
      <c r="X921" s="233"/>
      <c r="Y921" s="233"/>
      <c r="Z921" s="233"/>
    </row>
    <row r="922">
      <c r="A922" s="233"/>
      <c r="B922" s="233"/>
      <c r="C922" s="233"/>
      <c r="D922" s="233"/>
      <c r="E922" s="233"/>
      <c r="F922" s="233"/>
      <c r="G922" s="233"/>
      <c r="H922" s="233"/>
      <c r="I922" s="233"/>
      <c r="J922" s="233"/>
      <c r="K922" s="233"/>
      <c r="L922" s="233"/>
      <c r="M922" s="233"/>
      <c r="N922" s="233"/>
      <c r="O922" s="233"/>
      <c r="P922" s="233"/>
      <c r="Q922" s="233"/>
      <c r="R922" s="233"/>
      <c r="S922" s="233"/>
      <c r="T922" s="233"/>
      <c r="U922" s="233"/>
      <c r="V922" s="233"/>
      <c r="W922" s="233"/>
      <c r="X922" s="233"/>
      <c r="Y922" s="233"/>
      <c r="Z922" s="233"/>
    </row>
    <row r="923">
      <c r="A923" s="233"/>
      <c r="B923" s="233"/>
      <c r="C923" s="233"/>
      <c r="D923" s="233"/>
      <c r="E923" s="233"/>
      <c r="F923" s="233"/>
      <c r="G923" s="233"/>
      <c r="H923" s="233"/>
      <c r="I923" s="233"/>
      <c r="J923" s="233"/>
      <c r="K923" s="233"/>
      <c r="L923" s="233"/>
      <c r="M923" s="233"/>
      <c r="N923" s="233"/>
      <c r="O923" s="233"/>
      <c r="P923" s="233"/>
      <c r="Q923" s="233"/>
      <c r="R923" s="233"/>
      <c r="S923" s="233"/>
      <c r="T923" s="233"/>
      <c r="U923" s="233"/>
      <c r="V923" s="233"/>
      <c r="W923" s="233"/>
      <c r="X923" s="233"/>
      <c r="Y923" s="233"/>
      <c r="Z923" s="233"/>
    </row>
    <row r="924">
      <c r="A924" s="233"/>
      <c r="B924" s="233"/>
      <c r="C924" s="233"/>
      <c r="D924" s="233"/>
      <c r="E924" s="233"/>
      <c r="F924" s="233"/>
      <c r="G924" s="233"/>
      <c r="H924" s="233"/>
      <c r="I924" s="233"/>
      <c r="J924" s="233"/>
      <c r="K924" s="233"/>
      <c r="L924" s="233"/>
      <c r="M924" s="233"/>
      <c r="N924" s="233"/>
      <c r="O924" s="233"/>
      <c r="P924" s="233"/>
      <c r="Q924" s="233"/>
      <c r="R924" s="233"/>
      <c r="S924" s="233"/>
      <c r="T924" s="233"/>
      <c r="U924" s="233"/>
      <c r="V924" s="233"/>
      <c r="W924" s="233"/>
      <c r="X924" s="233"/>
      <c r="Y924" s="233"/>
      <c r="Z924" s="233"/>
    </row>
    <row r="925">
      <c r="A925" s="233"/>
      <c r="B925" s="233"/>
      <c r="C925" s="233"/>
      <c r="D925" s="233"/>
      <c r="E925" s="233"/>
      <c r="F925" s="233"/>
      <c r="G925" s="233"/>
      <c r="H925" s="233"/>
      <c r="I925" s="233"/>
      <c r="J925" s="233"/>
      <c r="K925" s="233"/>
      <c r="L925" s="233"/>
      <c r="M925" s="233"/>
      <c r="N925" s="233"/>
      <c r="O925" s="233"/>
      <c r="P925" s="233"/>
      <c r="Q925" s="233"/>
      <c r="R925" s="233"/>
      <c r="S925" s="233"/>
      <c r="T925" s="233"/>
      <c r="U925" s="233"/>
      <c r="V925" s="233"/>
      <c r="W925" s="233"/>
      <c r="X925" s="233"/>
      <c r="Y925" s="233"/>
      <c r="Z925" s="233"/>
    </row>
    <row r="926">
      <c r="A926" s="233"/>
      <c r="B926" s="233"/>
      <c r="C926" s="233"/>
      <c r="D926" s="233"/>
      <c r="E926" s="233"/>
      <c r="F926" s="233"/>
      <c r="G926" s="233"/>
      <c r="H926" s="233"/>
      <c r="I926" s="233"/>
      <c r="J926" s="233"/>
      <c r="K926" s="233"/>
      <c r="L926" s="233"/>
      <c r="M926" s="233"/>
      <c r="N926" s="233"/>
      <c r="O926" s="233"/>
      <c r="P926" s="233"/>
      <c r="Q926" s="233"/>
      <c r="R926" s="233"/>
      <c r="S926" s="233"/>
      <c r="T926" s="233"/>
      <c r="U926" s="233"/>
      <c r="V926" s="233"/>
      <c r="W926" s="233"/>
      <c r="X926" s="233"/>
      <c r="Y926" s="233"/>
      <c r="Z926" s="233"/>
    </row>
    <row r="927">
      <c r="A927" s="233"/>
      <c r="B927" s="233"/>
      <c r="C927" s="233"/>
      <c r="D927" s="233"/>
      <c r="E927" s="233"/>
      <c r="F927" s="233"/>
      <c r="G927" s="233"/>
      <c r="H927" s="233"/>
      <c r="I927" s="233"/>
      <c r="J927" s="233"/>
      <c r="K927" s="233"/>
      <c r="L927" s="233"/>
      <c r="M927" s="233"/>
      <c r="N927" s="233"/>
      <c r="O927" s="233"/>
      <c r="P927" s="233"/>
      <c r="Q927" s="233"/>
      <c r="R927" s="233"/>
      <c r="S927" s="233"/>
      <c r="T927" s="233"/>
      <c r="U927" s="233"/>
      <c r="V927" s="233"/>
      <c r="W927" s="233"/>
      <c r="X927" s="233"/>
      <c r="Y927" s="233"/>
      <c r="Z927" s="233"/>
    </row>
    <row r="928">
      <c r="A928" s="233"/>
      <c r="B928" s="233"/>
      <c r="C928" s="233"/>
      <c r="D928" s="233"/>
      <c r="E928" s="233"/>
      <c r="F928" s="233"/>
      <c r="G928" s="233"/>
      <c r="H928" s="233"/>
      <c r="I928" s="233"/>
      <c r="J928" s="233"/>
      <c r="K928" s="233"/>
      <c r="L928" s="233"/>
      <c r="M928" s="233"/>
      <c r="N928" s="233"/>
      <c r="O928" s="233"/>
      <c r="P928" s="233"/>
      <c r="Q928" s="233"/>
      <c r="R928" s="233"/>
      <c r="S928" s="233"/>
      <c r="T928" s="233"/>
      <c r="U928" s="233"/>
      <c r="V928" s="233"/>
      <c r="W928" s="233"/>
      <c r="X928" s="233"/>
      <c r="Y928" s="233"/>
      <c r="Z928" s="233"/>
    </row>
    <row r="929">
      <c r="A929" s="233"/>
      <c r="B929" s="233"/>
      <c r="C929" s="233"/>
      <c r="D929" s="233"/>
      <c r="E929" s="233"/>
      <c r="F929" s="233"/>
      <c r="G929" s="233"/>
      <c r="H929" s="233"/>
      <c r="I929" s="233"/>
      <c r="J929" s="233"/>
      <c r="K929" s="233"/>
      <c r="L929" s="233"/>
      <c r="M929" s="233"/>
      <c r="N929" s="233"/>
      <c r="O929" s="233"/>
      <c r="P929" s="233"/>
      <c r="Q929" s="233"/>
      <c r="R929" s="233"/>
      <c r="S929" s="233"/>
      <c r="T929" s="233"/>
      <c r="U929" s="233"/>
      <c r="V929" s="233"/>
      <c r="W929" s="233"/>
      <c r="X929" s="233"/>
      <c r="Y929" s="233"/>
      <c r="Z929" s="233"/>
    </row>
    <row r="930">
      <c r="A930" s="233"/>
      <c r="B930" s="233"/>
      <c r="C930" s="233"/>
      <c r="D930" s="233"/>
      <c r="E930" s="233"/>
      <c r="F930" s="233"/>
      <c r="G930" s="233"/>
      <c r="H930" s="233"/>
      <c r="I930" s="233"/>
      <c r="J930" s="233"/>
      <c r="K930" s="233"/>
      <c r="L930" s="233"/>
      <c r="M930" s="233"/>
      <c r="N930" s="233"/>
      <c r="O930" s="233"/>
      <c r="P930" s="233"/>
      <c r="Q930" s="233"/>
      <c r="R930" s="233"/>
      <c r="S930" s="233"/>
      <c r="T930" s="233"/>
      <c r="U930" s="233"/>
      <c r="V930" s="233"/>
      <c r="W930" s="233"/>
      <c r="X930" s="233"/>
      <c r="Y930" s="233"/>
      <c r="Z930" s="233"/>
    </row>
    <row r="931">
      <c r="A931" s="233"/>
      <c r="B931" s="233"/>
      <c r="C931" s="233"/>
      <c r="D931" s="233"/>
      <c r="E931" s="233"/>
      <c r="F931" s="233"/>
      <c r="G931" s="233"/>
      <c r="H931" s="233"/>
      <c r="I931" s="233"/>
      <c r="J931" s="233"/>
      <c r="K931" s="233"/>
      <c r="L931" s="233"/>
      <c r="M931" s="233"/>
      <c r="N931" s="233"/>
      <c r="O931" s="233"/>
      <c r="P931" s="233"/>
      <c r="Q931" s="233"/>
      <c r="R931" s="233"/>
      <c r="S931" s="233"/>
      <c r="T931" s="233"/>
      <c r="U931" s="233"/>
      <c r="V931" s="233"/>
      <c r="W931" s="233"/>
      <c r="X931" s="233"/>
      <c r="Y931" s="233"/>
      <c r="Z931" s="233"/>
    </row>
    <row r="932">
      <c r="A932" s="233"/>
      <c r="B932" s="233"/>
      <c r="C932" s="233"/>
      <c r="D932" s="233"/>
      <c r="E932" s="233"/>
      <c r="F932" s="233"/>
      <c r="G932" s="233"/>
      <c r="H932" s="233"/>
      <c r="I932" s="233"/>
      <c r="J932" s="233"/>
      <c r="K932" s="233"/>
      <c r="L932" s="233"/>
      <c r="M932" s="233"/>
      <c r="N932" s="233"/>
      <c r="O932" s="233"/>
      <c r="P932" s="233"/>
      <c r="Q932" s="233"/>
      <c r="R932" s="233"/>
      <c r="S932" s="233"/>
      <c r="T932" s="233"/>
      <c r="U932" s="233"/>
      <c r="V932" s="233"/>
      <c r="W932" s="233"/>
      <c r="X932" s="233"/>
      <c r="Y932" s="233"/>
      <c r="Z932" s="233"/>
    </row>
    <row r="933">
      <c r="A933" s="233"/>
      <c r="B933" s="233"/>
      <c r="C933" s="233"/>
      <c r="D933" s="233"/>
      <c r="E933" s="233"/>
      <c r="F933" s="233"/>
      <c r="G933" s="233"/>
      <c r="H933" s="233"/>
      <c r="I933" s="233"/>
      <c r="J933" s="233"/>
      <c r="K933" s="233"/>
      <c r="L933" s="233"/>
      <c r="M933" s="233"/>
      <c r="N933" s="233"/>
      <c r="O933" s="233"/>
      <c r="P933" s="233"/>
      <c r="Q933" s="233"/>
      <c r="R933" s="233"/>
      <c r="S933" s="233"/>
      <c r="T933" s="233"/>
      <c r="U933" s="233"/>
      <c r="V933" s="233"/>
      <c r="W933" s="233"/>
      <c r="X933" s="233"/>
      <c r="Y933" s="233"/>
      <c r="Z933" s="233"/>
    </row>
    <row r="934">
      <c r="A934" s="233"/>
      <c r="B934" s="233"/>
      <c r="C934" s="233"/>
      <c r="D934" s="233"/>
      <c r="E934" s="233"/>
      <c r="F934" s="233"/>
      <c r="G934" s="233"/>
      <c r="H934" s="233"/>
      <c r="I934" s="233"/>
      <c r="J934" s="233"/>
      <c r="K934" s="233"/>
      <c r="L934" s="233"/>
      <c r="M934" s="233"/>
      <c r="N934" s="233"/>
      <c r="O934" s="233"/>
      <c r="P934" s="233"/>
      <c r="Q934" s="233"/>
      <c r="R934" s="233"/>
      <c r="S934" s="233"/>
      <c r="T934" s="233"/>
      <c r="U934" s="233"/>
      <c r="V934" s="233"/>
      <c r="W934" s="233"/>
      <c r="X934" s="233"/>
      <c r="Y934" s="233"/>
      <c r="Z934" s="233"/>
    </row>
    <row r="935">
      <c r="A935" s="233"/>
      <c r="B935" s="233"/>
      <c r="C935" s="233"/>
      <c r="D935" s="233"/>
      <c r="E935" s="233"/>
      <c r="F935" s="233"/>
      <c r="G935" s="233"/>
      <c r="H935" s="233"/>
      <c r="I935" s="233"/>
      <c r="J935" s="233"/>
      <c r="K935" s="233"/>
      <c r="L935" s="233"/>
      <c r="M935" s="233"/>
      <c r="N935" s="233"/>
      <c r="O935" s="233"/>
      <c r="P935" s="233"/>
      <c r="Q935" s="233"/>
      <c r="R935" s="233"/>
      <c r="S935" s="233"/>
      <c r="T935" s="233"/>
      <c r="U935" s="233"/>
      <c r="V935" s="233"/>
      <c r="W935" s="233"/>
      <c r="X935" s="233"/>
      <c r="Y935" s="233"/>
      <c r="Z935" s="233"/>
    </row>
    <row r="936">
      <c r="A936" s="233"/>
      <c r="B936" s="233"/>
      <c r="C936" s="233"/>
      <c r="D936" s="233"/>
      <c r="E936" s="233"/>
      <c r="F936" s="233"/>
      <c r="G936" s="233"/>
      <c r="H936" s="233"/>
      <c r="I936" s="233"/>
      <c r="J936" s="233"/>
      <c r="K936" s="233"/>
      <c r="L936" s="233"/>
      <c r="M936" s="233"/>
      <c r="N936" s="233"/>
      <c r="O936" s="233"/>
      <c r="P936" s="233"/>
      <c r="Q936" s="233"/>
      <c r="R936" s="233"/>
      <c r="S936" s="233"/>
      <c r="T936" s="233"/>
      <c r="U936" s="233"/>
      <c r="V936" s="233"/>
      <c r="W936" s="233"/>
      <c r="X936" s="233"/>
      <c r="Y936" s="233"/>
      <c r="Z936" s="233"/>
    </row>
    <row r="937">
      <c r="A937" s="233"/>
      <c r="B937" s="233"/>
      <c r="C937" s="233"/>
      <c r="D937" s="233"/>
      <c r="E937" s="233"/>
      <c r="F937" s="233"/>
      <c r="G937" s="233"/>
      <c r="H937" s="233"/>
      <c r="I937" s="233"/>
      <c r="J937" s="233"/>
      <c r="K937" s="233"/>
      <c r="L937" s="233"/>
      <c r="M937" s="233"/>
      <c r="N937" s="233"/>
      <c r="O937" s="233"/>
      <c r="P937" s="233"/>
      <c r="Q937" s="233"/>
      <c r="R937" s="233"/>
      <c r="S937" s="233"/>
      <c r="T937" s="233"/>
      <c r="U937" s="233"/>
      <c r="V937" s="233"/>
      <c r="W937" s="233"/>
      <c r="X937" s="233"/>
      <c r="Y937" s="233"/>
      <c r="Z937" s="233"/>
    </row>
    <row r="938">
      <c r="A938" s="233"/>
      <c r="B938" s="233"/>
      <c r="C938" s="233"/>
      <c r="D938" s="233"/>
      <c r="E938" s="233"/>
      <c r="F938" s="233"/>
      <c r="G938" s="233"/>
      <c r="H938" s="233"/>
      <c r="I938" s="233"/>
      <c r="J938" s="233"/>
      <c r="K938" s="233"/>
      <c r="L938" s="233"/>
      <c r="M938" s="233"/>
      <c r="N938" s="233"/>
      <c r="O938" s="233"/>
      <c r="P938" s="233"/>
      <c r="Q938" s="233"/>
      <c r="R938" s="233"/>
      <c r="S938" s="233"/>
      <c r="T938" s="233"/>
      <c r="U938" s="233"/>
      <c r="V938" s="233"/>
      <c r="W938" s="233"/>
      <c r="X938" s="233"/>
      <c r="Y938" s="233"/>
      <c r="Z938" s="233"/>
    </row>
    <row r="939">
      <c r="A939" s="233"/>
      <c r="B939" s="233"/>
      <c r="C939" s="233"/>
      <c r="D939" s="233"/>
      <c r="E939" s="233"/>
      <c r="F939" s="233"/>
      <c r="G939" s="233"/>
      <c r="H939" s="233"/>
      <c r="I939" s="233"/>
      <c r="J939" s="233"/>
      <c r="K939" s="233"/>
      <c r="L939" s="233"/>
      <c r="M939" s="233"/>
      <c r="N939" s="233"/>
      <c r="O939" s="233"/>
      <c r="P939" s="233"/>
      <c r="Q939" s="233"/>
      <c r="R939" s="233"/>
      <c r="S939" s="233"/>
      <c r="T939" s="233"/>
      <c r="U939" s="233"/>
      <c r="V939" s="233"/>
      <c r="W939" s="233"/>
      <c r="X939" s="233"/>
      <c r="Y939" s="233"/>
      <c r="Z939" s="233"/>
    </row>
    <row r="940">
      <c r="A940" s="233"/>
      <c r="B940" s="233"/>
      <c r="C940" s="233"/>
      <c r="D940" s="233"/>
      <c r="E940" s="233"/>
      <c r="F940" s="233"/>
      <c r="G940" s="233"/>
      <c r="H940" s="233"/>
      <c r="I940" s="233"/>
      <c r="J940" s="233"/>
      <c r="K940" s="233"/>
      <c r="L940" s="233"/>
      <c r="M940" s="233"/>
      <c r="N940" s="233"/>
      <c r="O940" s="233"/>
      <c r="P940" s="233"/>
      <c r="Q940" s="233"/>
      <c r="R940" s="233"/>
      <c r="S940" s="233"/>
      <c r="T940" s="233"/>
      <c r="U940" s="233"/>
      <c r="V940" s="233"/>
      <c r="W940" s="233"/>
      <c r="X940" s="233"/>
      <c r="Y940" s="233"/>
      <c r="Z940" s="233"/>
    </row>
    <row r="941">
      <c r="A941" s="233"/>
      <c r="B941" s="233"/>
      <c r="C941" s="233"/>
      <c r="D941" s="233"/>
      <c r="E941" s="233"/>
      <c r="F941" s="233"/>
      <c r="G941" s="233"/>
      <c r="H941" s="233"/>
      <c r="I941" s="233"/>
      <c r="J941" s="233"/>
      <c r="K941" s="233"/>
      <c r="L941" s="233"/>
      <c r="M941" s="233"/>
      <c r="N941" s="233"/>
      <c r="O941" s="233"/>
      <c r="P941" s="233"/>
      <c r="Q941" s="233"/>
      <c r="R941" s="233"/>
      <c r="S941" s="233"/>
      <c r="T941" s="233"/>
      <c r="U941" s="233"/>
      <c r="V941" s="233"/>
      <c r="W941" s="233"/>
      <c r="X941" s="233"/>
      <c r="Y941" s="233"/>
      <c r="Z941" s="233"/>
    </row>
    <row r="942">
      <c r="A942" s="233"/>
      <c r="B942" s="233"/>
      <c r="C942" s="233"/>
      <c r="D942" s="233"/>
      <c r="E942" s="233"/>
      <c r="F942" s="233"/>
      <c r="G942" s="233"/>
      <c r="H942" s="233"/>
      <c r="I942" s="233"/>
      <c r="J942" s="233"/>
      <c r="K942" s="233"/>
      <c r="L942" s="233"/>
      <c r="M942" s="233"/>
      <c r="N942" s="233"/>
      <c r="O942" s="233"/>
      <c r="P942" s="233"/>
      <c r="Q942" s="233"/>
      <c r="R942" s="233"/>
      <c r="S942" s="233"/>
      <c r="T942" s="233"/>
      <c r="U942" s="233"/>
      <c r="V942" s="233"/>
      <c r="W942" s="233"/>
      <c r="X942" s="233"/>
      <c r="Y942" s="233"/>
      <c r="Z942" s="233"/>
    </row>
    <row r="943">
      <c r="A943" s="233"/>
      <c r="B943" s="233"/>
      <c r="C943" s="233"/>
      <c r="D943" s="233"/>
      <c r="E943" s="233"/>
      <c r="F943" s="233"/>
      <c r="G943" s="233"/>
      <c r="H943" s="233"/>
      <c r="I943" s="233"/>
      <c r="J943" s="233"/>
      <c r="K943" s="233"/>
      <c r="L943" s="233"/>
      <c r="M943" s="233"/>
      <c r="N943" s="233"/>
      <c r="O943" s="233"/>
      <c r="P943" s="233"/>
      <c r="Q943" s="233"/>
      <c r="R943" s="233"/>
      <c r="S943" s="233"/>
      <c r="T943" s="233"/>
      <c r="U943" s="233"/>
      <c r="V943" s="233"/>
      <c r="W943" s="233"/>
      <c r="X943" s="233"/>
      <c r="Y943" s="233"/>
      <c r="Z943" s="233"/>
    </row>
    <row r="944">
      <c r="A944" s="233"/>
      <c r="B944" s="233"/>
      <c r="C944" s="233"/>
      <c r="D944" s="233"/>
      <c r="E944" s="233"/>
      <c r="F944" s="233"/>
      <c r="G944" s="233"/>
      <c r="H944" s="233"/>
      <c r="I944" s="233"/>
      <c r="J944" s="233"/>
      <c r="K944" s="233"/>
      <c r="L944" s="233"/>
      <c r="M944" s="233"/>
      <c r="N944" s="233"/>
      <c r="O944" s="233"/>
      <c r="P944" s="233"/>
      <c r="Q944" s="233"/>
      <c r="R944" s="233"/>
      <c r="S944" s="233"/>
      <c r="T944" s="233"/>
      <c r="U944" s="233"/>
      <c r="V944" s="233"/>
      <c r="W944" s="233"/>
      <c r="X944" s="233"/>
      <c r="Y944" s="233"/>
      <c r="Z944" s="233"/>
    </row>
    <row r="945">
      <c r="A945" s="233"/>
      <c r="B945" s="233"/>
      <c r="C945" s="233"/>
      <c r="D945" s="233"/>
      <c r="E945" s="233"/>
      <c r="F945" s="233"/>
      <c r="G945" s="233"/>
      <c r="H945" s="233"/>
      <c r="I945" s="233"/>
      <c r="J945" s="233"/>
      <c r="K945" s="233"/>
      <c r="L945" s="233"/>
      <c r="M945" s="233"/>
      <c r="N945" s="233"/>
      <c r="O945" s="233"/>
      <c r="P945" s="233"/>
      <c r="Q945" s="233"/>
      <c r="R945" s="233"/>
      <c r="S945" s="233"/>
      <c r="T945" s="233"/>
      <c r="U945" s="233"/>
      <c r="V945" s="233"/>
      <c r="W945" s="233"/>
      <c r="X945" s="233"/>
      <c r="Y945" s="233"/>
      <c r="Z945" s="233"/>
    </row>
    <row r="946">
      <c r="A946" s="233"/>
      <c r="B946" s="233"/>
      <c r="C946" s="233"/>
      <c r="D946" s="233"/>
      <c r="E946" s="233"/>
      <c r="F946" s="233"/>
      <c r="G946" s="233"/>
      <c r="H946" s="233"/>
      <c r="I946" s="233"/>
      <c r="J946" s="233"/>
      <c r="K946" s="233"/>
      <c r="L946" s="233"/>
      <c r="M946" s="233"/>
      <c r="N946" s="233"/>
      <c r="O946" s="233"/>
      <c r="P946" s="233"/>
      <c r="Q946" s="233"/>
      <c r="R946" s="233"/>
      <c r="S946" s="233"/>
      <c r="T946" s="233"/>
      <c r="U946" s="233"/>
      <c r="V946" s="233"/>
      <c r="W946" s="233"/>
      <c r="X946" s="233"/>
      <c r="Y946" s="233"/>
      <c r="Z946" s="233"/>
    </row>
    <row r="947">
      <c r="A947" s="233"/>
      <c r="B947" s="233"/>
      <c r="C947" s="233"/>
      <c r="D947" s="233"/>
      <c r="E947" s="233"/>
      <c r="F947" s="233"/>
      <c r="G947" s="233"/>
      <c r="H947" s="233"/>
      <c r="I947" s="233"/>
      <c r="J947" s="233"/>
      <c r="K947" s="233"/>
      <c r="L947" s="233"/>
      <c r="M947" s="233"/>
      <c r="N947" s="233"/>
      <c r="O947" s="233"/>
      <c r="P947" s="233"/>
      <c r="Q947" s="233"/>
      <c r="R947" s="233"/>
      <c r="S947" s="233"/>
      <c r="T947" s="233"/>
      <c r="U947" s="233"/>
      <c r="V947" s="233"/>
      <c r="W947" s="233"/>
      <c r="X947" s="233"/>
      <c r="Y947" s="233"/>
      <c r="Z947" s="233"/>
    </row>
    <row r="948">
      <c r="A948" s="233"/>
      <c r="B948" s="233"/>
      <c r="C948" s="233"/>
      <c r="D948" s="233"/>
      <c r="E948" s="233"/>
      <c r="F948" s="233"/>
      <c r="G948" s="233"/>
      <c r="H948" s="233"/>
      <c r="I948" s="233"/>
      <c r="J948" s="233"/>
      <c r="K948" s="233"/>
      <c r="L948" s="233"/>
      <c r="M948" s="233"/>
      <c r="N948" s="233"/>
      <c r="O948" s="233"/>
      <c r="P948" s="233"/>
      <c r="Q948" s="233"/>
      <c r="R948" s="233"/>
      <c r="S948" s="233"/>
      <c r="T948" s="233"/>
      <c r="U948" s="233"/>
      <c r="V948" s="233"/>
      <c r="W948" s="233"/>
      <c r="X948" s="233"/>
      <c r="Y948" s="233"/>
      <c r="Z948" s="233"/>
    </row>
    <row r="949">
      <c r="A949" s="233"/>
      <c r="B949" s="233"/>
      <c r="C949" s="233"/>
      <c r="D949" s="233"/>
      <c r="E949" s="233"/>
      <c r="F949" s="233"/>
      <c r="G949" s="233"/>
      <c r="H949" s="233"/>
      <c r="I949" s="233"/>
      <c r="J949" s="233"/>
      <c r="K949" s="233"/>
      <c r="L949" s="233"/>
      <c r="M949" s="233"/>
      <c r="N949" s="233"/>
      <c r="O949" s="233"/>
      <c r="P949" s="233"/>
      <c r="Q949" s="233"/>
      <c r="R949" s="233"/>
      <c r="S949" s="233"/>
      <c r="T949" s="233"/>
      <c r="U949" s="233"/>
      <c r="V949" s="233"/>
      <c r="W949" s="233"/>
      <c r="X949" s="233"/>
      <c r="Y949" s="233"/>
      <c r="Z949" s="233"/>
    </row>
    <row r="950">
      <c r="A950" s="233"/>
      <c r="B950" s="233"/>
      <c r="C950" s="233"/>
      <c r="D950" s="233"/>
      <c r="E950" s="233"/>
      <c r="F950" s="233"/>
      <c r="G950" s="233"/>
      <c r="H950" s="233"/>
      <c r="I950" s="233"/>
      <c r="J950" s="233"/>
      <c r="K950" s="233"/>
      <c r="L950" s="233"/>
      <c r="M950" s="233"/>
      <c r="N950" s="233"/>
      <c r="O950" s="233"/>
      <c r="P950" s="233"/>
      <c r="Q950" s="233"/>
      <c r="R950" s="233"/>
      <c r="S950" s="233"/>
      <c r="T950" s="233"/>
      <c r="U950" s="233"/>
      <c r="V950" s="233"/>
      <c r="W950" s="233"/>
      <c r="X950" s="233"/>
      <c r="Y950" s="233"/>
      <c r="Z950" s="233"/>
    </row>
    <row r="951">
      <c r="A951" s="233"/>
      <c r="B951" s="233"/>
      <c r="C951" s="233"/>
      <c r="D951" s="233"/>
      <c r="E951" s="233"/>
      <c r="F951" s="233"/>
      <c r="G951" s="233"/>
      <c r="H951" s="233"/>
      <c r="I951" s="233"/>
      <c r="J951" s="233"/>
      <c r="K951" s="233"/>
      <c r="L951" s="233"/>
      <c r="M951" s="233"/>
      <c r="N951" s="233"/>
      <c r="O951" s="233"/>
      <c r="P951" s="233"/>
      <c r="Q951" s="233"/>
      <c r="R951" s="233"/>
      <c r="S951" s="233"/>
      <c r="T951" s="233"/>
      <c r="U951" s="233"/>
      <c r="V951" s="233"/>
      <c r="W951" s="233"/>
      <c r="X951" s="233"/>
      <c r="Y951" s="233"/>
      <c r="Z951" s="233"/>
    </row>
    <row r="952">
      <c r="A952" s="233"/>
      <c r="B952" s="233"/>
      <c r="C952" s="233"/>
      <c r="D952" s="233"/>
      <c r="E952" s="233"/>
      <c r="F952" s="233"/>
      <c r="G952" s="233"/>
      <c r="H952" s="233"/>
      <c r="I952" s="233"/>
      <c r="J952" s="233"/>
      <c r="K952" s="233"/>
      <c r="L952" s="233"/>
      <c r="M952" s="233"/>
      <c r="N952" s="233"/>
      <c r="O952" s="233"/>
      <c r="P952" s="233"/>
      <c r="Q952" s="233"/>
      <c r="R952" s="233"/>
      <c r="S952" s="233"/>
      <c r="T952" s="233"/>
      <c r="U952" s="233"/>
      <c r="V952" s="233"/>
      <c r="W952" s="233"/>
      <c r="X952" s="233"/>
      <c r="Y952" s="233"/>
      <c r="Z952" s="233"/>
    </row>
    <row r="953">
      <c r="A953" s="233"/>
      <c r="B953" s="233"/>
      <c r="C953" s="233"/>
      <c r="D953" s="233"/>
      <c r="E953" s="233"/>
      <c r="F953" s="233"/>
      <c r="G953" s="233"/>
      <c r="H953" s="233"/>
      <c r="I953" s="233"/>
      <c r="J953" s="233"/>
      <c r="K953" s="233"/>
      <c r="L953" s="233"/>
      <c r="M953" s="233"/>
      <c r="N953" s="233"/>
      <c r="O953" s="233"/>
      <c r="P953" s="233"/>
      <c r="Q953" s="233"/>
      <c r="R953" s="233"/>
      <c r="S953" s="233"/>
      <c r="T953" s="233"/>
      <c r="U953" s="233"/>
      <c r="V953" s="233"/>
      <c r="W953" s="233"/>
      <c r="X953" s="233"/>
      <c r="Y953" s="233"/>
      <c r="Z953" s="233"/>
    </row>
    <row r="954">
      <c r="A954" s="233"/>
      <c r="B954" s="233"/>
      <c r="C954" s="233"/>
      <c r="D954" s="233"/>
      <c r="E954" s="233"/>
      <c r="F954" s="233"/>
      <c r="G954" s="233"/>
      <c r="H954" s="233"/>
      <c r="I954" s="233"/>
      <c r="J954" s="233"/>
      <c r="K954" s="233"/>
      <c r="L954" s="233"/>
      <c r="M954" s="233"/>
      <c r="N954" s="233"/>
      <c r="O954" s="233"/>
      <c r="P954" s="233"/>
      <c r="Q954" s="233"/>
      <c r="R954" s="233"/>
      <c r="S954" s="233"/>
      <c r="T954" s="233"/>
      <c r="U954" s="233"/>
      <c r="V954" s="233"/>
      <c r="W954" s="233"/>
      <c r="X954" s="233"/>
      <c r="Y954" s="233"/>
      <c r="Z954" s="233"/>
    </row>
    <row r="955">
      <c r="A955" s="233"/>
      <c r="B955" s="233"/>
      <c r="C955" s="233"/>
      <c r="D955" s="233"/>
      <c r="E955" s="233"/>
      <c r="F955" s="233"/>
      <c r="G955" s="233"/>
      <c r="H955" s="233"/>
      <c r="I955" s="233"/>
      <c r="J955" s="233"/>
      <c r="K955" s="233"/>
      <c r="L955" s="233"/>
      <c r="M955" s="233"/>
      <c r="N955" s="233"/>
      <c r="O955" s="233"/>
      <c r="P955" s="233"/>
      <c r="Q955" s="233"/>
      <c r="R955" s="233"/>
      <c r="S955" s="233"/>
      <c r="T955" s="233"/>
      <c r="U955" s="233"/>
      <c r="V955" s="233"/>
      <c r="W955" s="233"/>
      <c r="X955" s="233"/>
      <c r="Y955" s="233"/>
      <c r="Z955" s="233"/>
    </row>
    <row r="956">
      <c r="A956" s="233"/>
      <c r="B956" s="233"/>
      <c r="C956" s="233"/>
      <c r="D956" s="233"/>
      <c r="E956" s="233"/>
      <c r="F956" s="233"/>
      <c r="G956" s="233"/>
      <c r="H956" s="233"/>
      <c r="I956" s="233"/>
      <c r="J956" s="233"/>
      <c r="K956" s="233"/>
      <c r="L956" s="233"/>
      <c r="M956" s="233"/>
      <c r="N956" s="233"/>
      <c r="O956" s="233"/>
      <c r="P956" s="233"/>
      <c r="Q956" s="233"/>
      <c r="R956" s="233"/>
      <c r="S956" s="233"/>
      <c r="T956" s="233"/>
      <c r="U956" s="233"/>
      <c r="V956" s="233"/>
      <c r="W956" s="233"/>
      <c r="X956" s="233"/>
      <c r="Y956" s="233"/>
      <c r="Z956" s="233"/>
    </row>
    <row r="957">
      <c r="A957" s="233"/>
      <c r="B957" s="233"/>
      <c r="C957" s="233"/>
      <c r="D957" s="233"/>
      <c r="E957" s="233"/>
      <c r="F957" s="233"/>
      <c r="G957" s="233"/>
      <c r="H957" s="233"/>
      <c r="I957" s="233"/>
      <c r="J957" s="233"/>
      <c r="K957" s="233"/>
      <c r="L957" s="233"/>
      <c r="M957" s="233"/>
      <c r="N957" s="233"/>
      <c r="O957" s="233"/>
      <c r="P957" s="233"/>
      <c r="Q957" s="233"/>
      <c r="R957" s="233"/>
      <c r="S957" s="233"/>
      <c r="T957" s="233"/>
      <c r="U957" s="233"/>
      <c r="V957" s="233"/>
      <c r="W957" s="233"/>
      <c r="X957" s="233"/>
      <c r="Y957" s="233"/>
      <c r="Z957" s="233"/>
    </row>
    <row r="958">
      <c r="A958" s="233"/>
      <c r="B958" s="233"/>
      <c r="C958" s="233"/>
      <c r="D958" s="233"/>
      <c r="E958" s="233"/>
      <c r="F958" s="233"/>
      <c r="G958" s="233"/>
      <c r="H958" s="233"/>
      <c r="I958" s="233"/>
      <c r="J958" s="233"/>
      <c r="K958" s="233"/>
      <c r="L958" s="233"/>
      <c r="M958" s="233"/>
      <c r="N958" s="233"/>
      <c r="O958" s="233"/>
      <c r="P958" s="233"/>
      <c r="Q958" s="233"/>
      <c r="R958" s="233"/>
      <c r="S958" s="233"/>
      <c r="T958" s="233"/>
      <c r="U958" s="233"/>
      <c r="V958" s="233"/>
      <c r="W958" s="233"/>
      <c r="X958" s="233"/>
      <c r="Y958" s="233"/>
      <c r="Z958" s="233"/>
    </row>
    <row r="959">
      <c r="A959" s="233"/>
      <c r="B959" s="233"/>
      <c r="C959" s="233"/>
      <c r="D959" s="233"/>
      <c r="E959" s="233"/>
      <c r="F959" s="233"/>
      <c r="G959" s="233"/>
      <c r="H959" s="233"/>
      <c r="I959" s="233"/>
      <c r="J959" s="233"/>
      <c r="K959" s="233"/>
      <c r="L959" s="233"/>
      <c r="M959" s="233"/>
      <c r="N959" s="233"/>
      <c r="O959" s="233"/>
      <c r="P959" s="233"/>
      <c r="Q959" s="233"/>
      <c r="R959" s="233"/>
      <c r="S959" s="233"/>
      <c r="T959" s="233"/>
      <c r="U959" s="233"/>
      <c r="V959" s="233"/>
      <c r="W959" s="233"/>
      <c r="X959" s="233"/>
      <c r="Y959" s="233"/>
      <c r="Z959" s="233"/>
    </row>
    <row r="960">
      <c r="A960" s="233"/>
      <c r="B960" s="233"/>
      <c r="C960" s="233"/>
      <c r="D960" s="233"/>
      <c r="E960" s="233"/>
      <c r="F960" s="233"/>
      <c r="G960" s="233"/>
      <c r="H960" s="233"/>
      <c r="I960" s="233"/>
      <c r="J960" s="233"/>
      <c r="K960" s="233"/>
      <c r="L960" s="233"/>
      <c r="M960" s="233"/>
      <c r="N960" s="233"/>
      <c r="O960" s="233"/>
      <c r="P960" s="233"/>
      <c r="Q960" s="233"/>
      <c r="R960" s="233"/>
      <c r="S960" s="233"/>
      <c r="T960" s="233"/>
      <c r="U960" s="233"/>
      <c r="V960" s="233"/>
      <c r="W960" s="233"/>
      <c r="X960" s="233"/>
      <c r="Y960" s="233"/>
      <c r="Z960" s="233"/>
    </row>
    <row r="961">
      <c r="A961" s="233"/>
      <c r="B961" s="233"/>
      <c r="C961" s="233"/>
      <c r="D961" s="233"/>
      <c r="E961" s="233"/>
      <c r="F961" s="233"/>
      <c r="G961" s="233"/>
      <c r="H961" s="233"/>
      <c r="I961" s="233"/>
      <c r="J961" s="233"/>
      <c r="K961" s="233"/>
      <c r="L961" s="233"/>
      <c r="M961" s="233"/>
      <c r="N961" s="233"/>
      <c r="O961" s="233"/>
      <c r="P961" s="233"/>
      <c r="Q961" s="233"/>
      <c r="R961" s="233"/>
      <c r="S961" s="233"/>
      <c r="T961" s="233"/>
      <c r="U961" s="233"/>
      <c r="V961" s="233"/>
      <c r="W961" s="233"/>
      <c r="X961" s="233"/>
      <c r="Y961" s="233"/>
      <c r="Z961" s="233"/>
    </row>
    <row r="962">
      <c r="A962" s="233"/>
      <c r="B962" s="233"/>
      <c r="C962" s="233"/>
      <c r="D962" s="233"/>
      <c r="E962" s="233"/>
      <c r="F962" s="233"/>
      <c r="G962" s="233"/>
      <c r="H962" s="233"/>
      <c r="I962" s="233"/>
      <c r="J962" s="233"/>
      <c r="K962" s="233"/>
      <c r="L962" s="233"/>
      <c r="M962" s="233"/>
      <c r="N962" s="233"/>
      <c r="O962" s="233"/>
      <c r="P962" s="233"/>
      <c r="Q962" s="233"/>
      <c r="R962" s="233"/>
      <c r="S962" s="233"/>
      <c r="T962" s="233"/>
      <c r="U962" s="233"/>
      <c r="V962" s="233"/>
      <c r="W962" s="233"/>
      <c r="X962" s="233"/>
      <c r="Y962" s="233"/>
      <c r="Z962" s="233"/>
    </row>
    <row r="963">
      <c r="A963" s="233"/>
      <c r="B963" s="233"/>
      <c r="C963" s="233"/>
      <c r="D963" s="233"/>
      <c r="E963" s="233"/>
      <c r="F963" s="233"/>
      <c r="G963" s="233"/>
      <c r="H963" s="233"/>
      <c r="I963" s="233"/>
      <c r="J963" s="233"/>
      <c r="K963" s="233"/>
      <c r="L963" s="233"/>
      <c r="M963" s="233"/>
      <c r="N963" s="233"/>
      <c r="O963" s="233"/>
      <c r="P963" s="233"/>
      <c r="Q963" s="233"/>
      <c r="R963" s="233"/>
      <c r="S963" s="233"/>
      <c r="T963" s="233"/>
      <c r="U963" s="233"/>
      <c r="V963" s="233"/>
      <c r="W963" s="233"/>
      <c r="X963" s="233"/>
      <c r="Y963" s="233"/>
      <c r="Z963" s="233"/>
    </row>
    <row r="964">
      <c r="A964" s="233"/>
      <c r="B964" s="233"/>
      <c r="C964" s="233"/>
      <c r="D964" s="233"/>
      <c r="E964" s="233"/>
      <c r="F964" s="233"/>
      <c r="G964" s="233"/>
      <c r="H964" s="233"/>
      <c r="I964" s="233"/>
      <c r="J964" s="233"/>
      <c r="K964" s="233"/>
      <c r="L964" s="233"/>
      <c r="M964" s="233"/>
      <c r="N964" s="233"/>
      <c r="O964" s="233"/>
      <c r="P964" s="233"/>
      <c r="Q964" s="233"/>
      <c r="R964" s="233"/>
      <c r="S964" s="233"/>
      <c r="T964" s="233"/>
      <c r="U964" s="233"/>
      <c r="V964" s="233"/>
      <c r="W964" s="233"/>
      <c r="X964" s="233"/>
      <c r="Y964" s="233"/>
      <c r="Z964" s="233"/>
    </row>
    <row r="965">
      <c r="A965" s="233"/>
      <c r="B965" s="233"/>
      <c r="C965" s="233"/>
      <c r="D965" s="233"/>
      <c r="E965" s="233"/>
      <c r="F965" s="233"/>
      <c r="G965" s="233"/>
      <c r="H965" s="233"/>
      <c r="I965" s="233"/>
      <c r="J965" s="233"/>
      <c r="K965" s="233"/>
      <c r="L965" s="233"/>
      <c r="M965" s="233"/>
      <c r="N965" s="233"/>
      <c r="O965" s="233"/>
      <c r="P965" s="233"/>
      <c r="Q965" s="233"/>
      <c r="R965" s="233"/>
      <c r="S965" s="233"/>
      <c r="T965" s="233"/>
      <c r="U965" s="233"/>
      <c r="V965" s="233"/>
      <c r="W965" s="233"/>
      <c r="X965" s="233"/>
      <c r="Y965" s="233"/>
      <c r="Z965" s="233"/>
    </row>
    <row r="966">
      <c r="A966" s="233"/>
      <c r="B966" s="233"/>
      <c r="C966" s="233"/>
      <c r="D966" s="233"/>
      <c r="E966" s="233"/>
      <c r="F966" s="233"/>
      <c r="G966" s="233"/>
      <c r="H966" s="233"/>
      <c r="I966" s="233"/>
      <c r="J966" s="233"/>
      <c r="K966" s="233"/>
      <c r="L966" s="233"/>
      <c r="M966" s="233"/>
      <c r="N966" s="233"/>
      <c r="O966" s="233"/>
      <c r="P966" s="233"/>
      <c r="Q966" s="233"/>
      <c r="R966" s="233"/>
      <c r="S966" s="233"/>
      <c r="T966" s="233"/>
      <c r="U966" s="233"/>
      <c r="V966" s="233"/>
      <c r="W966" s="233"/>
      <c r="X966" s="233"/>
      <c r="Y966" s="233"/>
      <c r="Z966" s="233"/>
    </row>
    <row r="967">
      <c r="A967" s="233"/>
      <c r="B967" s="233"/>
      <c r="C967" s="233"/>
      <c r="D967" s="233"/>
      <c r="E967" s="233"/>
      <c r="F967" s="233"/>
      <c r="G967" s="233"/>
      <c r="H967" s="233"/>
      <c r="I967" s="233"/>
      <c r="J967" s="233"/>
      <c r="K967" s="233"/>
      <c r="L967" s="233"/>
      <c r="M967" s="233"/>
      <c r="N967" s="233"/>
      <c r="O967" s="233"/>
      <c r="P967" s="233"/>
      <c r="Q967" s="233"/>
      <c r="R967" s="233"/>
      <c r="S967" s="233"/>
      <c r="T967" s="233"/>
      <c r="U967" s="233"/>
      <c r="V967" s="233"/>
      <c r="W967" s="233"/>
      <c r="X967" s="233"/>
      <c r="Y967" s="233"/>
      <c r="Z967" s="233"/>
    </row>
    <row r="968">
      <c r="A968" s="233"/>
      <c r="B968" s="233"/>
      <c r="C968" s="233"/>
      <c r="D968" s="233"/>
      <c r="E968" s="233"/>
      <c r="F968" s="233"/>
      <c r="G968" s="233"/>
      <c r="H968" s="233"/>
      <c r="I968" s="233"/>
      <c r="J968" s="233"/>
      <c r="K968" s="233"/>
      <c r="L968" s="233"/>
      <c r="M968" s="233"/>
      <c r="N968" s="233"/>
      <c r="O968" s="233"/>
      <c r="P968" s="233"/>
      <c r="Q968" s="233"/>
      <c r="R968" s="233"/>
      <c r="S968" s="233"/>
      <c r="T968" s="233"/>
      <c r="U968" s="233"/>
      <c r="V968" s="233"/>
      <c r="W968" s="233"/>
      <c r="X968" s="233"/>
      <c r="Y968" s="233"/>
      <c r="Z968" s="233"/>
    </row>
    <row r="969">
      <c r="A969" s="233"/>
      <c r="B969" s="233"/>
      <c r="C969" s="233"/>
      <c r="D969" s="233"/>
      <c r="E969" s="233"/>
      <c r="F969" s="233"/>
      <c r="G969" s="233"/>
      <c r="H969" s="233"/>
      <c r="I969" s="233"/>
      <c r="J969" s="233"/>
      <c r="K969" s="233"/>
      <c r="L969" s="233"/>
      <c r="M969" s="233"/>
      <c r="N969" s="233"/>
      <c r="O969" s="233"/>
      <c r="P969" s="233"/>
      <c r="Q969" s="233"/>
      <c r="R969" s="233"/>
      <c r="S969" s="233"/>
      <c r="T969" s="233"/>
      <c r="U969" s="233"/>
      <c r="V969" s="233"/>
      <c r="W969" s="233"/>
      <c r="X969" s="233"/>
      <c r="Y969" s="233"/>
      <c r="Z969" s="233"/>
    </row>
    <row r="970">
      <c r="A970" s="233"/>
      <c r="B970" s="233"/>
      <c r="C970" s="233"/>
      <c r="D970" s="233"/>
      <c r="E970" s="233"/>
      <c r="F970" s="233"/>
      <c r="G970" s="233"/>
      <c r="H970" s="233"/>
      <c r="I970" s="233"/>
      <c r="J970" s="233"/>
      <c r="K970" s="233"/>
      <c r="L970" s="233"/>
      <c r="M970" s="233"/>
      <c r="N970" s="233"/>
      <c r="O970" s="233"/>
      <c r="P970" s="233"/>
      <c r="Q970" s="233"/>
      <c r="R970" s="233"/>
      <c r="S970" s="233"/>
      <c r="T970" s="233"/>
      <c r="U970" s="233"/>
      <c r="V970" s="233"/>
      <c r="W970" s="233"/>
      <c r="X970" s="233"/>
      <c r="Y970" s="233"/>
      <c r="Z970" s="233"/>
    </row>
    <row r="971">
      <c r="A971" s="233"/>
      <c r="B971" s="233"/>
      <c r="C971" s="233"/>
      <c r="D971" s="233"/>
      <c r="E971" s="233"/>
      <c r="F971" s="233"/>
      <c r="G971" s="233"/>
      <c r="H971" s="233"/>
      <c r="I971" s="233"/>
      <c r="J971" s="233"/>
      <c r="K971" s="233"/>
      <c r="L971" s="233"/>
      <c r="M971" s="233"/>
      <c r="N971" s="233"/>
      <c r="O971" s="233"/>
      <c r="P971" s="233"/>
      <c r="Q971" s="233"/>
      <c r="R971" s="233"/>
      <c r="S971" s="233"/>
      <c r="T971" s="233"/>
      <c r="U971" s="233"/>
      <c r="V971" s="233"/>
      <c r="W971" s="233"/>
      <c r="X971" s="233"/>
      <c r="Y971" s="233"/>
      <c r="Z971" s="233"/>
    </row>
    <row r="972">
      <c r="A972" s="233"/>
      <c r="B972" s="233"/>
      <c r="C972" s="233"/>
      <c r="D972" s="233"/>
      <c r="E972" s="233"/>
      <c r="F972" s="233"/>
      <c r="G972" s="233"/>
      <c r="H972" s="233"/>
      <c r="I972" s="233"/>
      <c r="J972" s="233"/>
      <c r="K972" s="233"/>
      <c r="L972" s="233"/>
      <c r="M972" s="233"/>
      <c r="N972" s="233"/>
      <c r="O972" s="233"/>
      <c r="P972" s="233"/>
      <c r="Q972" s="233"/>
      <c r="R972" s="233"/>
      <c r="S972" s="233"/>
      <c r="T972" s="233"/>
      <c r="U972" s="233"/>
      <c r="V972" s="233"/>
      <c r="W972" s="233"/>
      <c r="X972" s="233"/>
      <c r="Y972" s="233"/>
      <c r="Z972" s="233"/>
    </row>
    <row r="973">
      <c r="A973" s="233"/>
      <c r="B973" s="233"/>
      <c r="C973" s="233"/>
      <c r="D973" s="233"/>
      <c r="E973" s="233"/>
      <c r="F973" s="233"/>
      <c r="G973" s="233"/>
      <c r="H973" s="233"/>
      <c r="I973" s="233"/>
      <c r="J973" s="233"/>
      <c r="K973" s="233"/>
      <c r="L973" s="233"/>
      <c r="M973" s="233"/>
      <c r="N973" s="233"/>
      <c r="O973" s="233"/>
      <c r="P973" s="233"/>
      <c r="Q973" s="233"/>
      <c r="R973" s="233"/>
      <c r="S973" s="233"/>
      <c r="T973" s="233"/>
      <c r="U973" s="233"/>
      <c r="V973" s="233"/>
      <c r="W973" s="233"/>
      <c r="X973" s="233"/>
      <c r="Y973" s="233"/>
      <c r="Z973" s="233"/>
    </row>
    <row r="974">
      <c r="A974" s="233"/>
      <c r="B974" s="233"/>
      <c r="C974" s="233"/>
      <c r="D974" s="233"/>
      <c r="E974" s="233"/>
      <c r="F974" s="233"/>
      <c r="G974" s="233"/>
      <c r="H974" s="233"/>
      <c r="I974" s="233"/>
      <c r="J974" s="233"/>
      <c r="K974" s="233"/>
      <c r="L974" s="233"/>
      <c r="M974" s="233"/>
      <c r="N974" s="233"/>
      <c r="O974" s="233"/>
      <c r="P974" s="233"/>
      <c r="Q974" s="233"/>
      <c r="R974" s="233"/>
      <c r="S974" s="233"/>
      <c r="T974" s="233"/>
      <c r="U974" s="233"/>
      <c r="V974" s="233"/>
      <c r="W974" s="233"/>
      <c r="X974" s="233"/>
      <c r="Y974" s="233"/>
      <c r="Z974" s="233"/>
    </row>
    <row r="975">
      <c r="A975" s="233"/>
      <c r="B975" s="233"/>
      <c r="C975" s="233"/>
      <c r="D975" s="233"/>
      <c r="E975" s="233"/>
      <c r="F975" s="233"/>
      <c r="G975" s="233"/>
      <c r="H975" s="233"/>
      <c r="I975" s="233"/>
      <c r="J975" s="233"/>
      <c r="K975" s="233"/>
      <c r="L975" s="233"/>
      <c r="M975" s="233"/>
      <c r="N975" s="233"/>
      <c r="O975" s="233"/>
      <c r="P975" s="233"/>
      <c r="Q975" s="233"/>
      <c r="R975" s="233"/>
      <c r="S975" s="233"/>
      <c r="T975" s="233"/>
      <c r="U975" s="233"/>
      <c r="V975" s="233"/>
      <c r="W975" s="233"/>
      <c r="X975" s="233"/>
      <c r="Y975" s="233"/>
      <c r="Z975" s="233"/>
    </row>
    <row r="976">
      <c r="A976" s="233"/>
      <c r="B976" s="233"/>
      <c r="C976" s="233"/>
      <c r="D976" s="233"/>
      <c r="E976" s="233"/>
      <c r="F976" s="233"/>
      <c r="G976" s="233"/>
      <c r="H976" s="233"/>
      <c r="I976" s="233"/>
      <c r="J976" s="233"/>
      <c r="K976" s="233"/>
      <c r="L976" s="233"/>
      <c r="M976" s="233"/>
      <c r="N976" s="233"/>
      <c r="O976" s="233"/>
      <c r="P976" s="233"/>
      <c r="Q976" s="233"/>
      <c r="R976" s="233"/>
      <c r="S976" s="233"/>
      <c r="T976" s="233"/>
      <c r="U976" s="233"/>
      <c r="V976" s="233"/>
      <c r="W976" s="233"/>
      <c r="X976" s="233"/>
      <c r="Y976" s="233"/>
      <c r="Z976" s="233"/>
    </row>
    <row r="977">
      <c r="A977" s="233"/>
      <c r="B977" s="233"/>
      <c r="C977" s="233"/>
      <c r="D977" s="233"/>
      <c r="E977" s="233"/>
      <c r="F977" s="233"/>
      <c r="G977" s="233"/>
      <c r="H977" s="233"/>
      <c r="I977" s="233"/>
      <c r="J977" s="233"/>
      <c r="K977" s="233"/>
      <c r="L977" s="233"/>
      <c r="M977" s="233"/>
      <c r="N977" s="233"/>
      <c r="O977" s="233"/>
      <c r="P977" s="233"/>
      <c r="Q977" s="233"/>
      <c r="R977" s="233"/>
      <c r="S977" s="233"/>
      <c r="T977" s="233"/>
      <c r="U977" s="233"/>
      <c r="V977" s="233"/>
      <c r="W977" s="233"/>
      <c r="X977" s="233"/>
      <c r="Y977" s="233"/>
      <c r="Z977" s="233"/>
    </row>
    <row r="978">
      <c r="A978" s="233"/>
      <c r="B978" s="233"/>
      <c r="C978" s="233"/>
      <c r="D978" s="233"/>
      <c r="E978" s="233"/>
      <c r="F978" s="233"/>
      <c r="G978" s="233"/>
      <c r="H978" s="233"/>
      <c r="I978" s="233"/>
      <c r="J978" s="233"/>
      <c r="K978" s="233"/>
      <c r="L978" s="233"/>
      <c r="M978" s="233"/>
      <c r="N978" s="233"/>
      <c r="O978" s="233"/>
      <c r="P978" s="233"/>
      <c r="Q978" s="233"/>
      <c r="R978" s="233"/>
      <c r="S978" s="233"/>
      <c r="T978" s="233"/>
      <c r="U978" s="233"/>
      <c r="V978" s="233"/>
      <c r="W978" s="233"/>
      <c r="X978" s="233"/>
      <c r="Y978" s="233"/>
      <c r="Z978" s="233"/>
    </row>
    <row r="979">
      <c r="A979" s="233"/>
      <c r="B979" s="233"/>
      <c r="C979" s="233"/>
      <c r="D979" s="233"/>
      <c r="E979" s="233"/>
      <c r="F979" s="233"/>
      <c r="G979" s="233"/>
      <c r="H979" s="233"/>
      <c r="I979" s="233"/>
      <c r="J979" s="233"/>
      <c r="K979" s="233"/>
      <c r="L979" s="233"/>
      <c r="M979" s="233"/>
      <c r="N979" s="233"/>
      <c r="O979" s="233"/>
      <c r="P979" s="233"/>
      <c r="Q979" s="233"/>
      <c r="R979" s="233"/>
      <c r="S979" s="233"/>
      <c r="T979" s="233"/>
      <c r="U979" s="233"/>
      <c r="V979" s="233"/>
      <c r="W979" s="233"/>
      <c r="X979" s="233"/>
      <c r="Y979" s="233"/>
      <c r="Z979" s="233"/>
    </row>
    <row r="980">
      <c r="A980" s="233"/>
      <c r="B980" s="233"/>
      <c r="C980" s="233"/>
      <c r="D980" s="233"/>
      <c r="E980" s="233"/>
      <c r="F980" s="233"/>
      <c r="G980" s="233"/>
      <c r="H980" s="233"/>
      <c r="I980" s="233"/>
      <c r="J980" s="233"/>
      <c r="K980" s="233"/>
      <c r="L980" s="233"/>
      <c r="M980" s="233"/>
      <c r="N980" s="233"/>
      <c r="O980" s="233"/>
      <c r="P980" s="233"/>
      <c r="Q980" s="233"/>
      <c r="R980" s="233"/>
      <c r="S980" s="233"/>
      <c r="T980" s="233"/>
      <c r="U980" s="233"/>
      <c r="V980" s="233"/>
      <c r="W980" s="233"/>
      <c r="X980" s="233"/>
      <c r="Y980" s="233"/>
      <c r="Z980" s="233"/>
    </row>
    <row r="981">
      <c r="A981" s="233"/>
      <c r="B981" s="233"/>
      <c r="C981" s="233"/>
      <c r="D981" s="233"/>
      <c r="E981" s="233"/>
      <c r="F981" s="233"/>
      <c r="G981" s="233"/>
      <c r="H981" s="233"/>
      <c r="I981" s="233"/>
      <c r="J981" s="233"/>
      <c r="K981" s="233"/>
      <c r="L981" s="233"/>
      <c r="M981" s="233"/>
      <c r="N981" s="233"/>
      <c r="O981" s="233"/>
      <c r="P981" s="233"/>
      <c r="Q981" s="233"/>
      <c r="R981" s="233"/>
      <c r="S981" s="233"/>
      <c r="T981" s="233"/>
      <c r="U981" s="233"/>
      <c r="V981" s="233"/>
      <c r="W981" s="233"/>
      <c r="X981" s="233"/>
      <c r="Y981" s="233"/>
      <c r="Z981" s="233"/>
    </row>
    <row r="982">
      <c r="A982" s="233"/>
      <c r="B982" s="233"/>
      <c r="C982" s="233"/>
      <c r="D982" s="233"/>
      <c r="E982" s="233"/>
      <c r="F982" s="233"/>
      <c r="G982" s="233"/>
      <c r="H982" s="233"/>
      <c r="I982" s="233"/>
      <c r="J982" s="233"/>
      <c r="K982" s="233"/>
      <c r="L982" s="233"/>
      <c r="M982" s="233"/>
      <c r="N982" s="233"/>
      <c r="O982" s="233"/>
      <c r="P982" s="233"/>
      <c r="Q982" s="233"/>
      <c r="R982" s="233"/>
      <c r="S982" s="233"/>
      <c r="T982" s="233"/>
      <c r="U982" s="233"/>
      <c r="V982" s="233"/>
      <c r="W982" s="233"/>
      <c r="X982" s="233"/>
      <c r="Y982" s="233"/>
      <c r="Z982" s="233"/>
    </row>
    <row r="983">
      <c r="A983" s="233"/>
      <c r="B983" s="233"/>
      <c r="C983" s="233"/>
      <c r="D983" s="233"/>
      <c r="E983" s="233"/>
      <c r="F983" s="233"/>
      <c r="G983" s="233"/>
      <c r="H983" s="233"/>
      <c r="I983" s="233"/>
      <c r="J983" s="233"/>
      <c r="K983" s="233"/>
      <c r="L983" s="233"/>
      <c r="M983" s="233"/>
      <c r="N983" s="233"/>
      <c r="O983" s="233"/>
      <c r="P983" s="233"/>
      <c r="Q983" s="233"/>
      <c r="R983" s="233"/>
      <c r="S983" s="233"/>
      <c r="T983" s="233"/>
      <c r="U983" s="233"/>
      <c r="V983" s="233"/>
      <c r="W983" s="233"/>
      <c r="X983" s="233"/>
      <c r="Y983" s="233"/>
      <c r="Z983" s="233"/>
    </row>
    <row r="984">
      <c r="A984" s="233"/>
      <c r="B984" s="233"/>
      <c r="C984" s="233"/>
      <c r="D984" s="233"/>
      <c r="E984" s="233"/>
      <c r="F984" s="233"/>
      <c r="G984" s="233"/>
      <c r="H984" s="233"/>
      <c r="I984" s="233"/>
      <c r="J984" s="233"/>
      <c r="K984" s="233"/>
      <c r="L984" s="233"/>
      <c r="M984" s="233"/>
      <c r="N984" s="233"/>
      <c r="O984" s="233"/>
      <c r="P984" s="233"/>
      <c r="Q984" s="233"/>
      <c r="R984" s="233"/>
      <c r="S984" s="233"/>
      <c r="T984" s="233"/>
      <c r="U984" s="233"/>
      <c r="V984" s="233"/>
      <c r="W984" s="233"/>
      <c r="X984" s="233"/>
      <c r="Y984" s="233"/>
      <c r="Z984" s="233"/>
    </row>
    <row r="985">
      <c r="A985" s="233"/>
      <c r="B985" s="233"/>
      <c r="C985" s="233"/>
      <c r="D985" s="233"/>
      <c r="E985" s="233"/>
      <c r="F985" s="233"/>
      <c r="G985" s="233"/>
      <c r="H985" s="233"/>
      <c r="I985" s="233"/>
      <c r="J985" s="233"/>
      <c r="K985" s="233"/>
      <c r="L985" s="233"/>
      <c r="M985" s="233"/>
      <c r="N985" s="233"/>
      <c r="O985" s="233"/>
      <c r="P985" s="233"/>
      <c r="Q985" s="233"/>
      <c r="R985" s="233"/>
      <c r="S985" s="233"/>
      <c r="T985" s="233"/>
      <c r="U985" s="233"/>
      <c r="V985" s="233"/>
      <c r="W985" s="233"/>
      <c r="X985" s="233"/>
      <c r="Y985" s="233"/>
      <c r="Z985" s="233"/>
    </row>
    <row r="986">
      <c r="A986" s="233"/>
      <c r="B986" s="233"/>
      <c r="C986" s="233"/>
      <c r="D986" s="233"/>
      <c r="E986" s="233"/>
      <c r="F986" s="233"/>
      <c r="G986" s="233"/>
      <c r="H986" s="233"/>
      <c r="I986" s="233"/>
      <c r="J986" s="233"/>
      <c r="K986" s="233"/>
      <c r="L986" s="233"/>
      <c r="M986" s="233"/>
      <c r="N986" s="233"/>
      <c r="O986" s="233"/>
      <c r="P986" s="233"/>
      <c r="Q986" s="233"/>
      <c r="R986" s="233"/>
      <c r="S986" s="233"/>
      <c r="T986" s="233"/>
      <c r="U986" s="233"/>
      <c r="V986" s="233"/>
      <c r="W986" s="233"/>
      <c r="X986" s="233"/>
      <c r="Y986" s="233"/>
      <c r="Z986" s="233"/>
    </row>
    <row r="987">
      <c r="A987" s="233"/>
      <c r="B987" s="233"/>
      <c r="C987" s="233"/>
      <c r="D987" s="233"/>
      <c r="E987" s="233"/>
      <c r="F987" s="233"/>
      <c r="G987" s="233"/>
      <c r="H987" s="233"/>
      <c r="I987" s="233"/>
      <c r="J987" s="233"/>
      <c r="K987" s="233"/>
      <c r="L987" s="233"/>
      <c r="M987" s="233"/>
      <c r="N987" s="233"/>
      <c r="O987" s="233"/>
      <c r="P987" s="233"/>
      <c r="Q987" s="233"/>
      <c r="R987" s="233"/>
      <c r="S987" s="233"/>
      <c r="T987" s="233"/>
      <c r="U987" s="233"/>
      <c r="V987" s="233"/>
      <c r="W987" s="233"/>
      <c r="X987" s="233"/>
      <c r="Y987" s="233"/>
      <c r="Z987" s="233"/>
    </row>
    <row r="988">
      <c r="A988" s="233"/>
      <c r="B988" s="233"/>
      <c r="C988" s="233"/>
      <c r="D988" s="233"/>
      <c r="E988" s="233"/>
      <c r="F988" s="233"/>
      <c r="G988" s="233"/>
      <c r="H988" s="233"/>
      <c r="I988" s="233"/>
      <c r="J988" s="233"/>
      <c r="K988" s="233"/>
      <c r="L988" s="233"/>
      <c r="M988" s="233"/>
      <c r="N988" s="233"/>
      <c r="O988" s="233"/>
      <c r="P988" s="233"/>
      <c r="Q988" s="233"/>
      <c r="R988" s="233"/>
      <c r="S988" s="233"/>
      <c r="T988" s="233"/>
      <c r="U988" s="233"/>
      <c r="V988" s="233"/>
      <c r="W988" s="233"/>
      <c r="X988" s="233"/>
      <c r="Y988" s="233"/>
      <c r="Z988" s="233"/>
    </row>
    <row r="989">
      <c r="A989" s="233"/>
      <c r="B989" s="233"/>
      <c r="C989" s="233"/>
      <c r="D989" s="233"/>
      <c r="E989" s="233"/>
      <c r="F989" s="233"/>
      <c r="G989" s="233"/>
      <c r="H989" s="233"/>
      <c r="I989" s="233"/>
      <c r="J989" s="233"/>
      <c r="K989" s="233"/>
      <c r="L989" s="233"/>
      <c r="M989" s="233"/>
      <c r="N989" s="233"/>
      <c r="O989" s="233"/>
      <c r="P989" s="233"/>
      <c r="Q989" s="233"/>
      <c r="R989" s="233"/>
      <c r="S989" s="233"/>
      <c r="T989" s="233"/>
      <c r="U989" s="233"/>
      <c r="V989" s="233"/>
      <c r="W989" s="233"/>
      <c r="X989" s="233"/>
      <c r="Y989" s="233"/>
      <c r="Z989" s="233"/>
    </row>
    <row r="990">
      <c r="A990" s="233"/>
      <c r="B990" s="233"/>
      <c r="C990" s="233"/>
      <c r="D990" s="233"/>
      <c r="E990" s="233"/>
      <c r="F990" s="233"/>
      <c r="G990" s="233"/>
      <c r="H990" s="233"/>
      <c r="I990" s="233"/>
      <c r="J990" s="233"/>
      <c r="K990" s="233"/>
      <c r="L990" s="233"/>
      <c r="M990" s="233"/>
      <c r="N990" s="233"/>
      <c r="O990" s="233"/>
      <c r="P990" s="233"/>
      <c r="Q990" s="233"/>
      <c r="R990" s="233"/>
      <c r="S990" s="233"/>
      <c r="T990" s="233"/>
      <c r="U990" s="233"/>
      <c r="V990" s="233"/>
      <c r="W990" s="233"/>
      <c r="X990" s="233"/>
      <c r="Y990" s="233"/>
      <c r="Z990" s="233"/>
    </row>
    <row r="991">
      <c r="A991" s="233"/>
      <c r="B991" s="233"/>
      <c r="C991" s="233"/>
      <c r="D991" s="233"/>
      <c r="E991" s="233"/>
      <c r="F991" s="233"/>
      <c r="G991" s="233"/>
      <c r="H991" s="233"/>
      <c r="I991" s="233"/>
      <c r="J991" s="233"/>
      <c r="K991" s="233"/>
      <c r="L991" s="233"/>
      <c r="M991" s="233"/>
      <c r="N991" s="233"/>
      <c r="O991" s="233"/>
      <c r="P991" s="233"/>
      <c r="Q991" s="233"/>
      <c r="R991" s="233"/>
      <c r="S991" s="233"/>
      <c r="T991" s="233"/>
      <c r="U991" s="233"/>
      <c r="V991" s="233"/>
      <c r="W991" s="233"/>
      <c r="X991" s="233"/>
      <c r="Y991" s="233"/>
      <c r="Z991" s="233"/>
    </row>
    <row r="992">
      <c r="A992" s="233"/>
      <c r="B992" s="233"/>
      <c r="C992" s="233"/>
      <c r="D992" s="233"/>
      <c r="E992" s="233"/>
      <c r="F992" s="233"/>
      <c r="G992" s="233"/>
      <c r="H992" s="233"/>
      <c r="I992" s="233"/>
      <c r="J992" s="233"/>
      <c r="K992" s="233"/>
      <c r="L992" s="233"/>
      <c r="M992" s="233"/>
      <c r="N992" s="233"/>
      <c r="O992" s="233"/>
      <c r="P992" s="233"/>
      <c r="Q992" s="233"/>
      <c r="R992" s="233"/>
      <c r="S992" s="233"/>
      <c r="T992" s="233"/>
      <c r="U992" s="233"/>
      <c r="V992" s="233"/>
      <c r="W992" s="233"/>
      <c r="X992" s="233"/>
      <c r="Y992" s="233"/>
      <c r="Z992" s="233"/>
    </row>
    <row r="993">
      <c r="A993" s="233"/>
      <c r="B993" s="233"/>
      <c r="C993" s="233"/>
      <c r="D993" s="233"/>
      <c r="E993" s="233"/>
      <c r="F993" s="233"/>
      <c r="G993" s="233"/>
      <c r="H993" s="233"/>
      <c r="I993" s="233"/>
      <c r="J993" s="233"/>
      <c r="K993" s="233"/>
      <c r="L993" s="233"/>
      <c r="M993" s="233"/>
      <c r="N993" s="233"/>
      <c r="O993" s="233"/>
      <c r="P993" s="233"/>
      <c r="Q993" s="233"/>
      <c r="R993" s="233"/>
      <c r="S993" s="233"/>
      <c r="T993" s="233"/>
      <c r="U993" s="233"/>
      <c r="V993" s="233"/>
      <c r="W993" s="233"/>
      <c r="X993" s="233"/>
      <c r="Y993" s="233"/>
      <c r="Z993" s="233"/>
    </row>
    <row r="994">
      <c r="A994" s="233"/>
      <c r="B994" s="233"/>
      <c r="C994" s="233"/>
      <c r="D994" s="233"/>
      <c r="E994" s="233"/>
      <c r="F994" s="233"/>
      <c r="G994" s="233"/>
      <c r="H994" s="233"/>
      <c r="I994" s="233"/>
      <c r="J994" s="233"/>
      <c r="K994" s="233"/>
      <c r="L994" s="233"/>
      <c r="M994" s="233"/>
      <c r="N994" s="233"/>
      <c r="O994" s="233"/>
      <c r="P994" s="233"/>
      <c r="Q994" s="233"/>
      <c r="R994" s="233"/>
      <c r="S994" s="233"/>
      <c r="T994" s="233"/>
      <c r="U994" s="233"/>
      <c r="V994" s="233"/>
      <c r="W994" s="233"/>
      <c r="X994" s="233"/>
      <c r="Y994" s="233"/>
      <c r="Z994" s="233"/>
    </row>
    <row r="995">
      <c r="A995" s="233"/>
      <c r="B995" s="233"/>
      <c r="C995" s="233"/>
      <c r="D995" s="233"/>
      <c r="E995" s="233"/>
      <c r="F995" s="233"/>
      <c r="G995" s="233"/>
      <c r="H995" s="233"/>
      <c r="I995" s="233"/>
      <c r="J995" s="233"/>
      <c r="K995" s="233"/>
      <c r="L995" s="233"/>
      <c r="M995" s="233"/>
      <c r="N995" s="233"/>
      <c r="O995" s="233"/>
      <c r="P995" s="233"/>
      <c r="Q995" s="233"/>
      <c r="R995" s="233"/>
      <c r="S995" s="233"/>
      <c r="T995" s="233"/>
      <c r="U995" s="233"/>
      <c r="V995" s="233"/>
      <c r="W995" s="233"/>
      <c r="X995" s="233"/>
      <c r="Y995" s="233"/>
      <c r="Z995" s="233"/>
    </row>
    <row r="996">
      <c r="A996" s="233"/>
      <c r="B996" s="233"/>
      <c r="C996" s="233"/>
      <c r="D996" s="233"/>
      <c r="E996" s="233"/>
      <c r="F996" s="233"/>
      <c r="G996" s="233"/>
      <c r="H996" s="233"/>
      <c r="I996" s="233"/>
      <c r="J996" s="233"/>
      <c r="K996" s="233"/>
      <c r="L996" s="233"/>
      <c r="M996" s="233"/>
      <c r="N996" s="233"/>
      <c r="O996" s="233"/>
      <c r="P996" s="233"/>
      <c r="Q996" s="233"/>
      <c r="R996" s="233"/>
      <c r="S996" s="233"/>
      <c r="T996" s="233"/>
      <c r="U996" s="233"/>
      <c r="V996" s="233"/>
      <c r="W996" s="233"/>
      <c r="X996" s="233"/>
      <c r="Y996" s="233"/>
      <c r="Z996" s="233"/>
    </row>
    <row r="997">
      <c r="A997" s="233"/>
      <c r="B997" s="233"/>
      <c r="C997" s="233"/>
      <c r="D997" s="233"/>
      <c r="E997" s="233"/>
      <c r="F997" s="233"/>
      <c r="G997" s="233"/>
      <c r="H997" s="233"/>
      <c r="I997" s="233"/>
      <c r="J997" s="233"/>
      <c r="K997" s="233"/>
      <c r="L997" s="233"/>
      <c r="M997" s="233"/>
      <c r="N997" s="233"/>
      <c r="O997" s="233"/>
      <c r="P997" s="233"/>
      <c r="Q997" s="233"/>
      <c r="R997" s="233"/>
      <c r="S997" s="233"/>
      <c r="T997" s="233"/>
      <c r="U997" s="233"/>
      <c r="V997" s="233"/>
      <c r="W997" s="233"/>
      <c r="X997" s="233"/>
      <c r="Y997" s="233"/>
      <c r="Z997" s="233"/>
    </row>
    <row r="998">
      <c r="A998" s="233"/>
      <c r="B998" s="233"/>
      <c r="C998" s="233"/>
      <c r="D998" s="233"/>
      <c r="E998" s="233"/>
      <c r="F998" s="233"/>
      <c r="G998" s="233"/>
      <c r="H998" s="233"/>
      <c r="I998" s="233"/>
      <c r="J998" s="233"/>
      <c r="K998" s="233"/>
      <c r="L998" s="233"/>
      <c r="M998" s="233"/>
      <c r="N998" s="233"/>
      <c r="O998" s="233"/>
      <c r="P998" s="233"/>
      <c r="Q998" s="233"/>
      <c r="R998" s="233"/>
      <c r="S998" s="233"/>
      <c r="T998" s="233"/>
      <c r="U998" s="233"/>
      <c r="V998" s="233"/>
      <c r="W998" s="233"/>
      <c r="X998" s="233"/>
      <c r="Y998" s="233"/>
      <c r="Z998" s="233"/>
    </row>
    <row r="999">
      <c r="A999" s="233"/>
      <c r="B999" s="233"/>
      <c r="C999" s="233"/>
      <c r="D999" s="233"/>
      <c r="E999" s="233"/>
      <c r="F999" s="233"/>
      <c r="G999" s="233"/>
      <c r="H999" s="233"/>
      <c r="I999" s="233"/>
      <c r="J999" s="233"/>
      <c r="K999" s="233"/>
      <c r="L999" s="233"/>
      <c r="M999" s="233"/>
      <c r="N999" s="233"/>
      <c r="O999" s="233"/>
      <c r="P999" s="233"/>
      <c r="Q999" s="233"/>
      <c r="R999" s="233"/>
      <c r="S999" s="233"/>
      <c r="T999" s="233"/>
      <c r="U999" s="233"/>
      <c r="V999" s="233"/>
      <c r="W999" s="233"/>
      <c r="X999" s="233"/>
      <c r="Y999" s="233"/>
      <c r="Z999" s="233"/>
    </row>
    <row r="1000">
      <c r="A1000" s="233"/>
      <c r="B1000" s="233"/>
      <c r="C1000" s="233"/>
      <c r="D1000" s="233"/>
      <c r="E1000" s="233"/>
      <c r="F1000" s="233"/>
      <c r="G1000" s="233"/>
      <c r="H1000" s="233"/>
      <c r="I1000" s="233"/>
      <c r="J1000" s="233"/>
      <c r="K1000" s="233"/>
      <c r="L1000" s="233"/>
      <c r="M1000" s="233"/>
      <c r="N1000" s="233"/>
      <c r="O1000" s="233"/>
      <c r="P1000" s="233"/>
      <c r="Q1000" s="233"/>
      <c r="R1000" s="233"/>
      <c r="S1000" s="233"/>
      <c r="T1000" s="233"/>
      <c r="U1000" s="233"/>
      <c r="V1000" s="233"/>
      <c r="W1000" s="233"/>
      <c r="X1000" s="233"/>
      <c r="Y1000" s="233"/>
      <c r="Z1000" s="233"/>
    </row>
  </sheetData>
  <autoFilter ref="$B$1:$B$1000"/>
  <mergeCells count="40">
    <mergeCell ref="B5:B25"/>
    <mergeCell ref="B27:B47"/>
    <mergeCell ref="B49:B69"/>
    <mergeCell ref="B71:B90"/>
    <mergeCell ref="B92:B112"/>
    <mergeCell ref="B114:B134"/>
    <mergeCell ref="B136:B156"/>
    <mergeCell ref="B158:B178"/>
    <mergeCell ref="B180:B198"/>
    <mergeCell ref="B200:B218"/>
    <mergeCell ref="B220:B232"/>
    <mergeCell ref="B234:B248"/>
    <mergeCell ref="B250:B264"/>
    <mergeCell ref="B266:B276"/>
    <mergeCell ref="B278:B292"/>
    <mergeCell ref="B294:B306"/>
    <mergeCell ref="B308:B320"/>
    <mergeCell ref="B322:B334"/>
    <mergeCell ref="B336:B348"/>
    <mergeCell ref="B350:B362"/>
    <mergeCell ref="B364:B376"/>
    <mergeCell ref="B378:B390"/>
    <mergeCell ref="B392:B404"/>
    <mergeCell ref="B406:B417"/>
    <mergeCell ref="B419:B431"/>
    <mergeCell ref="B433:B445"/>
    <mergeCell ref="B447:B459"/>
    <mergeCell ref="B461:B473"/>
    <mergeCell ref="B544:B553"/>
    <mergeCell ref="B555:B564"/>
    <mergeCell ref="B566:B575"/>
    <mergeCell ref="B577:B586"/>
    <mergeCell ref="B588:B597"/>
    <mergeCell ref="B475:B482"/>
    <mergeCell ref="B484:B491"/>
    <mergeCell ref="B493:B500"/>
    <mergeCell ref="B502:B509"/>
    <mergeCell ref="B511:B520"/>
    <mergeCell ref="B522:B531"/>
    <mergeCell ref="B533:B54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.38"/>
    <col customWidth="1" min="2" max="2" width="87.63"/>
    <col customWidth="1" min="3" max="4" width="12.63"/>
    <col customWidth="1" min="5" max="7" width="25.13"/>
    <col customWidth="1" min="8" max="9" width="12.63"/>
    <col customWidth="1" hidden="1" min="10" max="10" width="25.13"/>
    <col customWidth="1" min="11" max="12" width="12.63"/>
    <col customWidth="1" min="13" max="13" width="13.25"/>
    <col customWidth="1" min="18" max="19" width="12.63"/>
    <col customWidth="1" min="20" max="20" width="2.63"/>
    <col customWidth="1" min="21" max="22" width="12.63"/>
    <col customWidth="1" min="23" max="23" width="2.63"/>
    <col customWidth="1" min="24" max="28" width="12.63"/>
    <col customWidth="1" hidden="1" min="29" max="29" width="12.63"/>
    <col customWidth="1" min="30" max="30" width="12.63"/>
    <col customWidth="1" min="31" max="31" width="81.13"/>
    <col customWidth="1" hidden="1" min="32" max="32" width="12.63"/>
    <col customWidth="1" min="33" max="33" width="12.63"/>
    <col customWidth="1" min="34" max="34" width="42.38"/>
    <col customWidth="1" min="35" max="38" width="12.63"/>
    <col customWidth="1" hidden="1" min="39" max="46" width="12.63"/>
    <col customWidth="1" min="47" max="57" width="12.63"/>
  </cols>
  <sheetData>
    <row r="1">
      <c r="A1" s="1"/>
      <c r="B1" s="254"/>
      <c r="C1" s="255"/>
      <c r="D1" s="255"/>
      <c r="E1" s="255"/>
      <c r="F1" s="255"/>
      <c r="G1" s="256"/>
      <c r="H1" s="257"/>
      <c r="I1" s="257"/>
      <c r="J1" s="257"/>
      <c r="K1" s="257" t="s">
        <v>3897</v>
      </c>
      <c r="L1" s="257"/>
      <c r="M1" s="257"/>
      <c r="N1" s="258"/>
      <c r="O1" s="257"/>
      <c r="P1" s="259"/>
      <c r="Q1" s="259"/>
      <c r="R1" s="260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167"/>
      <c r="AV1" s="167"/>
      <c r="AW1" s="2"/>
      <c r="AX1" s="2"/>
      <c r="AY1" s="2"/>
      <c r="AZ1" s="2"/>
      <c r="BA1" s="2"/>
      <c r="BB1" s="2"/>
      <c r="BC1" s="2"/>
      <c r="BD1" s="2"/>
      <c r="BE1" s="2"/>
    </row>
    <row r="2">
      <c r="A2" s="1"/>
      <c r="B2" s="254"/>
      <c r="C2" s="255"/>
      <c r="D2" s="255"/>
      <c r="E2" s="255"/>
      <c r="F2" s="255"/>
      <c r="G2" s="261" t="s">
        <v>5838</v>
      </c>
      <c r="H2" s="262"/>
      <c r="I2" s="262"/>
      <c r="J2" s="262"/>
      <c r="K2" s="262"/>
      <c r="L2" s="263"/>
      <c r="M2" s="257"/>
      <c r="N2" s="258"/>
      <c r="O2" s="257"/>
      <c r="P2" s="259"/>
      <c r="Q2" s="259"/>
      <c r="R2" s="260"/>
      <c r="S2" s="2"/>
      <c r="T2" s="2"/>
      <c r="U2" s="2"/>
      <c r="V2" s="264"/>
      <c r="W2" s="2"/>
      <c r="X2" s="2"/>
      <c r="Y2" s="2"/>
      <c r="Z2" s="2"/>
      <c r="AA2" s="2"/>
      <c r="AB2" s="2"/>
      <c r="AC2" s="2"/>
      <c r="AD2" s="2"/>
      <c r="AE2" s="3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167"/>
      <c r="AV2" s="167"/>
      <c r="AW2" s="2"/>
      <c r="AX2" s="2"/>
      <c r="AY2" s="2"/>
      <c r="AZ2" s="2"/>
      <c r="BA2" s="2"/>
      <c r="BB2" s="2"/>
      <c r="BC2" s="2"/>
      <c r="BD2" s="2"/>
      <c r="BE2" s="2"/>
    </row>
    <row r="3">
      <c r="A3" s="1"/>
      <c r="B3" s="265"/>
      <c r="C3" s="265"/>
      <c r="D3" s="265"/>
      <c r="E3" s="265"/>
      <c r="F3" s="265"/>
      <c r="G3" s="261" t="s">
        <v>5839</v>
      </c>
      <c r="H3" s="262"/>
      <c r="I3" s="263"/>
      <c r="J3" s="261" t="s">
        <v>5840</v>
      </c>
      <c r="K3" s="262"/>
      <c r="L3" s="263"/>
      <c r="M3" s="259"/>
      <c r="N3" s="266"/>
      <c r="O3" s="257"/>
      <c r="P3" s="259"/>
      <c r="Q3" s="259"/>
      <c r="R3" s="265"/>
      <c r="S3" s="265"/>
      <c r="T3" s="2"/>
      <c r="U3" s="267" t="s">
        <v>5841</v>
      </c>
      <c r="V3" s="263"/>
      <c r="W3" s="2"/>
      <c r="X3" s="267" t="s">
        <v>5842</v>
      </c>
      <c r="Y3" s="263"/>
      <c r="Z3" s="2"/>
      <c r="AA3" s="2"/>
      <c r="AB3" s="2"/>
      <c r="AC3" s="2"/>
      <c r="AD3" s="2"/>
      <c r="AE3" s="3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67"/>
      <c r="AV3" s="167"/>
      <c r="AW3" s="2"/>
      <c r="AX3" s="2"/>
      <c r="AY3" s="2"/>
      <c r="AZ3" s="2"/>
      <c r="BA3" s="2"/>
      <c r="BB3" s="2"/>
      <c r="BC3" s="2"/>
      <c r="BD3" s="2"/>
      <c r="BE3" s="2"/>
    </row>
    <row r="4">
      <c r="A4" s="1"/>
      <c r="B4" s="6" t="s">
        <v>5843</v>
      </c>
      <c r="C4" s="6" t="s">
        <v>5844</v>
      </c>
      <c r="D4" s="6" t="s">
        <v>1531</v>
      </c>
      <c r="E4" s="6" t="s">
        <v>5845</v>
      </c>
      <c r="F4" s="6" t="s">
        <v>5846</v>
      </c>
      <c r="G4" s="268" t="s">
        <v>5847</v>
      </c>
      <c r="H4" s="268" t="s">
        <v>5848</v>
      </c>
      <c r="I4" s="268" t="s">
        <v>5849</v>
      </c>
      <c r="J4" s="268" t="s">
        <v>5850</v>
      </c>
      <c r="K4" s="268" t="s">
        <v>5851</v>
      </c>
      <c r="L4" s="268" t="s">
        <v>5852</v>
      </c>
      <c r="M4" s="269" t="str">
        <f t="array" ref="M4:M921">{"ПОДХОДЯЩАЯ ЦЕНА              ЗАПЧАСТИ*"; BYROW(H5:L921, LAMBDA(row, IF(COUNT(row)&gt;0, MAX(row), "")))}</f>
        <v>ПОДХОДЯЩАЯ ЦЕНА              ЗАПЧАСТИ*</v>
      </c>
      <c r="N4" s="171" t="s">
        <v>5853</v>
      </c>
      <c r="O4" s="269" t="str">
        <f t="array" ref="O4:O921">{"СТОИМОСТЬ ЗАПЧАСТИ С НАЦЕНКОЙ*"; IF(M5:M921&lt;&gt;"", MROUND(M5:M921*(1+N5:N921), 50), "")}</f>
        <v>СТОИМОСТЬ ЗАПЧАСТИ С НАЦЕНКОЙ*</v>
      </c>
      <c r="P4" s="269" t="s">
        <v>5854</v>
      </c>
      <c r="Q4" s="269" t="s">
        <v>5855</v>
      </c>
      <c r="R4" s="6" t="s">
        <v>5856</v>
      </c>
      <c r="S4" s="6" t="s">
        <v>5857</v>
      </c>
      <c r="T4" s="2"/>
      <c r="U4" s="267" t="s">
        <v>5858</v>
      </c>
      <c r="V4" s="40" t="s">
        <v>5859</v>
      </c>
      <c r="W4" s="2"/>
      <c r="X4" s="270" t="str">
        <f t="array" ref="X4:X921">{"ЦЕНА ICOMPONENTS*"; I5:I921}</f>
        <v>ЦЕНА ICOMPONENTS*</v>
      </c>
      <c r="Y4" s="271" t="str">
        <f t="array" ref="Y4:Y921">{"ЦЕНА              MOS - LCD*"; L5:L921}</f>
        <v>ЦЕНА              MOS - LCD*</v>
      </c>
      <c r="Z4" s="2"/>
      <c r="AA4" s="272" t="str">
        <f t="array" ref="AA4:AA921">{"ID*"; C5:C921}</f>
        <v>ID*</v>
      </c>
      <c r="AB4" s="273" t="str">
        <f t="array" ref="AB4:AB921">{"КОД*"; AA5:AA921}</f>
        <v>КОД*</v>
      </c>
      <c r="AC4" s="273" t="s">
        <v>5860</v>
      </c>
      <c r="AD4" s="273" t="str">
        <f t="array" ref="AD4:AD921">{"ШТРИХКОД*"; AA5:AA921}</f>
        <v>ШТРИХКОД*</v>
      </c>
      <c r="AE4" s="274" t="str">
        <f t="array" ref="AE4:AE921">{"Наименование*"; B5:B921}</f>
        <v>Наименование*</v>
      </c>
      <c r="AF4" s="273" t="s">
        <v>388</v>
      </c>
      <c r="AG4" s="273" t="str">
        <f t="array" ref="AG4:AG921">{ "Единица измерения*" ; IF(AG5:AG921 &lt;&gt; "", "pcs", "pcs") }</f>
        <v>Единица измерения*</v>
      </c>
      <c r="AH4" s="273" t="s">
        <v>5861</v>
      </c>
      <c r="AI4" s="273" t="str">
        <f t="array" ref="AI4:AI921">{"Гарантия*"; D5:D921}</f>
        <v>Гарантия*</v>
      </c>
      <c r="AJ4" s="273" t="str">
        <f t="array" ref="AJ4:AJ921">{ "Гарантийный период*" ; IF(AJ5:AJ921 &lt;&gt; "", "дн", "дн") }</f>
        <v>Гарантийный период*</v>
      </c>
      <c r="AK4" s="273" t="s">
        <v>5862</v>
      </c>
      <c r="AL4" s="273" t="str">
        <f t="array" ref="AL4:AL921">{ "Включить отслеживание срока годности*" ; IF(AL5:AL921 &lt;&gt; "", "нет", "нет") }</f>
        <v>Включить отслеживание срока годности*</v>
      </c>
      <c r="AM4" s="273" t="s">
        <v>5863</v>
      </c>
      <c r="AN4" s="273" t="s">
        <v>5864</v>
      </c>
      <c r="AO4" s="273" t="s">
        <v>5865</v>
      </c>
      <c r="AP4" s="273" t="s">
        <v>5866</v>
      </c>
      <c r="AQ4" s="273" t="s">
        <v>5867</v>
      </c>
      <c r="AR4" s="273" t="s">
        <v>5868</v>
      </c>
      <c r="AS4" s="273" t="s">
        <v>5869</v>
      </c>
      <c r="AT4" s="273" t="s">
        <v>5870</v>
      </c>
      <c r="AU4" s="275" t="str">
        <f t="array" ref="AU4:AU921">{"Закупочная*"; M5:M921}</f>
        <v>Закупочная*</v>
      </c>
      <c r="AV4" s="276" t="str">
        <f t="array" ref="AV4:AV921">{"Розничная*"; Q5:Q921}</f>
        <v>Розничная*</v>
      </c>
      <c r="AW4" s="2"/>
      <c r="AX4" s="2"/>
      <c r="AY4" s="2"/>
      <c r="AZ4" s="2"/>
      <c r="BA4" s="2"/>
      <c r="BB4" s="2"/>
      <c r="BC4" s="2"/>
      <c r="BD4" s="2"/>
      <c r="BE4" s="2"/>
    </row>
    <row r="5" hidden="1">
      <c r="A5" s="1"/>
      <c r="B5" s="277" t="s">
        <v>5871</v>
      </c>
      <c r="C5" s="278" t="s">
        <v>5872</v>
      </c>
      <c r="D5" s="278">
        <v>180.0</v>
      </c>
      <c r="E5" s="134" t="str">
        <f t="shared" ref="E5:E148" si="2">LEFT(B5,FIND("[",B5) - 2)</f>
        <v>iPhone 5</v>
      </c>
      <c r="F5" s="134" t="s">
        <v>5873</v>
      </c>
      <c r="G5" s="279" t="s">
        <v>5874</v>
      </c>
      <c r="H5" s="280"/>
      <c r="I5" s="281">
        <v>430.0</v>
      </c>
      <c r="J5" s="282"/>
      <c r="K5" s="283"/>
      <c r="L5" s="281">
        <v>340.0</v>
      </c>
      <c r="M5" s="282">
        <v>430.0</v>
      </c>
      <c r="N5" s="284">
        <v>0.12</v>
      </c>
      <c r="O5" s="283">
        <v>500.0</v>
      </c>
      <c r="P5" s="285">
        <f t="shared" ref="P5:Q5" si="1">O5</f>
        <v>500</v>
      </c>
      <c r="Q5" s="286">
        <f t="shared" si="1"/>
        <v>500</v>
      </c>
      <c r="R5" s="287" t="s">
        <v>5875</v>
      </c>
      <c r="S5" s="288">
        <v>46140.38005681713</v>
      </c>
      <c r="T5" s="2"/>
      <c r="U5" s="289">
        <f t="shared" ref="U5:U555" si="4">IF(I5&gt;0, Q5 - I5, "нет з/ч")</f>
        <v>70</v>
      </c>
      <c r="V5" s="290">
        <f t="shared" ref="V5:V53" si="5">IF(L5&gt;0, Q5 - L5, "нет з/ч")</f>
        <v>160</v>
      </c>
      <c r="W5" s="2"/>
      <c r="X5" s="291">
        <v>430.0</v>
      </c>
      <c r="Y5" s="136">
        <v>340.0</v>
      </c>
      <c r="Z5" s="2"/>
      <c r="AA5" s="2" t="s">
        <v>5872</v>
      </c>
      <c r="AB5" s="2" t="s">
        <v>5872</v>
      </c>
      <c r="AC5" s="2"/>
      <c r="AD5" s="2" t="s">
        <v>5872</v>
      </c>
      <c r="AE5" s="3" t="s">
        <v>5871</v>
      </c>
      <c r="AF5" s="2"/>
      <c r="AG5" s="1" t="s">
        <v>1582</v>
      </c>
      <c r="AH5" s="1" t="s">
        <v>5876</v>
      </c>
      <c r="AI5" s="2">
        <v>180.0</v>
      </c>
      <c r="AJ5" s="1" t="s">
        <v>1589</v>
      </c>
      <c r="AK5" s="1" t="s">
        <v>5877</v>
      </c>
      <c r="AL5" s="1" t="s">
        <v>5878</v>
      </c>
      <c r="AM5" s="2"/>
      <c r="AN5" s="2"/>
      <c r="AO5" s="2"/>
      <c r="AP5" s="2"/>
      <c r="AQ5" s="2"/>
      <c r="AR5" s="2"/>
      <c r="AS5" s="2"/>
      <c r="AT5" s="2"/>
      <c r="AU5" s="126">
        <v>430.0</v>
      </c>
      <c r="AV5" s="126">
        <v>500.0</v>
      </c>
      <c r="AW5" s="2"/>
      <c r="AX5" s="2"/>
      <c r="AY5" s="2"/>
      <c r="AZ5" s="2"/>
      <c r="BA5" s="2"/>
      <c r="BB5" s="2"/>
      <c r="BC5" s="2"/>
      <c r="BD5" s="2"/>
      <c r="BE5" s="2"/>
    </row>
    <row r="6" hidden="1">
      <c r="A6" s="292"/>
      <c r="B6" s="293" t="s">
        <v>5879</v>
      </c>
      <c r="C6" s="294" t="s">
        <v>5880</v>
      </c>
      <c r="D6" s="278">
        <v>180.0</v>
      </c>
      <c r="E6" s="134" t="str">
        <f t="shared" si="2"/>
        <v>iPhone 5C / 5S</v>
      </c>
      <c r="F6" s="11" t="s">
        <v>5873</v>
      </c>
      <c r="G6" s="295" t="s">
        <v>5881</v>
      </c>
      <c r="H6" s="296"/>
      <c r="I6" s="156">
        <v>370.0</v>
      </c>
      <c r="J6" s="297"/>
      <c r="K6" s="298"/>
      <c r="L6" s="156">
        <v>340.0</v>
      </c>
      <c r="M6" s="297">
        <v>370.0</v>
      </c>
      <c r="N6" s="284">
        <v>0.3</v>
      </c>
      <c r="O6" s="298">
        <v>500.0</v>
      </c>
      <c r="P6" s="285">
        <f t="shared" ref="P6:Q6" si="3">O6</f>
        <v>500</v>
      </c>
      <c r="Q6" s="286">
        <f t="shared" si="3"/>
        <v>500</v>
      </c>
      <c r="R6" s="299" t="s">
        <v>5882</v>
      </c>
      <c r="S6" s="300">
        <v>46140.38008390046</v>
      </c>
      <c r="T6" s="2"/>
      <c r="U6" s="289">
        <f t="shared" si="4"/>
        <v>130</v>
      </c>
      <c r="V6" s="290">
        <f t="shared" si="5"/>
        <v>160</v>
      </c>
      <c r="W6" s="2"/>
      <c r="X6" s="289">
        <v>370.0</v>
      </c>
      <c r="Y6" s="139">
        <v>340.0</v>
      </c>
      <c r="Z6" s="2"/>
      <c r="AA6" s="2" t="s">
        <v>5880</v>
      </c>
      <c r="AB6" s="2" t="s">
        <v>5880</v>
      </c>
      <c r="AC6" s="2"/>
      <c r="AD6" s="2" t="s">
        <v>5880</v>
      </c>
      <c r="AE6" s="3" t="s">
        <v>5879</v>
      </c>
      <c r="AF6" s="2"/>
      <c r="AG6" s="1" t="s">
        <v>1582</v>
      </c>
      <c r="AH6" s="1" t="s">
        <v>5883</v>
      </c>
      <c r="AI6" s="2">
        <v>180.0</v>
      </c>
      <c r="AJ6" s="1" t="s">
        <v>1589</v>
      </c>
      <c r="AK6" s="1" t="s">
        <v>5877</v>
      </c>
      <c r="AL6" s="1" t="s">
        <v>5878</v>
      </c>
      <c r="AM6" s="2"/>
      <c r="AN6" s="2"/>
      <c r="AO6" s="2"/>
      <c r="AP6" s="2"/>
      <c r="AQ6" s="2"/>
      <c r="AR6" s="2"/>
      <c r="AS6" s="2"/>
      <c r="AT6" s="2"/>
      <c r="AU6" s="126">
        <v>370.0</v>
      </c>
      <c r="AV6" s="126">
        <v>500.0</v>
      </c>
      <c r="AW6" s="2"/>
      <c r="AX6" s="2"/>
      <c r="AY6" s="2"/>
      <c r="AZ6" s="2"/>
      <c r="BA6" s="2"/>
      <c r="BB6" s="2"/>
      <c r="BC6" s="2"/>
      <c r="BD6" s="2"/>
      <c r="BE6" s="2"/>
    </row>
    <row r="7" hidden="1">
      <c r="A7" s="2"/>
      <c r="B7" s="293" t="s">
        <v>5884</v>
      </c>
      <c r="C7" s="294" t="s">
        <v>5885</v>
      </c>
      <c r="D7" s="278">
        <v>180.0</v>
      </c>
      <c r="E7" s="134" t="str">
        <f t="shared" si="2"/>
        <v>iPhone SE 2016</v>
      </c>
      <c r="F7" s="11" t="s">
        <v>5873</v>
      </c>
      <c r="G7" s="295" t="s">
        <v>5886</v>
      </c>
      <c r="H7" s="296"/>
      <c r="I7" s="156">
        <v>530.0</v>
      </c>
      <c r="J7" s="301"/>
      <c r="K7" s="296"/>
      <c r="L7" s="156">
        <v>480.0</v>
      </c>
      <c r="M7" s="301">
        <v>530.0</v>
      </c>
      <c r="N7" s="284">
        <v>0.3</v>
      </c>
      <c r="O7" s="296">
        <v>700.0</v>
      </c>
      <c r="P7" s="285">
        <f t="shared" ref="P7:Q7" si="6">O7</f>
        <v>700</v>
      </c>
      <c r="Q7" s="286">
        <f t="shared" si="6"/>
        <v>700</v>
      </c>
      <c r="R7" s="299" t="s">
        <v>5887</v>
      </c>
      <c r="S7" s="300">
        <v>46140.38010681713</v>
      </c>
      <c r="T7" s="2"/>
      <c r="U7" s="289">
        <f t="shared" si="4"/>
        <v>170</v>
      </c>
      <c r="V7" s="290">
        <f t="shared" si="5"/>
        <v>220</v>
      </c>
      <c r="W7" s="2"/>
      <c r="X7" s="289">
        <v>530.0</v>
      </c>
      <c r="Y7" s="139">
        <v>480.0</v>
      </c>
      <c r="Z7" s="2"/>
      <c r="AA7" s="2" t="s">
        <v>5885</v>
      </c>
      <c r="AB7" s="2" t="s">
        <v>5885</v>
      </c>
      <c r="AC7" s="2"/>
      <c r="AD7" s="2" t="s">
        <v>5885</v>
      </c>
      <c r="AE7" s="3" t="s">
        <v>5884</v>
      </c>
      <c r="AF7" s="2"/>
      <c r="AG7" s="1" t="s">
        <v>1582</v>
      </c>
      <c r="AH7" s="1" t="s">
        <v>5888</v>
      </c>
      <c r="AI7" s="2">
        <v>180.0</v>
      </c>
      <c r="AJ7" s="1" t="s">
        <v>1589</v>
      </c>
      <c r="AK7" s="1" t="s">
        <v>5877</v>
      </c>
      <c r="AL7" s="1" t="s">
        <v>5878</v>
      </c>
      <c r="AM7" s="2"/>
      <c r="AN7" s="2"/>
      <c r="AO7" s="2"/>
      <c r="AP7" s="2"/>
      <c r="AQ7" s="2"/>
      <c r="AR7" s="2"/>
      <c r="AS7" s="2"/>
      <c r="AT7" s="2"/>
      <c r="AU7" s="126">
        <v>530.0</v>
      </c>
      <c r="AV7" s="126">
        <v>700.0</v>
      </c>
      <c r="AW7" s="2"/>
      <c r="AX7" s="2"/>
      <c r="AY7" s="2"/>
      <c r="AZ7" s="2"/>
      <c r="BA7" s="2"/>
      <c r="BB7" s="2"/>
      <c r="BC7" s="2"/>
      <c r="BD7" s="2"/>
      <c r="BE7" s="2"/>
    </row>
    <row r="8" hidden="1">
      <c r="A8" s="292"/>
      <c r="B8" s="293" t="s">
        <v>5889</v>
      </c>
      <c r="C8" s="294" t="s">
        <v>5890</v>
      </c>
      <c r="D8" s="278">
        <v>180.0</v>
      </c>
      <c r="E8" s="134" t="str">
        <f t="shared" si="2"/>
        <v>iPhone 6</v>
      </c>
      <c r="F8" s="11" t="s">
        <v>5873</v>
      </c>
      <c r="G8" s="295" t="s">
        <v>5891</v>
      </c>
      <c r="H8" s="296"/>
      <c r="I8" s="156">
        <v>450.0</v>
      </c>
      <c r="J8" s="297"/>
      <c r="K8" s="298"/>
      <c r="L8" s="156">
        <v>380.0</v>
      </c>
      <c r="M8" s="301">
        <v>450.0</v>
      </c>
      <c r="N8" s="284">
        <v>0.3</v>
      </c>
      <c r="O8" s="298">
        <v>600.0</v>
      </c>
      <c r="P8" s="285">
        <f t="shared" ref="P8:Q8" si="7">O8</f>
        <v>600</v>
      </c>
      <c r="Q8" s="286">
        <f t="shared" si="7"/>
        <v>600</v>
      </c>
      <c r="R8" s="299" t="s">
        <v>5892</v>
      </c>
      <c r="S8" s="300">
        <v>46140.38012599537</v>
      </c>
      <c r="T8" s="2"/>
      <c r="U8" s="289">
        <f t="shared" si="4"/>
        <v>150</v>
      </c>
      <c r="V8" s="290">
        <f t="shared" si="5"/>
        <v>220</v>
      </c>
      <c r="W8" s="2"/>
      <c r="X8" s="289">
        <v>450.0</v>
      </c>
      <c r="Y8" s="139">
        <v>380.0</v>
      </c>
      <c r="Z8" s="2"/>
      <c r="AA8" s="2" t="s">
        <v>5890</v>
      </c>
      <c r="AB8" s="2" t="s">
        <v>5890</v>
      </c>
      <c r="AC8" s="2"/>
      <c r="AD8" s="2" t="s">
        <v>5890</v>
      </c>
      <c r="AE8" s="3" t="s">
        <v>5889</v>
      </c>
      <c r="AF8" s="2"/>
      <c r="AG8" s="1" t="s">
        <v>1582</v>
      </c>
      <c r="AH8" s="1" t="s">
        <v>5893</v>
      </c>
      <c r="AI8" s="2">
        <v>180.0</v>
      </c>
      <c r="AJ8" s="1" t="s">
        <v>1589</v>
      </c>
      <c r="AK8" s="1" t="s">
        <v>5877</v>
      </c>
      <c r="AL8" s="1" t="s">
        <v>5878</v>
      </c>
      <c r="AM8" s="2"/>
      <c r="AN8" s="2"/>
      <c r="AO8" s="2"/>
      <c r="AP8" s="2"/>
      <c r="AQ8" s="2"/>
      <c r="AR8" s="2"/>
      <c r="AS8" s="2"/>
      <c r="AT8" s="2"/>
      <c r="AU8" s="126">
        <v>450.0</v>
      </c>
      <c r="AV8" s="126">
        <v>600.0</v>
      </c>
      <c r="AW8" s="2"/>
      <c r="AX8" s="2"/>
      <c r="AY8" s="2"/>
      <c r="AZ8" s="2"/>
      <c r="BA8" s="2"/>
      <c r="BB8" s="2"/>
      <c r="BC8" s="2"/>
      <c r="BD8" s="2"/>
      <c r="BE8" s="2"/>
    </row>
    <row r="9" hidden="1">
      <c r="A9" s="292"/>
      <c r="B9" s="293" t="s">
        <v>5894</v>
      </c>
      <c r="C9" s="294" t="s">
        <v>5895</v>
      </c>
      <c r="D9" s="278">
        <v>180.0</v>
      </c>
      <c r="E9" s="134" t="str">
        <f t="shared" si="2"/>
        <v>iPhone 6 Plus</v>
      </c>
      <c r="F9" s="11" t="s">
        <v>5873</v>
      </c>
      <c r="G9" s="295" t="s">
        <v>5896</v>
      </c>
      <c r="H9" s="296"/>
      <c r="I9" s="156">
        <v>490.0</v>
      </c>
      <c r="J9" s="297"/>
      <c r="K9" s="298"/>
      <c r="L9" s="156">
        <v>480.0</v>
      </c>
      <c r="M9" s="301">
        <v>490.0</v>
      </c>
      <c r="N9" s="284">
        <v>0.6</v>
      </c>
      <c r="O9" s="298">
        <v>800.0</v>
      </c>
      <c r="P9" s="285">
        <f t="shared" ref="P9:Q9" si="8">O9</f>
        <v>800</v>
      </c>
      <c r="Q9" s="286">
        <f t="shared" si="8"/>
        <v>800</v>
      </c>
      <c r="R9" s="299" t="s">
        <v>5897</v>
      </c>
      <c r="S9" s="300">
        <v>46140.38014681713</v>
      </c>
      <c r="T9" s="2"/>
      <c r="U9" s="289">
        <f t="shared" si="4"/>
        <v>310</v>
      </c>
      <c r="V9" s="290">
        <f t="shared" si="5"/>
        <v>320</v>
      </c>
      <c r="W9" s="2"/>
      <c r="X9" s="289">
        <v>490.0</v>
      </c>
      <c r="Y9" s="139">
        <v>480.0</v>
      </c>
      <c r="Z9" s="2"/>
      <c r="AA9" s="2" t="s">
        <v>5895</v>
      </c>
      <c r="AB9" s="2" t="s">
        <v>5895</v>
      </c>
      <c r="AC9" s="2"/>
      <c r="AD9" s="2" t="s">
        <v>5895</v>
      </c>
      <c r="AE9" s="3" t="s">
        <v>5894</v>
      </c>
      <c r="AF9" s="2"/>
      <c r="AG9" s="1" t="s">
        <v>1582</v>
      </c>
      <c r="AH9" s="1" t="s">
        <v>5898</v>
      </c>
      <c r="AI9" s="2">
        <v>180.0</v>
      </c>
      <c r="AJ9" s="1" t="s">
        <v>1589</v>
      </c>
      <c r="AK9" s="1" t="s">
        <v>5877</v>
      </c>
      <c r="AL9" s="1" t="s">
        <v>5878</v>
      </c>
      <c r="AM9" s="2"/>
      <c r="AN9" s="2"/>
      <c r="AO9" s="2"/>
      <c r="AP9" s="2"/>
      <c r="AQ9" s="2"/>
      <c r="AR9" s="2"/>
      <c r="AS9" s="2"/>
      <c r="AT9" s="2"/>
      <c r="AU9" s="126">
        <v>490.0</v>
      </c>
      <c r="AV9" s="126">
        <v>800.0</v>
      </c>
      <c r="AW9" s="2"/>
      <c r="AX9" s="2"/>
      <c r="AY9" s="2"/>
      <c r="AZ9" s="2"/>
      <c r="BA9" s="2"/>
      <c r="BB9" s="2"/>
      <c r="BC9" s="2"/>
      <c r="BD9" s="2"/>
      <c r="BE9" s="2"/>
    </row>
    <row r="10" hidden="1">
      <c r="A10" s="292"/>
      <c r="B10" s="293" t="s">
        <v>5899</v>
      </c>
      <c r="C10" s="294" t="s">
        <v>5900</v>
      </c>
      <c r="D10" s="278">
        <v>180.0</v>
      </c>
      <c r="E10" s="134" t="str">
        <f t="shared" si="2"/>
        <v>iPhone 6S</v>
      </c>
      <c r="F10" s="11" t="s">
        <v>5873</v>
      </c>
      <c r="G10" s="295" t="s">
        <v>5901</v>
      </c>
      <c r="H10" s="296"/>
      <c r="I10" s="156">
        <v>520.0</v>
      </c>
      <c r="J10" s="297"/>
      <c r="K10" s="298"/>
      <c r="L10" s="156">
        <v>480.0</v>
      </c>
      <c r="M10" s="301">
        <v>520.0</v>
      </c>
      <c r="N10" s="284">
        <v>0.5</v>
      </c>
      <c r="O10" s="298">
        <v>800.0</v>
      </c>
      <c r="P10" s="285">
        <f t="shared" ref="P10:Q10" si="9">O10</f>
        <v>800</v>
      </c>
      <c r="Q10" s="286">
        <f t="shared" si="9"/>
        <v>800</v>
      </c>
      <c r="R10" s="299" t="s">
        <v>5902</v>
      </c>
      <c r="S10" s="300">
        <v>46140.380168055555</v>
      </c>
      <c r="T10" s="2"/>
      <c r="U10" s="289">
        <f t="shared" si="4"/>
        <v>280</v>
      </c>
      <c r="V10" s="290">
        <f t="shared" si="5"/>
        <v>320</v>
      </c>
      <c r="W10" s="2"/>
      <c r="X10" s="289">
        <v>520.0</v>
      </c>
      <c r="Y10" s="139">
        <v>480.0</v>
      </c>
      <c r="Z10" s="2"/>
      <c r="AA10" s="2" t="s">
        <v>5900</v>
      </c>
      <c r="AB10" s="2" t="s">
        <v>5900</v>
      </c>
      <c r="AC10" s="2"/>
      <c r="AD10" s="2" t="s">
        <v>5900</v>
      </c>
      <c r="AE10" s="3" t="s">
        <v>5899</v>
      </c>
      <c r="AF10" s="2"/>
      <c r="AG10" s="1" t="s">
        <v>1582</v>
      </c>
      <c r="AH10" s="1" t="s">
        <v>5903</v>
      </c>
      <c r="AI10" s="2">
        <v>180.0</v>
      </c>
      <c r="AJ10" s="1" t="s">
        <v>1589</v>
      </c>
      <c r="AK10" s="1" t="s">
        <v>5877</v>
      </c>
      <c r="AL10" s="1" t="s">
        <v>5878</v>
      </c>
      <c r="AM10" s="2"/>
      <c r="AN10" s="2"/>
      <c r="AO10" s="2"/>
      <c r="AP10" s="2"/>
      <c r="AQ10" s="2"/>
      <c r="AR10" s="2"/>
      <c r="AS10" s="2"/>
      <c r="AT10" s="2"/>
      <c r="AU10" s="126">
        <v>520.0</v>
      </c>
      <c r="AV10" s="126">
        <v>800.0</v>
      </c>
      <c r="AW10" s="2"/>
      <c r="AX10" s="2"/>
      <c r="AY10" s="2"/>
      <c r="AZ10" s="2"/>
      <c r="BA10" s="2"/>
      <c r="BB10" s="2"/>
      <c r="BC10" s="2"/>
      <c r="BD10" s="2"/>
      <c r="BE10" s="2"/>
    </row>
    <row r="11" hidden="1">
      <c r="A11" s="292"/>
      <c r="B11" s="293" t="s">
        <v>5904</v>
      </c>
      <c r="C11" s="294" t="s">
        <v>5905</v>
      </c>
      <c r="D11" s="278">
        <v>180.0</v>
      </c>
      <c r="E11" s="134" t="str">
        <f t="shared" si="2"/>
        <v>iPhone 6S Plus</v>
      </c>
      <c r="F11" s="11" t="s">
        <v>5873</v>
      </c>
      <c r="G11" s="295" t="s">
        <v>5906</v>
      </c>
      <c r="H11" s="296"/>
      <c r="I11" s="156">
        <v>590.0</v>
      </c>
      <c r="J11" s="297"/>
      <c r="K11" s="298"/>
      <c r="L11" s="156">
        <v>550.0</v>
      </c>
      <c r="M11" s="301">
        <v>590.0</v>
      </c>
      <c r="N11" s="284">
        <v>0.7</v>
      </c>
      <c r="O11" s="296">
        <v>1000.0</v>
      </c>
      <c r="P11" s="285">
        <f t="shared" ref="P11:Q11" si="10">O11</f>
        <v>1000</v>
      </c>
      <c r="Q11" s="286">
        <f t="shared" si="10"/>
        <v>1000</v>
      </c>
      <c r="R11" s="299" t="s">
        <v>5907</v>
      </c>
      <c r="S11" s="300">
        <v>46140.380189247684</v>
      </c>
      <c r="T11" s="2"/>
      <c r="U11" s="289">
        <f t="shared" si="4"/>
        <v>410</v>
      </c>
      <c r="V11" s="290">
        <f t="shared" si="5"/>
        <v>450</v>
      </c>
      <c r="W11" s="2"/>
      <c r="X11" s="289">
        <v>590.0</v>
      </c>
      <c r="Y11" s="139">
        <v>550.0</v>
      </c>
      <c r="Z11" s="2"/>
      <c r="AA11" s="2" t="s">
        <v>5905</v>
      </c>
      <c r="AB11" s="2" t="s">
        <v>5905</v>
      </c>
      <c r="AC11" s="2"/>
      <c r="AD11" s="2" t="s">
        <v>5905</v>
      </c>
      <c r="AE11" s="3" t="s">
        <v>5904</v>
      </c>
      <c r="AF11" s="2"/>
      <c r="AG11" s="1" t="s">
        <v>1582</v>
      </c>
      <c r="AH11" s="1" t="s">
        <v>5908</v>
      </c>
      <c r="AI11" s="2">
        <v>180.0</v>
      </c>
      <c r="AJ11" s="1" t="s">
        <v>1589</v>
      </c>
      <c r="AK11" s="1" t="s">
        <v>5877</v>
      </c>
      <c r="AL11" s="1" t="s">
        <v>5878</v>
      </c>
      <c r="AM11" s="2"/>
      <c r="AN11" s="2"/>
      <c r="AO11" s="2"/>
      <c r="AP11" s="2"/>
      <c r="AQ11" s="2"/>
      <c r="AR11" s="2"/>
      <c r="AS11" s="2"/>
      <c r="AT11" s="2"/>
      <c r="AU11" s="126">
        <v>590.0</v>
      </c>
      <c r="AV11" s="126">
        <v>1000.0</v>
      </c>
      <c r="AW11" s="2"/>
      <c r="AX11" s="2"/>
      <c r="AY11" s="2"/>
      <c r="AZ11" s="2"/>
      <c r="BA11" s="2"/>
      <c r="BB11" s="2"/>
      <c r="BC11" s="2"/>
      <c r="BD11" s="2"/>
      <c r="BE11" s="2"/>
    </row>
    <row r="12" hidden="1">
      <c r="A12" s="292"/>
      <c r="B12" s="293" t="s">
        <v>5909</v>
      </c>
      <c r="C12" s="294" t="s">
        <v>5910</v>
      </c>
      <c r="D12" s="278">
        <v>180.0</v>
      </c>
      <c r="E12" s="134" t="str">
        <f t="shared" si="2"/>
        <v>iPhone 7</v>
      </c>
      <c r="F12" s="11" t="s">
        <v>5873</v>
      </c>
      <c r="G12" s="295" t="s">
        <v>5911</v>
      </c>
      <c r="H12" s="296"/>
      <c r="I12" s="156">
        <v>450.0</v>
      </c>
      <c r="J12" s="297"/>
      <c r="K12" s="298"/>
      <c r="L12" s="156">
        <v>480.0</v>
      </c>
      <c r="M12" s="301">
        <v>480.0</v>
      </c>
      <c r="N12" s="284">
        <v>0.5</v>
      </c>
      <c r="O12" s="296">
        <v>700.0</v>
      </c>
      <c r="P12" s="285">
        <f t="shared" ref="P12:Q12" si="11">O12</f>
        <v>700</v>
      </c>
      <c r="Q12" s="286">
        <f t="shared" si="11"/>
        <v>700</v>
      </c>
      <c r="R12" s="299" t="s">
        <v>5912</v>
      </c>
      <c r="S12" s="300">
        <v>46140.3802177662</v>
      </c>
      <c r="T12" s="2"/>
      <c r="U12" s="289">
        <f t="shared" si="4"/>
        <v>250</v>
      </c>
      <c r="V12" s="290">
        <f t="shared" si="5"/>
        <v>220</v>
      </c>
      <c r="W12" s="2"/>
      <c r="X12" s="289">
        <v>450.0</v>
      </c>
      <c r="Y12" s="139">
        <v>480.0</v>
      </c>
      <c r="Z12" s="2"/>
      <c r="AA12" s="2" t="s">
        <v>5910</v>
      </c>
      <c r="AB12" s="2" t="s">
        <v>5910</v>
      </c>
      <c r="AC12" s="2"/>
      <c r="AD12" s="2" t="s">
        <v>5910</v>
      </c>
      <c r="AE12" s="3" t="s">
        <v>5909</v>
      </c>
      <c r="AF12" s="2"/>
      <c r="AG12" s="1" t="s">
        <v>1582</v>
      </c>
      <c r="AH12" s="1" t="s">
        <v>5913</v>
      </c>
      <c r="AI12" s="2">
        <v>180.0</v>
      </c>
      <c r="AJ12" s="1" t="s">
        <v>1589</v>
      </c>
      <c r="AK12" s="1" t="s">
        <v>5877</v>
      </c>
      <c r="AL12" s="1" t="s">
        <v>5878</v>
      </c>
      <c r="AM12" s="2"/>
      <c r="AN12" s="2"/>
      <c r="AO12" s="2"/>
      <c r="AP12" s="2"/>
      <c r="AQ12" s="2"/>
      <c r="AR12" s="2"/>
      <c r="AS12" s="2"/>
      <c r="AT12" s="2"/>
      <c r="AU12" s="126">
        <v>480.0</v>
      </c>
      <c r="AV12" s="126">
        <v>700.0</v>
      </c>
      <c r="AW12" s="2"/>
      <c r="AX12" s="2"/>
      <c r="AY12" s="2"/>
      <c r="AZ12" s="2"/>
      <c r="BA12" s="2"/>
      <c r="BB12" s="2"/>
      <c r="BC12" s="2"/>
      <c r="BD12" s="2"/>
      <c r="BE12" s="2"/>
    </row>
    <row r="13" hidden="1">
      <c r="A13" s="2"/>
      <c r="B13" s="293" t="s">
        <v>5914</v>
      </c>
      <c r="C13" s="294" t="s">
        <v>5915</v>
      </c>
      <c r="D13" s="278">
        <v>180.0</v>
      </c>
      <c r="E13" s="134" t="str">
        <f t="shared" si="2"/>
        <v>iPhone 7 Plus</v>
      </c>
      <c r="F13" s="11" t="s">
        <v>5873</v>
      </c>
      <c r="G13" s="295" t="s">
        <v>5916</v>
      </c>
      <c r="H13" s="296"/>
      <c r="I13" s="156">
        <v>620.0</v>
      </c>
      <c r="J13" s="297"/>
      <c r="K13" s="298"/>
      <c r="L13" s="156">
        <v>570.0</v>
      </c>
      <c r="M13" s="301">
        <v>620.0</v>
      </c>
      <c r="N13" s="284">
        <v>0.45</v>
      </c>
      <c r="O13" s="296">
        <v>900.0</v>
      </c>
      <c r="P13" s="285">
        <f t="shared" ref="P13:Q13" si="12">O13</f>
        <v>900</v>
      </c>
      <c r="Q13" s="286">
        <f t="shared" si="12"/>
        <v>900</v>
      </c>
      <c r="R13" s="299" t="s">
        <v>5917</v>
      </c>
      <c r="S13" s="300">
        <v>46140.38024525463</v>
      </c>
      <c r="T13" s="2"/>
      <c r="U13" s="289">
        <f t="shared" si="4"/>
        <v>280</v>
      </c>
      <c r="V13" s="290">
        <f t="shared" si="5"/>
        <v>330</v>
      </c>
      <c r="W13" s="2"/>
      <c r="X13" s="289">
        <v>620.0</v>
      </c>
      <c r="Y13" s="139">
        <v>570.0</v>
      </c>
      <c r="Z13" s="2"/>
      <c r="AA13" s="2" t="s">
        <v>5915</v>
      </c>
      <c r="AB13" s="2" t="s">
        <v>5915</v>
      </c>
      <c r="AC13" s="2"/>
      <c r="AD13" s="2" t="s">
        <v>5915</v>
      </c>
      <c r="AE13" s="3" t="s">
        <v>5914</v>
      </c>
      <c r="AF13" s="2"/>
      <c r="AG13" s="1" t="s">
        <v>1582</v>
      </c>
      <c r="AH13" s="1" t="s">
        <v>5918</v>
      </c>
      <c r="AI13" s="2">
        <v>180.0</v>
      </c>
      <c r="AJ13" s="1" t="s">
        <v>1589</v>
      </c>
      <c r="AK13" s="1" t="s">
        <v>5877</v>
      </c>
      <c r="AL13" s="1" t="s">
        <v>5878</v>
      </c>
      <c r="AM13" s="2"/>
      <c r="AN13" s="2"/>
      <c r="AO13" s="2"/>
      <c r="AP13" s="2"/>
      <c r="AQ13" s="2"/>
      <c r="AR13" s="2"/>
      <c r="AS13" s="2"/>
      <c r="AT13" s="2"/>
      <c r="AU13" s="126">
        <v>620.0</v>
      </c>
      <c r="AV13" s="126">
        <v>900.0</v>
      </c>
      <c r="AW13" s="2"/>
      <c r="AX13" s="2"/>
      <c r="AY13" s="2"/>
      <c r="AZ13" s="2"/>
      <c r="BA13" s="2"/>
      <c r="BB13" s="2"/>
      <c r="BC13" s="2"/>
      <c r="BD13" s="2"/>
      <c r="BE13" s="2"/>
    </row>
    <row r="14" hidden="1">
      <c r="A14" s="2"/>
      <c r="B14" s="293" t="s">
        <v>5919</v>
      </c>
      <c r="C14" s="294" t="s">
        <v>5920</v>
      </c>
      <c r="D14" s="278">
        <v>180.0</v>
      </c>
      <c r="E14" s="134" t="str">
        <f t="shared" si="2"/>
        <v>iPhone 8</v>
      </c>
      <c r="F14" s="11" t="s">
        <v>5873</v>
      </c>
      <c r="G14" s="295" t="s">
        <v>5921</v>
      </c>
      <c r="H14" s="296"/>
      <c r="I14" s="156">
        <v>590.0</v>
      </c>
      <c r="J14" s="297"/>
      <c r="K14" s="298"/>
      <c r="L14" s="156">
        <v>550.0</v>
      </c>
      <c r="M14" s="301">
        <v>590.0</v>
      </c>
      <c r="N14" s="284">
        <v>0.5</v>
      </c>
      <c r="O14" s="296">
        <v>900.0</v>
      </c>
      <c r="P14" s="285">
        <f t="shared" ref="P14:Q14" si="13">O14</f>
        <v>900</v>
      </c>
      <c r="Q14" s="286">
        <f t="shared" si="13"/>
        <v>900</v>
      </c>
      <c r="R14" s="299" t="s">
        <v>5922</v>
      </c>
      <c r="S14" s="300">
        <v>46140.38027126157</v>
      </c>
      <c r="T14" s="2"/>
      <c r="U14" s="289">
        <f t="shared" si="4"/>
        <v>310</v>
      </c>
      <c r="V14" s="290">
        <f t="shared" si="5"/>
        <v>350</v>
      </c>
      <c r="W14" s="2"/>
      <c r="X14" s="289">
        <v>590.0</v>
      </c>
      <c r="Y14" s="139">
        <v>550.0</v>
      </c>
      <c r="Z14" s="2"/>
      <c r="AA14" s="2" t="s">
        <v>5920</v>
      </c>
      <c r="AB14" s="2" t="s">
        <v>5920</v>
      </c>
      <c r="AC14" s="2"/>
      <c r="AD14" s="2" t="s">
        <v>5920</v>
      </c>
      <c r="AE14" s="3" t="s">
        <v>5919</v>
      </c>
      <c r="AF14" s="2"/>
      <c r="AG14" s="1" t="s">
        <v>1582</v>
      </c>
      <c r="AH14" s="1" t="s">
        <v>5923</v>
      </c>
      <c r="AI14" s="2">
        <v>180.0</v>
      </c>
      <c r="AJ14" s="1" t="s">
        <v>1589</v>
      </c>
      <c r="AK14" s="1" t="s">
        <v>5877</v>
      </c>
      <c r="AL14" s="1" t="s">
        <v>5878</v>
      </c>
      <c r="AM14" s="2"/>
      <c r="AN14" s="2"/>
      <c r="AO14" s="2"/>
      <c r="AP14" s="2"/>
      <c r="AQ14" s="2"/>
      <c r="AR14" s="2"/>
      <c r="AS14" s="2"/>
      <c r="AT14" s="2"/>
      <c r="AU14" s="126">
        <v>590.0</v>
      </c>
      <c r="AV14" s="126">
        <v>900.0</v>
      </c>
      <c r="AW14" s="2"/>
      <c r="AX14" s="2"/>
      <c r="AY14" s="2"/>
      <c r="AZ14" s="2"/>
      <c r="BA14" s="2"/>
      <c r="BB14" s="2"/>
      <c r="BC14" s="2"/>
      <c r="BD14" s="2"/>
      <c r="BE14" s="2"/>
    </row>
    <row r="15" hidden="1">
      <c r="A15" s="2"/>
      <c r="B15" s="293" t="s">
        <v>5924</v>
      </c>
      <c r="C15" s="294" t="s">
        <v>5925</v>
      </c>
      <c r="D15" s="278">
        <v>180.0</v>
      </c>
      <c r="E15" s="134" t="str">
        <f t="shared" si="2"/>
        <v>iPhone 8 Plus</v>
      </c>
      <c r="F15" s="11" t="s">
        <v>5873</v>
      </c>
      <c r="G15" s="295" t="s">
        <v>5926</v>
      </c>
      <c r="H15" s="296"/>
      <c r="I15" s="156">
        <v>620.0</v>
      </c>
      <c r="J15" s="297"/>
      <c r="K15" s="298"/>
      <c r="L15" s="156">
        <v>610.0</v>
      </c>
      <c r="M15" s="301">
        <v>620.0</v>
      </c>
      <c r="N15" s="284">
        <v>0.75</v>
      </c>
      <c r="O15" s="296">
        <v>1100.0</v>
      </c>
      <c r="P15" s="285">
        <f t="shared" ref="P15:Q15" si="14">O15</f>
        <v>1100</v>
      </c>
      <c r="Q15" s="286">
        <f t="shared" si="14"/>
        <v>1100</v>
      </c>
      <c r="R15" s="299" t="s">
        <v>5927</v>
      </c>
      <c r="S15" s="300">
        <v>46140.380296863426</v>
      </c>
      <c r="T15" s="2"/>
      <c r="U15" s="289">
        <f t="shared" si="4"/>
        <v>480</v>
      </c>
      <c r="V15" s="290">
        <f t="shared" si="5"/>
        <v>490</v>
      </c>
      <c r="W15" s="2"/>
      <c r="X15" s="289">
        <v>620.0</v>
      </c>
      <c r="Y15" s="139">
        <v>610.0</v>
      </c>
      <c r="Z15" s="2"/>
      <c r="AA15" s="2" t="s">
        <v>5925</v>
      </c>
      <c r="AB15" s="2" t="s">
        <v>5925</v>
      </c>
      <c r="AC15" s="2"/>
      <c r="AD15" s="2" t="s">
        <v>5925</v>
      </c>
      <c r="AE15" s="3" t="s">
        <v>5924</v>
      </c>
      <c r="AF15" s="2"/>
      <c r="AG15" s="1" t="s">
        <v>1582</v>
      </c>
      <c r="AH15" s="1" t="s">
        <v>5928</v>
      </c>
      <c r="AI15" s="2">
        <v>180.0</v>
      </c>
      <c r="AJ15" s="1" t="s">
        <v>1589</v>
      </c>
      <c r="AK15" s="1" t="s">
        <v>5877</v>
      </c>
      <c r="AL15" s="1" t="s">
        <v>5878</v>
      </c>
      <c r="AM15" s="2"/>
      <c r="AN15" s="2"/>
      <c r="AO15" s="2"/>
      <c r="AP15" s="2"/>
      <c r="AQ15" s="2"/>
      <c r="AR15" s="2"/>
      <c r="AS15" s="2"/>
      <c r="AT15" s="2"/>
      <c r="AU15" s="126">
        <v>620.0</v>
      </c>
      <c r="AV15" s="126">
        <v>1100.0</v>
      </c>
      <c r="AW15" s="2"/>
      <c r="AX15" s="2"/>
      <c r="AY15" s="2"/>
      <c r="AZ15" s="2"/>
      <c r="BA15" s="2"/>
      <c r="BB15" s="2"/>
      <c r="BC15" s="2"/>
      <c r="BD15" s="2"/>
      <c r="BE15" s="2"/>
    </row>
    <row r="16" hidden="1">
      <c r="A16" s="2"/>
      <c r="B16" s="293" t="s">
        <v>5929</v>
      </c>
      <c r="C16" s="294" t="s">
        <v>5930</v>
      </c>
      <c r="D16" s="278">
        <v>180.0</v>
      </c>
      <c r="E16" s="134" t="str">
        <f t="shared" si="2"/>
        <v>iPhone SE 2020</v>
      </c>
      <c r="F16" s="11" t="s">
        <v>5873</v>
      </c>
      <c r="G16" s="295" t="s">
        <v>5931</v>
      </c>
      <c r="H16" s="296"/>
      <c r="I16" s="156">
        <v>500.0</v>
      </c>
      <c r="J16" s="297"/>
      <c r="K16" s="298"/>
      <c r="L16" s="156">
        <v>550.0</v>
      </c>
      <c r="M16" s="301">
        <v>550.0</v>
      </c>
      <c r="N16" s="284">
        <v>1.4</v>
      </c>
      <c r="O16" s="296">
        <v>1300.0</v>
      </c>
      <c r="P16" s="285">
        <f t="shared" ref="P16:Q16" si="15">O16</f>
        <v>1300</v>
      </c>
      <c r="Q16" s="286">
        <f t="shared" si="15"/>
        <v>1300</v>
      </c>
      <c r="R16" s="299" t="s">
        <v>5932</v>
      </c>
      <c r="S16" s="300">
        <v>46140.38032473379</v>
      </c>
      <c r="T16" s="2"/>
      <c r="U16" s="289">
        <f t="shared" si="4"/>
        <v>800</v>
      </c>
      <c r="V16" s="290">
        <f t="shared" si="5"/>
        <v>750</v>
      </c>
      <c r="W16" s="2"/>
      <c r="X16" s="289">
        <v>500.0</v>
      </c>
      <c r="Y16" s="139">
        <v>550.0</v>
      </c>
      <c r="Z16" s="2"/>
      <c r="AA16" s="2" t="s">
        <v>5930</v>
      </c>
      <c r="AB16" s="2" t="s">
        <v>5930</v>
      </c>
      <c r="AC16" s="2"/>
      <c r="AD16" s="2" t="s">
        <v>5930</v>
      </c>
      <c r="AE16" s="3" t="s">
        <v>5929</v>
      </c>
      <c r="AF16" s="2"/>
      <c r="AG16" s="1" t="s">
        <v>1582</v>
      </c>
      <c r="AH16" s="1" t="s">
        <v>5933</v>
      </c>
      <c r="AI16" s="2">
        <v>180.0</v>
      </c>
      <c r="AJ16" s="1" t="s">
        <v>1589</v>
      </c>
      <c r="AK16" s="1" t="s">
        <v>5877</v>
      </c>
      <c r="AL16" s="1" t="s">
        <v>5878</v>
      </c>
      <c r="AM16" s="2"/>
      <c r="AN16" s="2"/>
      <c r="AO16" s="2"/>
      <c r="AP16" s="2"/>
      <c r="AQ16" s="2"/>
      <c r="AR16" s="2"/>
      <c r="AS16" s="2"/>
      <c r="AT16" s="2"/>
      <c r="AU16" s="126">
        <v>550.0</v>
      </c>
      <c r="AV16" s="126">
        <v>1300.0</v>
      </c>
      <c r="AW16" s="2"/>
      <c r="AX16" s="2"/>
      <c r="AY16" s="2"/>
      <c r="AZ16" s="2"/>
      <c r="BA16" s="2"/>
      <c r="BB16" s="2"/>
      <c r="BC16" s="2"/>
      <c r="BD16" s="2"/>
      <c r="BE16" s="2"/>
    </row>
    <row r="17" hidden="1">
      <c r="A17" s="2"/>
      <c r="B17" s="293" t="s">
        <v>5934</v>
      </c>
      <c r="C17" s="11" t="s">
        <v>5935</v>
      </c>
      <c r="D17" s="278">
        <v>180.0</v>
      </c>
      <c r="E17" s="134" t="str">
        <f t="shared" si="2"/>
        <v>iPhone SE 2022</v>
      </c>
      <c r="F17" s="11" t="s">
        <v>5873</v>
      </c>
      <c r="G17" s="295" t="s">
        <v>5936</v>
      </c>
      <c r="H17" s="296"/>
      <c r="I17" s="156">
        <v>600.0</v>
      </c>
      <c r="J17" s="297"/>
      <c r="K17" s="298"/>
      <c r="L17" s="156">
        <v>990.0</v>
      </c>
      <c r="M17" s="301">
        <v>990.0</v>
      </c>
      <c r="N17" s="284">
        <v>1.0</v>
      </c>
      <c r="O17" s="296">
        <v>2000.0</v>
      </c>
      <c r="P17" s="285">
        <f t="shared" ref="P17:Q17" si="16">O17</f>
        <v>2000</v>
      </c>
      <c r="Q17" s="286">
        <f t="shared" si="16"/>
        <v>2000</v>
      </c>
      <c r="R17" s="299" t="s">
        <v>5937</v>
      </c>
      <c r="S17" s="300">
        <v>46140.38034525463</v>
      </c>
      <c r="T17" s="2"/>
      <c r="U17" s="289">
        <f t="shared" si="4"/>
        <v>1400</v>
      </c>
      <c r="V17" s="290">
        <f t="shared" si="5"/>
        <v>1010</v>
      </c>
      <c r="W17" s="2"/>
      <c r="X17" s="289">
        <v>600.0</v>
      </c>
      <c r="Y17" s="139">
        <v>990.0</v>
      </c>
      <c r="Z17" s="2"/>
      <c r="AA17" s="2" t="s">
        <v>5935</v>
      </c>
      <c r="AB17" s="2" t="s">
        <v>5935</v>
      </c>
      <c r="AC17" s="2"/>
      <c r="AD17" s="2" t="s">
        <v>5935</v>
      </c>
      <c r="AE17" s="3" t="s">
        <v>5934</v>
      </c>
      <c r="AF17" s="2"/>
      <c r="AG17" s="1" t="s">
        <v>1582</v>
      </c>
      <c r="AH17" s="1" t="s">
        <v>5938</v>
      </c>
      <c r="AI17" s="2">
        <v>180.0</v>
      </c>
      <c r="AJ17" s="1" t="s">
        <v>1589</v>
      </c>
      <c r="AK17" s="1" t="s">
        <v>5877</v>
      </c>
      <c r="AL17" s="1" t="s">
        <v>5878</v>
      </c>
      <c r="AM17" s="2"/>
      <c r="AN17" s="2"/>
      <c r="AO17" s="2"/>
      <c r="AP17" s="2"/>
      <c r="AQ17" s="2"/>
      <c r="AR17" s="2"/>
      <c r="AS17" s="2"/>
      <c r="AT17" s="2"/>
      <c r="AU17" s="126">
        <v>990.0</v>
      </c>
      <c r="AV17" s="126">
        <v>2000.0</v>
      </c>
      <c r="AW17" s="2"/>
      <c r="AX17" s="2"/>
      <c r="AY17" s="2"/>
      <c r="AZ17" s="2"/>
      <c r="BA17" s="2"/>
      <c r="BB17" s="2"/>
      <c r="BC17" s="2"/>
      <c r="BD17" s="2"/>
      <c r="BE17" s="2"/>
    </row>
    <row r="18" hidden="1">
      <c r="A18" s="2"/>
      <c r="B18" s="293" t="s">
        <v>5939</v>
      </c>
      <c r="C18" s="11" t="s">
        <v>5940</v>
      </c>
      <c r="D18" s="278">
        <v>180.0</v>
      </c>
      <c r="E18" s="134" t="str">
        <f t="shared" si="2"/>
        <v>iPhone XR</v>
      </c>
      <c r="F18" s="11" t="s">
        <v>5873</v>
      </c>
      <c r="G18" s="295" t="s">
        <v>5941</v>
      </c>
      <c r="H18" s="296"/>
      <c r="I18" s="156">
        <v>700.0</v>
      </c>
      <c r="J18" s="297"/>
      <c r="K18" s="298"/>
      <c r="L18" s="156">
        <v>710.0</v>
      </c>
      <c r="M18" s="301">
        <v>710.0</v>
      </c>
      <c r="N18" s="284">
        <v>0.7</v>
      </c>
      <c r="O18" s="296">
        <v>1200.0</v>
      </c>
      <c r="P18" s="302">
        <f t="shared" ref="P18:Q18" si="17">O18</f>
        <v>1200</v>
      </c>
      <c r="Q18" s="303">
        <f t="shared" si="17"/>
        <v>1200</v>
      </c>
      <c r="R18" s="299" t="s">
        <v>5942</v>
      </c>
      <c r="S18" s="300">
        <v>46140.38036469907</v>
      </c>
      <c r="T18" s="2"/>
      <c r="U18" s="289">
        <f t="shared" si="4"/>
        <v>500</v>
      </c>
      <c r="V18" s="290">
        <f t="shared" si="5"/>
        <v>490</v>
      </c>
      <c r="W18" s="2"/>
      <c r="X18" s="289">
        <v>700.0</v>
      </c>
      <c r="Y18" s="139">
        <v>710.0</v>
      </c>
      <c r="Z18" s="2"/>
      <c r="AA18" s="2" t="s">
        <v>5940</v>
      </c>
      <c r="AB18" s="2" t="s">
        <v>5940</v>
      </c>
      <c r="AC18" s="2"/>
      <c r="AD18" s="2" t="s">
        <v>5940</v>
      </c>
      <c r="AE18" s="3" t="s">
        <v>5939</v>
      </c>
      <c r="AF18" s="2"/>
      <c r="AG18" s="1" t="s">
        <v>1582</v>
      </c>
      <c r="AH18" s="1" t="s">
        <v>5943</v>
      </c>
      <c r="AI18" s="2">
        <v>180.0</v>
      </c>
      <c r="AJ18" s="1" t="s">
        <v>1589</v>
      </c>
      <c r="AK18" s="1" t="s">
        <v>5877</v>
      </c>
      <c r="AL18" s="1" t="s">
        <v>5878</v>
      </c>
      <c r="AM18" s="2"/>
      <c r="AN18" s="2"/>
      <c r="AO18" s="2"/>
      <c r="AP18" s="2"/>
      <c r="AQ18" s="2"/>
      <c r="AR18" s="2"/>
      <c r="AS18" s="2"/>
      <c r="AT18" s="2"/>
      <c r="AU18" s="126">
        <v>710.0</v>
      </c>
      <c r="AV18" s="126">
        <v>1200.0</v>
      </c>
      <c r="AW18" s="2"/>
      <c r="AX18" s="2"/>
      <c r="AY18" s="2"/>
      <c r="AZ18" s="2"/>
      <c r="BA18" s="2"/>
      <c r="BB18" s="2"/>
      <c r="BC18" s="2"/>
      <c r="BD18" s="2"/>
      <c r="BE18" s="2"/>
    </row>
    <row r="19" hidden="1">
      <c r="A19" s="2"/>
      <c r="B19" s="293" t="s">
        <v>5944</v>
      </c>
      <c r="C19" s="11" t="s">
        <v>5945</v>
      </c>
      <c r="D19" s="278">
        <v>180.0</v>
      </c>
      <c r="E19" s="134" t="str">
        <f t="shared" si="2"/>
        <v>iPhone XR</v>
      </c>
      <c r="F19" s="11" t="s">
        <v>5873</v>
      </c>
      <c r="G19" s="295" t="s">
        <v>5946</v>
      </c>
      <c r="H19" s="296"/>
      <c r="I19" s="156">
        <v>390.0</v>
      </c>
      <c r="J19" s="297"/>
      <c r="K19" s="298"/>
      <c r="L19" s="156"/>
      <c r="M19" s="301">
        <v>390.0</v>
      </c>
      <c r="N19" s="284">
        <v>0.12</v>
      </c>
      <c r="O19" s="296">
        <v>450.0</v>
      </c>
      <c r="P19" s="67"/>
      <c r="Q19" s="303">
        <f>P18</f>
        <v>1200</v>
      </c>
      <c r="R19" s="287" t="s">
        <v>5947</v>
      </c>
      <c r="S19" s="300">
        <v>46140.38038515046</v>
      </c>
      <c r="T19" s="2"/>
      <c r="U19" s="289">
        <f t="shared" si="4"/>
        <v>810</v>
      </c>
      <c r="V19" s="304" t="str">
        <f t="shared" si="5"/>
        <v>нет з/ч</v>
      </c>
      <c r="W19" s="2"/>
      <c r="X19" s="289">
        <v>390.0</v>
      </c>
      <c r="Y19" s="139"/>
      <c r="Z19" s="2"/>
      <c r="AA19" s="2" t="s">
        <v>5945</v>
      </c>
      <c r="AB19" s="2" t="s">
        <v>5945</v>
      </c>
      <c r="AC19" s="2"/>
      <c r="AD19" s="2" t="s">
        <v>5945</v>
      </c>
      <c r="AE19" s="3" t="s">
        <v>5944</v>
      </c>
      <c r="AF19" s="2"/>
      <c r="AG19" s="1" t="s">
        <v>1582</v>
      </c>
      <c r="AH19" s="1" t="s">
        <v>5943</v>
      </c>
      <c r="AI19" s="2">
        <v>180.0</v>
      </c>
      <c r="AJ19" s="1" t="s">
        <v>1589</v>
      </c>
      <c r="AK19" s="1" t="s">
        <v>5877</v>
      </c>
      <c r="AL19" s="1" t="s">
        <v>5878</v>
      </c>
      <c r="AM19" s="2"/>
      <c r="AN19" s="2"/>
      <c r="AO19" s="2"/>
      <c r="AP19" s="2"/>
      <c r="AQ19" s="2"/>
      <c r="AR19" s="2"/>
      <c r="AS19" s="2"/>
      <c r="AT19" s="2"/>
      <c r="AU19" s="126">
        <v>390.0</v>
      </c>
      <c r="AV19" s="126">
        <v>1200.0</v>
      </c>
      <c r="AW19" s="2"/>
      <c r="AX19" s="2"/>
      <c r="AY19" s="2"/>
      <c r="AZ19" s="2"/>
      <c r="BA19" s="2"/>
      <c r="BB19" s="2"/>
      <c r="BC19" s="2"/>
      <c r="BD19" s="2"/>
      <c r="BE19" s="2"/>
    </row>
    <row r="20" hidden="1">
      <c r="A20" s="2"/>
      <c r="B20" s="293" t="s">
        <v>5948</v>
      </c>
      <c r="C20" s="11" t="s">
        <v>5949</v>
      </c>
      <c r="D20" s="278">
        <v>180.0</v>
      </c>
      <c r="E20" s="134" t="str">
        <f t="shared" si="2"/>
        <v>iPhone X</v>
      </c>
      <c r="F20" s="11" t="s">
        <v>5873</v>
      </c>
      <c r="G20" s="295" t="s">
        <v>5950</v>
      </c>
      <c r="H20" s="296"/>
      <c r="I20" s="156">
        <v>750.0</v>
      </c>
      <c r="J20" s="297"/>
      <c r="K20" s="298"/>
      <c r="L20" s="156">
        <v>750.0</v>
      </c>
      <c r="M20" s="301">
        <v>750.0</v>
      </c>
      <c r="N20" s="284">
        <v>0.6</v>
      </c>
      <c r="O20" s="296">
        <v>1200.0</v>
      </c>
      <c r="P20" s="285">
        <f t="shared" ref="P20:Q20" si="18">O20</f>
        <v>1200</v>
      </c>
      <c r="Q20" s="286">
        <f t="shared" si="18"/>
        <v>1200</v>
      </c>
      <c r="R20" s="299" t="s">
        <v>5951</v>
      </c>
      <c r="S20" s="300">
        <v>46140.380409652775</v>
      </c>
      <c r="T20" s="2"/>
      <c r="U20" s="289">
        <f t="shared" si="4"/>
        <v>450</v>
      </c>
      <c r="V20" s="290">
        <f t="shared" si="5"/>
        <v>450</v>
      </c>
      <c r="W20" s="2"/>
      <c r="X20" s="289">
        <v>750.0</v>
      </c>
      <c r="Y20" s="139">
        <v>750.0</v>
      </c>
      <c r="Z20" s="2"/>
      <c r="AA20" s="2" t="s">
        <v>5949</v>
      </c>
      <c r="AB20" s="2" t="s">
        <v>5949</v>
      </c>
      <c r="AC20" s="2"/>
      <c r="AD20" s="2" t="s">
        <v>5949</v>
      </c>
      <c r="AE20" s="3" t="s">
        <v>5948</v>
      </c>
      <c r="AF20" s="2"/>
      <c r="AG20" s="1" t="s">
        <v>1582</v>
      </c>
      <c r="AH20" s="1" t="s">
        <v>5952</v>
      </c>
      <c r="AI20" s="2">
        <v>180.0</v>
      </c>
      <c r="AJ20" s="1" t="s">
        <v>1589</v>
      </c>
      <c r="AK20" s="1" t="s">
        <v>5877</v>
      </c>
      <c r="AL20" s="1" t="s">
        <v>5878</v>
      </c>
      <c r="AM20" s="2"/>
      <c r="AN20" s="2"/>
      <c r="AO20" s="2"/>
      <c r="AP20" s="2"/>
      <c r="AQ20" s="2"/>
      <c r="AR20" s="2"/>
      <c r="AS20" s="2"/>
      <c r="AT20" s="2"/>
      <c r="AU20" s="126">
        <v>750.0</v>
      </c>
      <c r="AV20" s="126">
        <v>1200.0</v>
      </c>
      <c r="AW20" s="2"/>
      <c r="AX20" s="2"/>
      <c r="AY20" s="2"/>
      <c r="AZ20" s="2"/>
      <c r="BA20" s="2"/>
      <c r="BB20" s="2"/>
      <c r="BC20" s="2"/>
      <c r="BD20" s="2"/>
      <c r="BE20" s="2"/>
    </row>
    <row r="21" hidden="1">
      <c r="A21" s="2"/>
      <c r="B21" s="293" t="s">
        <v>5953</v>
      </c>
      <c r="C21" s="11" t="s">
        <v>5954</v>
      </c>
      <c r="D21" s="278">
        <v>180.0</v>
      </c>
      <c r="E21" s="134" t="str">
        <f t="shared" si="2"/>
        <v>iPhone XS</v>
      </c>
      <c r="F21" s="11" t="s">
        <v>5873</v>
      </c>
      <c r="G21" s="295" t="s">
        <v>5955</v>
      </c>
      <c r="H21" s="296"/>
      <c r="I21" s="156">
        <v>800.0</v>
      </c>
      <c r="J21" s="297"/>
      <c r="K21" s="298"/>
      <c r="L21" s="156">
        <v>750.0</v>
      </c>
      <c r="M21" s="301">
        <v>800.0</v>
      </c>
      <c r="N21" s="284">
        <v>0.5</v>
      </c>
      <c r="O21" s="296">
        <v>1200.0</v>
      </c>
      <c r="P21" s="302">
        <f t="shared" ref="P21:Q21" si="19">O21</f>
        <v>1200</v>
      </c>
      <c r="Q21" s="303">
        <f t="shared" si="19"/>
        <v>1200</v>
      </c>
      <c r="R21" s="299" t="s">
        <v>5956</v>
      </c>
      <c r="S21" s="300">
        <v>46140.38043200232</v>
      </c>
      <c r="T21" s="2"/>
      <c r="U21" s="289">
        <f t="shared" si="4"/>
        <v>400</v>
      </c>
      <c r="V21" s="290">
        <f t="shared" si="5"/>
        <v>450</v>
      </c>
      <c r="W21" s="2"/>
      <c r="X21" s="289">
        <v>800.0</v>
      </c>
      <c r="Y21" s="139">
        <v>750.0</v>
      </c>
      <c r="Z21" s="2"/>
      <c r="AA21" s="2" t="s">
        <v>5954</v>
      </c>
      <c r="AB21" s="2" t="s">
        <v>5954</v>
      </c>
      <c r="AC21" s="2"/>
      <c r="AD21" s="2" t="s">
        <v>5954</v>
      </c>
      <c r="AE21" s="3" t="s">
        <v>5953</v>
      </c>
      <c r="AF21" s="2"/>
      <c r="AG21" s="1" t="s">
        <v>1582</v>
      </c>
      <c r="AH21" s="1" t="s">
        <v>5957</v>
      </c>
      <c r="AI21" s="2">
        <v>180.0</v>
      </c>
      <c r="AJ21" s="1" t="s">
        <v>1589</v>
      </c>
      <c r="AK21" s="1" t="s">
        <v>5877</v>
      </c>
      <c r="AL21" s="1" t="s">
        <v>5878</v>
      </c>
      <c r="AM21" s="2"/>
      <c r="AN21" s="2"/>
      <c r="AO21" s="2"/>
      <c r="AP21" s="2"/>
      <c r="AQ21" s="2"/>
      <c r="AR21" s="2"/>
      <c r="AS21" s="2"/>
      <c r="AT21" s="2"/>
      <c r="AU21" s="126">
        <v>800.0</v>
      </c>
      <c r="AV21" s="126">
        <v>1200.0</v>
      </c>
      <c r="AW21" s="2"/>
      <c r="AX21" s="2"/>
      <c r="AY21" s="2"/>
      <c r="AZ21" s="2"/>
      <c r="BA21" s="2"/>
      <c r="BB21" s="2"/>
      <c r="BC21" s="2"/>
      <c r="BD21" s="2"/>
      <c r="BE21" s="2"/>
    </row>
    <row r="22" hidden="1">
      <c r="A22" s="2"/>
      <c r="B22" s="293" t="s">
        <v>5958</v>
      </c>
      <c r="C22" s="11" t="s">
        <v>5959</v>
      </c>
      <c r="D22" s="278">
        <v>180.0</v>
      </c>
      <c r="E22" s="134" t="str">
        <f t="shared" si="2"/>
        <v>iPhone XS</v>
      </c>
      <c r="F22" s="11" t="s">
        <v>5873</v>
      </c>
      <c r="G22" s="295" t="s">
        <v>5960</v>
      </c>
      <c r="H22" s="296"/>
      <c r="I22" s="156">
        <v>530.0</v>
      </c>
      <c r="J22" s="297"/>
      <c r="K22" s="298"/>
      <c r="L22" s="156"/>
      <c r="M22" s="301">
        <v>530.0</v>
      </c>
      <c r="N22" s="284">
        <v>0.12</v>
      </c>
      <c r="O22" s="296">
        <v>600.0</v>
      </c>
      <c r="P22" s="67"/>
      <c r="Q22" s="303">
        <f>P21</f>
        <v>1200</v>
      </c>
      <c r="R22" s="299" t="s">
        <v>5961</v>
      </c>
      <c r="S22" s="300">
        <v>46140.38045493056</v>
      </c>
      <c r="T22" s="2"/>
      <c r="U22" s="289">
        <f t="shared" si="4"/>
        <v>670</v>
      </c>
      <c r="V22" s="304" t="str">
        <f t="shared" si="5"/>
        <v>нет з/ч</v>
      </c>
      <c r="W22" s="2"/>
      <c r="X22" s="289">
        <v>530.0</v>
      </c>
      <c r="Y22" s="139"/>
      <c r="Z22" s="2"/>
      <c r="AA22" s="2" t="s">
        <v>5959</v>
      </c>
      <c r="AB22" s="2" t="s">
        <v>5959</v>
      </c>
      <c r="AC22" s="2"/>
      <c r="AD22" s="2" t="s">
        <v>5959</v>
      </c>
      <c r="AE22" s="3" t="s">
        <v>5958</v>
      </c>
      <c r="AF22" s="2"/>
      <c r="AG22" s="1" t="s">
        <v>1582</v>
      </c>
      <c r="AH22" s="1" t="s">
        <v>5957</v>
      </c>
      <c r="AI22" s="2">
        <v>180.0</v>
      </c>
      <c r="AJ22" s="1" t="s">
        <v>1589</v>
      </c>
      <c r="AK22" s="1" t="s">
        <v>5877</v>
      </c>
      <c r="AL22" s="1" t="s">
        <v>5878</v>
      </c>
      <c r="AM22" s="2"/>
      <c r="AN22" s="2"/>
      <c r="AO22" s="2"/>
      <c r="AP22" s="2"/>
      <c r="AQ22" s="2"/>
      <c r="AR22" s="2"/>
      <c r="AS22" s="2"/>
      <c r="AT22" s="2"/>
      <c r="AU22" s="126">
        <v>530.0</v>
      </c>
      <c r="AV22" s="126">
        <v>1200.0</v>
      </c>
      <c r="AW22" s="2"/>
      <c r="AX22" s="2"/>
      <c r="AY22" s="2"/>
      <c r="AZ22" s="2"/>
      <c r="BA22" s="2"/>
      <c r="BB22" s="2"/>
      <c r="BC22" s="2"/>
      <c r="BD22" s="2"/>
      <c r="BE22" s="2"/>
    </row>
    <row r="23" hidden="1">
      <c r="A23" s="2"/>
      <c r="B23" s="293" t="s">
        <v>5962</v>
      </c>
      <c r="C23" s="11" t="s">
        <v>5963</v>
      </c>
      <c r="D23" s="278">
        <v>180.0</v>
      </c>
      <c r="E23" s="134" t="str">
        <f t="shared" si="2"/>
        <v>iPhone XS Max</v>
      </c>
      <c r="F23" s="11" t="s">
        <v>5873</v>
      </c>
      <c r="G23" s="295" t="s">
        <v>5964</v>
      </c>
      <c r="H23" s="296"/>
      <c r="I23" s="156">
        <v>850.0</v>
      </c>
      <c r="J23" s="297"/>
      <c r="K23" s="298"/>
      <c r="L23" s="156">
        <v>750.0</v>
      </c>
      <c r="M23" s="301">
        <v>850.0</v>
      </c>
      <c r="N23" s="284">
        <v>1.0</v>
      </c>
      <c r="O23" s="296">
        <v>1700.0</v>
      </c>
      <c r="P23" s="302">
        <f t="shared" ref="P23:Q23" si="20">O23</f>
        <v>1700</v>
      </c>
      <c r="Q23" s="303">
        <f t="shared" si="20"/>
        <v>1700</v>
      </c>
      <c r="R23" s="299" t="s">
        <v>5965</v>
      </c>
      <c r="S23" s="300">
        <v>46140.38047653935</v>
      </c>
      <c r="T23" s="2"/>
      <c r="U23" s="289">
        <f t="shared" si="4"/>
        <v>850</v>
      </c>
      <c r="V23" s="290">
        <f t="shared" si="5"/>
        <v>950</v>
      </c>
      <c r="W23" s="2"/>
      <c r="X23" s="289">
        <v>850.0</v>
      </c>
      <c r="Y23" s="139">
        <v>750.0</v>
      </c>
      <c r="Z23" s="2"/>
      <c r="AA23" s="2" t="s">
        <v>5963</v>
      </c>
      <c r="AB23" s="2" t="s">
        <v>5963</v>
      </c>
      <c r="AC23" s="2"/>
      <c r="AD23" s="2" t="s">
        <v>5963</v>
      </c>
      <c r="AE23" s="3" t="s">
        <v>5962</v>
      </c>
      <c r="AF23" s="2"/>
      <c r="AG23" s="1" t="s">
        <v>1582</v>
      </c>
      <c r="AH23" s="1" t="s">
        <v>5966</v>
      </c>
      <c r="AI23" s="2">
        <v>180.0</v>
      </c>
      <c r="AJ23" s="1" t="s">
        <v>1589</v>
      </c>
      <c r="AK23" s="1" t="s">
        <v>5877</v>
      </c>
      <c r="AL23" s="1" t="s">
        <v>5878</v>
      </c>
      <c r="AM23" s="2"/>
      <c r="AN23" s="2"/>
      <c r="AO23" s="2"/>
      <c r="AP23" s="2"/>
      <c r="AQ23" s="2"/>
      <c r="AR23" s="2"/>
      <c r="AS23" s="2"/>
      <c r="AT23" s="2"/>
      <c r="AU23" s="126">
        <v>850.0</v>
      </c>
      <c r="AV23" s="126">
        <v>1700.0</v>
      </c>
      <c r="AW23" s="2"/>
      <c r="AX23" s="2"/>
      <c r="AY23" s="2"/>
      <c r="AZ23" s="2"/>
      <c r="BA23" s="2"/>
      <c r="BB23" s="2"/>
      <c r="BC23" s="2"/>
      <c r="BD23" s="2"/>
      <c r="BE23" s="2"/>
    </row>
    <row r="24" hidden="1">
      <c r="A24" s="2"/>
      <c r="B24" s="293" t="s">
        <v>5967</v>
      </c>
      <c r="C24" s="11" t="s">
        <v>5968</v>
      </c>
      <c r="D24" s="278">
        <v>180.0</v>
      </c>
      <c r="E24" s="134" t="str">
        <f t="shared" si="2"/>
        <v>iPhone XS Max</v>
      </c>
      <c r="F24" s="11" t="s">
        <v>5873</v>
      </c>
      <c r="G24" s="295" t="s">
        <v>5969</v>
      </c>
      <c r="H24" s="296"/>
      <c r="I24" s="156">
        <v>550.0</v>
      </c>
      <c r="J24" s="297"/>
      <c r="K24" s="298"/>
      <c r="L24" s="156"/>
      <c r="M24" s="301">
        <v>550.0</v>
      </c>
      <c r="N24" s="284">
        <v>0.12</v>
      </c>
      <c r="O24" s="296">
        <v>600.0</v>
      </c>
      <c r="P24" s="67"/>
      <c r="Q24" s="303">
        <f>P23</f>
        <v>1700</v>
      </c>
      <c r="R24" s="299" t="s">
        <v>5970</v>
      </c>
      <c r="S24" s="300">
        <v>46140.38049872685</v>
      </c>
      <c r="T24" s="2"/>
      <c r="U24" s="289">
        <f t="shared" si="4"/>
        <v>1150</v>
      </c>
      <c r="V24" s="304" t="str">
        <f t="shared" si="5"/>
        <v>нет з/ч</v>
      </c>
      <c r="W24" s="2"/>
      <c r="X24" s="289">
        <v>550.0</v>
      </c>
      <c r="Y24" s="139"/>
      <c r="Z24" s="2"/>
      <c r="AA24" s="2" t="s">
        <v>5968</v>
      </c>
      <c r="AB24" s="2" t="s">
        <v>5968</v>
      </c>
      <c r="AC24" s="2"/>
      <c r="AD24" s="2" t="s">
        <v>5968</v>
      </c>
      <c r="AE24" s="3" t="s">
        <v>5967</v>
      </c>
      <c r="AF24" s="2"/>
      <c r="AG24" s="1" t="s">
        <v>1582</v>
      </c>
      <c r="AH24" s="1" t="s">
        <v>5966</v>
      </c>
      <c r="AI24" s="2">
        <v>180.0</v>
      </c>
      <c r="AJ24" s="1" t="s">
        <v>1589</v>
      </c>
      <c r="AK24" s="1" t="s">
        <v>5877</v>
      </c>
      <c r="AL24" s="1" t="s">
        <v>5878</v>
      </c>
      <c r="AM24" s="2"/>
      <c r="AN24" s="2"/>
      <c r="AO24" s="2"/>
      <c r="AP24" s="2"/>
      <c r="AQ24" s="2"/>
      <c r="AR24" s="2"/>
      <c r="AS24" s="2"/>
      <c r="AT24" s="2"/>
      <c r="AU24" s="126">
        <v>550.0</v>
      </c>
      <c r="AV24" s="126">
        <v>1700.0</v>
      </c>
      <c r="AW24" s="2"/>
      <c r="AX24" s="2"/>
      <c r="AY24" s="2"/>
      <c r="AZ24" s="2"/>
      <c r="BA24" s="2"/>
      <c r="BB24" s="2"/>
      <c r="BC24" s="2"/>
      <c r="BD24" s="2"/>
      <c r="BE24" s="2"/>
    </row>
    <row r="25" hidden="1">
      <c r="A25" s="2"/>
      <c r="B25" s="293" t="s">
        <v>5971</v>
      </c>
      <c r="C25" s="11" t="s">
        <v>5972</v>
      </c>
      <c r="D25" s="278">
        <v>180.0</v>
      </c>
      <c r="E25" s="134" t="str">
        <f t="shared" si="2"/>
        <v>iPhone 11</v>
      </c>
      <c r="F25" s="11" t="s">
        <v>5873</v>
      </c>
      <c r="G25" s="295" t="s">
        <v>5973</v>
      </c>
      <c r="H25" s="296"/>
      <c r="I25" s="156">
        <v>700.0</v>
      </c>
      <c r="J25" s="297"/>
      <c r="K25" s="298"/>
      <c r="L25" s="156">
        <v>790.0</v>
      </c>
      <c r="M25" s="301">
        <v>790.0</v>
      </c>
      <c r="N25" s="284">
        <v>0.12</v>
      </c>
      <c r="O25" s="296">
        <v>900.0</v>
      </c>
      <c r="P25" s="302">
        <f t="shared" ref="P25:Q25" si="21">O25</f>
        <v>900</v>
      </c>
      <c r="Q25" s="303">
        <f t="shared" si="21"/>
        <v>900</v>
      </c>
      <c r="R25" s="299" t="s">
        <v>5974</v>
      </c>
      <c r="S25" s="300">
        <v>46140.38051982639</v>
      </c>
      <c r="T25" s="2"/>
      <c r="U25" s="289">
        <f t="shared" si="4"/>
        <v>200</v>
      </c>
      <c r="V25" s="290">
        <f t="shared" si="5"/>
        <v>110</v>
      </c>
      <c r="W25" s="2"/>
      <c r="X25" s="289">
        <v>700.0</v>
      </c>
      <c r="Y25" s="139">
        <v>790.0</v>
      </c>
      <c r="Z25" s="2"/>
      <c r="AA25" s="2" t="s">
        <v>5972</v>
      </c>
      <c r="AB25" s="1" t="s">
        <v>5972</v>
      </c>
      <c r="AC25" s="2"/>
      <c r="AD25" s="1" t="s">
        <v>5972</v>
      </c>
      <c r="AE25" s="3" t="s">
        <v>5971</v>
      </c>
      <c r="AF25" s="2"/>
      <c r="AG25" s="1" t="s">
        <v>1582</v>
      </c>
      <c r="AH25" s="1" t="s">
        <v>5975</v>
      </c>
      <c r="AI25" s="1">
        <v>180.0</v>
      </c>
      <c r="AJ25" s="1" t="s">
        <v>1589</v>
      </c>
      <c r="AK25" s="1" t="s">
        <v>5877</v>
      </c>
      <c r="AL25" s="1" t="s">
        <v>5878</v>
      </c>
      <c r="AM25" s="2"/>
      <c r="AN25" s="2"/>
      <c r="AO25" s="2"/>
      <c r="AP25" s="2"/>
      <c r="AQ25" s="2"/>
      <c r="AR25" s="2"/>
      <c r="AS25" s="2"/>
      <c r="AT25" s="2"/>
      <c r="AU25" s="126">
        <v>790.0</v>
      </c>
      <c r="AV25" s="126">
        <v>900.0</v>
      </c>
      <c r="AW25" s="2"/>
      <c r="AX25" s="2"/>
      <c r="AY25" s="2"/>
      <c r="AZ25" s="2"/>
      <c r="BA25" s="2"/>
      <c r="BB25" s="2"/>
      <c r="BC25" s="2"/>
      <c r="BD25" s="2"/>
      <c r="BE25" s="2"/>
    </row>
    <row r="26" hidden="1">
      <c r="A26" s="2"/>
      <c r="B26" s="293" t="s">
        <v>5976</v>
      </c>
      <c r="C26" s="11" t="s">
        <v>5977</v>
      </c>
      <c r="D26" s="278">
        <v>180.0</v>
      </c>
      <c r="E26" s="134" t="str">
        <f t="shared" si="2"/>
        <v>iPhone 11</v>
      </c>
      <c r="F26" s="11" t="s">
        <v>5873</v>
      </c>
      <c r="G26" s="295" t="s">
        <v>5978</v>
      </c>
      <c r="H26" s="296"/>
      <c r="I26" s="156">
        <v>399.0</v>
      </c>
      <c r="J26" s="297"/>
      <c r="K26" s="298"/>
      <c r="L26" s="156"/>
      <c r="M26" s="301">
        <v>399.0</v>
      </c>
      <c r="N26" s="284">
        <v>0.12</v>
      </c>
      <c r="O26" s="296">
        <v>450.0</v>
      </c>
      <c r="P26" s="67"/>
      <c r="Q26" s="303">
        <f>P25</f>
        <v>900</v>
      </c>
      <c r="R26" s="299" t="s">
        <v>5979</v>
      </c>
      <c r="S26" s="300">
        <v>46140.380539895836</v>
      </c>
      <c r="T26" s="2"/>
      <c r="U26" s="289">
        <f t="shared" si="4"/>
        <v>501</v>
      </c>
      <c r="V26" s="304" t="str">
        <f t="shared" si="5"/>
        <v>нет з/ч</v>
      </c>
      <c r="W26" s="2"/>
      <c r="X26" s="289">
        <v>399.0</v>
      </c>
      <c r="Y26" s="139"/>
      <c r="Z26" s="2"/>
      <c r="AA26" s="2" t="s">
        <v>5977</v>
      </c>
      <c r="AB26" s="2" t="s">
        <v>5977</v>
      </c>
      <c r="AC26" s="2"/>
      <c r="AD26" s="1" t="s">
        <v>5977</v>
      </c>
      <c r="AE26" s="3" t="s">
        <v>5976</v>
      </c>
      <c r="AF26" s="2"/>
      <c r="AG26" s="1" t="s">
        <v>1582</v>
      </c>
      <c r="AH26" s="1" t="s">
        <v>5975</v>
      </c>
      <c r="AI26" s="2">
        <v>180.0</v>
      </c>
      <c r="AJ26" s="1" t="s">
        <v>1589</v>
      </c>
      <c r="AK26" s="1" t="s">
        <v>5877</v>
      </c>
      <c r="AL26" s="1" t="s">
        <v>5878</v>
      </c>
      <c r="AM26" s="2"/>
      <c r="AN26" s="2"/>
      <c r="AO26" s="2"/>
      <c r="AP26" s="2"/>
      <c r="AQ26" s="2"/>
      <c r="AR26" s="2"/>
      <c r="AS26" s="2"/>
      <c r="AT26" s="2"/>
      <c r="AU26" s="126">
        <v>399.0</v>
      </c>
      <c r="AV26" s="126">
        <v>900.0</v>
      </c>
      <c r="AW26" s="2"/>
      <c r="AX26" s="2"/>
      <c r="AY26" s="2"/>
      <c r="AZ26" s="2"/>
      <c r="BA26" s="2"/>
      <c r="BB26" s="2"/>
      <c r="BC26" s="2"/>
      <c r="BD26" s="2"/>
      <c r="BE26" s="2"/>
    </row>
    <row r="27" hidden="1">
      <c r="A27" s="2"/>
      <c r="B27" s="293" t="s">
        <v>5980</v>
      </c>
      <c r="C27" s="11" t="s">
        <v>5981</v>
      </c>
      <c r="D27" s="278">
        <v>180.0</v>
      </c>
      <c r="E27" s="134" t="str">
        <f t="shared" si="2"/>
        <v>iPhone 11 Pro</v>
      </c>
      <c r="F27" s="11" t="s">
        <v>5873</v>
      </c>
      <c r="G27" s="295" t="s">
        <v>5982</v>
      </c>
      <c r="H27" s="296"/>
      <c r="I27" s="156">
        <v>950.0</v>
      </c>
      <c r="J27" s="297"/>
      <c r="K27" s="298"/>
      <c r="L27" s="156">
        <v>950.0</v>
      </c>
      <c r="M27" s="301">
        <v>950.0</v>
      </c>
      <c r="N27" s="284">
        <v>0.48</v>
      </c>
      <c r="O27" s="296">
        <v>1400.0</v>
      </c>
      <c r="P27" s="302">
        <f t="shared" ref="P27:Q27" si="22">O27</f>
        <v>1400</v>
      </c>
      <c r="Q27" s="303">
        <f t="shared" si="22"/>
        <v>1400</v>
      </c>
      <c r="R27" s="299" t="s">
        <v>5983</v>
      </c>
      <c r="S27" s="300">
        <v>46140.38055952547</v>
      </c>
      <c r="T27" s="2"/>
      <c r="U27" s="289">
        <f t="shared" si="4"/>
        <v>450</v>
      </c>
      <c r="V27" s="290">
        <f t="shared" si="5"/>
        <v>450</v>
      </c>
      <c r="W27" s="2"/>
      <c r="X27" s="289">
        <v>950.0</v>
      </c>
      <c r="Y27" s="139">
        <v>950.0</v>
      </c>
      <c r="Z27" s="2"/>
      <c r="AA27" s="2" t="s">
        <v>5981</v>
      </c>
      <c r="AB27" s="2" t="s">
        <v>5981</v>
      </c>
      <c r="AC27" s="2"/>
      <c r="AD27" s="1" t="s">
        <v>5981</v>
      </c>
      <c r="AE27" s="3" t="s">
        <v>5980</v>
      </c>
      <c r="AF27" s="2"/>
      <c r="AG27" s="1" t="s">
        <v>1582</v>
      </c>
      <c r="AH27" s="1" t="s">
        <v>5984</v>
      </c>
      <c r="AI27" s="2">
        <v>180.0</v>
      </c>
      <c r="AJ27" s="1" t="s">
        <v>1589</v>
      </c>
      <c r="AK27" s="1" t="s">
        <v>5877</v>
      </c>
      <c r="AL27" s="1" t="s">
        <v>5878</v>
      </c>
      <c r="AM27" s="2"/>
      <c r="AN27" s="2"/>
      <c r="AO27" s="2"/>
      <c r="AP27" s="2"/>
      <c r="AQ27" s="2"/>
      <c r="AR27" s="2"/>
      <c r="AS27" s="2"/>
      <c r="AT27" s="2"/>
      <c r="AU27" s="126">
        <v>950.0</v>
      </c>
      <c r="AV27" s="126">
        <v>1400.0</v>
      </c>
      <c r="AW27" s="2"/>
      <c r="AX27" s="2"/>
      <c r="AY27" s="2"/>
      <c r="AZ27" s="2"/>
      <c r="BA27" s="2"/>
      <c r="BB27" s="2"/>
      <c r="BC27" s="2"/>
      <c r="BD27" s="2"/>
      <c r="BE27" s="2"/>
    </row>
    <row r="28" hidden="1">
      <c r="A28" s="2"/>
      <c r="B28" s="293" t="s">
        <v>5985</v>
      </c>
      <c r="C28" s="11" t="s">
        <v>5986</v>
      </c>
      <c r="D28" s="278">
        <v>180.0</v>
      </c>
      <c r="E28" s="134" t="str">
        <f t="shared" si="2"/>
        <v>iPhone 11 Pro</v>
      </c>
      <c r="F28" s="11" t="s">
        <v>5873</v>
      </c>
      <c r="G28" s="295" t="s">
        <v>5987</v>
      </c>
      <c r="H28" s="296"/>
      <c r="I28" s="156">
        <v>650.0</v>
      </c>
      <c r="J28" s="297"/>
      <c r="K28" s="298"/>
      <c r="L28" s="156"/>
      <c r="M28" s="301">
        <v>650.0</v>
      </c>
      <c r="N28" s="284">
        <v>0.12</v>
      </c>
      <c r="O28" s="296">
        <v>750.0</v>
      </c>
      <c r="P28" s="67"/>
      <c r="Q28" s="303">
        <f>P27</f>
        <v>1400</v>
      </c>
      <c r="R28" s="299" t="s">
        <v>5988</v>
      </c>
      <c r="S28" s="300">
        <v>46140.38058217593</v>
      </c>
      <c r="T28" s="2"/>
      <c r="U28" s="289">
        <f t="shared" si="4"/>
        <v>750</v>
      </c>
      <c r="V28" s="304" t="str">
        <f t="shared" si="5"/>
        <v>нет з/ч</v>
      </c>
      <c r="W28" s="2"/>
      <c r="X28" s="289">
        <v>650.0</v>
      </c>
      <c r="Y28" s="139"/>
      <c r="Z28" s="2"/>
      <c r="AA28" s="2" t="s">
        <v>5986</v>
      </c>
      <c r="AB28" s="2" t="s">
        <v>5986</v>
      </c>
      <c r="AC28" s="2"/>
      <c r="AD28" s="1" t="s">
        <v>5986</v>
      </c>
      <c r="AE28" s="3" t="s">
        <v>5985</v>
      </c>
      <c r="AF28" s="2"/>
      <c r="AG28" s="1" t="s">
        <v>1582</v>
      </c>
      <c r="AH28" s="1" t="s">
        <v>5984</v>
      </c>
      <c r="AI28" s="2">
        <v>180.0</v>
      </c>
      <c r="AJ28" s="1" t="s">
        <v>1589</v>
      </c>
      <c r="AK28" s="1" t="s">
        <v>5877</v>
      </c>
      <c r="AL28" s="1" t="s">
        <v>5878</v>
      </c>
      <c r="AM28" s="2"/>
      <c r="AN28" s="2"/>
      <c r="AO28" s="2"/>
      <c r="AP28" s="2"/>
      <c r="AQ28" s="2"/>
      <c r="AR28" s="2"/>
      <c r="AS28" s="2"/>
      <c r="AT28" s="2"/>
      <c r="AU28" s="126">
        <v>650.0</v>
      </c>
      <c r="AV28" s="126">
        <v>1400.0</v>
      </c>
      <c r="AW28" s="2"/>
      <c r="AX28" s="2"/>
      <c r="AY28" s="2"/>
      <c r="AZ28" s="2"/>
      <c r="BA28" s="2"/>
      <c r="BB28" s="2"/>
      <c r="BC28" s="2"/>
      <c r="BD28" s="2"/>
      <c r="BE28" s="2"/>
    </row>
    <row r="29" hidden="1">
      <c r="A29" s="2"/>
      <c r="B29" s="293" t="s">
        <v>5989</v>
      </c>
      <c r="C29" s="11" t="s">
        <v>5990</v>
      </c>
      <c r="D29" s="278">
        <v>180.0</v>
      </c>
      <c r="E29" s="134" t="str">
        <f t="shared" si="2"/>
        <v>iPhone 11 Pro Max</v>
      </c>
      <c r="F29" s="11" t="s">
        <v>5873</v>
      </c>
      <c r="G29" s="295" t="s">
        <v>5991</v>
      </c>
      <c r="H29" s="296"/>
      <c r="I29" s="156">
        <v>990.0</v>
      </c>
      <c r="J29" s="297"/>
      <c r="K29" s="298"/>
      <c r="L29" s="156">
        <v>990.0</v>
      </c>
      <c r="M29" s="301">
        <v>990.0</v>
      </c>
      <c r="N29" s="284">
        <v>0.43</v>
      </c>
      <c r="O29" s="296">
        <v>1400.0</v>
      </c>
      <c r="P29" s="302">
        <f t="shared" ref="P29:Q29" si="23">O29</f>
        <v>1400</v>
      </c>
      <c r="Q29" s="303">
        <f t="shared" si="23"/>
        <v>1400</v>
      </c>
      <c r="R29" s="299" t="s">
        <v>5992</v>
      </c>
      <c r="S29" s="300">
        <v>46140.38060377315</v>
      </c>
      <c r="T29" s="2"/>
      <c r="U29" s="289">
        <f t="shared" si="4"/>
        <v>410</v>
      </c>
      <c r="V29" s="290">
        <f t="shared" si="5"/>
        <v>410</v>
      </c>
      <c r="W29" s="2"/>
      <c r="X29" s="289">
        <v>990.0</v>
      </c>
      <c r="Y29" s="139">
        <v>990.0</v>
      </c>
      <c r="Z29" s="2"/>
      <c r="AA29" s="2" t="s">
        <v>5990</v>
      </c>
      <c r="AB29" s="2" t="s">
        <v>5990</v>
      </c>
      <c r="AC29" s="2"/>
      <c r="AD29" s="1" t="s">
        <v>5990</v>
      </c>
      <c r="AE29" s="3" t="s">
        <v>5989</v>
      </c>
      <c r="AF29" s="2"/>
      <c r="AG29" s="1" t="s">
        <v>1582</v>
      </c>
      <c r="AH29" s="1" t="s">
        <v>5993</v>
      </c>
      <c r="AI29" s="2">
        <v>180.0</v>
      </c>
      <c r="AJ29" s="1" t="s">
        <v>1589</v>
      </c>
      <c r="AK29" s="1" t="s">
        <v>5877</v>
      </c>
      <c r="AL29" s="1" t="s">
        <v>5878</v>
      </c>
      <c r="AM29" s="2"/>
      <c r="AN29" s="2"/>
      <c r="AO29" s="2"/>
      <c r="AP29" s="2"/>
      <c r="AQ29" s="2"/>
      <c r="AR29" s="2"/>
      <c r="AS29" s="2"/>
      <c r="AT29" s="2"/>
      <c r="AU29" s="167">
        <v>990.0</v>
      </c>
      <c r="AV29" s="167">
        <v>1400.0</v>
      </c>
      <c r="AW29" s="2"/>
      <c r="AX29" s="2"/>
      <c r="AY29" s="2"/>
      <c r="AZ29" s="2"/>
      <c r="BA29" s="2"/>
      <c r="BB29" s="2"/>
      <c r="BC29" s="2"/>
      <c r="BD29" s="2"/>
      <c r="BE29" s="2"/>
    </row>
    <row r="30" hidden="1">
      <c r="A30" s="2"/>
      <c r="B30" s="293" t="s">
        <v>5994</v>
      </c>
      <c r="C30" s="11" t="s">
        <v>5995</v>
      </c>
      <c r="D30" s="278">
        <v>180.0</v>
      </c>
      <c r="E30" s="134" t="str">
        <f t="shared" si="2"/>
        <v>iPhone 11 Pro Max</v>
      </c>
      <c r="F30" s="11" t="s">
        <v>5873</v>
      </c>
      <c r="G30" s="295" t="s">
        <v>5996</v>
      </c>
      <c r="H30" s="296"/>
      <c r="I30" s="156">
        <v>650.0</v>
      </c>
      <c r="J30" s="297"/>
      <c r="K30" s="298"/>
      <c r="L30" s="156"/>
      <c r="M30" s="301">
        <v>650.0</v>
      </c>
      <c r="N30" s="284">
        <v>0.12</v>
      </c>
      <c r="O30" s="296">
        <v>750.0</v>
      </c>
      <c r="P30" s="67"/>
      <c r="Q30" s="303">
        <f>P29</f>
        <v>1400</v>
      </c>
      <c r="R30" s="299" t="s">
        <v>5997</v>
      </c>
      <c r="S30" s="300">
        <v>46140.38062542824</v>
      </c>
      <c r="T30" s="2"/>
      <c r="U30" s="289">
        <f t="shared" si="4"/>
        <v>750</v>
      </c>
      <c r="V30" s="304" t="str">
        <f t="shared" si="5"/>
        <v>нет з/ч</v>
      </c>
      <c r="W30" s="2"/>
      <c r="X30" s="289">
        <v>650.0</v>
      </c>
      <c r="Y30" s="139"/>
      <c r="Z30" s="2"/>
      <c r="AA30" s="2" t="s">
        <v>5995</v>
      </c>
      <c r="AB30" s="2" t="s">
        <v>5995</v>
      </c>
      <c r="AC30" s="2"/>
      <c r="AD30" s="1" t="s">
        <v>5995</v>
      </c>
      <c r="AE30" s="3" t="s">
        <v>5994</v>
      </c>
      <c r="AF30" s="2"/>
      <c r="AG30" s="1" t="s">
        <v>1582</v>
      </c>
      <c r="AH30" s="1" t="s">
        <v>5993</v>
      </c>
      <c r="AI30" s="2">
        <v>180.0</v>
      </c>
      <c r="AJ30" s="1" t="s">
        <v>1589</v>
      </c>
      <c r="AK30" s="1" t="s">
        <v>5877</v>
      </c>
      <c r="AL30" s="1" t="s">
        <v>5878</v>
      </c>
      <c r="AM30" s="2"/>
      <c r="AN30" s="2"/>
      <c r="AO30" s="2"/>
      <c r="AP30" s="2"/>
      <c r="AQ30" s="2"/>
      <c r="AR30" s="2"/>
      <c r="AS30" s="2"/>
      <c r="AT30" s="2"/>
      <c r="AU30" s="167">
        <v>650.0</v>
      </c>
      <c r="AV30" s="167">
        <v>1400.0</v>
      </c>
      <c r="AW30" s="2"/>
      <c r="AX30" s="2"/>
      <c r="AY30" s="2"/>
      <c r="AZ30" s="2"/>
      <c r="BA30" s="2"/>
      <c r="BB30" s="2"/>
      <c r="BC30" s="2"/>
      <c r="BD30" s="2"/>
      <c r="BE30" s="2"/>
    </row>
    <row r="31" hidden="1">
      <c r="A31" s="2"/>
      <c r="B31" s="293" t="s">
        <v>5998</v>
      </c>
      <c r="C31" s="11" t="s">
        <v>5999</v>
      </c>
      <c r="D31" s="278">
        <v>180.0</v>
      </c>
      <c r="E31" s="134" t="str">
        <f t="shared" si="2"/>
        <v>iPhone 12 / 12 Pro</v>
      </c>
      <c r="F31" s="11" t="s">
        <v>5873</v>
      </c>
      <c r="G31" s="295" t="s">
        <v>6000</v>
      </c>
      <c r="H31" s="296"/>
      <c r="I31" s="156">
        <v>5500.0</v>
      </c>
      <c r="J31" s="297"/>
      <c r="K31" s="298"/>
      <c r="L31" s="156"/>
      <c r="M31" s="301">
        <v>5500.0</v>
      </c>
      <c r="N31" s="284">
        <v>0.2</v>
      </c>
      <c r="O31" s="296">
        <v>6600.0</v>
      </c>
      <c r="P31" s="285">
        <f t="shared" ref="P31:Q31" si="24">O31</f>
        <v>6600</v>
      </c>
      <c r="Q31" s="303">
        <f t="shared" si="24"/>
        <v>6600</v>
      </c>
      <c r="R31" s="287" t="s">
        <v>6001</v>
      </c>
      <c r="S31" s="300">
        <v>46140.380649583334</v>
      </c>
      <c r="T31" s="305"/>
      <c r="U31" s="289">
        <f t="shared" si="4"/>
        <v>1100</v>
      </c>
      <c r="V31" s="304" t="str">
        <f t="shared" si="5"/>
        <v>нет з/ч</v>
      </c>
      <c r="W31" s="2"/>
      <c r="X31" s="289">
        <v>5500.0</v>
      </c>
      <c r="Y31" s="139"/>
      <c r="Z31" s="2"/>
      <c r="AA31" s="2" t="s">
        <v>5999</v>
      </c>
      <c r="AB31" s="2" t="s">
        <v>5999</v>
      </c>
      <c r="AC31" s="2"/>
      <c r="AD31" s="1" t="s">
        <v>5999</v>
      </c>
      <c r="AE31" s="3" t="s">
        <v>5998</v>
      </c>
      <c r="AF31" s="2"/>
      <c r="AG31" s="1" t="s">
        <v>1582</v>
      </c>
      <c r="AH31" s="1" t="s">
        <v>6002</v>
      </c>
      <c r="AI31" s="2">
        <v>180.0</v>
      </c>
      <c r="AJ31" s="1" t="s">
        <v>1589</v>
      </c>
      <c r="AK31" s="1" t="s">
        <v>5877</v>
      </c>
      <c r="AL31" s="1" t="s">
        <v>5878</v>
      </c>
      <c r="AM31" s="2"/>
      <c r="AN31" s="2"/>
      <c r="AO31" s="2"/>
      <c r="AP31" s="2"/>
      <c r="AQ31" s="2"/>
      <c r="AR31" s="2"/>
      <c r="AS31" s="2"/>
      <c r="AT31" s="2"/>
      <c r="AU31" s="126">
        <v>5500.0</v>
      </c>
      <c r="AV31" s="126">
        <v>6600.0</v>
      </c>
      <c r="AW31" s="2"/>
      <c r="AX31" s="2"/>
      <c r="AY31" s="2"/>
      <c r="AZ31" s="2"/>
      <c r="BA31" s="2"/>
      <c r="BB31" s="2"/>
      <c r="BC31" s="2"/>
      <c r="BD31" s="2"/>
      <c r="BE31" s="2"/>
    </row>
    <row r="32" hidden="1">
      <c r="A32" s="2"/>
      <c r="B32" s="293" t="s">
        <v>6003</v>
      </c>
      <c r="C32" s="11" t="s">
        <v>6004</v>
      </c>
      <c r="D32" s="278">
        <v>180.0</v>
      </c>
      <c r="E32" s="134" t="str">
        <f t="shared" si="2"/>
        <v>iPhone 12 / 12 Pro</v>
      </c>
      <c r="F32" s="11" t="s">
        <v>5873</v>
      </c>
      <c r="G32" s="295" t="s">
        <v>6005</v>
      </c>
      <c r="H32" s="296"/>
      <c r="I32" s="156">
        <v>2300.0</v>
      </c>
      <c r="J32" s="301"/>
      <c r="K32" s="296"/>
      <c r="L32" s="139"/>
      <c r="M32" s="301">
        <v>2300.0</v>
      </c>
      <c r="N32" s="284">
        <v>0.3</v>
      </c>
      <c r="O32" s="296">
        <v>3000.0</v>
      </c>
      <c r="P32" s="285">
        <f t="shared" ref="P32:Q32" si="25">O32</f>
        <v>3000</v>
      </c>
      <c r="Q32" s="303">
        <f t="shared" si="25"/>
        <v>3000</v>
      </c>
      <c r="R32" s="299" t="s">
        <v>6006</v>
      </c>
      <c r="S32" s="300">
        <v>46140.38067672454</v>
      </c>
      <c r="T32" s="305"/>
      <c r="U32" s="289">
        <f t="shared" si="4"/>
        <v>700</v>
      </c>
      <c r="V32" s="304" t="str">
        <f t="shared" si="5"/>
        <v>нет з/ч</v>
      </c>
      <c r="W32" s="2"/>
      <c r="X32" s="289">
        <v>2300.0</v>
      </c>
      <c r="Y32" s="139"/>
      <c r="Z32" s="2"/>
      <c r="AA32" s="2" t="s">
        <v>6004</v>
      </c>
      <c r="AB32" s="2" t="s">
        <v>6004</v>
      </c>
      <c r="AC32" s="2"/>
      <c r="AD32" s="1" t="s">
        <v>6004</v>
      </c>
      <c r="AE32" s="3" t="s">
        <v>6003</v>
      </c>
      <c r="AF32" s="2"/>
      <c r="AG32" s="1" t="s">
        <v>1582</v>
      </c>
      <c r="AH32" s="1" t="s">
        <v>6002</v>
      </c>
      <c r="AI32" s="2">
        <v>180.0</v>
      </c>
      <c r="AJ32" s="1" t="s">
        <v>1589</v>
      </c>
      <c r="AK32" s="1" t="s">
        <v>5877</v>
      </c>
      <c r="AL32" s="1" t="s">
        <v>5878</v>
      </c>
      <c r="AM32" s="2"/>
      <c r="AN32" s="2"/>
      <c r="AO32" s="2"/>
      <c r="AP32" s="2"/>
      <c r="AQ32" s="2"/>
      <c r="AR32" s="2"/>
      <c r="AS32" s="2"/>
      <c r="AT32" s="2"/>
      <c r="AU32" s="126">
        <v>2300.0</v>
      </c>
      <c r="AV32" s="126">
        <v>3000.0</v>
      </c>
      <c r="AW32" s="2"/>
      <c r="AX32" s="2"/>
      <c r="AY32" s="2"/>
      <c r="AZ32" s="2"/>
      <c r="BA32" s="2"/>
      <c r="BB32" s="2"/>
      <c r="BC32" s="2"/>
      <c r="BD32" s="2"/>
      <c r="BE32" s="2"/>
    </row>
    <row r="33" hidden="1">
      <c r="A33" s="2"/>
      <c r="B33" s="293" t="s">
        <v>6007</v>
      </c>
      <c r="C33" s="61"/>
      <c r="D33" s="278">
        <v>180.0</v>
      </c>
      <c r="E33" s="134" t="str">
        <f t="shared" si="2"/>
        <v>iPhone 12 / 12 Pro</v>
      </c>
      <c r="F33" s="11" t="s">
        <v>5873</v>
      </c>
      <c r="G33" s="295" t="s">
        <v>6008</v>
      </c>
      <c r="H33" s="296"/>
      <c r="I33" s="156">
        <v>1850.0</v>
      </c>
      <c r="J33" s="297"/>
      <c r="K33" s="298"/>
      <c r="L33" s="156">
        <v>1950.0</v>
      </c>
      <c r="M33" s="301">
        <v>1950.0</v>
      </c>
      <c r="N33" s="284">
        <v>0.27</v>
      </c>
      <c r="O33" s="296">
        <v>2500.0</v>
      </c>
      <c r="P33" s="285">
        <f t="shared" ref="P33:Q33" si="26">O33</f>
        <v>2500</v>
      </c>
      <c r="Q33" s="303">
        <f t="shared" si="26"/>
        <v>2500</v>
      </c>
      <c r="R33" s="287" t="s">
        <v>6009</v>
      </c>
      <c r="S33" s="300">
        <v>46140.38069814815</v>
      </c>
      <c r="T33" s="305"/>
      <c r="U33" s="289">
        <f t="shared" si="4"/>
        <v>650</v>
      </c>
      <c r="V33" s="290">
        <f t="shared" si="5"/>
        <v>550</v>
      </c>
      <c r="W33" s="2"/>
      <c r="X33" s="289">
        <v>1850.0</v>
      </c>
      <c r="Y33" s="139">
        <v>1950.0</v>
      </c>
      <c r="Z33" s="2"/>
      <c r="AA33" s="2"/>
      <c r="AB33" s="2"/>
      <c r="AC33" s="2"/>
      <c r="AD33" s="2"/>
      <c r="AE33" s="3" t="s">
        <v>6007</v>
      </c>
      <c r="AF33" s="2"/>
      <c r="AG33" s="1" t="s">
        <v>1582</v>
      </c>
      <c r="AH33" s="1" t="s">
        <v>6002</v>
      </c>
      <c r="AI33" s="2">
        <v>180.0</v>
      </c>
      <c r="AJ33" s="1" t="s">
        <v>1589</v>
      </c>
      <c r="AK33" s="1" t="s">
        <v>5877</v>
      </c>
      <c r="AL33" s="1" t="s">
        <v>5878</v>
      </c>
      <c r="AM33" s="2"/>
      <c r="AN33" s="2"/>
      <c r="AO33" s="2"/>
      <c r="AP33" s="2"/>
      <c r="AQ33" s="2"/>
      <c r="AR33" s="2"/>
      <c r="AS33" s="2"/>
      <c r="AT33" s="2"/>
      <c r="AU33" s="126">
        <v>1950.0</v>
      </c>
      <c r="AV33" s="126">
        <v>2500.0</v>
      </c>
      <c r="AW33" s="2"/>
      <c r="AX33" s="2"/>
      <c r="AY33" s="2"/>
      <c r="AZ33" s="2"/>
      <c r="BA33" s="2"/>
      <c r="BB33" s="2"/>
      <c r="BC33" s="2"/>
      <c r="BD33" s="2"/>
      <c r="BE33" s="2"/>
    </row>
    <row r="34" hidden="1">
      <c r="A34" s="2"/>
      <c r="B34" s="293" t="s">
        <v>6010</v>
      </c>
      <c r="C34" s="11" t="s">
        <v>6011</v>
      </c>
      <c r="D34" s="278">
        <v>180.0</v>
      </c>
      <c r="E34" s="134" t="str">
        <f t="shared" si="2"/>
        <v>iPhone 12 / 12 Pro</v>
      </c>
      <c r="F34" s="11" t="s">
        <v>5873</v>
      </c>
      <c r="G34" s="295" t="s">
        <v>6012</v>
      </c>
      <c r="H34" s="296"/>
      <c r="I34" s="156">
        <v>1000.0</v>
      </c>
      <c r="J34" s="297"/>
      <c r="K34" s="298"/>
      <c r="L34" s="156">
        <v>1090.0</v>
      </c>
      <c r="M34" s="301">
        <v>1090.0</v>
      </c>
      <c r="N34" s="284">
        <v>0.38</v>
      </c>
      <c r="O34" s="296">
        <v>1500.0</v>
      </c>
      <c r="P34" s="285">
        <f t="shared" ref="P34:Q34" si="27">O34</f>
        <v>1500</v>
      </c>
      <c r="Q34" s="303">
        <f t="shared" si="27"/>
        <v>1500</v>
      </c>
      <c r="R34" s="299" t="s">
        <v>6013</v>
      </c>
      <c r="S34" s="300">
        <v>46140.38071827547</v>
      </c>
      <c r="T34" s="2"/>
      <c r="U34" s="289">
        <f t="shared" si="4"/>
        <v>500</v>
      </c>
      <c r="V34" s="290">
        <f t="shared" si="5"/>
        <v>410</v>
      </c>
      <c r="W34" s="2"/>
      <c r="X34" s="289">
        <v>1000.0</v>
      </c>
      <c r="Y34" s="139">
        <v>1090.0</v>
      </c>
      <c r="Z34" s="2"/>
      <c r="AA34" s="2" t="s">
        <v>6011</v>
      </c>
      <c r="AB34" s="2" t="s">
        <v>6011</v>
      </c>
      <c r="AC34" s="2"/>
      <c r="AD34" s="1" t="s">
        <v>6011</v>
      </c>
      <c r="AE34" s="3" t="s">
        <v>6010</v>
      </c>
      <c r="AF34" s="2"/>
      <c r="AG34" s="1" t="s">
        <v>1582</v>
      </c>
      <c r="AH34" s="1" t="s">
        <v>6002</v>
      </c>
      <c r="AI34" s="2">
        <v>180.0</v>
      </c>
      <c r="AJ34" s="1" t="s">
        <v>1589</v>
      </c>
      <c r="AK34" s="1" t="s">
        <v>5877</v>
      </c>
      <c r="AL34" s="1" t="s">
        <v>5878</v>
      </c>
      <c r="AM34" s="2"/>
      <c r="AN34" s="2"/>
      <c r="AO34" s="2"/>
      <c r="AP34" s="2"/>
      <c r="AQ34" s="2"/>
      <c r="AR34" s="2"/>
      <c r="AS34" s="2"/>
      <c r="AT34" s="2"/>
      <c r="AU34" s="126">
        <v>1090.0</v>
      </c>
      <c r="AV34" s="126">
        <v>1500.0</v>
      </c>
      <c r="AW34" s="2"/>
      <c r="AX34" s="2"/>
      <c r="AY34" s="2"/>
      <c r="AZ34" s="2"/>
      <c r="BA34" s="2"/>
      <c r="BB34" s="2"/>
      <c r="BC34" s="2"/>
      <c r="BD34" s="2"/>
      <c r="BE34" s="2"/>
    </row>
    <row r="35" hidden="1">
      <c r="A35" s="2"/>
      <c r="B35" s="293" t="s">
        <v>6014</v>
      </c>
      <c r="C35" s="11" t="s">
        <v>6015</v>
      </c>
      <c r="D35" s="278">
        <v>180.0</v>
      </c>
      <c r="E35" s="134" t="str">
        <f t="shared" si="2"/>
        <v>iPhone 12 / 12 Pro</v>
      </c>
      <c r="F35" s="11" t="s">
        <v>5873</v>
      </c>
      <c r="G35" s="295" t="s">
        <v>6016</v>
      </c>
      <c r="H35" s="296"/>
      <c r="I35" s="156">
        <v>800.0</v>
      </c>
      <c r="J35" s="297"/>
      <c r="K35" s="298"/>
      <c r="L35" s="156">
        <v>850.0</v>
      </c>
      <c r="M35" s="301">
        <v>850.0</v>
      </c>
      <c r="N35" s="284">
        <v>0.2</v>
      </c>
      <c r="O35" s="296">
        <v>1000.0</v>
      </c>
      <c r="P35" s="302">
        <f t="shared" ref="P35:Q35" si="28">O35</f>
        <v>1000</v>
      </c>
      <c r="Q35" s="303">
        <f t="shared" si="28"/>
        <v>1000</v>
      </c>
      <c r="R35" s="299" t="s">
        <v>6017</v>
      </c>
      <c r="S35" s="300">
        <v>46140.38074015046</v>
      </c>
      <c r="T35" s="2"/>
      <c r="U35" s="289">
        <f t="shared" si="4"/>
        <v>200</v>
      </c>
      <c r="V35" s="290">
        <f t="shared" si="5"/>
        <v>150</v>
      </c>
      <c r="W35" s="2"/>
      <c r="X35" s="289">
        <v>800.0</v>
      </c>
      <c r="Y35" s="139">
        <v>850.0</v>
      </c>
      <c r="Z35" s="2"/>
      <c r="AA35" s="2" t="s">
        <v>6015</v>
      </c>
      <c r="AB35" s="2" t="s">
        <v>6015</v>
      </c>
      <c r="AC35" s="2"/>
      <c r="AD35" s="1" t="s">
        <v>6015</v>
      </c>
      <c r="AE35" s="3" t="s">
        <v>6014</v>
      </c>
      <c r="AF35" s="2"/>
      <c r="AG35" s="1" t="s">
        <v>1582</v>
      </c>
      <c r="AH35" s="1" t="s">
        <v>6002</v>
      </c>
      <c r="AI35" s="2">
        <v>180.0</v>
      </c>
      <c r="AJ35" s="1" t="s">
        <v>1589</v>
      </c>
      <c r="AK35" s="1" t="s">
        <v>5877</v>
      </c>
      <c r="AL35" s="1" t="s">
        <v>5878</v>
      </c>
      <c r="AM35" s="2"/>
      <c r="AN35" s="2"/>
      <c r="AO35" s="2"/>
      <c r="AP35" s="2"/>
      <c r="AQ35" s="2"/>
      <c r="AR35" s="2"/>
      <c r="AS35" s="2"/>
      <c r="AT35" s="2"/>
      <c r="AU35" s="126">
        <v>850.0</v>
      </c>
      <c r="AV35" s="126">
        <v>1000.0</v>
      </c>
      <c r="AW35" s="2"/>
      <c r="AX35" s="2"/>
      <c r="AY35" s="2"/>
      <c r="AZ35" s="2"/>
      <c r="BA35" s="2"/>
      <c r="BB35" s="2"/>
      <c r="BC35" s="2"/>
      <c r="BD35" s="2"/>
      <c r="BE35" s="2"/>
    </row>
    <row r="36" hidden="1">
      <c r="A36" s="2"/>
      <c r="B36" s="293" t="s">
        <v>6018</v>
      </c>
      <c r="C36" s="11" t="s">
        <v>6019</v>
      </c>
      <c r="D36" s="278">
        <v>180.0</v>
      </c>
      <c r="E36" s="134" t="str">
        <f t="shared" si="2"/>
        <v>iPhone 12 / 12 Pro</v>
      </c>
      <c r="F36" s="11" t="s">
        <v>5873</v>
      </c>
      <c r="G36" s="295" t="s">
        <v>6020</v>
      </c>
      <c r="H36" s="296"/>
      <c r="I36" s="156">
        <v>499.0</v>
      </c>
      <c r="J36" s="297"/>
      <c r="K36" s="298"/>
      <c r="L36" s="156"/>
      <c r="M36" s="301">
        <v>499.0</v>
      </c>
      <c r="N36" s="284">
        <v>0.12</v>
      </c>
      <c r="O36" s="296">
        <v>550.0</v>
      </c>
      <c r="P36" s="67"/>
      <c r="Q36" s="303">
        <f>P35</f>
        <v>1000</v>
      </c>
      <c r="R36" s="299" t="s">
        <v>6021</v>
      </c>
      <c r="S36" s="300">
        <v>46140.38076483796</v>
      </c>
      <c r="T36" s="2"/>
      <c r="U36" s="289">
        <f t="shared" si="4"/>
        <v>501</v>
      </c>
      <c r="V36" s="304" t="str">
        <f t="shared" si="5"/>
        <v>нет з/ч</v>
      </c>
      <c r="W36" s="2"/>
      <c r="X36" s="289">
        <v>499.0</v>
      </c>
      <c r="Y36" s="139"/>
      <c r="Z36" s="2"/>
      <c r="AA36" s="2" t="s">
        <v>6019</v>
      </c>
      <c r="AB36" s="2" t="s">
        <v>6019</v>
      </c>
      <c r="AC36" s="2"/>
      <c r="AD36" s="1" t="s">
        <v>6019</v>
      </c>
      <c r="AE36" s="3" t="s">
        <v>6018</v>
      </c>
      <c r="AF36" s="2"/>
      <c r="AG36" s="1" t="s">
        <v>1582</v>
      </c>
      <c r="AH36" s="1" t="s">
        <v>6002</v>
      </c>
      <c r="AI36" s="2">
        <v>180.0</v>
      </c>
      <c r="AJ36" s="1" t="s">
        <v>1589</v>
      </c>
      <c r="AK36" s="1" t="s">
        <v>5877</v>
      </c>
      <c r="AL36" s="1" t="s">
        <v>5878</v>
      </c>
      <c r="AM36" s="2"/>
      <c r="AN36" s="2"/>
      <c r="AO36" s="2"/>
      <c r="AP36" s="2"/>
      <c r="AQ36" s="2"/>
      <c r="AR36" s="2"/>
      <c r="AS36" s="2"/>
      <c r="AT36" s="2"/>
      <c r="AU36" s="126">
        <v>499.0</v>
      </c>
      <c r="AV36" s="126">
        <v>1000.0</v>
      </c>
      <c r="AW36" s="2"/>
      <c r="AX36" s="2"/>
      <c r="AY36" s="2"/>
      <c r="AZ36" s="2"/>
      <c r="BA36" s="2"/>
      <c r="BB36" s="2"/>
      <c r="BC36" s="2"/>
      <c r="BD36" s="2"/>
      <c r="BE36" s="2"/>
    </row>
    <row r="37" hidden="1">
      <c r="A37" s="2"/>
      <c r="B37" s="293" t="s">
        <v>6022</v>
      </c>
      <c r="C37" s="11" t="s">
        <v>6023</v>
      </c>
      <c r="D37" s="278">
        <v>180.0</v>
      </c>
      <c r="E37" s="134" t="str">
        <f t="shared" si="2"/>
        <v>iPhone 12 Mini</v>
      </c>
      <c r="F37" s="11" t="s">
        <v>5873</v>
      </c>
      <c r="G37" s="295" t="s">
        <v>6024</v>
      </c>
      <c r="H37" s="296"/>
      <c r="I37" s="156">
        <v>4800.0</v>
      </c>
      <c r="J37" s="301"/>
      <c r="K37" s="296"/>
      <c r="L37" s="139"/>
      <c r="M37" s="301">
        <v>4800.0</v>
      </c>
      <c r="N37" s="284">
        <v>0.2</v>
      </c>
      <c r="O37" s="296">
        <v>5750.0</v>
      </c>
      <c r="P37" s="285">
        <f t="shared" ref="P37:Q37" si="29">O37</f>
        <v>5750</v>
      </c>
      <c r="Q37" s="303">
        <f t="shared" si="29"/>
        <v>5750</v>
      </c>
      <c r="R37" s="299" t="s">
        <v>6025</v>
      </c>
      <c r="S37" s="300">
        <v>46140.38078802083</v>
      </c>
      <c r="T37" s="2"/>
      <c r="U37" s="289">
        <f t="shared" si="4"/>
        <v>950</v>
      </c>
      <c r="V37" s="304" t="str">
        <f t="shared" si="5"/>
        <v>нет з/ч</v>
      </c>
      <c r="W37" s="2"/>
      <c r="X37" s="289">
        <v>4800.0</v>
      </c>
      <c r="Y37" s="139"/>
      <c r="Z37" s="2"/>
      <c r="AA37" s="2" t="s">
        <v>6023</v>
      </c>
      <c r="AB37" s="2" t="s">
        <v>6023</v>
      </c>
      <c r="AC37" s="2"/>
      <c r="AD37" s="2" t="s">
        <v>6023</v>
      </c>
      <c r="AE37" s="3" t="s">
        <v>6022</v>
      </c>
      <c r="AF37" s="2"/>
      <c r="AG37" s="1" t="s">
        <v>1582</v>
      </c>
      <c r="AH37" s="1" t="s">
        <v>6026</v>
      </c>
      <c r="AI37" s="2">
        <v>180.0</v>
      </c>
      <c r="AJ37" s="1" t="s">
        <v>1589</v>
      </c>
      <c r="AK37" s="1" t="s">
        <v>5877</v>
      </c>
      <c r="AL37" s="1" t="s">
        <v>5878</v>
      </c>
      <c r="AM37" s="2"/>
      <c r="AN37" s="2"/>
      <c r="AO37" s="2"/>
      <c r="AP37" s="2"/>
      <c r="AQ37" s="2"/>
      <c r="AR37" s="2"/>
      <c r="AS37" s="2"/>
      <c r="AT37" s="2"/>
      <c r="AU37" s="126">
        <v>4800.0</v>
      </c>
      <c r="AV37" s="126">
        <v>5750.0</v>
      </c>
      <c r="AW37" s="2"/>
      <c r="AX37" s="2"/>
      <c r="AY37" s="2"/>
      <c r="AZ37" s="2"/>
      <c r="BA37" s="2"/>
      <c r="BB37" s="2"/>
      <c r="BC37" s="2"/>
      <c r="BD37" s="2"/>
      <c r="BE37" s="2"/>
    </row>
    <row r="38" hidden="1">
      <c r="A38" s="2"/>
      <c r="B38" s="293" t="s">
        <v>6027</v>
      </c>
      <c r="C38" s="61"/>
      <c r="D38" s="278">
        <v>180.0</v>
      </c>
      <c r="E38" s="134" t="str">
        <f t="shared" si="2"/>
        <v>iPhone 12 Mini</v>
      </c>
      <c r="F38" s="11" t="s">
        <v>5873</v>
      </c>
      <c r="G38" s="295" t="s">
        <v>6028</v>
      </c>
      <c r="H38" s="296"/>
      <c r="I38" s="156">
        <v>2000.0</v>
      </c>
      <c r="J38" s="297"/>
      <c r="K38" s="298"/>
      <c r="L38" s="156">
        <v>1890.0</v>
      </c>
      <c r="M38" s="301">
        <v>2000.0</v>
      </c>
      <c r="N38" s="284">
        <v>0.2</v>
      </c>
      <c r="O38" s="296">
        <v>2400.0</v>
      </c>
      <c r="P38" s="285">
        <f t="shared" ref="P38:Q38" si="30">O38</f>
        <v>2400</v>
      </c>
      <c r="Q38" s="303">
        <f t="shared" si="30"/>
        <v>2400</v>
      </c>
      <c r="R38" s="287" t="s">
        <v>6029</v>
      </c>
      <c r="S38" s="300">
        <v>46140.3808197801</v>
      </c>
      <c r="T38" s="2"/>
      <c r="U38" s="289">
        <f t="shared" si="4"/>
        <v>400</v>
      </c>
      <c r="V38" s="290">
        <f t="shared" si="5"/>
        <v>510</v>
      </c>
      <c r="W38" s="2"/>
      <c r="X38" s="289">
        <v>2000.0</v>
      </c>
      <c r="Y38" s="139">
        <v>1890.0</v>
      </c>
      <c r="Z38" s="2"/>
      <c r="AA38" s="2"/>
      <c r="AB38" s="2"/>
      <c r="AC38" s="2"/>
      <c r="AD38" s="2"/>
      <c r="AE38" s="3" t="s">
        <v>6027</v>
      </c>
      <c r="AF38" s="2"/>
      <c r="AG38" s="1" t="s">
        <v>1582</v>
      </c>
      <c r="AH38" s="1" t="s">
        <v>6026</v>
      </c>
      <c r="AI38" s="2">
        <v>180.0</v>
      </c>
      <c r="AJ38" s="1" t="s">
        <v>1589</v>
      </c>
      <c r="AK38" s="1" t="s">
        <v>5877</v>
      </c>
      <c r="AL38" s="1" t="s">
        <v>5878</v>
      </c>
      <c r="AM38" s="2"/>
      <c r="AN38" s="2"/>
      <c r="AO38" s="2"/>
      <c r="AP38" s="2"/>
      <c r="AQ38" s="2"/>
      <c r="AR38" s="2"/>
      <c r="AS38" s="2"/>
      <c r="AT38" s="2"/>
      <c r="AU38" s="126">
        <v>2000.0</v>
      </c>
      <c r="AV38" s="126">
        <v>2400.0</v>
      </c>
      <c r="AW38" s="2"/>
      <c r="AX38" s="2"/>
      <c r="AY38" s="2"/>
      <c r="AZ38" s="2"/>
      <c r="BA38" s="2"/>
      <c r="BB38" s="2"/>
      <c r="BC38" s="2"/>
      <c r="BD38" s="2"/>
      <c r="BE38" s="2"/>
    </row>
    <row r="39" hidden="1">
      <c r="A39" s="2"/>
      <c r="B39" s="293" t="s">
        <v>6030</v>
      </c>
      <c r="C39" s="11" t="s">
        <v>6031</v>
      </c>
      <c r="D39" s="278">
        <v>180.0</v>
      </c>
      <c r="E39" s="134" t="str">
        <f t="shared" si="2"/>
        <v>iPhone 12 Mini</v>
      </c>
      <c r="F39" s="11" t="s">
        <v>5873</v>
      </c>
      <c r="G39" s="295" t="s">
        <v>6032</v>
      </c>
      <c r="H39" s="296"/>
      <c r="I39" s="156">
        <v>1000.0</v>
      </c>
      <c r="J39" s="297"/>
      <c r="K39" s="298"/>
      <c r="L39" s="156">
        <v>1050.0</v>
      </c>
      <c r="M39" s="301">
        <v>1050.0</v>
      </c>
      <c r="N39" s="284">
        <v>0.35</v>
      </c>
      <c r="O39" s="296">
        <v>1400.0</v>
      </c>
      <c r="P39" s="285">
        <f t="shared" ref="P39:Q39" si="31">O39</f>
        <v>1400</v>
      </c>
      <c r="Q39" s="303">
        <f t="shared" si="31"/>
        <v>1400</v>
      </c>
      <c r="R39" s="299" t="s">
        <v>6033</v>
      </c>
      <c r="S39" s="300">
        <v>46140.380839537036</v>
      </c>
      <c r="T39" s="2"/>
      <c r="U39" s="289">
        <f t="shared" si="4"/>
        <v>400</v>
      </c>
      <c r="V39" s="290">
        <f t="shared" si="5"/>
        <v>350</v>
      </c>
      <c r="W39" s="2"/>
      <c r="X39" s="289">
        <v>1000.0</v>
      </c>
      <c r="Y39" s="139">
        <v>1050.0</v>
      </c>
      <c r="Z39" s="2"/>
      <c r="AA39" s="2" t="s">
        <v>6031</v>
      </c>
      <c r="AB39" s="2" t="s">
        <v>6031</v>
      </c>
      <c r="AC39" s="2"/>
      <c r="AD39" s="2" t="s">
        <v>6031</v>
      </c>
      <c r="AE39" s="3" t="s">
        <v>6030</v>
      </c>
      <c r="AF39" s="2"/>
      <c r="AG39" s="1" t="s">
        <v>1582</v>
      </c>
      <c r="AH39" s="1" t="s">
        <v>6026</v>
      </c>
      <c r="AI39" s="2">
        <v>180.0</v>
      </c>
      <c r="AJ39" s="1" t="s">
        <v>1589</v>
      </c>
      <c r="AK39" s="1" t="s">
        <v>5877</v>
      </c>
      <c r="AL39" s="1" t="s">
        <v>5878</v>
      </c>
      <c r="AM39" s="2"/>
      <c r="AN39" s="2"/>
      <c r="AO39" s="2"/>
      <c r="AP39" s="2"/>
      <c r="AQ39" s="2"/>
      <c r="AR39" s="2"/>
      <c r="AS39" s="2"/>
      <c r="AT39" s="2"/>
      <c r="AU39" s="126">
        <v>1050.0</v>
      </c>
      <c r="AV39" s="126">
        <v>1400.0</v>
      </c>
      <c r="AW39" s="2"/>
      <c r="AX39" s="2"/>
      <c r="AY39" s="2"/>
      <c r="AZ39" s="2"/>
      <c r="BA39" s="2"/>
      <c r="BB39" s="2"/>
      <c r="BC39" s="2"/>
      <c r="BD39" s="2"/>
      <c r="BE39" s="2"/>
    </row>
    <row r="40" hidden="1">
      <c r="A40" s="2"/>
      <c r="B40" s="293" t="s">
        <v>6034</v>
      </c>
      <c r="C40" s="11">
        <v>2.5533007E7</v>
      </c>
      <c r="D40" s="278">
        <v>180.0</v>
      </c>
      <c r="E40" s="134" t="str">
        <f t="shared" si="2"/>
        <v>iPhone 12 Mini</v>
      </c>
      <c r="F40" s="11" t="s">
        <v>5873</v>
      </c>
      <c r="G40" s="295" t="s">
        <v>6035</v>
      </c>
      <c r="H40" s="296"/>
      <c r="I40" s="156">
        <v>800.0</v>
      </c>
      <c r="J40" s="297"/>
      <c r="K40" s="298"/>
      <c r="L40" s="156">
        <v>750.0</v>
      </c>
      <c r="M40" s="301">
        <v>800.0</v>
      </c>
      <c r="N40" s="284">
        <v>0.15</v>
      </c>
      <c r="O40" s="296">
        <v>900.0</v>
      </c>
      <c r="P40" s="302">
        <f t="shared" ref="P40:Q40" si="32">O40</f>
        <v>900</v>
      </c>
      <c r="Q40" s="303">
        <f t="shared" si="32"/>
        <v>900</v>
      </c>
      <c r="R40" s="299" t="s">
        <v>6036</v>
      </c>
      <c r="S40" s="300">
        <v>46140.38086106481</v>
      </c>
      <c r="T40" s="2"/>
      <c r="U40" s="289">
        <f t="shared" si="4"/>
        <v>100</v>
      </c>
      <c r="V40" s="290">
        <f t="shared" si="5"/>
        <v>150</v>
      </c>
      <c r="W40" s="2"/>
      <c r="X40" s="289">
        <v>800.0</v>
      </c>
      <c r="Y40" s="139">
        <v>750.0</v>
      </c>
      <c r="Z40" s="2"/>
      <c r="AA40" s="2">
        <v>2.5533007E7</v>
      </c>
      <c r="AB40" s="2">
        <v>2.5533007E7</v>
      </c>
      <c r="AC40" s="2"/>
      <c r="AD40" s="2">
        <v>2.5533007E7</v>
      </c>
      <c r="AE40" s="3" t="s">
        <v>6034</v>
      </c>
      <c r="AF40" s="2"/>
      <c r="AG40" s="1" t="s">
        <v>1582</v>
      </c>
      <c r="AH40" s="1" t="s">
        <v>6026</v>
      </c>
      <c r="AI40" s="2">
        <v>180.0</v>
      </c>
      <c r="AJ40" s="1" t="s">
        <v>1589</v>
      </c>
      <c r="AK40" s="1" t="s">
        <v>5877</v>
      </c>
      <c r="AL40" s="1" t="s">
        <v>5878</v>
      </c>
      <c r="AM40" s="2"/>
      <c r="AN40" s="2"/>
      <c r="AO40" s="2"/>
      <c r="AP40" s="2"/>
      <c r="AQ40" s="2"/>
      <c r="AR40" s="2"/>
      <c r="AS40" s="2"/>
      <c r="AT40" s="2"/>
      <c r="AU40" s="126">
        <v>800.0</v>
      </c>
      <c r="AV40" s="126">
        <v>900.0</v>
      </c>
      <c r="AW40" s="2"/>
      <c r="AX40" s="2"/>
      <c r="AY40" s="2"/>
      <c r="AZ40" s="2"/>
      <c r="BA40" s="2"/>
      <c r="BB40" s="2"/>
      <c r="BC40" s="2"/>
      <c r="BD40" s="2"/>
      <c r="BE40" s="2"/>
    </row>
    <row r="41" hidden="1">
      <c r="A41" s="2"/>
      <c r="B41" s="293" t="s">
        <v>6037</v>
      </c>
      <c r="C41" s="11" t="s">
        <v>6038</v>
      </c>
      <c r="D41" s="278">
        <v>180.0</v>
      </c>
      <c r="E41" s="134" t="str">
        <f t="shared" si="2"/>
        <v>iPhone 12 Mini</v>
      </c>
      <c r="F41" s="11" t="s">
        <v>5873</v>
      </c>
      <c r="G41" s="295" t="s">
        <v>6039</v>
      </c>
      <c r="H41" s="296"/>
      <c r="I41" s="156">
        <v>440.0</v>
      </c>
      <c r="J41" s="297"/>
      <c r="K41" s="298"/>
      <c r="L41" s="156"/>
      <c r="M41" s="301">
        <v>440.0</v>
      </c>
      <c r="N41" s="284">
        <v>0.12</v>
      </c>
      <c r="O41" s="296">
        <v>500.0</v>
      </c>
      <c r="P41" s="67"/>
      <c r="Q41" s="303">
        <f>P40</f>
        <v>900</v>
      </c>
      <c r="R41" s="299" t="s">
        <v>6040</v>
      </c>
      <c r="S41" s="300">
        <v>46140.3808837963</v>
      </c>
      <c r="T41" s="2"/>
      <c r="U41" s="289">
        <f t="shared" si="4"/>
        <v>460</v>
      </c>
      <c r="V41" s="304" t="str">
        <f t="shared" si="5"/>
        <v>нет з/ч</v>
      </c>
      <c r="W41" s="2"/>
      <c r="X41" s="289">
        <v>440.0</v>
      </c>
      <c r="Y41" s="139"/>
      <c r="Z41" s="2"/>
      <c r="AA41" s="2" t="s">
        <v>6038</v>
      </c>
      <c r="AB41" s="2" t="s">
        <v>6038</v>
      </c>
      <c r="AC41" s="2"/>
      <c r="AD41" s="2" t="s">
        <v>6038</v>
      </c>
      <c r="AE41" s="3" t="s">
        <v>6037</v>
      </c>
      <c r="AF41" s="2"/>
      <c r="AG41" s="1" t="s">
        <v>1582</v>
      </c>
      <c r="AH41" s="1" t="s">
        <v>6026</v>
      </c>
      <c r="AI41" s="2">
        <v>180.0</v>
      </c>
      <c r="AJ41" s="1" t="s">
        <v>1589</v>
      </c>
      <c r="AK41" s="1" t="s">
        <v>5877</v>
      </c>
      <c r="AL41" s="1" t="s">
        <v>5878</v>
      </c>
      <c r="AM41" s="2"/>
      <c r="AN41" s="2"/>
      <c r="AO41" s="2"/>
      <c r="AP41" s="2"/>
      <c r="AQ41" s="2"/>
      <c r="AR41" s="2"/>
      <c r="AS41" s="2"/>
      <c r="AT41" s="2"/>
      <c r="AU41" s="126">
        <v>440.0</v>
      </c>
      <c r="AV41" s="126">
        <v>900.0</v>
      </c>
      <c r="AW41" s="2"/>
      <c r="AX41" s="2"/>
      <c r="AY41" s="2"/>
      <c r="AZ41" s="2"/>
      <c r="BA41" s="2"/>
      <c r="BB41" s="2"/>
      <c r="BC41" s="2"/>
      <c r="BD41" s="2"/>
      <c r="BE41" s="2"/>
    </row>
    <row r="42" hidden="1">
      <c r="A42" s="2"/>
      <c r="B42" s="293" t="s">
        <v>6041</v>
      </c>
      <c r="C42" s="11" t="s">
        <v>6042</v>
      </c>
      <c r="D42" s="278">
        <v>180.0</v>
      </c>
      <c r="E42" s="134" t="str">
        <f t="shared" si="2"/>
        <v>iPhone 12 Pro Max</v>
      </c>
      <c r="F42" s="11" t="s">
        <v>5873</v>
      </c>
      <c r="G42" s="295" t="s">
        <v>6043</v>
      </c>
      <c r="H42" s="296"/>
      <c r="I42" s="156">
        <v>6100.0</v>
      </c>
      <c r="J42" s="297"/>
      <c r="K42" s="298"/>
      <c r="L42" s="156"/>
      <c r="M42" s="301">
        <v>6100.0</v>
      </c>
      <c r="N42" s="284">
        <v>0.2</v>
      </c>
      <c r="O42" s="296">
        <v>7300.0</v>
      </c>
      <c r="P42" s="285">
        <f t="shared" ref="P42:Q42" si="33">O42</f>
        <v>7300</v>
      </c>
      <c r="Q42" s="303">
        <f t="shared" si="33"/>
        <v>7300</v>
      </c>
      <c r="R42" s="299" t="s">
        <v>6044</v>
      </c>
      <c r="S42" s="300">
        <v>46147.60808293981</v>
      </c>
      <c r="T42" s="2"/>
      <c r="U42" s="289">
        <f t="shared" si="4"/>
        <v>1200</v>
      </c>
      <c r="V42" s="304" t="str">
        <f t="shared" si="5"/>
        <v>нет з/ч</v>
      </c>
      <c r="W42" s="2"/>
      <c r="X42" s="289">
        <v>6100.0</v>
      </c>
      <c r="Y42" s="139"/>
      <c r="Z42" s="2"/>
      <c r="AA42" s="2" t="s">
        <v>6042</v>
      </c>
      <c r="AB42" s="2" t="s">
        <v>6042</v>
      </c>
      <c r="AC42" s="2"/>
      <c r="AD42" s="2" t="s">
        <v>6042</v>
      </c>
      <c r="AE42" s="3" t="s">
        <v>6041</v>
      </c>
      <c r="AF42" s="2"/>
      <c r="AG42" s="1" t="s">
        <v>1582</v>
      </c>
      <c r="AH42" s="1" t="s">
        <v>6045</v>
      </c>
      <c r="AI42" s="2">
        <v>180.0</v>
      </c>
      <c r="AJ42" s="1" t="s">
        <v>1589</v>
      </c>
      <c r="AK42" s="1" t="s">
        <v>5877</v>
      </c>
      <c r="AL42" s="1" t="s">
        <v>5878</v>
      </c>
      <c r="AM42" s="2"/>
      <c r="AN42" s="2"/>
      <c r="AO42" s="2"/>
      <c r="AP42" s="2"/>
      <c r="AQ42" s="2"/>
      <c r="AR42" s="2"/>
      <c r="AS42" s="2"/>
      <c r="AT42" s="2"/>
      <c r="AU42" s="126">
        <v>6100.0</v>
      </c>
      <c r="AV42" s="126">
        <v>7300.0</v>
      </c>
      <c r="AW42" s="2"/>
      <c r="AX42" s="2"/>
      <c r="AY42" s="2"/>
      <c r="AZ42" s="2"/>
      <c r="BA42" s="2"/>
      <c r="BB42" s="2"/>
      <c r="BC42" s="2"/>
      <c r="BD42" s="2"/>
      <c r="BE42" s="2"/>
    </row>
    <row r="43" hidden="1">
      <c r="A43" s="2"/>
      <c r="B43" s="293" t="s">
        <v>6046</v>
      </c>
      <c r="C43" s="11" t="s">
        <v>6047</v>
      </c>
      <c r="D43" s="278">
        <v>180.0</v>
      </c>
      <c r="E43" s="134" t="str">
        <f t="shared" si="2"/>
        <v>iPhone 12 Pro Max</v>
      </c>
      <c r="F43" s="11" t="s">
        <v>5873</v>
      </c>
      <c r="G43" s="295" t="s">
        <v>6048</v>
      </c>
      <c r="H43" s="296"/>
      <c r="I43" s="156">
        <v>1990.0</v>
      </c>
      <c r="J43" s="301"/>
      <c r="K43" s="296"/>
      <c r="L43" s="139"/>
      <c r="M43" s="301">
        <v>1990.0</v>
      </c>
      <c r="N43" s="284">
        <v>0.8</v>
      </c>
      <c r="O43" s="296">
        <v>3600.0</v>
      </c>
      <c r="P43" s="285">
        <f t="shared" ref="P43:Q43" si="34">O43</f>
        <v>3600</v>
      </c>
      <c r="Q43" s="303">
        <f t="shared" si="34"/>
        <v>3600</v>
      </c>
      <c r="R43" s="299" t="s">
        <v>6049</v>
      </c>
      <c r="S43" s="300">
        <v>46147.60814643519</v>
      </c>
      <c r="T43" s="2"/>
      <c r="U43" s="289">
        <f t="shared" si="4"/>
        <v>1610</v>
      </c>
      <c r="V43" s="304" t="str">
        <f t="shared" si="5"/>
        <v>нет з/ч</v>
      </c>
      <c r="W43" s="2"/>
      <c r="X43" s="289">
        <v>1990.0</v>
      </c>
      <c r="Y43" s="139"/>
      <c r="Z43" s="2"/>
      <c r="AA43" s="2" t="s">
        <v>6047</v>
      </c>
      <c r="AB43" s="2" t="s">
        <v>6047</v>
      </c>
      <c r="AC43" s="2"/>
      <c r="AD43" s="2" t="s">
        <v>6047</v>
      </c>
      <c r="AE43" s="3" t="s">
        <v>6046</v>
      </c>
      <c r="AF43" s="2"/>
      <c r="AG43" s="1" t="s">
        <v>1582</v>
      </c>
      <c r="AH43" s="1" t="s">
        <v>6045</v>
      </c>
      <c r="AI43" s="2">
        <v>180.0</v>
      </c>
      <c r="AJ43" s="1" t="s">
        <v>1589</v>
      </c>
      <c r="AK43" s="1" t="s">
        <v>5877</v>
      </c>
      <c r="AL43" s="1" t="s">
        <v>5878</v>
      </c>
      <c r="AM43" s="2"/>
      <c r="AN43" s="2"/>
      <c r="AO43" s="2"/>
      <c r="AP43" s="2"/>
      <c r="AQ43" s="2"/>
      <c r="AR43" s="2"/>
      <c r="AS43" s="2"/>
      <c r="AT43" s="2"/>
      <c r="AU43" s="126">
        <v>1990.0</v>
      </c>
      <c r="AV43" s="126">
        <v>3600.0</v>
      </c>
      <c r="AW43" s="2"/>
      <c r="AX43" s="2"/>
      <c r="AY43" s="2"/>
      <c r="AZ43" s="2"/>
      <c r="BA43" s="2"/>
      <c r="BB43" s="2"/>
      <c r="BC43" s="2"/>
      <c r="BD43" s="2"/>
      <c r="BE43" s="2"/>
    </row>
    <row r="44" hidden="1">
      <c r="A44" s="2"/>
      <c r="B44" s="293" t="s">
        <v>6050</v>
      </c>
      <c r="C44" s="11"/>
      <c r="D44" s="278">
        <v>180.0</v>
      </c>
      <c r="E44" s="134" t="str">
        <f t="shared" si="2"/>
        <v>iPhone 12 Pro Max</v>
      </c>
      <c r="F44" s="11" t="s">
        <v>5873</v>
      </c>
      <c r="G44" s="295" t="s">
        <v>6051</v>
      </c>
      <c r="H44" s="296"/>
      <c r="I44" s="156">
        <v>2400.0</v>
      </c>
      <c r="J44" s="297"/>
      <c r="K44" s="298"/>
      <c r="L44" s="156">
        <v>2390.0</v>
      </c>
      <c r="M44" s="301">
        <v>2400.0</v>
      </c>
      <c r="N44" s="284">
        <v>0.3</v>
      </c>
      <c r="O44" s="296">
        <v>3100.0</v>
      </c>
      <c r="P44" s="285">
        <f t="shared" ref="P44:Q44" si="35">O44</f>
        <v>3100</v>
      </c>
      <c r="Q44" s="303">
        <f t="shared" si="35"/>
        <v>3100</v>
      </c>
      <c r="R44" s="299" t="s">
        <v>6052</v>
      </c>
      <c r="S44" s="300">
        <v>46147.60820018519</v>
      </c>
      <c r="T44" s="2"/>
      <c r="U44" s="289">
        <f t="shared" si="4"/>
        <v>700</v>
      </c>
      <c r="V44" s="290">
        <f t="shared" si="5"/>
        <v>710</v>
      </c>
      <c r="W44" s="2"/>
      <c r="X44" s="289">
        <v>2400.0</v>
      </c>
      <c r="Y44" s="139">
        <v>2390.0</v>
      </c>
      <c r="Z44" s="2"/>
      <c r="AA44" s="2"/>
      <c r="AB44" s="2"/>
      <c r="AC44" s="2"/>
      <c r="AD44" s="2"/>
      <c r="AE44" s="3" t="s">
        <v>6050</v>
      </c>
      <c r="AF44" s="2"/>
      <c r="AG44" s="1" t="s">
        <v>1582</v>
      </c>
      <c r="AH44" s="1" t="s">
        <v>6045</v>
      </c>
      <c r="AI44" s="2">
        <v>180.0</v>
      </c>
      <c r="AJ44" s="1" t="s">
        <v>1589</v>
      </c>
      <c r="AK44" s="1" t="s">
        <v>5877</v>
      </c>
      <c r="AL44" s="1" t="s">
        <v>5878</v>
      </c>
      <c r="AM44" s="2"/>
      <c r="AN44" s="2"/>
      <c r="AO44" s="2"/>
      <c r="AP44" s="2"/>
      <c r="AQ44" s="2"/>
      <c r="AR44" s="2"/>
      <c r="AS44" s="2"/>
      <c r="AT44" s="2"/>
      <c r="AU44" s="126">
        <v>2400.0</v>
      </c>
      <c r="AV44" s="126">
        <v>3100.0</v>
      </c>
      <c r="AW44" s="2"/>
      <c r="AX44" s="2"/>
      <c r="AY44" s="2"/>
      <c r="AZ44" s="2"/>
      <c r="BA44" s="2"/>
      <c r="BB44" s="2"/>
      <c r="BC44" s="2"/>
      <c r="BD44" s="2"/>
      <c r="BE44" s="2"/>
    </row>
    <row r="45" hidden="1">
      <c r="A45" s="2"/>
      <c r="B45" s="293" t="s">
        <v>6053</v>
      </c>
      <c r="C45" s="11" t="s">
        <v>6054</v>
      </c>
      <c r="D45" s="278">
        <v>180.0</v>
      </c>
      <c r="E45" s="134" t="str">
        <f t="shared" si="2"/>
        <v>iPhone 12 Pro Max</v>
      </c>
      <c r="F45" s="11" t="s">
        <v>5873</v>
      </c>
      <c r="G45" s="295" t="s">
        <v>6055</v>
      </c>
      <c r="H45" s="296"/>
      <c r="I45" s="156">
        <v>1200.0</v>
      </c>
      <c r="J45" s="297"/>
      <c r="K45" s="298"/>
      <c r="L45" s="156">
        <v>1350.0</v>
      </c>
      <c r="M45" s="301">
        <v>1350.0</v>
      </c>
      <c r="N45" s="284">
        <v>0.55</v>
      </c>
      <c r="O45" s="296">
        <v>2100.0</v>
      </c>
      <c r="P45" s="285">
        <f t="shared" ref="P45:Q45" si="36">O45</f>
        <v>2100</v>
      </c>
      <c r="Q45" s="303">
        <f t="shared" si="36"/>
        <v>2100</v>
      </c>
      <c r="R45" s="299" t="s">
        <v>6056</v>
      </c>
      <c r="S45" s="300">
        <v>46147.60825366898</v>
      </c>
      <c r="T45" s="2"/>
      <c r="U45" s="289">
        <f t="shared" si="4"/>
        <v>900</v>
      </c>
      <c r="V45" s="290">
        <f t="shared" si="5"/>
        <v>750</v>
      </c>
      <c r="W45" s="2"/>
      <c r="X45" s="289">
        <v>1200.0</v>
      </c>
      <c r="Y45" s="139">
        <v>1350.0</v>
      </c>
      <c r="Z45" s="2"/>
      <c r="AA45" s="2" t="s">
        <v>6054</v>
      </c>
      <c r="AB45" s="2" t="s">
        <v>6054</v>
      </c>
      <c r="AC45" s="2"/>
      <c r="AD45" s="2" t="s">
        <v>6054</v>
      </c>
      <c r="AE45" s="3" t="s">
        <v>6053</v>
      </c>
      <c r="AF45" s="2"/>
      <c r="AG45" s="1" t="s">
        <v>1582</v>
      </c>
      <c r="AH45" s="1" t="s">
        <v>6045</v>
      </c>
      <c r="AI45" s="2">
        <v>180.0</v>
      </c>
      <c r="AJ45" s="1" t="s">
        <v>1589</v>
      </c>
      <c r="AK45" s="1" t="s">
        <v>5877</v>
      </c>
      <c r="AL45" s="1" t="s">
        <v>5878</v>
      </c>
      <c r="AM45" s="2"/>
      <c r="AN45" s="2"/>
      <c r="AO45" s="2"/>
      <c r="AP45" s="2"/>
      <c r="AQ45" s="2"/>
      <c r="AR45" s="2"/>
      <c r="AS45" s="2"/>
      <c r="AT45" s="2"/>
      <c r="AU45" s="126">
        <v>1350.0</v>
      </c>
      <c r="AV45" s="126">
        <v>2100.0</v>
      </c>
      <c r="AW45" s="2"/>
      <c r="AX45" s="2"/>
      <c r="AY45" s="2"/>
      <c r="AZ45" s="2"/>
      <c r="BA45" s="2"/>
      <c r="BB45" s="2"/>
      <c r="BC45" s="2"/>
      <c r="BD45" s="2"/>
      <c r="BE45" s="2"/>
    </row>
    <row r="46" hidden="1">
      <c r="A46" s="2"/>
      <c r="B46" s="293" t="s">
        <v>6057</v>
      </c>
      <c r="C46" s="11" t="s">
        <v>6058</v>
      </c>
      <c r="D46" s="278">
        <v>180.0</v>
      </c>
      <c r="E46" s="134" t="str">
        <f t="shared" si="2"/>
        <v>iPhone 12 Pro Max</v>
      </c>
      <c r="F46" s="11" t="s">
        <v>5873</v>
      </c>
      <c r="G46" s="295" t="s">
        <v>6059</v>
      </c>
      <c r="H46" s="296"/>
      <c r="I46" s="156">
        <v>1000.0</v>
      </c>
      <c r="J46" s="297"/>
      <c r="K46" s="298"/>
      <c r="L46" s="156">
        <v>990.0</v>
      </c>
      <c r="M46" s="301">
        <v>1000.0</v>
      </c>
      <c r="N46" s="284">
        <v>0.6</v>
      </c>
      <c r="O46" s="296">
        <v>1600.0</v>
      </c>
      <c r="P46" s="302">
        <f t="shared" ref="P46:Q46" si="37">O46</f>
        <v>1600</v>
      </c>
      <c r="Q46" s="303">
        <f t="shared" si="37"/>
        <v>1600</v>
      </c>
      <c r="R46" s="299" t="s">
        <v>6060</v>
      </c>
      <c r="S46" s="300">
        <v>46147.60830394676</v>
      </c>
      <c r="T46" s="2"/>
      <c r="U46" s="289">
        <f t="shared" si="4"/>
        <v>600</v>
      </c>
      <c r="V46" s="290">
        <f t="shared" si="5"/>
        <v>610</v>
      </c>
      <c r="W46" s="2"/>
      <c r="X46" s="289">
        <v>1000.0</v>
      </c>
      <c r="Y46" s="139">
        <v>990.0</v>
      </c>
      <c r="Z46" s="2"/>
      <c r="AA46" s="2" t="s">
        <v>6058</v>
      </c>
      <c r="AB46" s="2" t="s">
        <v>6058</v>
      </c>
      <c r="AC46" s="2"/>
      <c r="AD46" s="2" t="s">
        <v>6058</v>
      </c>
      <c r="AE46" s="3" t="s">
        <v>6057</v>
      </c>
      <c r="AF46" s="2"/>
      <c r="AG46" s="1" t="s">
        <v>1582</v>
      </c>
      <c r="AH46" s="1" t="s">
        <v>6045</v>
      </c>
      <c r="AI46" s="2">
        <v>180.0</v>
      </c>
      <c r="AJ46" s="1" t="s">
        <v>1589</v>
      </c>
      <c r="AK46" s="1" t="s">
        <v>5877</v>
      </c>
      <c r="AL46" s="1" t="s">
        <v>5878</v>
      </c>
      <c r="AM46" s="2"/>
      <c r="AN46" s="2"/>
      <c r="AO46" s="2"/>
      <c r="AP46" s="2"/>
      <c r="AQ46" s="2"/>
      <c r="AR46" s="2"/>
      <c r="AS46" s="2"/>
      <c r="AT46" s="2"/>
      <c r="AU46" s="126">
        <v>1000.0</v>
      </c>
      <c r="AV46" s="126">
        <v>1600.0</v>
      </c>
      <c r="AW46" s="2"/>
      <c r="AX46" s="2"/>
      <c r="AY46" s="2"/>
      <c r="AZ46" s="2"/>
      <c r="BA46" s="2"/>
      <c r="BB46" s="2"/>
      <c r="BC46" s="2"/>
      <c r="BD46" s="2"/>
      <c r="BE46" s="2"/>
    </row>
    <row r="47" hidden="1">
      <c r="A47" s="2"/>
      <c r="B47" s="293" t="s">
        <v>6061</v>
      </c>
      <c r="C47" s="11" t="s">
        <v>6062</v>
      </c>
      <c r="D47" s="278">
        <v>180.0</v>
      </c>
      <c r="E47" s="134" t="str">
        <f t="shared" si="2"/>
        <v>iPhone 12 Pro Max</v>
      </c>
      <c r="F47" s="11" t="s">
        <v>5873</v>
      </c>
      <c r="G47" s="295" t="s">
        <v>6063</v>
      </c>
      <c r="H47" s="296"/>
      <c r="I47" s="156">
        <v>690.0</v>
      </c>
      <c r="J47" s="297"/>
      <c r="K47" s="298"/>
      <c r="L47" s="156"/>
      <c r="M47" s="301">
        <v>690.0</v>
      </c>
      <c r="N47" s="284">
        <v>0.12</v>
      </c>
      <c r="O47" s="296">
        <v>750.0</v>
      </c>
      <c r="P47" s="67"/>
      <c r="Q47" s="303">
        <f>P46</f>
        <v>1600</v>
      </c>
      <c r="R47" s="299" t="s">
        <v>6064</v>
      </c>
      <c r="S47" s="300">
        <v>46147.60836402778</v>
      </c>
      <c r="T47" s="2"/>
      <c r="U47" s="289">
        <f t="shared" si="4"/>
        <v>910</v>
      </c>
      <c r="V47" s="304" t="str">
        <f t="shared" si="5"/>
        <v>нет з/ч</v>
      </c>
      <c r="W47" s="2"/>
      <c r="X47" s="289">
        <v>690.0</v>
      </c>
      <c r="Y47" s="139"/>
      <c r="Z47" s="2"/>
      <c r="AA47" s="2" t="s">
        <v>6062</v>
      </c>
      <c r="AB47" s="2" t="s">
        <v>6062</v>
      </c>
      <c r="AC47" s="2"/>
      <c r="AD47" s="2" t="s">
        <v>6062</v>
      </c>
      <c r="AE47" s="3" t="s">
        <v>6061</v>
      </c>
      <c r="AF47" s="2"/>
      <c r="AG47" s="1" t="s">
        <v>1582</v>
      </c>
      <c r="AH47" s="1" t="s">
        <v>6045</v>
      </c>
      <c r="AI47" s="2">
        <v>180.0</v>
      </c>
      <c r="AJ47" s="1" t="s">
        <v>1589</v>
      </c>
      <c r="AK47" s="1" t="s">
        <v>5877</v>
      </c>
      <c r="AL47" s="1" t="s">
        <v>5878</v>
      </c>
      <c r="AM47" s="2"/>
      <c r="AN47" s="2"/>
      <c r="AO47" s="2"/>
      <c r="AP47" s="2"/>
      <c r="AQ47" s="2"/>
      <c r="AR47" s="2"/>
      <c r="AS47" s="2"/>
      <c r="AT47" s="2"/>
      <c r="AU47" s="126">
        <v>690.0</v>
      </c>
      <c r="AV47" s="126">
        <v>1600.0</v>
      </c>
      <c r="AW47" s="2"/>
      <c r="AX47" s="2"/>
      <c r="AY47" s="2"/>
      <c r="AZ47" s="2"/>
      <c r="BA47" s="2"/>
      <c r="BB47" s="2"/>
      <c r="BC47" s="2"/>
      <c r="BD47" s="2"/>
      <c r="BE47" s="2"/>
    </row>
    <row r="48" hidden="1">
      <c r="A48" s="2"/>
      <c r="B48" s="293" t="s">
        <v>6065</v>
      </c>
      <c r="C48" s="11" t="s">
        <v>6066</v>
      </c>
      <c r="D48" s="278">
        <v>180.0</v>
      </c>
      <c r="E48" s="134" t="str">
        <f t="shared" si="2"/>
        <v>iPhone 13</v>
      </c>
      <c r="F48" s="11" t="s">
        <v>5873</v>
      </c>
      <c r="G48" s="295" t="s">
        <v>6067</v>
      </c>
      <c r="H48" s="296"/>
      <c r="I48" s="156">
        <v>6000.0</v>
      </c>
      <c r="J48" s="297"/>
      <c r="K48" s="298"/>
      <c r="L48" s="156"/>
      <c r="M48" s="301">
        <v>6000.0</v>
      </c>
      <c r="N48" s="284">
        <v>0.2</v>
      </c>
      <c r="O48" s="296">
        <v>7200.0</v>
      </c>
      <c r="P48" s="285">
        <f t="shared" ref="P48:Q48" si="38">O48</f>
        <v>7200</v>
      </c>
      <c r="Q48" s="303">
        <f t="shared" si="38"/>
        <v>7200</v>
      </c>
      <c r="R48" s="299" t="s">
        <v>6068</v>
      </c>
      <c r="S48" s="300">
        <v>46140.38104681713</v>
      </c>
      <c r="T48" s="2"/>
      <c r="U48" s="289">
        <f t="shared" si="4"/>
        <v>1200</v>
      </c>
      <c r="V48" s="304" t="str">
        <f t="shared" si="5"/>
        <v>нет з/ч</v>
      </c>
      <c r="W48" s="2"/>
      <c r="X48" s="289">
        <v>6000.0</v>
      </c>
      <c r="Y48" s="139"/>
      <c r="Z48" s="2"/>
      <c r="AA48" s="2" t="s">
        <v>6066</v>
      </c>
      <c r="AB48" s="2" t="s">
        <v>6066</v>
      </c>
      <c r="AC48" s="2"/>
      <c r="AD48" s="2" t="s">
        <v>6066</v>
      </c>
      <c r="AE48" s="3" t="s">
        <v>6065</v>
      </c>
      <c r="AF48" s="2"/>
      <c r="AG48" s="1" t="s">
        <v>1582</v>
      </c>
      <c r="AH48" s="1" t="s">
        <v>6069</v>
      </c>
      <c r="AI48" s="2">
        <v>180.0</v>
      </c>
      <c r="AJ48" s="1" t="s">
        <v>1589</v>
      </c>
      <c r="AK48" s="1" t="s">
        <v>5877</v>
      </c>
      <c r="AL48" s="1" t="s">
        <v>5878</v>
      </c>
      <c r="AM48" s="2"/>
      <c r="AN48" s="2"/>
      <c r="AO48" s="2"/>
      <c r="AP48" s="2"/>
      <c r="AQ48" s="2"/>
      <c r="AR48" s="2"/>
      <c r="AS48" s="2"/>
      <c r="AT48" s="2"/>
      <c r="AU48" s="126">
        <v>6000.0</v>
      </c>
      <c r="AV48" s="126">
        <v>7200.0</v>
      </c>
      <c r="AW48" s="2"/>
      <c r="AX48" s="2"/>
      <c r="AY48" s="2"/>
      <c r="AZ48" s="2"/>
      <c r="BA48" s="2"/>
      <c r="BB48" s="2"/>
      <c r="BC48" s="2"/>
      <c r="BD48" s="2"/>
      <c r="BE48" s="2"/>
    </row>
    <row r="49" hidden="1">
      <c r="A49" s="2"/>
      <c r="B49" s="293" t="s">
        <v>6070</v>
      </c>
      <c r="C49" s="11" t="s">
        <v>6071</v>
      </c>
      <c r="D49" s="278">
        <v>180.0</v>
      </c>
      <c r="E49" s="134" t="str">
        <f t="shared" si="2"/>
        <v>iPhone 13</v>
      </c>
      <c r="F49" s="11" t="s">
        <v>5873</v>
      </c>
      <c r="G49" s="295" t="s">
        <v>6072</v>
      </c>
      <c r="H49" s="296"/>
      <c r="I49" s="156">
        <v>2600.0</v>
      </c>
      <c r="J49" s="301"/>
      <c r="K49" s="296"/>
      <c r="L49" s="139"/>
      <c r="M49" s="301">
        <v>2600.0</v>
      </c>
      <c r="N49" s="284">
        <v>0.15</v>
      </c>
      <c r="O49" s="296">
        <v>3000.0</v>
      </c>
      <c r="P49" s="285">
        <f t="shared" ref="P49:Q49" si="39">O49</f>
        <v>3000</v>
      </c>
      <c r="Q49" s="303">
        <f t="shared" si="39"/>
        <v>3000</v>
      </c>
      <c r="R49" s="299" t="s">
        <v>6073</v>
      </c>
      <c r="S49" s="300">
        <v>46140.38106824074</v>
      </c>
      <c r="T49" s="2"/>
      <c r="U49" s="289">
        <f t="shared" si="4"/>
        <v>400</v>
      </c>
      <c r="V49" s="304" t="str">
        <f t="shared" si="5"/>
        <v>нет з/ч</v>
      </c>
      <c r="W49" s="2"/>
      <c r="X49" s="289">
        <v>2600.0</v>
      </c>
      <c r="Y49" s="139"/>
      <c r="Z49" s="2"/>
      <c r="AA49" s="2" t="s">
        <v>6071</v>
      </c>
      <c r="AB49" s="2" t="s">
        <v>6071</v>
      </c>
      <c r="AC49" s="2"/>
      <c r="AD49" s="2" t="s">
        <v>6071</v>
      </c>
      <c r="AE49" s="3" t="s">
        <v>6070</v>
      </c>
      <c r="AF49" s="2"/>
      <c r="AG49" s="1" t="s">
        <v>1582</v>
      </c>
      <c r="AH49" s="1" t="s">
        <v>6069</v>
      </c>
      <c r="AI49" s="2">
        <v>180.0</v>
      </c>
      <c r="AJ49" s="1" t="s">
        <v>1589</v>
      </c>
      <c r="AK49" s="1" t="s">
        <v>5877</v>
      </c>
      <c r="AL49" s="1" t="s">
        <v>5878</v>
      </c>
      <c r="AM49" s="2"/>
      <c r="AN49" s="2"/>
      <c r="AO49" s="2"/>
      <c r="AP49" s="2"/>
      <c r="AQ49" s="2"/>
      <c r="AR49" s="2"/>
      <c r="AS49" s="2"/>
      <c r="AT49" s="2"/>
      <c r="AU49" s="126">
        <v>2600.0</v>
      </c>
      <c r="AV49" s="126">
        <v>3000.0</v>
      </c>
      <c r="AW49" s="2"/>
      <c r="AX49" s="2"/>
      <c r="AY49" s="2"/>
      <c r="AZ49" s="2"/>
      <c r="BA49" s="2"/>
      <c r="BB49" s="2"/>
      <c r="BC49" s="2"/>
      <c r="BD49" s="2"/>
      <c r="BE49" s="2"/>
    </row>
    <row r="50" hidden="1">
      <c r="A50" s="2"/>
      <c r="B50" s="293" t="s">
        <v>6074</v>
      </c>
      <c r="C50" s="61"/>
      <c r="D50" s="278">
        <v>180.0</v>
      </c>
      <c r="E50" s="134" t="str">
        <f t="shared" si="2"/>
        <v>iPhone 13</v>
      </c>
      <c r="F50" s="11" t="s">
        <v>5873</v>
      </c>
      <c r="G50" s="295" t="s">
        <v>6075</v>
      </c>
      <c r="H50" s="296"/>
      <c r="I50" s="156">
        <v>1900.0</v>
      </c>
      <c r="J50" s="297"/>
      <c r="K50" s="298"/>
      <c r="L50" s="156">
        <v>1990.0</v>
      </c>
      <c r="M50" s="301">
        <v>1990.0</v>
      </c>
      <c r="N50" s="284">
        <v>0.25</v>
      </c>
      <c r="O50" s="296">
        <v>2500.0</v>
      </c>
      <c r="P50" s="285">
        <f t="shared" ref="P50:Q50" si="40">O50</f>
        <v>2500</v>
      </c>
      <c r="Q50" s="303">
        <f t="shared" si="40"/>
        <v>2500</v>
      </c>
      <c r="R50" s="287" t="s">
        <v>6076</v>
      </c>
      <c r="S50" s="300">
        <v>46140.381091793985</v>
      </c>
      <c r="T50" s="2"/>
      <c r="U50" s="289">
        <f t="shared" si="4"/>
        <v>600</v>
      </c>
      <c r="V50" s="290">
        <f t="shared" si="5"/>
        <v>510</v>
      </c>
      <c r="W50" s="2"/>
      <c r="X50" s="289">
        <v>1900.0</v>
      </c>
      <c r="Y50" s="139">
        <v>1990.0</v>
      </c>
      <c r="Z50" s="2"/>
      <c r="AA50" s="2"/>
      <c r="AB50" s="2"/>
      <c r="AC50" s="2"/>
      <c r="AD50" s="2"/>
      <c r="AE50" s="3" t="s">
        <v>6074</v>
      </c>
      <c r="AF50" s="2"/>
      <c r="AG50" s="1" t="s">
        <v>1582</v>
      </c>
      <c r="AH50" s="1" t="s">
        <v>6069</v>
      </c>
      <c r="AI50" s="2">
        <v>180.0</v>
      </c>
      <c r="AJ50" s="1" t="s">
        <v>1589</v>
      </c>
      <c r="AK50" s="1" t="s">
        <v>5877</v>
      </c>
      <c r="AL50" s="1" t="s">
        <v>5878</v>
      </c>
      <c r="AM50" s="2"/>
      <c r="AN50" s="2"/>
      <c r="AO50" s="2"/>
      <c r="AP50" s="2"/>
      <c r="AQ50" s="2"/>
      <c r="AR50" s="2"/>
      <c r="AS50" s="2"/>
      <c r="AT50" s="2"/>
      <c r="AU50" s="126">
        <v>1990.0</v>
      </c>
      <c r="AV50" s="126">
        <v>2500.0</v>
      </c>
      <c r="AW50" s="2"/>
      <c r="AX50" s="2"/>
      <c r="AY50" s="2"/>
      <c r="AZ50" s="2"/>
      <c r="BA50" s="2"/>
      <c r="BB50" s="2"/>
      <c r="BC50" s="2"/>
      <c r="BD50" s="2"/>
      <c r="BE50" s="2"/>
    </row>
    <row r="51" hidden="1">
      <c r="A51" s="2"/>
      <c r="B51" s="293" t="s">
        <v>6077</v>
      </c>
      <c r="C51" s="11" t="s">
        <v>6078</v>
      </c>
      <c r="D51" s="278">
        <v>180.0</v>
      </c>
      <c r="E51" s="134" t="str">
        <f t="shared" si="2"/>
        <v>iPhone 13</v>
      </c>
      <c r="F51" s="11" t="s">
        <v>5873</v>
      </c>
      <c r="G51" s="295" t="s">
        <v>6079</v>
      </c>
      <c r="H51" s="296"/>
      <c r="I51" s="156">
        <v>1100.0</v>
      </c>
      <c r="J51" s="297"/>
      <c r="K51" s="298"/>
      <c r="L51" s="156">
        <v>1150.0</v>
      </c>
      <c r="M51" s="301">
        <v>1150.0</v>
      </c>
      <c r="N51" s="284">
        <v>0.3</v>
      </c>
      <c r="O51" s="296">
        <v>1500.0</v>
      </c>
      <c r="P51" s="285">
        <f t="shared" ref="P51:Q51" si="41">O51</f>
        <v>1500</v>
      </c>
      <c r="Q51" s="303">
        <f t="shared" si="41"/>
        <v>1500</v>
      </c>
      <c r="R51" s="299" t="s">
        <v>6080</v>
      </c>
      <c r="S51" s="300">
        <v>46140.38111307871</v>
      </c>
      <c r="T51" s="2"/>
      <c r="U51" s="289">
        <f t="shared" si="4"/>
        <v>400</v>
      </c>
      <c r="V51" s="290">
        <f t="shared" si="5"/>
        <v>350</v>
      </c>
      <c r="W51" s="2"/>
      <c r="X51" s="289">
        <v>1100.0</v>
      </c>
      <c r="Y51" s="139">
        <v>1150.0</v>
      </c>
      <c r="Z51" s="2"/>
      <c r="AA51" s="2" t="s">
        <v>6078</v>
      </c>
      <c r="AB51" s="2" t="s">
        <v>6078</v>
      </c>
      <c r="AC51" s="2"/>
      <c r="AD51" s="2" t="s">
        <v>6078</v>
      </c>
      <c r="AE51" s="3" t="s">
        <v>6077</v>
      </c>
      <c r="AF51" s="2"/>
      <c r="AG51" s="1" t="s">
        <v>1582</v>
      </c>
      <c r="AH51" s="1" t="s">
        <v>6069</v>
      </c>
      <c r="AI51" s="2">
        <v>180.0</v>
      </c>
      <c r="AJ51" s="1" t="s">
        <v>1589</v>
      </c>
      <c r="AK51" s="1" t="s">
        <v>5877</v>
      </c>
      <c r="AL51" s="1" t="s">
        <v>5878</v>
      </c>
      <c r="AM51" s="2"/>
      <c r="AN51" s="2"/>
      <c r="AO51" s="2"/>
      <c r="AP51" s="2"/>
      <c r="AQ51" s="2"/>
      <c r="AR51" s="2"/>
      <c r="AS51" s="2"/>
      <c r="AT51" s="2"/>
      <c r="AU51" s="126">
        <v>1150.0</v>
      </c>
      <c r="AV51" s="126">
        <v>1500.0</v>
      </c>
      <c r="AW51" s="2"/>
      <c r="AX51" s="2"/>
      <c r="AY51" s="2"/>
      <c r="AZ51" s="2"/>
      <c r="BA51" s="2"/>
      <c r="BB51" s="2"/>
      <c r="BC51" s="2"/>
      <c r="BD51" s="2"/>
      <c r="BE51" s="2"/>
    </row>
    <row r="52" hidden="1">
      <c r="A52" s="2"/>
      <c r="B52" s="293" t="s">
        <v>6081</v>
      </c>
      <c r="C52" s="11" t="s">
        <v>6082</v>
      </c>
      <c r="D52" s="278">
        <v>180.0</v>
      </c>
      <c r="E52" s="134" t="str">
        <f t="shared" si="2"/>
        <v>iPhone 13</v>
      </c>
      <c r="F52" s="11" t="s">
        <v>5873</v>
      </c>
      <c r="G52" s="295" t="s">
        <v>6083</v>
      </c>
      <c r="H52" s="296"/>
      <c r="I52" s="156">
        <v>850.0</v>
      </c>
      <c r="J52" s="297"/>
      <c r="K52" s="298"/>
      <c r="L52" s="156">
        <v>890.0</v>
      </c>
      <c r="M52" s="301">
        <v>890.0</v>
      </c>
      <c r="N52" s="284">
        <v>0.15</v>
      </c>
      <c r="O52" s="296">
        <v>1000.0</v>
      </c>
      <c r="P52" s="302">
        <f t="shared" ref="P52:Q52" si="42">O52</f>
        <v>1000</v>
      </c>
      <c r="Q52" s="303">
        <f t="shared" si="42"/>
        <v>1000</v>
      </c>
      <c r="R52" s="299" t="s">
        <v>6084</v>
      </c>
      <c r="S52" s="300">
        <v>46140.38113864583</v>
      </c>
      <c r="T52" s="2"/>
      <c r="U52" s="289">
        <f t="shared" si="4"/>
        <v>150</v>
      </c>
      <c r="V52" s="290">
        <f t="shared" si="5"/>
        <v>110</v>
      </c>
      <c r="W52" s="2"/>
      <c r="X52" s="289">
        <v>850.0</v>
      </c>
      <c r="Y52" s="139">
        <v>890.0</v>
      </c>
      <c r="Z52" s="2"/>
      <c r="AA52" s="2" t="s">
        <v>6082</v>
      </c>
      <c r="AB52" s="2" t="s">
        <v>6082</v>
      </c>
      <c r="AC52" s="2"/>
      <c r="AD52" s="2" t="s">
        <v>6082</v>
      </c>
      <c r="AE52" s="3" t="s">
        <v>6081</v>
      </c>
      <c r="AF52" s="2"/>
      <c r="AG52" s="1" t="s">
        <v>1582</v>
      </c>
      <c r="AH52" s="1" t="s">
        <v>6069</v>
      </c>
      <c r="AI52" s="2">
        <v>180.0</v>
      </c>
      <c r="AJ52" s="1" t="s">
        <v>1589</v>
      </c>
      <c r="AK52" s="1" t="s">
        <v>5877</v>
      </c>
      <c r="AL52" s="1" t="s">
        <v>5878</v>
      </c>
      <c r="AM52" s="2"/>
      <c r="AN52" s="2"/>
      <c r="AO52" s="2"/>
      <c r="AP52" s="2"/>
      <c r="AQ52" s="2"/>
      <c r="AR52" s="2"/>
      <c r="AS52" s="2"/>
      <c r="AT52" s="2"/>
      <c r="AU52" s="126">
        <v>890.0</v>
      </c>
      <c r="AV52" s="126">
        <v>1000.0</v>
      </c>
      <c r="AW52" s="2"/>
      <c r="AX52" s="2"/>
      <c r="AY52" s="2"/>
      <c r="AZ52" s="2"/>
      <c r="BA52" s="2"/>
      <c r="BB52" s="2"/>
      <c r="BC52" s="2"/>
      <c r="BD52" s="2"/>
      <c r="BE52" s="2"/>
    </row>
    <row r="53" hidden="1">
      <c r="A53" s="2"/>
      <c r="B53" s="293" t="s">
        <v>6085</v>
      </c>
      <c r="C53" s="11" t="s">
        <v>6086</v>
      </c>
      <c r="D53" s="278">
        <v>180.0</v>
      </c>
      <c r="E53" s="134" t="str">
        <f t="shared" si="2"/>
        <v>iPhone 13</v>
      </c>
      <c r="F53" s="11" t="s">
        <v>5873</v>
      </c>
      <c r="G53" s="295" t="s">
        <v>6087</v>
      </c>
      <c r="H53" s="296"/>
      <c r="I53" s="156">
        <v>550.0</v>
      </c>
      <c r="J53" s="297"/>
      <c r="K53" s="298"/>
      <c r="L53" s="156"/>
      <c r="M53" s="301">
        <v>550.0</v>
      </c>
      <c r="N53" s="284">
        <v>0.12</v>
      </c>
      <c r="O53" s="296">
        <v>600.0</v>
      </c>
      <c r="P53" s="67"/>
      <c r="Q53" s="303">
        <f>P52</f>
        <v>1000</v>
      </c>
      <c r="R53" s="299" t="s">
        <v>6088</v>
      </c>
      <c r="S53" s="300">
        <v>46140.381161006946</v>
      </c>
      <c r="T53" s="2"/>
      <c r="U53" s="289">
        <f t="shared" si="4"/>
        <v>450</v>
      </c>
      <c r="V53" s="304" t="str">
        <f t="shared" si="5"/>
        <v>нет з/ч</v>
      </c>
      <c r="W53" s="2"/>
      <c r="X53" s="289">
        <v>550.0</v>
      </c>
      <c r="Y53" s="139"/>
      <c r="Z53" s="2"/>
      <c r="AA53" s="2" t="s">
        <v>6086</v>
      </c>
      <c r="AB53" s="2" t="s">
        <v>6086</v>
      </c>
      <c r="AC53" s="2"/>
      <c r="AD53" s="2" t="s">
        <v>6086</v>
      </c>
      <c r="AE53" s="3" t="s">
        <v>6085</v>
      </c>
      <c r="AF53" s="2"/>
      <c r="AG53" s="1" t="s">
        <v>1582</v>
      </c>
      <c r="AH53" s="1" t="s">
        <v>6069</v>
      </c>
      <c r="AI53" s="2">
        <v>180.0</v>
      </c>
      <c r="AJ53" s="1" t="s">
        <v>1589</v>
      </c>
      <c r="AK53" s="1" t="s">
        <v>5877</v>
      </c>
      <c r="AL53" s="1" t="s">
        <v>5878</v>
      </c>
      <c r="AM53" s="2"/>
      <c r="AN53" s="2"/>
      <c r="AO53" s="2"/>
      <c r="AP53" s="2"/>
      <c r="AQ53" s="2"/>
      <c r="AR53" s="2"/>
      <c r="AS53" s="2"/>
      <c r="AT53" s="2"/>
      <c r="AU53" s="126">
        <v>550.0</v>
      </c>
      <c r="AV53" s="126">
        <v>1000.0</v>
      </c>
      <c r="AW53" s="2"/>
      <c r="AX53" s="2"/>
      <c r="AY53" s="2"/>
      <c r="AZ53" s="2"/>
      <c r="BA53" s="2"/>
      <c r="BB53" s="2"/>
      <c r="BC53" s="2"/>
      <c r="BD53" s="2"/>
      <c r="BE53" s="2"/>
    </row>
    <row r="54" hidden="1">
      <c r="A54" s="2"/>
      <c r="B54" s="293" t="s">
        <v>6089</v>
      </c>
      <c r="C54" s="11" t="s">
        <v>6090</v>
      </c>
      <c r="D54" s="278">
        <v>180.0</v>
      </c>
      <c r="E54" s="134" t="str">
        <f t="shared" si="2"/>
        <v>iPhone 13 Mini</v>
      </c>
      <c r="F54" s="11" t="s">
        <v>5873</v>
      </c>
      <c r="G54" s="295" t="s">
        <v>6091</v>
      </c>
      <c r="H54" s="296"/>
      <c r="I54" s="156">
        <v>6900.0</v>
      </c>
      <c r="J54" s="297"/>
      <c r="K54" s="298"/>
      <c r="L54" s="156"/>
      <c r="M54" s="301">
        <v>6900.0</v>
      </c>
      <c r="N54" s="284">
        <v>0.2</v>
      </c>
      <c r="O54" s="296">
        <v>8300.0</v>
      </c>
      <c r="P54" s="285">
        <f t="shared" ref="P54:Q54" si="43">O54</f>
        <v>8300</v>
      </c>
      <c r="Q54" s="303">
        <f t="shared" si="43"/>
        <v>8300</v>
      </c>
      <c r="R54" s="299" t="s">
        <v>6092</v>
      </c>
      <c r="S54" s="300">
        <v>46140.38118703704</v>
      </c>
      <c r="T54" s="2"/>
      <c r="U54" s="289">
        <f t="shared" si="4"/>
        <v>1400</v>
      </c>
      <c r="V54" s="304" t="str">
        <f t="shared" ref="V54:V55" si="45">IF(L54&gt;0, #REF! - L54, "нет з/ч")</f>
        <v>нет з/ч</v>
      </c>
      <c r="W54" s="2"/>
      <c r="X54" s="289">
        <v>6900.0</v>
      </c>
      <c r="Y54" s="139"/>
      <c r="Z54" s="2"/>
      <c r="AA54" s="2" t="s">
        <v>6090</v>
      </c>
      <c r="AB54" s="2" t="s">
        <v>6090</v>
      </c>
      <c r="AC54" s="2"/>
      <c r="AD54" s="2" t="s">
        <v>6090</v>
      </c>
      <c r="AE54" s="3" t="s">
        <v>6089</v>
      </c>
      <c r="AF54" s="2"/>
      <c r="AG54" s="1" t="s">
        <v>1582</v>
      </c>
      <c r="AH54" s="1" t="s">
        <v>6093</v>
      </c>
      <c r="AI54" s="2">
        <v>180.0</v>
      </c>
      <c r="AJ54" s="1" t="s">
        <v>1589</v>
      </c>
      <c r="AK54" s="1" t="s">
        <v>5877</v>
      </c>
      <c r="AL54" s="1" t="s">
        <v>5878</v>
      </c>
      <c r="AM54" s="2"/>
      <c r="AN54" s="2"/>
      <c r="AO54" s="2"/>
      <c r="AP54" s="2"/>
      <c r="AQ54" s="2"/>
      <c r="AR54" s="2"/>
      <c r="AS54" s="2"/>
      <c r="AT54" s="2"/>
      <c r="AU54" s="126">
        <v>6900.0</v>
      </c>
      <c r="AV54" s="126">
        <v>8300.0</v>
      </c>
      <c r="AW54" s="2"/>
      <c r="AX54" s="2"/>
      <c r="AY54" s="2"/>
      <c r="AZ54" s="2"/>
      <c r="BA54" s="2"/>
      <c r="BB54" s="2"/>
      <c r="BC54" s="2"/>
      <c r="BD54" s="2"/>
      <c r="BE54" s="2"/>
    </row>
    <row r="55" hidden="1">
      <c r="A55" s="2"/>
      <c r="B55" s="293" t="s">
        <v>6094</v>
      </c>
      <c r="C55" s="61"/>
      <c r="D55" s="278">
        <v>180.0</v>
      </c>
      <c r="E55" s="134" t="str">
        <f t="shared" si="2"/>
        <v>iPhone 13 Mini</v>
      </c>
      <c r="F55" s="11" t="s">
        <v>5873</v>
      </c>
      <c r="G55" s="295" t="s">
        <v>6095</v>
      </c>
      <c r="H55" s="296"/>
      <c r="I55" s="156">
        <v>1850.0</v>
      </c>
      <c r="J55" s="297"/>
      <c r="K55" s="298"/>
      <c r="L55" s="156">
        <v>1950.0</v>
      </c>
      <c r="M55" s="301">
        <v>1950.0</v>
      </c>
      <c r="N55" s="284">
        <v>0.28</v>
      </c>
      <c r="O55" s="296">
        <v>2500.0</v>
      </c>
      <c r="P55" s="285">
        <f t="shared" ref="P55:Q55" si="44">O55</f>
        <v>2500</v>
      </c>
      <c r="Q55" s="303">
        <f t="shared" si="44"/>
        <v>2500</v>
      </c>
      <c r="R55" s="299" t="s">
        <v>6096</v>
      </c>
      <c r="S55" s="300">
        <v>46140.38120981482</v>
      </c>
      <c r="T55" s="2"/>
      <c r="U55" s="289">
        <f t="shared" si="4"/>
        <v>650</v>
      </c>
      <c r="V55" s="304" t="str">
        <f t="shared" si="45"/>
        <v>#REF!</v>
      </c>
      <c r="W55" s="2"/>
      <c r="X55" s="289">
        <v>1850.0</v>
      </c>
      <c r="Y55" s="139">
        <v>1950.0</v>
      </c>
      <c r="Z55" s="2"/>
      <c r="AA55" s="2"/>
      <c r="AB55" s="2"/>
      <c r="AC55" s="2"/>
      <c r="AD55" s="2"/>
      <c r="AE55" s="3" t="s">
        <v>6094</v>
      </c>
      <c r="AF55" s="2"/>
      <c r="AG55" s="1" t="s">
        <v>1582</v>
      </c>
      <c r="AH55" s="1" t="s">
        <v>6093</v>
      </c>
      <c r="AI55" s="2">
        <v>180.0</v>
      </c>
      <c r="AJ55" s="1" t="s">
        <v>1589</v>
      </c>
      <c r="AK55" s="1" t="s">
        <v>5877</v>
      </c>
      <c r="AL55" s="1" t="s">
        <v>5878</v>
      </c>
      <c r="AM55" s="2"/>
      <c r="AN55" s="2"/>
      <c r="AO55" s="2"/>
      <c r="AP55" s="2"/>
      <c r="AQ55" s="2"/>
      <c r="AR55" s="2"/>
      <c r="AS55" s="2"/>
      <c r="AT55" s="2"/>
      <c r="AU55" s="126">
        <v>1950.0</v>
      </c>
      <c r="AV55" s="126">
        <v>2500.0</v>
      </c>
      <c r="AW55" s="2"/>
      <c r="AX55" s="2"/>
      <c r="AY55" s="2"/>
      <c r="AZ55" s="2"/>
      <c r="BA55" s="2"/>
      <c r="BB55" s="2"/>
      <c r="BC55" s="2"/>
      <c r="BD55" s="2"/>
      <c r="BE55" s="2"/>
    </row>
    <row r="56" hidden="1">
      <c r="A56" s="2"/>
      <c r="B56" s="293" t="s">
        <v>6097</v>
      </c>
      <c r="C56" s="11" t="s">
        <v>6098</v>
      </c>
      <c r="D56" s="278">
        <v>180.0</v>
      </c>
      <c r="E56" s="134" t="str">
        <f t="shared" si="2"/>
        <v>iPhone 13 Mini</v>
      </c>
      <c r="F56" s="11" t="s">
        <v>5873</v>
      </c>
      <c r="G56" s="295" t="s">
        <v>6099</v>
      </c>
      <c r="H56" s="296"/>
      <c r="I56" s="156">
        <v>1050.0</v>
      </c>
      <c r="J56" s="297"/>
      <c r="K56" s="298"/>
      <c r="L56" s="156">
        <v>1090.0</v>
      </c>
      <c r="M56" s="301">
        <v>1090.0</v>
      </c>
      <c r="N56" s="284">
        <v>0.38</v>
      </c>
      <c r="O56" s="296">
        <v>1500.0</v>
      </c>
      <c r="P56" s="285">
        <f t="shared" ref="P56:Q56" si="46">O56</f>
        <v>1500</v>
      </c>
      <c r="Q56" s="303">
        <f t="shared" si="46"/>
        <v>1500</v>
      </c>
      <c r="R56" s="299" t="s">
        <v>6100</v>
      </c>
      <c r="S56" s="300">
        <v>46140.381231493055</v>
      </c>
      <c r="T56" s="2"/>
      <c r="U56" s="289">
        <f t="shared" si="4"/>
        <v>450</v>
      </c>
      <c r="V56" s="290">
        <f>IF(L56&gt;0, Q349 - L56, "нет з/ч")</f>
        <v>910</v>
      </c>
      <c r="W56" s="2"/>
      <c r="X56" s="289">
        <v>1050.0</v>
      </c>
      <c r="Y56" s="139">
        <v>1090.0</v>
      </c>
      <c r="Z56" s="2"/>
      <c r="AA56" s="2" t="s">
        <v>6098</v>
      </c>
      <c r="AB56" s="2" t="s">
        <v>6098</v>
      </c>
      <c r="AC56" s="2"/>
      <c r="AD56" s="2" t="s">
        <v>6098</v>
      </c>
      <c r="AE56" s="3" t="s">
        <v>6097</v>
      </c>
      <c r="AF56" s="2"/>
      <c r="AG56" s="1" t="s">
        <v>1582</v>
      </c>
      <c r="AH56" s="1" t="s">
        <v>6093</v>
      </c>
      <c r="AI56" s="2">
        <v>180.0</v>
      </c>
      <c r="AJ56" s="1" t="s">
        <v>1589</v>
      </c>
      <c r="AK56" s="1" t="s">
        <v>5877</v>
      </c>
      <c r="AL56" s="1" t="s">
        <v>5878</v>
      </c>
      <c r="AM56" s="2"/>
      <c r="AN56" s="2"/>
      <c r="AO56" s="2"/>
      <c r="AP56" s="2"/>
      <c r="AQ56" s="2"/>
      <c r="AR56" s="2"/>
      <c r="AS56" s="2"/>
      <c r="AT56" s="2"/>
      <c r="AU56" s="126">
        <v>1090.0</v>
      </c>
      <c r="AV56" s="126">
        <v>1500.0</v>
      </c>
      <c r="AW56" s="2"/>
      <c r="AX56" s="2"/>
      <c r="AY56" s="2"/>
      <c r="AZ56" s="2"/>
      <c r="BA56" s="2"/>
      <c r="BB56" s="2"/>
      <c r="BC56" s="2"/>
      <c r="BD56" s="2"/>
      <c r="BE56" s="2"/>
    </row>
    <row r="57" hidden="1">
      <c r="A57" s="2"/>
      <c r="B57" s="293" t="s">
        <v>6101</v>
      </c>
      <c r="C57" s="11" t="s">
        <v>6102</v>
      </c>
      <c r="D57" s="278">
        <v>180.0</v>
      </c>
      <c r="E57" s="134" t="str">
        <f t="shared" si="2"/>
        <v>iPhone 13 Mini</v>
      </c>
      <c r="F57" s="11" t="s">
        <v>5873</v>
      </c>
      <c r="G57" s="295" t="s">
        <v>6103</v>
      </c>
      <c r="H57" s="296"/>
      <c r="I57" s="156">
        <v>850.0</v>
      </c>
      <c r="J57" s="297"/>
      <c r="K57" s="298"/>
      <c r="L57" s="156">
        <v>790.0</v>
      </c>
      <c r="M57" s="301">
        <v>850.0</v>
      </c>
      <c r="N57" s="284">
        <v>0.15</v>
      </c>
      <c r="O57" s="296">
        <v>1000.0</v>
      </c>
      <c r="P57" s="302">
        <f t="shared" ref="P57:Q57" si="47">O57</f>
        <v>1000</v>
      </c>
      <c r="Q57" s="303">
        <f t="shared" si="47"/>
        <v>1000</v>
      </c>
      <c r="R57" s="299" t="s">
        <v>6104</v>
      </c>
      <c r="S57" s="300">
        <v>46140.38125763889</v>
      </c>
      <c r="T57" s="2"/>
      <c r="U57" s="289">
        <f t="shared" si="4"/>
        <v>150</v>
      </c>
      <c r="V57" s="290">
        <f>IF(L57&gt;0, Q353 - L57, "нет з/ч")</f>
        <v>1210</v>
      </c>
      <c r="W57" s="2"/>
      <c r="X57" s="289">
        <v>850.0</v>
      </c>
      <c r="Y57" s="139">
        <v>790.0</v>
      </c>
      <c r="Z57" s="2"/>
      <c r="AA57" s="2" t="s">
        <v>6102</v>
      </c>
      <c r="AB57" s="2" t="s">
        <v>6102</v>
      </c>
      <c r="AC57" s="2"/>
      <c r="AD57" s="2" t="s">
        <v>6102</v>
      </c>
      <c r="AE57" s="3" t="s">
        <v>6101</v>
      </c>
      <c r="AF57" s="2"/>
      <c r="AG57" s="1" t="s">
        <v>1582</v>
      </c>
      <c r="AH57" s="1" t="s">
        <v>6093</v>
      </c>
      <c r="AI57" s="2">
        <v>180.0</v>
      </c>
      <c r="AJ57" s="1" t="s">
        <v>1589</v>
      </c>
      <c r="AK57" s="1" t="s">
        <v>5877</v>
      </c>
      <c r="AL57" s="1" t="s">
        <v>5878</v>
      </c>
      <c r="AM57" s="2"/>
      <c r="AN57" s="2"/>
      <c r="AO57" s="2"/>
      <c r="AP57" s="2"/>
      <c r="AQ57" s="2"/>
      <c r="AR57" s="2"/>
      <c r="AS57" s="2"/>
      <c r="AT57" s="2"/>
      <c r="AU57" s="126">
        <v>850.0</v>
      </c>
      <c r="AV57" s="126">
        <v>1000.0</v>
      </c>
      <c r="AW57" s="2"/>
      <c r="AX57" s="2"/>
      <c r="AY57" s="2"/>
      <c r="AZ57" s="2"/>
      <c r="BA57" s="2"/>
      <c r="BB57" s="2"/>
      <c r="BC57" s="2"/>
      <c r="BD57" s="2"/>
      <c r="BE57" s="2"/>
    </row>
    <row r="58" hidden="1">
      <c r="A58" s="2"/>
      <c r="B58" s="293" t="s">
        <v>6105</v>
      </c>
      <c r="C58" s="11" t="s">
        <v>6106</v>
      </c>
      <c r="D58" s="278">
        <v>180.0</v>
      </c>
      <c r="E58" s="134" t="str">
        <f t="shared" si="2"/>
        <v>iPhone 13 Mini</v>
      </c>
      <c r="F58" s="11" t="s">
        <v>5873</v>
      </c>
      <c r="G58" s="295" t="s">
        <v>6107</v>
      </c>
      <c r="H58" s="296"/>
      <c r="I58" s="156">
        <v>499.0</v>
      </c>
      <c r="J58" s="297"/>
      <c r="K58" s="298"/>
      <c r="L58" s="156"/>
      <c r="M58" s="301">
        <v>499.0</v>
      </c>
      <c r="N58" s="284">
        <v>0.12</v>
      </c>
      <c r="O58" s="296">
        <v>550.0</v>
      </c>
      <c r="P58" s="67"/>
      <c r="Q58" s="303">
        <f>P57</f>
        <v>1000</v>
      </c>
      <c r="R58" s="299" t="s">
        <v>6108</v>
      </c>
      <c r="S58" s="300">
        <v>46140.381282685186</v>
      </c>
      <c r="T58" s="2"/>
      <c r="U58" s="289">
        <f t="shared" si="4"/>
        <v>501</v>
      </c>
      <c r="V58" s="304" t="str">
        <f>IF(L58&gt;0, #REF! - L58, "нет з/ч")</f>
        <v>нет з/ч</v>
      </c>
      <c r="W58" s="2"/>
      <c r="X58" s="289">
        <v>499.0</v>
      </c>
      <c r="Y58" s="139"/>
      <c r="Z58" s="2"/>
      <c r="AA58" s="2" t="s">
        <v>6106</v>
      </c>
      <c r="AB58" s="2" t="s">
        <v>6106</v>
      </c>
      <c r="AC58" s="2"/>
      <c r="AD58" s="2" t="s">
        <v>6106</v>
      </c>
      <c r="AE58" s="3" t="s">
        <v>6105</v>
      </c>
      <c r="AF58" s="2"/>
      <c r="AG58" s="1" t="s">
        <v>1582</v>
      </c>
      <c r="AH58" s="1" t="s">
        <v>6093</v>
      </c>
      <c r="AI58" s="2">
        <v>180.0</v>
      </c>
      <c r="AJ58" s="1" t="s">
        <v>1589</v>
      </c>
      <c r="AK58" s="1" t="s">
        <v>5877</v>
      </c>
      <c r="AL58" s="1" t="s">
        <v>5878</v>
      </c>
      <c r="AM58" s="2"/>
      <c r="AN58" s="2"/>
      <c r="AO58" s="2"/>
      <c r="AP58" s="2"/>
      <c r="AQ58" s="2"/>
      <c r="AR58" s="2"/>
      <c r="AS58" s="2"/>
      <c r="AT58" s="2"/>
      <c r="AU58" s="126">
        <v>499.0</v>
      </c>
      <c r="AV58" s="126">
        <v>1000.0</v>
      </c>
      <c r="AW58" s="2"/>
      <c r="AX58" s="2"/>
      <c r="AY58" s="2"/>
      <c r="AZ58" s="2"/>
      <c r="BA58" s="2"/>
      <c r="BB58" s="2"/>
      <c r="BC58" s="2"/>
      <c r="BD58" s="2"/>
      <c r="BE58" s="2"/>
    </row>
    <row r="59" hidden="1">
      <c r="A59" s="2"/>
      <c r="B59" s="293" t="s">
        <v>6109</v>
      </c>
      <c r="C59" s="11" t="s">
        <v>6110</v>
      </c>
      <c r="D59" s="278">
        <v>180.0</v>
      </c>
      <c r="E59" s="134" t="str">
        <f t="shared" si="2"/>
        <v>iPhone 13 Pro</v>
      </c>
      <c r="F59" s="11" t="s">
        <v>5873</v>
      </c>
      <c r="G59" s="295" t="s">
        <v>6111</v>
      </c>
      <c r="H59" s="296"/>
      <c r="I59" s="156">
        <v>6900.0</v>
      </c>
      <c r="J59" s="297"/>
      <c r="K59" s="298"/>
      <c r="L59" s="156"/>
      <c r="M59" s="301">
        <v>6900.0</v>
      </c>
      <c r="N59" s="284">
        <v>0.2</v>
      </c>
      <c r="O59" s="296">
        <v>8300.0</v>
      </c>
      <c r="P59" s="285">
        <f t="shared" ref="P59:Q59" si="48">O59</f>
        <v>8300</v>
      </c>
      <c r="Q59" s="303">
        <f t="shared" si="48"/>
        <v>8300</v>
      </c>
      <c r="R59" s="299" t="s">
        <v>6112</v>
      </c>
      <c r="S59" s="300">
        <v>46140.381301932866</v>
      </c>
      <c r="T59" s="2"/>
      <c r="U59" s="289">
        <f t="shared" si="4"/>
        <v>1400</v>
      </c>
      <c r="V59" s="304" t="str">
        <f>IF(L59&gt;0, Q357 - L59, "нет з/ч")</f>
        <v>нет з/ч</v>
      </c>
      <c r="W59" s="2"/>
      <c r="X59" s="289">
        <v>6900.0</v>
      </c>
      <c r="Y59" s="139"/>
      <c r="Z59" s="2"/>
      <c r="AA59" s="2" t="s">
        <v>6110</v>
      </c>
      <c r="AB59" s="2" t="s">
        <v>6110</v>
      </c>
      <c r="AC59" s="2"/>
      <c r="AD59" s="2" t="s">
        <v>6110</v>
      </c>
      <c r="AE59" s="3" t="s">
        <v>6109</v>
      </c>
      <c r="AF59" s="2"/>
      <c r="AG59" s="1" t="s">
        <v>1582</v>
      </c>
      <c r="AH59" s="1" t="s">
        <v>6113</v>
      </c>
      <c r="AI59" s="2">
        <v>180.0</v>
      </c>
      <c r="AJ59" s="1" t="s">
        <v>1589</v>
      </c>
      <c r="AK59" s="1" t="s">
        <v>5877</v>
      </c>
      <c r="AL59" s="1" t="s">
        <v>5878</v>
      </c>
      <c r="AM59" s="2"/>
      <c r="AN59" s="2"/>
      <c r="AO59" s="2"/>
      <c r="AP59" s="2"/>
      <c r="AQ59" s="2"/>
      <c r="AR59" s="2"/>
      <c r="AS59" s="2"/>
      <c r="AT59" s="2"/>
      <c r="AU59" s="126">
        <v>6900.0</v>
      </c>
      <c r="AV59" s="126">
        <v>8300.0</v>
      </c>
      <c r="AW59" s="2"/>
      <c r="AX59" s="2"/>
      <c r="AY59" s="2"/>
      <c r="AZ59" s="2"/>
      <c r="BA59" s="2"/>
      <c r="BB59" s="2"/>
      <c r="BC59" s="2"/>
      <c r="BD59" s="2"/>
      <c r="BE59" s="2"/>
    </row>
    <row r="60" hidden="1">
      <c r="A60" s="2"/>
      <c r="B60" s="293" t="s">
        <v>6114</v>
      </c>
      <c r="C60" s="11" t="s">
        <v>6115</v>
      </c>
      <c r="D60" s="278">
        <v>180.0</v>
      </c>
      <c r="E60" s="134" t="str">
        <f t="shared" si="2"/>
        <v>iPhone 13 Pro</v>
      </c>
      <c r="F60" s="11" t="s">
        <v>5873</v>
      </c>
      <c r="G60" s="295" t="s">
        <v>6116</v>
      </c>
      <c r="H60" s="296"/>
      <c r="I60" s="156">
        <v>4000.0</v>
      </c>
      <c r="J60" s="301"/>
      <c r="K60" s="296"/>
      <c r="L60" s="139"/>
      <c r="M60" s="301">
        <v>4000.0</v>
      </c>
      <c r="N60" s="284">
        <v>0.12</v>
      </c>
      <c r="O60" s="296">
        <v>4500.0</v>
      </c>
      <c r="P60" s="285">
        <f t="shared" ref="P60:Q60" si="49">O60</f>
        <v>4500</v>
      </c>
      <c r="Q60" s="303">
        <f t="shared" si="49"/>
        <v>4500</v>
      </c>
      <c r="R60" s="299" t="s">
        <v>6117</v>
      </c>
      <c r="S60" s="300">
        <v>46140.381322870366</v>
      </c>
      <c r="T60" s="2"/>
      <c r="U60" s="289">
        <f t="shared" si="4"/>
        <v>500</v>
      </c>
      <c r="V60" s="304" t="str">
        <f t="shared" ref="V60:V61" si="51">IF(L60&gt;0, #REF! - L60, "нет з/ч")</f>
        <v>нет з/ч</v>
      </c>
      <c r="W60" s="2"/>
      <c r="X60" s="289">
        <v>4000.0</v>
      </c>
      <c r="Y60" s="139"/>
      <c r="Z60" s="2"/>
      <c r="AA60" s="2" t="s">
        <v>6115</v>
      </c>
      <c r="AB60" s="2" t="s">
        <v>6115</v>
      </c>
      <c r="AC60" s="2"/>
      <c r="AD60" s="2" t="s">
        <v>6115</v>
      </c>
      <c r="AE60" s="3" t="s">
        <v>6114</v>
      </c>
      <c r="AF60" s="2"/>
      <c r="AG60" s="1" t="s">
        <v>1582</v>
      </c>
      <c r="AH60" s="1" t="s">
        <v>6113</v>
      </c>
      <c r="AI60" s="2">
        <v>180.0</v>
      </c>
      <c r="AJ60" s="1" t="s">
        <v>1589</v>
      </c>
      <c r="AK60" s="1" t="s">
        <v>5877</v>
      </c>
      <c r="AL60" s="1" t="s">
        <v>5878</v>
      </c>
      <c r="AM60" s="2"/>
      <c r="AN60" s="2"/>
      <c r="AO60" s="2"/>
      <c r="AP60" s="2"/>
      <c r="AQ60" s="2"/>
      <c r="AR60" s="2"/>
      <c r="AS60" s="2"/>
      <c r="AT60" s="2"/>
      <c r="AU60" s="126">
        <v>4000.0</v>
      </c>
      <c r="AV60" s="126">
        <v>4500.0</v>
      </c>
      <c r="AW60" s="2"/>
      <c r="AX60" s="2"/>
      <c r="AY60" s="2"/>
      <c r="AZ60" s="2"/>
      <c r="BA60" s="2"/>
      <c r="BB60" s="2"/>
      <c r="BC60" s="2"/>
      <c r="BD60" s="2"/>
      <c r="BE60" s="2"/>
    </row>
    <row r="61" hidden="1">
      <c r="A61" s="2"/>
      <c r="B61" s="293" t="s">
        <v>6118</v>
      </c>
      <c r="C61" s="61"/>
      <c r="D61" s="278">
        <v>180.0</v>
      </c>
      <c r="E61" s="134" t="str">
        <f t="shared" si="2"/>
        <v>iPhone 13 Pro</v>
      </c>
      <c r="F61" s="11" t="s">
        <v>5873</v>
      </c>
      <c r="G61" s="295" t="s">
        <v>6119</v>
      </c>
      <c r="H61" s="296"/>
      <c r="I61" s="156">
        <v>2450.0</v>
      </c>
      <c r="J61" s="297"/>
      <c r="K61" s="298"/>
      <c r="L61" s="156">
        <v>2390.0</v>
      </c>
      <c r="M61" s="301">
        <v>2450.0</v>
      </c>
      <c r="N61" s="284">
        <v>0.15</v>
      </c>
      <c r="O61" s="296">
        <v>2800.0</v>
      </c>
      <c r="P61" s="285">
        <f t="shared" ref="P61:Q61" si="50">O61</f>
        <v>2800</v>
      </c>
      <c r="Q61" s="303">
        <f t="shared" si="50"/>
        <v>2800</v>
      </c>
      <c r="R61" s="299" t="s">
        <v>6120</v>
      </c>
      <c r="S61" s="300">
        <v>46140.38134341435</v>
      </c>
      <c r="T61" s="2"/>
      <c r="U61" s="289">
        <f t="shared" si="4"/>
        <v>350</v>
      </c>
      <c r="V61" s="304" t="str">
        <f t="shared" si="51"/>
        <v>#REF!</v>
      </c>
      <c r="W61" s="2"/>
      <c r="X61" s="289">
        <v>2450.0</v>
      </c>
      <c r="Y61" s="139">
        <v>2390.0</v>
      </c>
      <c r="Z61" s="2"/>
      <c r="AA61" s="2"/>
      <c r="AB61" s="2"/>
      <c r="AC61" s="2"/>
      <c r="AD61" s="2"/>
      <c r="AE61" s="3" t="s">
        <v>6118</v>
      </c>
      <c r="AF61" s="2"/>
      <c r="AG61" s="1" t="s">
        <v>1582</v>
      </c>
      <c r="AH61" s="1" t="s">
        <v>6113</v>
      </c>
      <c r="AI61" s="2">
        <v>180.0</v>
      </c>
      <c r="AJ61" s="1" t="s">
        <v>1589</v>
      </c>
      <c r="AK61" s="1" t="s">
        <v>5877</v>
      </c>
      <c r="AL61" s="1" t="s">
        <v>5878</v>
      </c>
      <c r="AM61" s="2"/>
      <c r="AN61" s="2"/>
      <c r="AO61" s="2"/>
      <c r="AP61" s="2"/>
      <c r="AQ61" s="2"/>
      <c r="AR61" s="2"/>
      <c r="AS61" s="2"/>
      <c r="AT61" s="2"/>
      <c r="AU61" s="126">
        <v>2450.0</v>
      </c>
      <c r="AV61" s="126">
        <v>2800.0</v>
      </c>
      <c r="AW61" s="2"/>
      <c r="AX61" s="2"/>
      <c r="AY61" s="2"/>
      <c r="AZ61" s="2"/>
      <c r="BA61" s="2"/>
      <c r="BB61" s="2"/>
      <c r="BC61" s="2"/>
      <c r="BD61" s="2"/>
      <c r="BE61" s="2"/>
    </row>
    <row r="62" hidden="1">
      <c r="A62" s="2"/>
      <c r="B62" s="293" t="s">
        <v>6121</v>
      </c>
      <c r="C62" s="11" t="s">
        <v>6122</v>
      </c>
      <c r="D62" s="278">
        <v>180.0</v>
      </c>
      <c r="E62" s="134" t="str">
        <f t="shared" si="2"/>
        <v>iPhone 13 Pro</v>
      </c>
      <c r="F62" s="11" t="s">
        <v>5873</v>
      </c>
      <c r="G62" s="295" t="s">
        <v>6123</v>
      </c>
      <c r="H62" s="296"/>
      <c r="I62" s="156">
        <v>1250.0</v>
      </c>
      <c r="J62" s="297"/>
      <c r="K62" s="298"/>
      <c r="L62" s="156">
        <v>1350.0</v>
      </c>
      <c r="M62" s="301">
        <v>1350.0</v>
      </c>
      <c r="N62" s="284">
        <v>0.25</v>
      </c>
      <c r="O62" s="296">
        <v>1700.0</v>
      </c>
      <c r="P62" s="285">
        <f t="shared" ref="P62:Q62" si="52">O62</f>
        <v>1700</v>
      </c>
      <c r="Q62" s="303">
        <f t="shared" si="52"/>
        <v>1700</v>
      </c>
      <c r="R62" s="299" t="s">
        <v>6124</v>
      </c>
      <c r="S62" s="300">
        <v>46140.38136690972</v>
      </c>
      <c r="T62" s="2"/>
      <c r="U62" s="289">
        <f t="shared" si="4"/>
        <v>450</v>
      </c>
      <c r="V62" s="290">
        <f>IF(L62&gt;0, Q359 - L62, "нет з/ч")</f>
        <v>650</v>
      </c>
      <c r="W62" s="2"/>
      <c r="X62" s="289">
        <v>1250.0</v>
      </c>
      <c r="Y62" s="139">
        <v>1350.0</v>
      </c>
      <c r="Z62" s="2"/>
      <c r="AA62" s="2" t="s">
        <v>6122</v>
      </c>
      <c r="AB62" s="2" t="s">
        <v>6122</v>
      </c>
      <c r="AC62" s="2"/>
      <c r="AD62" s="2" t="s">
        <v>6122</v>
      </c>
      <c r="AE62" s="3" t="s">
        <v>6121</v>
      </c>
      <c r="AF62" s="2"/>
      <c r="AG62" s="1" t="s">
        <v>1582</v>
      </c>
      <c r="AH62" s="1" t="s">
        <v>6113</v>
      </c>
      <c r="AI62" s="2">
        <v>180.0</v>
      </c>
      <c r="AJ62" s="1" t="s">
        <v>1589</v>
      </c>
      <c r="AK62" s="1" t="s">
        <v>5877</v>
      </c>
      <c r="AL62" s="1" t="s">
        <v>5878</v>
      </c>
      <c r="AM62" s="2"/>
      <c r="AN62" s="2"/>
      <c r="AO62" s="2"/>
      <c r="AP62" s="2"/>
      <c r="AQ62" s="2"/>
      <c r="AR62" s="2"/>
      <c r="AS62" s="2"/>
      <c r="AT62" s="2"/>
      <c r="AU62" s="126">
        <v>1350.0</v>
      </c>
      <c r="AV62" s="126">
        <v>1700.0</v>
      </c>
      <c r="AW62" s="2"/>
      <c r="AX62" s="2"/>
      <c r="AY62" s="2"/>
      <c r="AZ62" s="2"/>
      <c r="BA62" s="2"/>
      <c r="BB62" s="2"/>
      <c r="BC62" s="2"/>
      <c r="BD62" s="2"/>
      <c r="BE62" s="2"/>
    </row>
    <row r="63" hidden="1">
      <c r="A63" s="2"/>
      <c r="B63" s="293" t="s">
        <v>6125</v>
      </c>
      <c r="C63" s="11" t="s">
        <v>6126</v>
      </c>
      <c r="D63" s="278">
        <v>180.0</v>
      </c>
      <c r="E63" s="134" t="str">
        <f t="shared" si="2"/>
        <v>iPhone 13 Pro</v>
      </c>
      <c r="F63" s="11" t="s">
        <v>5873</v>
      </c>
      <c r="G63" s="295" t="s">
        <v>6127</v>
      </c>
      <c r="H63" s="296"/>
      <c r="I63" s="156">
        <v>990.0</v>
      </c>
      <c r="J63" s="297"/>
      <c r="K63" s="298"/>
      <c r="L63" s="156">
        <v>1050.0</v>
      </c>
      <c r="M63" s="301">
        <v>1050.0</v>
      </c>
      <c r="N63" s="284">
        <v>0.12</v>
      </c>
      <c r="O63" s="296">
        <v>1200.0</v>
      </c>
      <c r="P63" s="302">
        <f t="shared" ref="P63:Q63" si="53">O63</f>
        <v>1200</v>
      </c>
      <c r="Q63" s="303">
        <f t="shared" si="53"/>
        <v>1200</v>
      </c>
      <c r="R63" s="299" t="s">
        <v>6128</v>
      </c>
      <c r="S63" s="300">
        <v>46140.38139310185</v>
      </c>
      <c r="T63" s="2"/>
      <c r="U63" s="289">
        <f t="shared" si="4"/>
        <v>210</v>
      </c>
      <c r="V63" s="304" t="str">
        <f t="shared" ref="V63:V64" si="54">IF(L63&gt;0, #REF! - L63, "нет з/ч")</f>
        <v>#REF!</v>
      </c>
      <c r="W63" s="2"/>
      <c r="X63" s="289">
        <v>990.0</v>
      </c>
      <c r="Y63" s="139">
        <v>1050.0</v>
      </c>
      <c r="Z63" s="2"/>
      <c r="AA63" s="2" t="s">
        <v>6126</v>
      </c>
      <c r="AB63" s="2" t="s">
        <v>6126</v>
      </c>
      <c r="AC63" s="2"/>
      <c r="AD63" s="2" t="s">
        <v>6126</v>
      </c>
      <c r="AE63" s="3" t="s">
        <v>6125</v>
      </c>
      <c r="AF63" s="2"/>
      <c r="AG63" s="1" t="s">
        <v>1582</v>
      </c>
      <c r="AH63" s="1" t="s">
        <v>6113</v>
      </c>
      <c r="AI63" s="2">
        <v>180.0</v>
      </c>
      <c r="AJ63" s="1" t="s">
        <v>1589</v>
      </c>
      <c r="AK63" s="1" t="s">
        <v>5877</v>
      </c>
      <c r="AL63" s="1" t="s">
        <v>5878</v>
      </c>
      <c r="AM63" s="2"/>
      <c r="AN63" s="2"/>
      <c r="AO63" s="2"/>
      <c r="AP63" s="2"/>
      <c r="AQ63" s="2"/>
      <c r="AR63" s="2"/>
      <c r="AS63" s="2"/>
      <c r="AT63" s="2"/>
      <c r="AU63" s="126">
        <v>1050.0</v>
      </c>
      <c r="AV63" s="126">
        <v>1200.0</v>
      </c>
      <c r="AW63" s="2"/>
      <c r="AX63" s="2"/>
      <c r="AY63" s="2"/>
      <c r="AZ63" s="2"/>
      <c r="BA63" s="2"/>
      <c r="BB63" s="2"/>
      <c r="BC63" s="2"/>
      <c r="BD63" s="2"/>
      <c r="BE63" s="2"/>
    </row>
    <row r="64" hidden="1">
      <c r="A64" s="2"/>
      <c r="B64" s="293" t="s">
        <v>6129</v>
      </c>
      <c r="C64" s="11" t="s">
        <v>6130</v>
      </c>
      <c r="D64" s="278">
        <v>180.0</v>
      </c>
      <c r="E64" s="134" t="str">
        <f t="shared" si="2"/>
        <v>iPhone 13 Pro</v>
      </c>
      <c r="F64" s="11" t="s">
        <v>5873</v>
      </c>
      <c r="G64" s="295" t="s">
        <v>6131</v>
      </c>
      <c r="H64" s="296"/>
      <c r="I64" s="156">
        <v>699.0</v>
      </c>
      <c r="J64" s="297"/>
      <c r="K64" s="298"/>
      <c r="L64" s="156"/>
      <c r="M64" s="301">
        <v>699.0</v>
      </c>
      <c r="N64" s="284">
        <v>0.12</v>
      </c>
      <c r="O64" s="296">
        <v>800.0</v>
      </c>
      <c r="P64" s="67"/>
      <c r="Q64" s="303">
        <f>P63</f>
        <v>1200</v>
      </c>
      <c r="R64" s="299" t="s">
        <v>6132</v>
      </c>
      <c r="S64" s="300">
        <v>46140.38141440973</v>
      </c>
      <c r="T64" s="2"/>
      <c r="U64" s="289">
        <f t="shared" si="4"/>
        <v>501</v>
      </c>
      <c r="V64" s="304" t="str">
        <f t="shared" si="54"/>
        <v>нет з/ч</v>
      </c>
      <c r="W64" s="2"/>
      <c r="X64" s="289">
        <v>699.0</v>
      </c>
      <c r="Y64" s="139"/>
      <c r="Z64" s="2"/>
      <c r="AA64" s="2" t="s">
        <v>6130</v>
      </c>
      <c r="AB64" s="2" t="s">
        <v>6130</v>
      </c>
      <c r="AC64" s="2"/>
      <c r="AD64" s="2" t="s">
        <v>6130</v>
      </c>
      <c r="AE64" s="3" t="s">
        <v>6129</v>
      </c>
      <c r="AF64" s="2"/>
      <c r="AG64" s="1" t="s">
        <v>1582</v>
      </c>
      <c r="AH64" s="1" t="s">
        <v>6113</v>
      </c>
      <c r="AI64" s="2">
        <v>180.0</v>
      </c>
      <c r="AJ64" s="1" t="s">
        <v>1589</v>
      </c>
      <c r="AK64" s="1" t="s">
        <v>5877</v>
      </c>
      <c r="AL64" s="1" t="s">
        <v>5878</v>
      </c>
      <c r="AM64" s="2"/>
      <c r="AN64" s="2"/>
      <c r="AO64" s="2"/>
      <c r="AP64" s="2"/>
      <c r="AQ64" s="2"/>
      <c r="AR64" s="2"/>
      <c r="AS64" s="2"/>
      <c r="AT64" s="2"/>
      <c r="AU64" s="126">
        <v>699.0</v>
      </c>
      <c r="AV64" s="126">
        <v>1200.0</v>
      </c>
      <c r="AW64" s="2"/>
      <c r="AX64" s="2"/>
      <c r="AY64" s="2"/>
      <c r="AZ64" s="2"/>
      <c r="BA64" s="2"/>
      <c r="BB64" s="2"/>
      <c r="BC64" s="2"/>
      <c r="BD64" s="2"/>
      <c r="BE64" s="2"/>
    </row>
    <row r="65" hidden="1">
      <c r="A65" s="2"/>
      <c r="B65" s="293" t="s">
        <v>6133</v>
      </c>
      <c r="C65" s="11" t="s">
        <v>6134</v>
      </c>
      <c r="D65" s="278">
        <v>180.0</v>
      </c>
      <c r="E65" s="134" t="str">
        <f t="shared" si="2"/>
        <v>iPhone 13 Pro Max</v>
      </c>
      <c r="F65" s="11" t="s">
        <v>5873</v>
      </c>
      <c r="G65" s="295" t="s">
        <v>6135</v>
      </c>
      <c r="H65" s="296"/>
      <c r="I65" s="156">
        <v>6900.0</v>
      </c>
      <c r="J65" s="297"/>
      <c r="K65" s="298"/>
      <c r="L65" s="156"/>
      <c r="M65" s="301">
        <v>6900.0</v>
      </c>
      <c r="N65" s="284">
        <v>0.2</v>
      </c>
      <c r="O65" s="296">
        <v>8300.0</v>
      </c>
      <c r="P65" s="285">
        <f t="shared" ref="P65:Q65" si="55">O65</f>
        <v>8300</v>
      </c>
      <c r="Q65" s="303">
        <f t="shared" si="55"/>
        <v>8300</v>
      </c>
      <c r="R65" s="299" t="s">
        <v>6136</v>
      </c>
      <c r="S65" s="300">
        <v>46140.38143443287</v>
      </c>
      <c r="T65" s="2"/>
      <c r="U65" s="289">
        <f t="shared" si="4"/>
        <v>1400</v>
      </c>
      <c r="V65" s="304" t="str">
        <f t="shared" ref="V65:V67" si="57">IF(L65&gt;0, Q365 - L65, "нет з/ч")</f>
        <v>нет з/ч</v>
      </c>
      <c r="W65" s="2"/>
      <c r="X65" s="289">
        <v>6900.0</v>
      </c>
      <c r="Y65" s="139"/>
      <c r="Z65" s="2"/>
      <c r="AA65" s="2" t="s">
        <v>6134</v>
      </c>
      <c r="AB65" s="2" t="s">
        <v>6134</v>
      </c>
      <c r="AC65" s="2"/>
      <c r="AD65" s="2" t="s">
        <v>6134</v>
      </c>
      <c r="AE65" s="3" t="s">
        <v>6133</v>
      </c>
      <c r="AF65" s="2"/>
      <c r="AG65" s="1" t="s">
        <v>1582</v>
      </c>
      <c r="AH65" s="1" t="s">
        <v>6137</v>
      </c>
      <c r="AI65" s="2">
        <v>180.0</v>
      </c>
      <c r="AJ65" s="1" t="s">
        <v>1589</v>
      </c>
      <c r="AK65" s="1" t="s">
        <v>5877</v>
      </c>
      <c r="AL65" s="1" t="s">
        <v>5878</v>
      </c>
      <c r="AM65" s="2"/>
      <c r="AN65" s="2"/>
      <c r="AO65" s="2"/>
      <c r="AP65" s="2"/>
      <c r="AQ65" s="2"/>
      <c r="AR65" s="2"/>
      <c r="AS65" s="2"/>
      <c r="AT65" s="2"/>
      <c r="AU65" s="126">
        <v>6900.0</v>
      </c>
      <c r="AV65" s="126">
        <v>8300.0</v>
      </c>
      <c r="AW65" s="2"/>
      <c r="AX65" s="2"/>
      <c r="AY65" s="2"/>
      <c r="AZ65" s="2"/>
      <c r="BA65" s="2"/>
      <c r="BB65" s="2"/>
      <c r="BC65" s="2"/>
      <c r="BD65" s="2"/>
      <c r="BE65" s="2"/>
    </row>
    <row r="66" hidden="1">
      <c r="A66" s="1"/>
      <c r="B66" s="293" t="s">
        <v>6138</v>
      </c>
      <c r="C66" s="11" t="s">
        <v>6139</v>
      </c>
      <c r="D66" s="278">
        <v>180.0</v>
      </c>
      <c r="E66" s="134" t="str">
        <f t="shared" si="2"/>
        <v>iPhone 13 Pro Max</v>
      </c>
      <c r="F66" s="11" t="s">
        <v>5873</v>
      </c>
      <c r="G66" s="295" t="s">
        <v>6140</v>
      </c>
      <c r="H66" s="296"/>
      <c r="I66" s="156">
        <v>4000.0</v>
      </c>
      <c r="J66" s="301"/>
      <c r="K66" s="296"/>
      <c r="L66" s="139"/>
      <c r="M66" s="301">
        <v>4000.0</v>
      </c>
      <c r="N66" s="284">
        <v>0.12</v>
      </c>
      <c r="O66" s="296">
        <v>4500.0</v>
      </c>
      <c r="P66" s="285">
        <f t="shared" ref="P66:Q66" si="56">O66</f>
        <v>4500</v>
      </c>
      <c r="Q66" s="303">
        <f t="shared" si="56"/>
        <v>4500</v>
      </c>
      <c r="R66" s="299" t="s">
        <v>6141</v>
      </c>
      <c r="S66" s="300">
        <v>46140.38145583333</v>
      </c>
      <c r="T66" s="2"/>
      <c r="U66" s="289">
        <f t="shared" si="4"/>
        <v>500</v>
      </c>
      <c r="V66" s="304" t="str">
        <f t="shared" si="57"/>
        <v>нет з/ч</v>
      </c>
      <c r="W66" s="2"/>
      <c r="X66" s="289">
        <v>4000.0</v>
      </c>
      <c r="Y66" s="139"/>
      <c r="Z66" s="2"/>
      <c r="AA66" s="2" t="s">
        <v>6139</v>
      </c>
      <c r="AB66" s="2" t="s">
        <v>6139</v>
      </c>
      <c r="AC66" s="2"/>
      <c r="AD66" s="2" t="s">
        <v>6139</v>
      </c>
      <c r="AE66" s="3" t="s">
        <v>6138</v>
      </c>
      <c r="AF66" s="2"/>
      <c r="AG66" s="1" t="s">
        <v>1582</v>
      </c>
      <c r="AH66" s="1" t="s">
        <v>6137</v>
      </c>
      <c r="AI66" s="2">
        <v>180.0</v>
      </c>
      <c r="AJ66" s="1" t="s">
        <v>1589</v>
      </c>
      <c r="AK66" s="1" t="s">
        <v>5877</v>
      </c>
      <c r="AL66" s="1" t="s">
        <v>5878</v>
      </c>
      <c r="AM66" s="2"/>
      <c r="AN66" s="2"/>
      <c r="AO66" s="2"/>
      <c r="AP66" s="2"/>
      <c r="AQ66" s="2"/>
      <c r="AR66" s="2"/>
      <c r="AS66" s="2"/>
      <c r="AT66" s="2"/>
      <c r="AU66" s="126">
        <v>4000.0</v>
      </c>
      <c r="AV66" s="126">
        <v>4500.0</v>
      </c>
      <c r="AW66" s="2"/>
      <c r="AX66" s="2"/>
      <c r="AY66" s="2"/>
      <c r="AZ66" s="2"/>
      <c r="BA66" s="2"/>
      <c r="BB66" s="2"/>
      <c r="BC66" s="2"/>
      <c r="BD66" s="2"/>
      <c r="BE66" s="2"/>
    </row>
    <row r="67" hidden="1">
      <c r="A67" s="2"/>
      <c r="B67" s="293" t="s">
        <v>6142</v>
      </c>
      <c r="C67" s="61"/>
      <c r="D67" s="278">
        <v>180.0</v>
      </c>
      <c r="E67" s="134" t="str">
        <f t="shared" si="2"/>
        <v>iPhone 13 Pro Max</v>
      </c>
      <c r="F67" s="11" t="s">
        <v>5873</v>
      </c>
      <c r="G67" s="295" t="s">
        <v>6143</v>
      </c>
      <c r="H67" s="296"/>
      <c r="I67" s="156">
        <v>2500.0</v>
      </c>
      <c r="J67" s="297"/>
      <c r="K67" s="298"/>
      <c r="L67" s="156">
        <v>2590.0</v>
      </c>
      <c r="M67" s="301">
        <v>2590.0</v>
      </c>
      <c r="N67" s="284">
        <v>0.24</v>
      </c>
      <c r="O67" s="296">
        <v>3200.0</v>
      </c>
      <c r="P67" s="285">
        <f t="shared" ref="P67:Q67" si="58">O67</f>
        <v>3200</v>
      </c>
      <c r="Q67" s="303">
        <f t="shared" si="58"/>
        <v>3200</v>
      </c>
      <c r="R67" s="287" t="s">
        <v>6144</v>
      </c>
      <c r="S67" s="300">
        <v>46140.38148118056</v>
      </c>
      <c r="T67" s="2"/>
      <c r="U67" s="289">
        <f t="shared" si="4"/>
        <v>700</v>
      </c>
      <c r="V67" s="290">
        <f t="shared" si="57"/>
        <v>-1090</v>
      </c>
      <c r="W67" s="2"/>
      <c r="X67" s="289">
        <v>2500.0</v>
      </c>
      <c r="Y67" s="139">
        <v>2590.0</v>
      </c>
      <c r="Z67" s="2"/>
      <c r="AA67" s="2"/>
      <c r="AB67" s="2"/>
      <c r="AC67" s="2"/>
      <c r="AD67" s="2"/>
      <c r="AE67" s="3" t="s">
        <v>6142</v>
      </c>
      <c r="AF67" s="2"/>
      <c r="AG67" s="1" t="s">
        <v>1582</v>
      </c>
      <c r="AH67" s="1" t="s">
        <v>6137</v>
      </c>
      <c r="AI67" s="2">
        <v>180.0</v>
      </c>
      <c r="AJ67" s="1" t="s">
        <v>1589</v>
      </c>
      <c r="AK67" s="1" t="s">
        <v>5877</v>
      </c>
      <c r="AL67" s="1" t="s">
        <v>5878</v>
      </c>
      <c r="AM67" s="2"/>
      <c r="AN67" s="2"/>
      <c r="AO67" s="2"/>
      <c r="AP67" s="2"/>
      <c r="AQ67" s="2"/>
      <c r="AR67" s="2"/>
      <c r="AS67" s="2"/>
      <c r="AT67" s="2"/>
      <c r="AU67" s="126">
        <v>2590.0</v>
      </c>
      <c r="AV67" s="126">
        <v>3200.0</v>
      </c>
      <c r="AW67" s="2"/>
      <c r="AX67" s="2"/>
      <c r="AY67" s="2"/>
      <c r="AZ67" s="2"/>
      <c r="BA67" s="2"/>
      <c r="BB67" s="2"/>
      <c r="BC67" s="2"/>
      <c r="BD67" s="2"/>
      <c r="BE67" s="2"/>
    </row>
    <row r="68" hidden="1">
      <c r="A68" s="2"/>
      <c r="B68" s="293" t="s">
        <v>6145</v>
      </c>
      <c r="C68" s="11" t="s">
        <v>6146</v>
      </c>
      <c r="D68" s="278">
        <v>180.0</v>
      </c>
      <c r="E68" s="134" t="str">
        <f t="shared" si="2"/>
        <v>iPhone 13 Pro Max</v>
      </c>
      <c r="F68" s="11" t="s">
        <v>5873</v>
      </c>
      <c r="G68" s="295" t="s">
        <v>6147</v>
      </c>
      <c r="H68" s="296"/>
      <c r="I68" s="156">
        <v>1300.0</v>
      </c>
      <c r="J68" s="297"/>
      <c r="K68" s="298"/>
      <c r="L68" s="156">
        <v>1490.0</v>
      </c>
      <c r="M68" s="301">
        <v>1490.0</v>
      </c>
      <c r="N68" s="284">
        <v>0.48</v>
      </c>
      <c r="O68" s="296">
        <v>2200.0</v>
      </c>
      <c r="P68" s="285">
        <f t="shared" ref="P68:Q68" si="59">O68</f>
        <v>2200</v>
      </c>
      <c r="Q68" s="303">
        <f t="shared" si="59"/>
        <v>2200</v>
      </c>
      <c r="R68" s="299" t="s">
        <v>6148</v>
      </c>
      <c r="S68" s="300">
        <v>46140.38150016204</v>
      </c>
      <c r="T68" s="2"/>
      <c r="U68" s="289">
        <f t="shared" si="4"/>
        <v>900</v>
      </c>
      <c r="V68" s="304" t="str">
        <f>IF(L68&gt;0, #REF! - L68, "нет з/ч")</f>
        <v>#REF!</v>
      </c>
      <c r="W68" s="2"/>
      <c r="X68" s="289">
        <v>1300.0</v>
      </c>
      <c r="Y68" s="139">
        <v>1490.0</v>
      </c>
      <c r="Z68" s="2"/>
      <c r="AA68" s="2" t="s">
        <v>6146</v>
      </c>
      <c r="AB68" s="2" t="s">
        <v>6146</v>
      </c>
      <c r="AC68" s="2"/>
      <c r="AD68" s="2" t="s">
        <v>6146</v>
      </c>
      <c r="AE68" s="3" t="s">
        <v>6145</v>
      </c>
      <c r="AF68" s="2"/>
      <c r="AG68" s="1" t="s">
        <v>1582</v>
      </c>
      <c r="AH68" s="1" t="s">
        <v>6137</v>
      </c>
      <c r="AI68" s="2">
        <v>180.0</v>
      </c>
      <c r="AJ68" s="1" t="s">
        <v>1589</v>
      </c>
      <c r="AK68" s="1" t="s">
        <v>5877</v>
      </c>
      <c r="AL68" s="1" t="s">
        <v>5878</v>
      </c>
      <c r="AM68" s="2"/>
      <c r="AN68" s="2"/>
      <c r="AO68" s="2"/>
      <c r="AP68" s="2"/>
      <c r="AQ68" s="2"/>
      <c r="AR68" s="2"/>
      <c r="AS68" s="2"/>
      <c r="AT68" s="2"/>
      <c r="AU68" s="126">
        <v>1490.0</v>
      </c>
      <c r="AV68" s="126">
        <v>2200.0</v>
      </c>
      <c r="AW68" s="2"/>
      <c r="AX68" s="2"/>
      <c r="AY68" s="2"/>
      <c r="AZ68" s="2"/>
      <c r="BA68" s="2"/>
      <c r="BB68" s="2"/>
      <c r="BC68" s="2"/>
      <c r="BD68" s="2"/>
      <c r="BE68" s="2"/>
    </row>
    <row r="69" hidden="1">
      <c r="A69" s="2"/>
      <c r="B69" s="293" t="s">
        <v>6149</v>
      </c>
      <c r="C69" s="11" t="s">
        <v>6150</v>
      </c>
      <c r="D69" s="278">
        <v>180.0</v>
      </c>
      <c r="E69" s="134" t="str">
        <f t="shared" si="2"/>
        <v>iPhone 13 Pro Max</v>
      </c>
      <c r="F69" s="11" t="s">
        <v>5873</v>
      </c>
      <c r="G69" s="295" t="s">
        <v>6151</v>
      </c>
      <c r="H69" s="296"/>
      <c r="I69" s="156">
        <v>1050.0</v>
      </c>
      <c r="J69" s="297"/>
      <c r="K69" s="298"/>
      <c r="L69" s="156">
        <v>1050.0</v>
      </c>
      <c r="M69" s="301">
        <v>1050.0</v>
      </c>
      <c r="N69" s="284">
        <v>0.6</v>
      </c>
      <c r="O69" s="296">
        <v>1700.0</v>
      </c>
      <c r="P69" s="302">
        <f t="shared" ref="P69:Q69" si="60">O69</f>
        <v>1700</v>
      </c>
      <c r="Q69" s="303">
        <f t="shared" si="60"/>
        <v>1700</v>
      </c>
      <c r="R69" s="299" t="s">
        <v>6152</v>
      </c>
      <c r="S69" s="300">
        <v>46140.381521944444</v>
      </c>
      <c r="T69" s="2"/>
      <c r="U69" s="289">
        <f t="shared" si="4"/>
        <v>650</v>
      </c>
      <c r="V69" s="290">
        <f>IF(L69&gt;0, Q369 - L69, "нет з/ч")</f>
        <v>450</v>
      </c>
      <c r="W69" s="2"/>
      <c r="X69" s="289">
        <v>1050.0</v>
      </c>
      <c r="Y69" s="139">
        <v>1050.0</v>
      </c>
      <c r="Z69" s="2"/>
      <c r="AA69" s="2" t="s">
        <v>6150</v>
      </c>
      <c r="AB69" s="2" t="s">
        <v>6150</v>
      </c>
      <c r="AC69" s="2"/>
      <c r="AD69" s="2" t="s">
        <v>6150</v>
      </c>
      <c r="AE69" s="3" t="s">
        <v>6149</v>
      </c>
      <c r="AF69" s="2"/>
      <c r="AG69" s="1" t="s">
        <v>1582</v>
      </c>
      <c r="AH69" s="1" t="s">
        <v>6137</v>
      </c>
      <c r="AI69" s="2">
        <v>180.0</v>
      </c>
      <c r="AJ69" s="1" t="s">
        <v>1589</v>
      </c>
      <c r="AK69" s="1" t="s">
        <v>5877</v>
      </c>
      <c r="AL69" s="1" t="s">
        <v>5878</v>
      </c>
      <c r="AM69" s="2"/>
      <c r="AN69" s="2"/>
      <c r="AO69" s="2"/>
      <c r="AP69" s="2"/>
      <c r="AQ69" s="2"/>
      <c r="AR69" s="2"/>
      <c r="AS69" s="2"/>
      <c r="AT69" s="2"/>
      <c r="AU69" s="126">
        <v>1050.0</v>
      </c>
      <c r="AV69" s="126">
        <v>1700.0</v>
      </c>
      <c r="AW69" s="2"/>
      <c r="AX69" s="2"/>
      <c r="AY69" s="2"/>
      <c r="AZ69" s="2"/>
      <c r="BA69" s="2"/>
      <c r="BB69" s="2"/>
      <c r="BC69" s="2"/>
      <c r="BD69" s="2"/>
      <c r="BE69" s="2"/>
    </row>
    <row r="70" hidden="1">
      <c r="A70" s="2"/>
      <c r="B70" s="293" t="s">
        <v>6153</v>
      </c>
      <c r="C70" s="11" t="s">
        <v>6154</v>
      </c>
      <c r="D70" s="278">
        <v>180.0</v>
      </c>
      <c r="E70" s="134" t="str">
        <f t="shared" si="2"/>
        <v>iPhone 13 Pro Max</v>
      </c>
      <c r="F70" s="11" t="s">
        <v>5873</v>
      </c>
      <c r="G70" s="295" t="s">
        <v>6155</v>
      </c>
      <c r="H70" s="296"/>
      <c r="I70" s="156">
        <v>790.0</v>
      </c>
      <c r="J70" s="297"/>
      <c r="K70" s="298"/>
      <c r="L70" s="156"/>
      <c r="M70" s="301">
        <v>790.0</v>
      </c>
      <c r="N70" s="284">
        <v>0.12</v>
      </c>
      <c r="O70" s="296">
        <v>900.0</v>
      </c>
      <c r="P70" s="67"/>
      <c r="Q70" s="303">
        <f>P69</f>
        <v>1700</v>
      </c>
      <c r="R70" s="299" t="s">
        <v>6156</v>
      </c>
      <c r="S70" s="300">
        <v>46140.3815421412</v>
      </c>
      <c r="T70" s="2"/>
      <c r="U70" s="289">
        <f t="shared" si="4"/>
        <v>910</v>
      </c>
      <c r="V70" s="304" t="str">
        <f>IF(L70&gt;0, Q373 - L70, "нет з/ч")</f>
        <v>нет з/ч</v>
      </c>
      <c r="W70" s="2"/>
      <c r="X70" s="289">
        <v>790.0</v>
      </c>
      <c r="Y70" s="139"/>
      <c r="Z70" s="2"/>
      <c r="AA70" s="2" t="s">
        <v>6154</v>
      </c>
      <c r="AB70" s="2" t="s">
        <v>6154</v>
      </c>
      <c r="AC70" s="2"/>
      <c r="AD70" s="2" t="s">
        <v>6154</v>
      </c>
      <c r="AE70" s="3" t="s">
        <v>6153</v>
      </c>
      <c r="AF70" s="2"/>
      <c r="AG70" s="1" t="s">
        <v>1582</v>
      </c>
      <c r="AH70" s="1" t="s">
        <v>6137</v>
      </c>
      <c r="AI70" s="2">
        <v>180.0</v>
      </c>
      <c r="AJ70" s="1" t="s">
        <v>1589</v>
      </c>
      <c r="AK70" s="1" t="s">
        <v>5877</v>
      </c>
      <c r="AL70" s="1" t="s">
        <v>5878</v>
      </c>
      <c r="AM70" s="2"/>
      <c r="AN70" s="2"/>
      <c r="AO70" s="2"/>
      <c r="AP70" s="2"/>
      <c r="AQ70" s="2"/>
      <c r="AR70" s="2"/>
      <c r="AS70" s="2"/>
      <c r="AT70" s="2"/>
      <c r="AU70" s="126">
        <v>790.0</v>
      </c>
      <c r="AV70" s="126">
        <v>1700.0</v>
      </c>
      <c r="AW70" s="2"/>
      <c r="AX70" s="2"/>
      <c r="AY70" s="2"/>
      <c r="AZ70" s="2"/>
      <c r="BA70" s="2"/>
      <c r="BB70" s="2"/>
      <c r="BC70" s="2"/>
      <c r="BD70" s="2"/>
      <c r="BE70" s="2"/>
    </row>
    <row r="71" hidden="1">
      <c r="A71" s="2"/>
      <c r="B71" s="293" t="s">
        <v>6157</v>
      </c>
      <c r="C71" s="11" t="s">
        <v>6158</v>
      </c>
      <c r="D71" s="278">
        <v>180.0</v>
      </c>
      <c r="E71" s="134" t="str">
        <f t="shared" si="2"/>
        <v>iPhone 14</v>
      </c>
      <c r="F71" s="11" t="s">
        <v>5873</v>
      </c>
      <c r="G71" s="295" t="s">
        <v>6159</v>
      </c>
      <c r="H71" s="296"/>
      <c r="I71" s="156">
        <v>8000.0</v>
      </c>
      <c r="J71" s="297"/>
      <c r="K71" s="298"/>
      <c r="L71" s="156"/>
      <c r="M71" s="301">
        <v>8000.0</v>
      </c>
      <c r="N71" s="284">
        <v>0.2</v>
      </c>
      <c r="O71" s="296">
        <v>9600.0</v>
      </c>
      <c r="P71" s="285">
        <f t="shared" ref="P71:Q71" si="61">O71</f>
        <v>9600</v>
      </c>
      <c r="Q71" s="303">
        <f t="shared" si="61"/>
        <v>9600</v>
      </c>
      <c r="R71" s="299" t="s">
        <v>6160</v>
      </c>
      <c r="S71" s="300">
        <v>46140.3815620949</v>
      </c>
      <c r="T71" s="2"/>
      <c r="U71" s="289">
        <f t="shared" si="4"/>
        <v>1600</v>
      </c>
      <c r="V71" s="304" t="str">
        <f>IF(L71&gt;0, #REF! - L71, "нет з/ч")</f>
        <v>нет з/ч</v>
      </c>
      <c r="W71" s="2"/>
      <c r="X71" s="289">
        <v>8000.0</v>
      </c>
      <c r="Y71" s="139"/>
      <c r="Z71" s="2"/>
      <c r="AA71" s="2" t="s">
        <v>6158</v>
      </c>
      <c r="AB71" s="2" t="s">
        <v>6158</v>
      </c>
      <c r="AC71" s="2"/>
      <c r="AD71" s="2" t="s">
        <v>6158</v>
      </c>
      <c r="AE71" s="3" t="s">
        <v>6157</v>
      </c>
      <c r="AF71" s="2"/>
      <c r="AG71" s="1" t="s">
        <v>1582</v>
      </c>
      <c r="AH71" s="1" t="s">
        <v>6161</v>
      </c>
      <c r="AI71" s="2">
        <v>180.0</v>
      </c>
      <c r="AJ71" s="1" t="s">
        <v>1589</v>
      </c>
      <c r="AK71" s="1" t="s">
        <v>5877</v>
      </c>
      <c r="AL71" s="1" t="s">
        <v>5878</v>
      </c>
      <c r="AM71" s="2"/>
      <c r="AN71" s="2"/>
      <c r="AO71" s="2"/>
      <c r="AP71" s="2"/>
      <c r="AQ71" s="2"/>
      <c r="AR71" s="2"/>
      <c r="AS71" s="2"/>
      <c r="AT71" s="2"/>
      <c r="AU71" s="126">
        <v>8000.0</v>
      </c>
      <c r="AV71" s="126">
        <v>9600.0</v>
      </c>
      <c r="AW71" s="2"/>
      <c r="AX71" s="2"/>
      <c r="AY71" s="2"/>
      <c r="AZ71" s="2"/>
      <c r="BA71" s="2"/>
      <c r="BB71" s="2"/>
      <c r="BC71" s="2"/>
      <c r="BD71" s="2"/>
      <c r="BE71" s="2"/>
    </row>
    <row r="72" hidden="1">
      <c r="A72" s="2"/>
      <c r="B72" s="293" t="s">
        <v>6162</v>
      </c>
      <c r="C72" s="11" t="s">
        <v>6163</v>
      </c>
      <c r="D72" s="278">
        <v>180.0</v>
      </c>
      <c r="E72" s="134" t="str">
        <f t="shared" si="2"/>
        <v>iPhone 14</v>
      </c>
      <c r="F72" s="11" t="s">
        <v>5873</v>
      </c>
      <c r="G72" s="295" t="s">
        <v>6164</v>
      </c>
      <c r="H72" s="296"/>
      <c r="I72" s="156">
        <v>2500.0</v>
      </c>
      <c r="J72" s="301"/>
      <c r="K72" s="296"/>
      <c r="L72" s="139"/>
      <c r="M72" s="301">
        <v>2500.0</v>
      </c>
      <c r="N72" s="284">
        <v>0.68</v>
      </c>
      <c r="O72" s="296">
        <v>4200.0</v>
      </c>
      <c r="P72" s="285">
        <f t="shared" ref="P72:Q72" si="62">O72</f>
        <v>4200</v>
      </c>
      <c r="Q72" s="303">
        <f t="shared" si="62"/>
        <v>4200</v>
      </c>
      <c r="R72" s="299" t="s">
        <v>6165</v>
      </c>
      <c r="S72" s="300">
        <v>46140.381584675924</v>
      </c>
      <c r="T72" s="2"/>
      <c r="U72" s="289">
        <f t="shared" si="4"/>
        <v>1700</v>
      </c>
      <c r="V72" s="304" t="str">
        <f t="shared" ref="V72:V73" si="64">IF(L72&gt;0, Q374 - L72, "нет з/ч")</f>
        <v>нет з/ч</v>
      </c>
      <c r="W72" s="2"/>
      <c r="X72" s="289">
        <v>2500.0</v>
      </c>
      <c r="Y72" s="139"/>
      <c r="Z72" s="2"/>
      <c r="AA72" s="2" t="s">
        <v>6163</v>
      </c>
      <c r="AB72" s="2" t="s">
        <v>6163</v>
      </c>
      <c r="AC72" s="2"/>
      <c r="AD72" s="2" t="s">
        <v>6163</v>
      </c>
      <c r="AE72" s="3" t="s">
        <v>6162</v>
      </c>
      <c r="AF72" s="2"/>
      <c r="AG72" s="1" t="s">
        <v>1582</v>
      </c>
      <c r="AH72" s="1" t="s">
        <v>6161</v>
      </c>
      <c r="AI72" s="2">
        <v>180.0</v>
      </c>
      <c r="AJ72" s="1" t="s">
        <v>1589</v>
      </c>
      <c r="AK72" s="1" t="s">
        <v>5877</v>
      </c>
      <c r="AL72" s="1" t="s">
        <v>5878</v>
      </c>
      <c r="AM72" s="2"/>
      <c r="AN72" s="2"/>
      <c r="AO72" s="2"/>
      <c r="AP72" s="2"/>
      <c r="AQ72" s="2"/>
      <c r="AR72" s="2"/>
      <c r="AS72" s="2"/>
      <c r="AT72" s="2"/>
      <c r="AU72" s="126">
        <v>2500.0</v>
      </c>
      <c r="AV72" s="126">
        <v>4200.0</v>
      </c>
      <c r="AW72" s="2"/>
      <c r="AX72" s="2"/>
      <c r="AY72" s="2"/>
      <c r="AZ72" s="2"/>
      <c r="BA72" s="2"/>
      <c r="BB72" s="2"/>
      <c r="BC72" s="2"/>
      <c r="BD72" s="2"/>
      <c r="BE72" s="2"/>
    </row>
    <row r="73" hidden="1">
      <c r="A73" s="2"/>
      <c r="B73" s="293" t="s">
        <v>6166</v>
      </c>
      <c r="C73" s="61"/>
      <c r="D73" s="278">
        <v>180.0</v>
      </c>
      <c r="E73" s="134" t="str">
        <f t="shared" si="2"/>
        <v>iPhone 14</v>
      </c>
      <c r="F73" s="11" t="s">
        <v>5873</v>
      </c>
      <c r="G73" s="295" t="s">
        <v>6167</v>
      </c>
      <c r="H73" s="296"/>
      <c r="I73" s="156">
        <v>1900.0</v>
      </c>
      <c r="J73" s="297"/>
      <c r="K73" s="298"/>
      <c r="L73" s="156">
        <v>2090.0</v>
      </c>
      <c r="M73" s="301">
        <v>2090.0</v>
      </c>
      <c r="N73" s="284">
        <v>0.78</v>
      </c>
      <c r="O73" s="296">
        <v>3700.0</v>
      </c>
      <c r="P73" s="285">
        <f t="shared" ref="P73:Q73" si="63">O73</f>
        <v>3700</v>
      </c>
      <c r="Q73" s="303">
        <f t="shared" si="63"/>
        <v>3700</v>
      </c>
      <c r="R73" s="299" t="s">
        <v>6168</v>
      </c>
      <c r="S73" s="300">
        <v>46140.38160662037</v>
      </c>
      <c r="T73" s="2"/>
      <c r="U73" s="289">
        <f t="shared" si="4"/>
        <v>1800</v>
      </c>
      <c r="V73" s="290">
        <f t="shared" si="64"/>
        <v>-390</v>
      </c>
      <c r="W73" s="2"/>
      <c r="X73" s="289">
        <v>1900.0</v>
      </c>
      <c r="Y73" s="139">
        <v>2090.0</v>
      </c>
      <c r="Z73" s="2"/>
      <c r="AA73" s="2"/>
      <c r="AB73" s="2"/>
      <c r="AC73" s="2"/>
      <c r="AD73" s="2"/>
      <c r="AE73" s="3" t="s">
        <v>6166</v>
      </c>
      <c r="AF73" s="2"/>
      <c r="AG73" s="1" t="s">
        <v>1582</v>
      </c>
      <c r="AH73" s="1" t="s">
        <v>6161</v>
      </c>
      <c r="AI73" s="2">
        <v>180.0</v>
      </c>
      <c r="AJ73" s="1" t="s">
        <v>1589</v>
      </c>
      <c r="AK73" s="1" t="s">
        <v>5877</v>
      </c>
      <c r="AL73" s="1" t="s">
        <v>5878</v>
      </c>
      <c r="AM73" s="2"/>
      <c r="AN73" s="2"/>
      <c r="AO73" s="2"/>
      <c r="AP73" s="2"/>
      <c r="AQ73" s="2"/>
      <c r="AR73" s="2"/>
      <c r="AS73" s="2"/>
      <c r="AT73" s="2"/>
      <c r="AU73" s="126">
        <v>2090.0</v>
      </c>
      <c r="AV73" s="126">
        <v>3700.0</v>
      </c>
      <c r="AW73" s="2"/>
      <c r="AX73" s="2"/>
      <c r="AY73" s="2"/>
      <c r="AZ73" s="2"/>
      <c r="BA73" s="2"/>
      <c r="BB73" s="2"/>
      <c r="BC73" s="2"/>
      <c r="BD73" s="2"/>
      <c r="BE73" s="2"/>
    </row>
    <row r="74" hidden="1">
      <c r="A74" s="2"/>
      <c r="B74" s="293" t="s">
        <v>6169</v>
      </c>
      <c r="C74" s="11" t="s">
        <v>6170</v>
      </c>
      <c r="D74" s="278">
        <v>180.0</v>
      </c>
      <c r="E74" s="134" t="str">
        <f t="shared" si="2"/>
        <v>iPhone 14</v>
      </c>
      <c r="F74" s="11" t="s">
        <v>5873</v>
      </c>
      <c r="G74" s="295" t="s">
        <v>6171</v>
      </c>
      <c r="H74" s="296"/>
      <c r="I74" s="156">
        <v>1150.0</v>
      </c>
      <c r="J74" s="297"/>
      <c r="K74" s="298"/>
      <c r="L74" s="156">
        <v>1250.0</v>
      </c>
      <c r="M74" s="301">
        <v>1250.0</v>
      </c>
      <c r="N74" s="284">
        <v>1.15</v>
      </c>
      <c r="O74" s="296">
        <v>2700.0</v>
      </c>
      <c r="P74" s="285">
        <f t="shared" ref="P74:Q74" si="65">O74</f>
        <v>2700</v>
      </c>
      <c r="Q74" s="303">
        <f t="shared" si="65"/>
        <v>2700</v>
      </c>
      <c r="R74" s="299" t="s">
        <v>6172</v>
      </c>
      <c r="S74" s="300">
        <v>46140.38162907407</v>
      </c>
      <c r="T74" s="2"/>
      <c r="U74" s="289">
        <f t="shared" si="4"/>
        <v>1550</v>
      </c>
      <c r="V74" s="304" t="str">
        <f>IF(L74&gt;0, #REF! - L74, "нет з/ч")</f>
        <v>#REF!</v>
      </c>
      <c r="W74" s="2"/>
      <c r="X74" s="289">
        <v>1150.0</v>
      </c>
      <c r="Y74" s="139">
        <v>1250.0</v>
      </c>
      <c r="Z74" s="2"/>
      <c r="AA74" s="2" t="s">
        <v>6170</v>
      </c>
      <c r="AB74" s="2" t="s">
        <v>6170</v>
      </c>
      <c r="AC74" s="2"/>
      <c r="AD74" s="2" t="s">
        <v>6170</v>
      </c>
      <c r="AE74" s="3" t="s">
        <v>6169</v>
      </c>
      <c r="AF74" s="2"/>
      <c r="AG74" s="1" t="s">
        <v>1582</v>
      </c>
      <c r="AH74" s="1" t="s">
        <v>6161</v>
      </c>
      <c r="AI74" s="2">
        <v>180.0</v>
      </c>
      <c r="AJ74" s="1" t="s">
        <v>1589</v>
      </c>
      <c r="AK74" s="1" t="s">
        <v>5877</v>
      </c>
      <c r="AL74" s="1" t="s">
        <v>5878</v>
      </c>
      <c r="AM74" s="2"/>
      <c r="AN74" s="2"/>
      <c r="AO74" s="2"/>
      <c r="AP74" s="2"/>
      <c r="AQ74" s="2"/>
      <c r="AR74" s="2"/>
      <c r="AS74" s="2"/>
      <c r="AT74" s="2"/>
      <c r="AU74" s="126">
        <v>1250.0</v>
      </c>
      <c r="AV74" s="126">
        <v>2700.0</v>
      </c>
      <c r="AW74" s="2"/>
      <c r="AX74" s="2"/>
      <c r="AY74" s="2"/>
      <c r="AZ74" s="2"/>
      <c r="BA74" s="2"/>
      <c r="BB74" s="2"/>
      <c r="BC74" s="2"/>
      <c r="BD74" s="2"/>
      <c r="BE74" s="2"/>
    </row>
    <row r="75" hidden="1">
      <c r="A75" s="2"/>
      <c r="B75" s="293" t="s">
        <v>6173</v>
      </c>
      <c r="C75" s="11" t="s">
        <v>6174</v>
      </c>
      <c r="D75" s="278">
        <v>180.0</v>
      </c>
      <c r="E75" s="134" t="str">
        <f t="shared" si="2"/>
        <v>iPhone 14</v>
      </c>
      <c r="F75" s="11" t="s">
        <v>5873</v>
      </c>
      <c r="G75" s="295" t="s">
        <v>6175</v>
      </c>
      <c r="H75" s="296"/>
      <c r="I75" s="156">
        <v>990.0</v>
      </c>
      <c r="J75" s="297"/>
      <c r="K75" s="298"/>
      <c r="L75" s="156">
        <v>950.0</v>
      </c>
      <c r="M75" s="301">
        <v>990.0</v>
      </c>
      <c r="N75" s="284">
        <v>1.2</v>
      </c>
      <c r="O75" s="296">
        <v>2200.0</v>
      </c>
      <c r="P75" s="302">
        <f t="shared" ref="P75:Q75" si="66">O75</f>
        <v>2200</v>
      </c>
      <c r="Q75" s="303">
        <f t="shared" si="66"/>
        <v>2200</v>
      </c>
      <c r="R75" s="299" t="s">
        <v>6176</v>
      </c>
      <c r="S75" s="300">
        <v>46140.381654780096</v>
      </c>
      <c r="T75" s="2"/>
      <c r="U75" s="289">
        <f t="shared" si="4"/>
        <v>1210</v>
      </c>
      <c r="V75" s="290">
        <f>IF(L75&gt;0, Q379 - L75, "нет з/ч")</f>
        <v>-250</v>
      </c>
      <c r="W75" s="2"/>
      <c r="X75" s="289">
        <v>990.0</v>
      </c>
      <c r="Y75" s="139">
        <v>950.0</v>
      </c>
      <c r="Z75" s="2"/>
      <c r="AA75" s="2" t="s">
        <v>6174</v>
      </c>
      <c r="AB75" s="2" t="s">
        <v>6174</v>
      </c>
      <c r="AC75" s="2"/>
      <c r="AD75" s="2" t="s">
        <v>6174</v>
      </c>
      <c r="AE75" s="3" t="s">
        <v>6173</v>
      </c>
      <c r="AF75" s="2"/>
      <c r="AG75" s="1" t="s">
        <v>1582</v>
      </c>
      <c r="AH75" s="1" t="s">
        <v>6161</v>
      </c>
      <c r="AI75" s="2">
        <v>180.0</v>
      </c>
      <c r="AJ75" s="1" t="s">
        <v>1589</v>
      </c>
      <c r="AK75" s="1" t="s">
        <v>5877</v>
      </c>
      <c r="AL75" s="1" t="s">
        <v>5878</v>
      </c>
      <c r="AM75" s="2"/>
      <c r="AN75" s="2"/>
      <c r="AO75" s="2"/>
      <c r="AP75" s="2"/>
      <c r="AQ75" s="2"/>
      <c r="AR75" s="2"/>
      <c r="AS75" s="2"/>
      <c r="AT75" s="2"/>
      <c r="AU75" s="126">
        <v>990.0</v>
      </c>
      <c r="AV75" s="126">
        <v>2200.0</v>
      </c>
      <c r="AW75" s="2"/>
      <c r="AX75" s="2"/>
      <c r="AY75" s="2"/>
      <c r="AZ75" s="2"/>
      <c r="BA75" s="2"/>
      <c r="BB75" s="2"/>
      <c r="BC75" s="2"/>
      <c r="BD75" s="2"/>
      <c r="BE75" s="2"/>
    </row>
    <row r="76" hidden="1">
      <c r="A76" s="2"/>
      <c r="B76" s="293" t="s">
        <v>6177</v>
      </c>
      <c r="C76" s="11" t="s">
        <v>6178</v>
      </c>
      <c r="D76" s="278">
        <v>180.0</v>
      </c>
      <c r="E76" s="134" t="str">
        <f t="shared" si="2"/>
        <v>iPhone 14</v>
      </c>
      <c r="F76" s="11" t="s">
        <v>5873</v>
      </c>
      <c r="G76" s="295" t="s">
        <v>6179</v>
      </c>
      <c r="H76" s="296"/>
      <c r="I76" s="156">
        <v>770.0</v>
      </c>
      <c r="J76" s="297"/>
      <c r="K76" s="298"/>
      <c r="L76" s="156"/>
      <c r="M76" s="301">
        <v>770.0</v>
      </c>
      <c r="N76" s="284">
        <v>0.12</v>
      </c>
      <c r="O76" s="296">
        <v>850.0</v>
      </c>
      <c r="P76" s="67"/>
      <c r="Q76" s="303">
        <f>P75</f>
        <v>2200</v>
      </c>
      <c r="R76" s="299" t="s">
        <v>6180</v>
      </c>
      <c r="S76" s="300">
        <v>46140.38167567129</v>
      </c>
      <c r="T76" s="2"/>
      <c r="U76" s="289">
        <f t="shared" si="4"/>
        <v>1430</v>
      </c>
      <c r="V76" s="304" t="str">
        <f t="shared" ref="V76:V77" si="68">IF(L76&gt;0, #REF! - L76, "нет з/ч")</f>
        <v>нет з/ч</v>
      </c>
      <c r="W76" s="2"/>
      <c r="X76" s="289">
        <v>770.0</v>
      </c>
      <c r="Y76" s="139"/>
      <c r="Z76" s="2"/>
      <c r="AA76" s="2" t="s">
        <v>6178</v>
      </c>
      <c r="AB76" s="2" t="s">
        <v>6178</v>
      </c>
      <c r="AC76" s="2"/>
      <c r="AD76" s="2" t="s">
        <v>6178</v>
      </c>
      <c r="AE76" s="3" t="s">
        <v>6177</v>
      </c>
      <c r="AF76" s="2"/>
      <c r="AG76" s="1" t="s">
        <v>1582</v>
      </c>
      <c r="AH76" s="1" t="s">
        <v>6161</v>
      </c>
      <c r="AI76" s="2">
        <v>180.0</v>
      </c>
      <c r="AJ76" s="1" t="s">
        <v>1589</v>
      </c>
      <c r="AK76" s="1" t="s">
        <v>5877</v>
      </c>
      <c r="AL76" s="1" t="s">
        <v>5878</v>
      </c>
      <c r="AM76" s="2"/>
      <c r="AN76" s="2"/>
      <c r="AO76" s="2"/>
      <c r="AP76" s="2"/>
      <c r="AQ76" s="2"/>
      <c r="AR76" s="2"/>
      <c r="AS76" s="2"/>
      <c r="AT76" s="2"/>
      <c r="AU76" s="126">
        <v>770.0</v>
      </c>
      <c r="AV76" s="126">
        <v>2200.0</v>
      </c>
      <c r="AW76" s="2"/>
      <c r="AX76" s="2"/>
      <c r="AY76" s="2"/>
      <c r="AZ76" s="2"/>
      <c r="BA76" s="2"/>
      <c r="BB76" s="2"/>
      <c r="BC76" s="2"/>
      <c r="BD76" s="2"/>
      <c r="BE76" s="2"/>
    </row>
    <row r="77" hidden="1">
      <c r="A77" s="2"/>
      <c r="B77" s="293" t="s">
        <v>6181</v>
      </c>
      <c r="C77" s="11" t="s">
        <v>6182</v>
      </c>
      <c r="D77" s="278">
        <v>180.0</v>
      </c>
      <c r="E77" s="134" t="str">
        <f t="shared" si="2"/>
        <v>iPhone 14 Plus</v>
      </c>
      <c r="F77" s="11" t="s">
        <v>5873</v>
      </c>
      <c r="G77" s="295" t="s">
        <v>6183</v>
      </c>
      <c r="H77" s="296"/>
      <c r="I77" s="156">
        <v>8000.0</v>
      </c>
      <c r="J77" s="297"/>
      <c r="K77" s="298"/>
      <c r="L77" s="156"/>
      <c r="M77" s="301">
        <v>8000.0</v>
      </c>
      <c r="N77" s="284">
        <v>0.2</v>
      </c>
      <c r="O77" s="296">
        <v>9600.0</v>
      </c>
      <c r="P77" s="285">
        <f t="shared" ref="P77:Q77" si="67">O77</f>
        <v>9600</v>
      </c>
      <c r="Q77" s="303">
        <f t="shared" si="67"/>
        <v>9600</v>
      </c>
      <c r="R77" s="299" t="s">
        <v>6184</v>
      </c>
      <c r="S77" s="300">
        <v>46140.381711712966</v>
      </c>
      <c r="T77" s="2"/>
      <c r="U77" s="289">
        <f t="shared" si="4"/>
        <v>1600</v>
      </c>
      <c r="V77" s="304" t="str">
        <f t="shared" si="68"/>
        <v>нет з/ч</v>
      </c>
      <c r="W77" s="2"/>
      <c r="X77" s="289">
        <v>8000.0</v>
      </c>
      <c r="Y77" s="139"/>
      <c r="Z77" s="2"/>
      <c r="AA77" s="2" t="s">
        <v>6182</v>
      </c>
      <c r="AB77" s="2" t="s">
        <v>6182</v>
      </c>
      <c r="AC77" s="2"/>
      <c r="AD77" s="2" t="s">
        <v>6182</v>
      </c>
      <c r="AE77" s="3" t="s">
        <v>6181</v>
      </c>
      <c r="AF77" s="2"/>
      <c r="AG77" s="1" t="s">
        <v>1582</v>
      </c>
      <c r="AH77" s="1" t="s">
        <v>6185</v>
      </c>
      <c r="AI77" s="2">
        <v>180.0</v>
      </c>
      <c r="AJ77" s="1" t="s">
        <v>1589</v>
      </c>
      <c r="AK77" s="1" t="s">
        <v>5877</v>
      </c>
      <c r="AL77" s="1" t="s">
        <v>5878</v>
      </c>
      <c r="AM77" s="2"/>
      <c r="AN77" s="2"/>
      <c r="AO77" s="2"/>
      <c r="AP77" s="2"/>
      <c r="AQ77" s="2"/>
      <c r="AR77" s="2"/>
      <c r="AS77" s="2"/>
      <c r="AT77" s="2"/>
      <c r="AU77" s="126">
        <v>8000.0</v>
      </c>
      <c r="AV77" s="126">
        <v>9600.0</v>
      </c>
      <c r="AW77" s="2"/>
      <c r="AX77" s="2"/>
      <c r="AY77" s="2"/>
      <c r="AZ77" s="2"/>
      <c r="BA77" s="2"/>
      <c r="BB77" s="2"/>
      <c r="BC77" s="2"/>
      <c r="BD77" s="2"/>
      <c r="BE77" s="2"/>
    </row>
    <row r="78" hidden="1">
      <c r="A78" s="2"/>
      <c r="B78" s="293" t="s">
        <v>6186</v>
      </c>
      <c r="C78" s="11" t="s">
        <v>6187</v>
      </c>
      <c r="D78" s="278">
        <v>180.0</v>
      </c>
      <c r="E78" s="134" t="str">
        <f t="shared" si="2"/>
        <v>iPhone 14 Plus</v>
      </c>
      <c r="F78" s="11" t="s">
        <v>5873</v>
      </c>
      <c r="G78" s="295" t="s">
        <v>6188</v>
      </c>
      <c r="H78" s="296"/>
      <c r="I78" s="156">
        <v>2990.0</v>
      </c>
      <c r="J78" s="301"/>
      <c r="K78" s="296"/>
      <c r="L78" s="139"/>
      <c r="M78" s="301">
        <v>2990.0</v>
      </c>
      <c r="N78" s="284">
        <v>0.4</v>
      </c>
      <c r="O78" s="296">
        <v>4200.0</v>
      </c>
      <c r="P78" s="285">
        <f t="shared" ref="P78:Q78" si="69">O78</f>
        <v>4200</v>
      </c>
      <c r="Q78" s="303">
        <f t="shared" si="69"/>
        <v>4200</v>
      </c>
      <c r="R78" s="299" t="s">
        <v>6189</v>
      </c>
      <c r="S78" s="300">
        <v>46140.381730451394</v>
      </c>
      <c r="T78" s="2"/>
      <c r="U78" s="289">
        <f t="shared" si="4"/>
        <v>1210</v>
      </c>
      <c r="V78" s="304" t="str">
        <f t="shared" ref="V78:V79" si="71">IF(L78&gt;0, Q382 - L78, "нет з/ч")</f>
        <v>нет з/ч</v>
      </c>
      <c r="W78" s="2"/>
      <c r="X78" s="289">
        <v>2990.0</v>
      </c>
      <c r="Y78" s="139"/>
      <c r="Z78" s="2"/>
      <c r="AA78" s="2" t="s">
        <v>6187</v>
      </c>
      <c r="AB78" s="2" t="s">
        <v>6187</v>
      </c>
      <c r="AC78" s="2"/>
      <c r="AD78" s="2" t="s">
        <v>6187</v>
      </c>
      <c r="AE78" s="3" t="s">
        <v>6186</v>
      </c>
      <c r="AF78" s="2"/>
      <c r="AG78" s="1" t="s">
        <v>1582</v>
      </c>
      <c r="AH78" s="1" t="s">
        <v>6185</v>
      </c>
      <c r="AI78" s="2">
        <v>180.0</v>
      </c>
      <c r="AJ78" s="1" t="s">
        <v>1589</v>
      </c>
      <c r="AK78" s="1" t="s">
        <v>5877</v>
      </c>
      <c r="AL78" s="1" t="s">
        <v>5878</v>
      </c>
      <c r="AM78" s="2"/>
      <c r="AN78" s="2"/>
      <c r="AO78" s="2"/>
      <c r="AP78" s="2"/>
      <c r="AQ78" s="2"/>
      <c r="AR78" s="2"/>
      <c r="AS78" s="2"/>
      <c r="AT78" s="2"/>
      <c r="AU78" s="126">
        <v>2990.0</v>
      </c>
      <c r="AV78" s="126">
        <v>4200.0</v>
      </c>
      <c r="AW78" s="2"/>
      <c r="AX78" s="2"/>
      <c r="AY78" s="2"/>
      <c r="AZ78" s="2"/>
      <c r="BA78" s="2"/>
      <c r="BB78" s="2"/>
      <c r="BC78" s="2"/>
      <c r="BD78" s="2"/>
      <c r="BE78" s="2"/>
    </row>
    <row r="79" hidden="1">
      <c r="A79" s="2"/>
      <c r="B79" s="293" t="s">
        <v>6190</v>
      </c>
      <c r="C79" s="61"/>
      <c r="D79" s="278">
        <v>180.0</v>
      </c>
      <c r="E79" s="134" t="str">
        <f t="shared" si="2"/>
        <v>iPhone 14 Plus</v>
      </c>
      <c r="F79" s="11" t="s">
        <v>5873</v>
      </c>
      <c r="G79" s="306"/>
      <c r="H79" s="296"/>
      <c r="I79" s="139"/>
      <c r="J79" s="297"/>
      <c r="K79" s="298"/>
      <c r="L79" s="156">
        <v>2190.0</v>
      </c>
      <c r="M79" s="301">
        <v>2190.0</v>
      </c>
      <c r="N79" s="284">
        <v>0.7</v>
      </c>
      <c r="O79" s="296">
        <v>3700.0</v>
      </c>
      <c r="P79" s="285">
        <f t="shared" ref="P79:Q79" si="70">O79</f>
        <v>3700</v>
      </c>
      <c r="Q79" s="303">
        <f t="shared" si="70"/>
        <v>3700</v>
      </c>
      <c r="R79" s="307"/>
      <c r="S79" s="300">
        <v>46139.7472552199</v>
      </c>
      <c r="T79" s="2"/>
      <c r="U79" s="59" t="str">
        <f t="shared" si="4"/>
        <v>нет з/ч</v>
      </c>
      <c r="V79" s="290">
        <f t="shared" si="71"/>
        <v>-1690</v>
      </c>
      <c r="W79" s="2"/>
      <c r="X79" s="289"/>
      <c r="Y79" s="139">
        <v>2190.0</v>
      </c>
      <c r="Z79" s="2"/>
      <c r="AA79" s="2"/>
      <c r="AB79" s="2"/>
      <c r="AC79" s="2"/>
      <c r="AD79" s="2"/>
      <c r="AE79" s="3" t="s">
        <v>6190</v>
      </c>
      <c r="AF79" s="2"/>
      <c r="AG79" s="1" t="s">
        <v>1582</v>
      </c>
      <c r="AH79" s="1" t="s">
        <v>6185</v>
      </c>
      <c r="AI79" s="2">
        <v>180.0</v>
      </c>
      <c r="AJ79" s="1" t="s">
        <v>1589</v>
      </c>
      <c r="AK79" s="1" t="s">
        <v>5877</v>
      </c>
      <c r="AL79" s="1" t="s">
        <v>5878</v>
      </c>
      <c r="AM79" s="2"/>
      <c r="AN79" s="2"/>
      <c r="AO79" s="2"/>
      <c r="AP79" s="2"/>
      <c r="AQ79" s="2"/>
      <c r="AR79" s="2"/>
      <c r="AS79" s="2"/>
      <c r="AT79" s="2"/>
      <c r="AU79" s="126">
        <v>2190.0</v>
      </c>
      <c r="AV79" s="126">
        <v>3700.0</v>
      </c>
      <c r="AW79" s="2"/>
      <c r="AX79" s="2"/>
      <c r="AY79" s="2"/>
      <c r="AZ79" s="2"/>
      <c r="BA79" s="2"/>
      <c r="BB79" s="2"/>
      <c r="BC79" s="2"/>
      <c r="BD79" s="2"/>
      <c r="BE79" s="2"/>
    </row>
    <row r="80" hidden="1">
      <c r="A80" s="2"/>
      <c r="B80" s="293" t="s">
        <v>6191</v>
      </c>
      <c r="C80" s="11" t="s">
        <v>6192</v>
      </c>
      <c r="D80" s="278">
        <v>180.0</v>
      </c>
      <c r="E80" s="134" t="str">
        <f t="shared" si="2"/>
        <v>iPhone 14 Plus</v>
      </c>
      <c r="F80" s="11" t="s">
        <v>5873</v>
      </c>
      <c r="G80" s="295" t="s">
        <v>6193</v>
      </c>
      <c r="H80" s="296"/>
      <c r="I80" s="156">
        <v>1200.0</v>
      </c>
      <c r="J80" s="297"/>
      <c r="K80" s="298"/>
      <c r="L80" s="156">
        <v>1290.0</v>
      </c>
      <c r="M80" s="301">
        <v>1290.0</v>
      </c>
      <c r="N80" s="284">
        <v>1.11</v>
      </c>
      <c r="O80" s="296">
        <v>2700.0</v>
      </c>
      <c r="P80" s="285">
        <f t="shared" ref="P80:Q80" si="72">O80</f>
        <v>2700</v>
      </c>
      <c r="Q80" s="303">
        <f t="shared" si="72"/>
        <v>2700</v>
      </c>
      <c r="R80" s="299" t="s">
        <v>6194</v>
      </c>
      <c r="S80" s="300">
        <v>46140.3817518287</v>
      </c>
      <c r="T80" s="2"/>
      <c r="U80" s="289">
        <f t="shared" si="4"/>
        <v>1500</v>
      </c>
      <c r="V80" s="290">
        <f>IF(L80&gt;0, Q387 - L80, "нет з/ч")</f>
        <v>-790</v>
      </c>
      <c r="W80" s="2"/>
      <c r="X80" s="289">
        <v>1200.0</v>
      </c>
      <c r="Y80" s="139">
        <v>1290.0</v>
      </c>
      <c r="Z80" s="2"/>
      <c r="AA80" s="2" t="s">
        <v>6192</v>
      </c>
      <c r="AB80" s="2" t="s">
        <v>6192</v>
      </c>
      <c r="AC80" s="2"/>
      <c r="AD80" s="2" t="s">
        <v>6192</v>
      </c>
      <c r="AE80" s="3" t="s">
        <v>6191</v>
      </c>
      <c r="AF80" s="2"/>
      <c r="AG80" s="1" t="s">
        <v>1582</v>
      </c>
      <c r="AH80" s="1" t="s">
        <v>6185</v>
      </c>
      <c r="AI80" s="2">
        <v>180.0</v>
      </c>
      <c r="AJ80" s="1" t="s">
        <v>1589</v>
      </c>
      <c r="AK80" s="1" t="s">
        <v>5877</v>
      </c>
      <c r="AL80" s="1" t="s">
        <v>5878</v>
      </c>
      <c r="AM80" s="2"/>
      <c r="AN80" s="2"/>
      <c r="AO80" s="2"/>
      <c r="AP80" s="2"/>
      <c r="AQ80" s="2"/>
      <c r="AR80" s="2"/>
      <c r="AS80" s="2"/>
      <c r="AT80" s="2"/>
      <c r="AU80" s="126">
        <v>1290.0</v>
      </c>
      <c r="AV80" s="126">
        <v>2700.0</v>
      </c>
      <c r="AW80" s="2"/>
      <c r="AX80" s="2"/>
      <c r="AY80" s="2"/>
      <c r="AZ80" s="2"/>
      <c r="BA80" s="2"/>
      <c r="BB80" s="2"/>
      <c r="BC80" s="2"/>
      <c r="BD80" s="2"/>
      <c r="BE80" s="2"/>
    </row>
    <row r="81" hidden="1">
      <c r="A81" s="2"/>
      <c r="B81" s="293" t="s">
        <v>6195</v>
      </c>
      <c r="C81" s="11" t="s">
        <v>6196</v>
      </c>
      <c r="D81" s="278">
        <v>180.0</v>
      </c>
      <c r="E81" s="134" t="str">
        <f t="shared" si="2"/>
        <v>iPhone 14 Plus</v>
      </c>
      <c r="F81" s="11" t="s">
        <v>5873</v>
      </c>
      <c r="G81" s="295" t="s">
        <v>6197</v>
      </c>
      <c r="H81" s="296"/>
      <c r="I81" s="156">
        <v>1050.0</v>
      </c>
      <c r="J81" s="297"/>
      <c r="K81" s="298"/>
      <c r="L81" s="156"/>
      <c r="M81" s="301">
        <v>1050.0</v>
      </c>
      <c r="N81" s="284">
        <v>1.1</v>
      </c>
      <c r="O81" s="296">
        <v>2200.0</v>
      </c>
      <c r="P81" s="302">
        <f t="shared" ref="P81:Q81" si="73">O81</f>
        <v>2200</v>
      </c>
      <c r="Q81" s="303">
        <f t="shared" si="73"/>
        <v>2200</v>
      </c>
      <c r="R81" s="299" t="s">
        <v>6198</v>
      </c>
      <c r="S81" s="300">
        <v>46140.38177127315</v>
      </c>
      <c r="T81" s="2"/>
      <c r="U81" s="289">
        <f t="shared" si="4"/>
        <v>1150</v>
      </c>
      <c r="V81" s="304" t="str">
        <f>IF(L81&gt;0, #REF! - L81, "нет з/ч")</f>
        <v>нет з/ч</v>
      </c>
      <c r="W81" s="2"/>
      <c r="X81" s="289">
        <v>1050.0</v>
      </c>
      <c r="Y81" s="139"/>
      <c r="Z81" s="2"/>
      <c r="AA81" s="2" t="s">
        <v>6196</v>
      </c>
      <c r="AB81" s="2" t="s">
        <v>6196</v>
      </c>
      <c r="AC81" s="2"/>
      <c r="AD81" s="2" t="s">
        <v>6196</v>
      </c>
      <c r="AE81" s="3" t="s">
        <v>6195</v>
      </c>
      <c r="AF81" s="2"/>
      <c r="AG81" s="1" t="s">
        <v>1582</v>
      </c>
      <c r="AH81" s="1" t="s">
        <v>6185</v>
      </c>
      <c r="AI81" s="2">
        <v>180.0</v>
      </c>
      <c r="AJ81" s="1" t="s">
        <v>1589</v>
      </c>
      <c r="AK81" s="1" t="s">
        <v>5877</v>
      </c>
      <c r="AL81" s="1" t="s">
        <v>5878</v>
      </c>
      <c r="AM81" s="2"/>
      <c r="AN81" s="2"/>
      <c r="AO81" s="2"/>
      <c r="AP81" s="2"/>
      <c r="AQ81" s="2"/>
      <c r="AR81" s="2"/>
      <c r="AS81" s="2"/>
      <c r="AT81" s="2"/>
      <c r="AU81" s="126">
        <v>1050.0</v>
      </c>
      <c r="AV81" s="126">
        <v>2200.0</v>
      </c>
      <c r="AW81" s="2"/>
      <c r="AX81" s="2"/>
      <c r="AY81" s="2"/>
      <c r="AZ81" s="2"/>
      <c r="BA81" s="2"/>
      <c r="BB81" s="2"/>
      <c r="BC81" s="2"/>
      <c r="BD81" s="2"/>
      <c r="BE81" s="2"/>
    </row>
    <row r="82" hidden="1">
      <c r="A82" s="2"/>
      <c r="B82" s="293" t="s">
        <v>6199</v>
      </c>
      <c r="C82" s="11" t="s">
        <v>6200</v>
      </c>
      <c r="D82" s="278">
        <v>180.0</v>
      </c>
      <c r="E82" s="134" t="str">
        <f t="shared" si="2"/>
        <v>iPhone 14 Plus</v>
      </c>
      <c r="F82" s="11" t="s">
        <v>5873</v>
      </c>
      <c r="G82" s="306"/>
      <c r="H82" s="296"/>
      <c r="I82" s="139"/>
      <c r="J82" s="297"/>
      <c r="K82" s="298"/>
      <c r="L82" s="156"/>
      <c r="M82" s="301" t="s">
        <v>22</v>
      </c>
      <c r="N82" s="284">
        <v>0.12</v>
      </c>
      <c r="O82" s="296" t="s">
        <v>22</v>
      </c>
      <c r="P82" s="67"/>
      <c r="Q82" s="303">
        <f>P81</f>
        <v>2200</v>
      </c>
      <c r="R82" s="307"/>
      <c r="S82" s="300">
        <v>46139.74740688657</v>
      </c>
      <c r="T82" s="2"/>
      <c r="U82" s="59" t="str">
        <f t="shared" si="4"/>
        <v>нет з/ч</v>
      </c>
      <c r="V82" s="304" t="str">
        <f>IF(L82&gt;0, Q389 - L82, "нет з/ч")</f>
        <v>нет з/ч</v>
      </c>
      <c r="W82" s="2"/>
      <c r="X82" s="289"/>
      <c r="Y82" s="139"/>
      <c r="Z82" s="2"/>
      <c r="AA82" s="2" t="s">
        <v>6200</v>
      </c>
      <c r="AB82" s="2" t="s">
        <v>6200</v>
      </c>
      <c r="AC82" s="2"/>
      <c r="AD82" s="2" t="s">
        <v>6200</v>
      </c>
      <c r="AE82" s="3" t="s">
        <v>6199</v>
      </c>
      <c r="AF82" s="2"/>
      <c r="AG82" s="1" t="s">
        <v>1582</v>
      </c>
      <c r="AH82" s="1" t="s">
        <v>6185</v>
      </c>
      <c r="AI82" s="2">
        <v>180.0</v>
      </c>
      <c r="AJ82" s="1" t="s">
        <v>1589</v>
      </c>
      <c r="AK82" s="1" t="s">
        <v>5877</v>
      </c>
      <c r="AL82" s="1" t="s">
        <v>5878</v>
      </c>
      <c r="AM82" s="2"/>
      <c r="AN82" s="2"/>
      <c r="AO82" s="2"/>
      <c r="AP82" s="2"/>
      <c r="AQ82" s="2"/>
      <c r="AR82" s="2"/>
      <c r="AS82" s="2"/>
      <c r="AT82" s="2"/>
      <c r="AU82" s="126" t="s">
        <v>22</v>
      </c>
      <c r="AV82" s="126">
        <v>2200.0</v>
      </c>
      <c r="AW82" s="2"/>
      <c r="AX82" s="2"/>
      <c r="AY82" s="2"/>
      <c r="AZ82" s="2"/>
      <c r="BA82" s="2"/>
      <c r="BB82" s="2"/>
      <c r="BC82" s="2"/>
      <c r="BD82" s="2"/>
      <c r="BE82" s="2"/>
    </row>
    <row r="83" hidden="1">
      <c r="A83" s="2"/>
      <c r="B83" s="293" t="s">
        <v>6201</v>
      </c>
      <c r="C83" s="11" t="s">
        <v>6202</v>
      </c>
      <c r="D83" s="278">
        <v>180.0</v>
      </c>
      <c r="E83" s="134" t="str">
        <f t="shared" si="2"/>
        <v>iPhone 14 Pro</v>
      </c>
      <c r="F83" s="11" t="s">
        <v>5873</v>
      </c>
      <c r="G83" s="295" t="s">
        <v>6203</v>
      </c>
      <c r="H83" s="296"/>
      <c r="I83" s="156">
        <v>8000.0</v>
      </c>
      <c r="J83" s="297"/>
      <c r="K83" s="298"/>
      <c r="L83" s="156"/>
      <c r="M83" s="301">
        <v>8000.0</v>
      </c>
      <c r="N83" s="284">
        <v>0.2</v>
      </c>
      <c r="O83" s="296">
        <v>9600.0</v>
      </c>
      <c r="P83" s="285">
        <f t="shared" ref="P83:Q83" si="74">O83</f>
        <v>9600</v>
      </c>
      <c r="Q83" s="303">
        <f t="shared" si="74"/>
        <v>9600</v>
      </c>
      <c r="R83" s="299" t="s">
        <v>6204</v>
      </c>
      <c r="S83" s="300">
        <v>46140.38179133102</v>
      </c>
      <c r="T83" s="2"/>
      <c r="U83" s="289">
        <f t="shared" si="4"/>
        <v>1600</v>
      </c>
      <c r="V83" s="304" t="str">
        <f>IF(L83&gt;0, Q393 - L83, "нет з/ч")</f>
        <v>нет з/ч</v>
      </c>
      <c r="W83" s="2"/>
      <c r="X83" s="289">
        <v>8000.0</v>
      </c>
      <c r="Y83" s="139"/>
      <c r="Z83" s="2"/>
      <c r="AA83" s="2" t="s">
        <v>6202</v>
      </c>
      <c r="AB83" s="2" t="s">
        <v>6202</v>
      </c>
      <c r="AC83" s="2"/>
      <c r="AD83" s="2" t="s">
        <v>6202</v>
      </c>
      <c r="AE83" s="3" t="s">
        <v>6201</v>
      </c>
      <c r="AF83" s="2"/>
      <c r="AG83" s="1" t="s">
        <v>1582</v>
      </c>
      <c r="AH83" s="1" t="s">
        <v>6205</v>
      </c>
      <c r="AI83" s="2">
        <v>180.0</v>
      </c>
      <c r="AJ83" s="1" t="s">
        <v>1589</v>
      </c>
      <c r="AK83" s="1" t="s">
        <v>5877</v>
      </c>
      <c r="AL83" s="1" t="s">
        <v>5878</v>
      </c>
      <c r="AM83" s="2"/>
      <c r="AN83" s="2"/>
      <c r="AO83" s="2"/>
      <c r="AP83" s="2"/>
      <c r="AQ83" s="2"/>
      <c r="AR83" s="2"/>
      <c r="AS83" s="2"/>
      <c r="AT83" s="2"/>
      <c r="AU83" s="126">
        <v>8000.0</v>
      </c>
      <c r="AV83" s="126">
        <v>9600.0</v>
      </c>
      <c r="AW83" s="2"/>
      <c r="AX83" s="2"/>
      <c r="AY83" s="2"/>
      <c r="AZ83" s="2"/>
      <c r="BA83" s="2"/>
      <c r="BB83" s="2"/>
      <c r="BC83" s="2"/>
      <c r="BD83" s="2"/>
      <c r="BE83" s="2"/>
    </row>
    <row r="84" hidden="1">
      <c r="A84" s="2"/>
      <c r="B84" s="293" t="s">
        <v>6206</v>
      </c>
      <c r="C84" s="11" t="s">
        <v>6207</v>
      </c>
      <c r="D84" s="278">
        <v>180.0</v>
      </c>
      <c r="E84" s="134" t="str">
        <f t="shared" si="2"/>
        <v>iPhone 14 Pro</v>
      </c>
      <c r="F84" s="11" t="s">
        <v>5873</v>
      </c>
      <c r="G84" s="295" t="s">
        <v>6208</v>
      </c>
      <c r="H84" s="296"/>
      <c r="I84" s="156">
        <v>3800.0</v>
      </c>
      <c r="J84" s="301"/>
      <c r="K84" s="296"/>
      <c r="L84" s="139"/>
      <c r="M84" s="301">
        <v>3800.0</v>
      </c>
      <c r="N84" s="284">
        <v>0.16</v>
      </c>
      <c r="O84" s="296">
        <v>4400.0</v>
      </c>
      <c r="P84" s="285">
        <f t="shared" ref="P84:Q84" si="75">O84</f>
        <v>4400</v>
      </c>
      <c r="Q84" s="303">
        <f t="shared" si="75"/>
        <v>4400</v>
      </c>
      <c r="R84" s="299" t="s">
        <v>6209</v>
      </c>
      <c r="S84" s="300">
        <v>46140.38181274306</v>
      </c>
      <c r="T84" s="2"/>
      <c r="U84" s="289">
        <f t="shared" si="4"/>
        <v>600</v>
      </c>
      <c r="V84" s="304" t="str">
        <f t="shared" ref="V84:V85" si="77">IF(L84&gt;0, #REF! - L84, "нет з/ч")</f>
        <v>нет з/ч</v>
      </c>
      <c r="W84" s="2"/>
      <c r="X84" s="289">
        <v>3800.0</v>
      </c>
      <c r="Y84" s="139"/>
      <c r="Z84" s="2"/>
      <c r="AA84" s="2" t="s">
        <v>6207</v>
      </c>
      <c r="AB84" s="2" t="s">
        <v>6207</v>
      </c>
      <c r="AC84" s="2"/>
      <c r="AD84" s="2" t="s">
        <v>6207</v>
      </c>
      <c r="AE84" s="3" t="s">
        <v>6206</v>
      </c>
      <c r="AF84" s="2"/>
      <c r="AG84" s="1" t="s">
        <v>1582</v>
      </c>
      <c r="AH84" s="1" t="s">
        <v>6205</v>
      </c>
      <c r="AI84" s="2">
        <v>180.0</v>
      </c>
      <c r="AJ84" s="1" t="s">
        <v>1589</v>
      </c>
      <c r="AK84" s="1" t="s">
        <v>5877</v>
      </c>
      <c r="AL84" s="1" t="s">
        <v>5878</v>
      </c>
      <c r="AM84" s="2"/>
      <c r="AN84" s="2"/>
      <c r="AO84" s="2"/>
      <c r="AP84" s="2"/>
      <c r="AQ84" s="2"/>
      <c r="AR84" s="2"/>
      <c r="AS84" s="2"/>
      <c r="AT84" s="2"/>
      <c r="AU84" s="126">
        <v>3800.0</v>
      </c>
      <c r="AV84" s="126">
        <v>4400.0</v>
      </c>
      <c r="AW84" s="2"/>
      <c r="AX84" s="2"/>
      <c r="AY84" s="2"/>
      <c r="AZ84" s="2"/>
      <c r="BA84" s="2"/>
      <c r="BB84" s="2"/>
      <c r="BC84" s="2"/>
      <c r="BD84" s="2"/>
      <c r="BE84" s="2"/>
    </row>
    <row r="85" hidden="1">
      <c r="A85" s="2"/>
      <c r="B85" s="293" t="s">
        <v>6210</v>
      </c>
      <c r="C85" s="61"/>
      <c r="D85" s="278">
        <v>180.0</v>
      </c>
      <c r="E85" s="134" t="str">
        <f t="shared" si="2"/>
        <v>iPhone 14 Pro</v>
      </c>
      <c r="F85" s="11" t="s">
        <v>5873</v>
      </c>
      <c r="G85" s="295" t="s">
        <v>6211</v>
      </c>
      <c r="H85" s="296"/>
      <c r="I85" s="156">
        <v>2500.0</v>
      </c>
      <c r="J85" s="297"/>
      <c r="K85" s="298"/>
      <c r="L85" s="156">
        <v>2590.0</v>
      </c>
      <c r="M85" s="301">
        <v>2590.0</v>
      </c>
      <c r="N85" s="284">
        <v>0.5</v>
      </c>
      <c r="O85" s="296">
        <v>3900.0</v>
      </c>
      <c r="P85" s="285">
        <f t="shared" ref="P85:Q85" si="76">O85</f>
        <v>3900</v>
      </c>
      <c r="Q85" s="303">
        <f t="shared" si="76"/>
        <v>3900</v>
      </c>
      <c r="R85" s="299" t="s">
        <v>6212</v>
      </c>
      <c r="S85" s="300">
        <v>46140.38183221065</v>
      </c>
      <c r="T85" s="2"/>
      <c r="U85" s="289">
        <f t="shared" si="4"/>
        <v>1400</v>
      </c>
      <c r="V85" s="304" t="str">
        <f t="shared" si="77"/>
        <v>#REF!</v>
      </c>
      <c r="W85" s="2"/>
      <c r="X85" s="289">
        <v>2500.0</v>
      </c>
      <c r="Y85" s="139">
        <v>2590.0</v>
      </c>
      <c r="Z85" s="2"/>
      <c r="AA85" s="2"/>
      <c r="AB85" s="2"/>
      <c r="AC85" s="2"/>
      <c r="AD85" s="2"/>
      <c r="AE85" s="3" t="s">
        <v>6210</v>
      </c>
      <c r="AF85" s="2"/>
      <c r="AG85" s="1" t="s">
        <v>1582</v>
      </c>
      <c r="AH85" s="1" t="s">
        <v>6205</v>
      </c>
      <c r="AI85" s="2">
        <v>180.0</v>
      </c>
      <c r="AJ85" s="1" t="s">
        <v>1589</v>
      </c>
      <c r="AK85" s="1" t="s">
        <v>5877</v>
      </c>
      <c r="AL85" s="1" t="s">
        <v>5878</v>
      </c>
      <c r="AM85" s="2"/>
      <c r="AN85" s="2"/>
      <c r="AO85" s="2"/>
      <c r="AP85" s="2"/>
      <c r="AQ85" s="2"/>
      <c r="AR85" s="2"/>
      <c r="AS85" s="2"/>
      <c r="AT85" s="2"/>
      <c r="AU85" s="126">
        <v>2590.0</v>
      </c>
      <c r="AV85" s="126">
        <v>3900.0</v>
      </c>
      <c r="AW85" s="2"/>
      <c r="AX85" s="2"/>
      <c r="AY85" s="2"/>
      <c r="AZ85" s="2"/>
      <c r="BA85" s="2"/>
      <c r="BB85" s="2"/>
      <c r="BC85" s="2"/>
      <c r="BD85" s="2"/>
      <c r="BE85" s="2"/>
    </row>
    <row r="86" hidden="1">
      <c r="A86" s="2"/>
      <c r="B86" s="293" t="s">
        <v>6213</v>
      </c>
      <c r="C86" s="11" t="s">
        <v>6214</v>
      </c>
      <c r="D86" s="278">
        <v>180.0</v>
      </c>
      <c r="E86" s="134" t="str">
        <f t="shared" si="2"/>
        <v>iPhone 14 Pro</v>
      </c>
      <c r="F86" s="11" t="s">
        <v>5873</v>
      </c>
      <c r="G86" s="295" t="s">
        <v>6215</v>
      </c>
      <c r="H86" s="296"/>
      <c r="I86" s="156">
        <v>1350.0</v>
      </c>
      <c r="J86" s="297"/>
      <c r="K86" s="298"/>
      <c r="L86" s="156">
        <v>1390.0</v>
      </c>
      <c r="M86" s="301">
        <v>1390.0</v>
      </c>
      <c r="N86" s="284">
        <v>1.1</v>
      </c>
      <c r="O86" s="296">
        <v>2900.0</v>
      </c>
      <c r="P86" s="285">
        <f t="shared" ref="P86:Q86" si="78">O86</f>
        <v>2900</v>
      </c>
      <c r="Q86" s="303">
        <f t="shared" si="78"/>
        <v>2900</v>
      </c>
      <c r="R86" s="299" t="s">
        <v>6216</v>
      </c>
      <c r="S86" s="300">
        <v>46140.38185689815</v>
      </c>
      <c r="T86" s="2"/>
      <c r="U86" s="289">
        <f t="shared" si="4"/>
        <v>1550</v>
      </c>
      <c r="V86" s="290">
        <f>IF(L86&gt;0, Q395 - L86, "нет з/ч")</f>
        <v>-690</v>
      </c>
      <c r="W86" s="2"/>
      <c r="X86" s="289">
        <v>1350.0</v>
      </c>
      <c r="Y86" s="139">
        <v>1390.0</v>
      </c>
      <c r="Z86" s="2"/>
      <c r="AA86" s="2" t="s">
        <v>6214</v>
      </c>
      <c r="AB86" s="2" t="s">
        <v>6214</v>
      </c>
      <c r="AC86" s="2"/>
      <c r="AD86" s="2" t="s">
        <v>6214</v>
      </c>
      <c r="AE86" s="3" t="s">
        <v>6213</v>
      </c>
      <c r="AF86" s="2"/>
      <c r="AG86" s="1" t="s">
        <v>1582</v>
      </c>
      <c r="AH86" s="1" t="s">
        <v>6205</v>
      </c>
      <c r="AI86" s="2">
        <v>180.0</v>
      </c>
      <c r="AJ86" s="1" t="s">
        <v>1589</v>
      </c>
      <c r="AK86" s="1" t="s">
        <v>5877</v>
      </c>
      <c r="AL86" s="1" t="s">
        <v>5878</v>
      </c>
      <c r="AM86" s="2"/>
      <c r="AN86" s="2"/>
      <c r="AO86" s="2"/>
      <c r="AP86" s="2"/>
      <c r="AQ86" s="2"/>
      <c r="AR86" s="2"/>
      <c r="AS86" s="2"/>
      <c r="AT86" s="2"/>
      <c r="AU86" s="126">
        <v>1390.0</v>
      </c>
      <c r="AV86" s="126">
        <v>2900.0</v>
      </c>
      <c r="AW86" s="2"/>
      <c r="AX86" s="2"/>
      <c r="AY86" s="2"/>
      <c r="AZ86" s="2"/>
      <c r="BA86" s="2"/>
      <c r="BB86" s="2"/>
      <c r="BC86" s="2"/>
      <c r="BD86" s="2"/>
      <c r="BE86" s="2"/>
    </row>
    <row r="87" hidden="1">
      <c r="A87" s="2"/>
      <c r="B87" s="293" t="s">
        <v>6217</v>
      </c>
      <c r="C87" s="11" t="s">
        <v>6218</v>
      </c>
      <c r="D87" s="278">
        <v>180.0</v>
      </c>
      <c r="E87" s="134" t="str">
        <f t="shared" si="2"/>
        <v>iPhone 14 Pro</v>
      </c>
      <c r="F87" s="11" t="s">
        <v>5873</v>
      </c>
      <c r="G87" s="295" t="s">
        <v>6219</v>
      </c>
      <c r="H87" s="296"/>
      <c r="I87" s="156">
        <v>1070.0</v>
      </c>
      <c r="J87" s="297"/>
      <c r="K87" s="298"/>
      <c r="L87" s="156">
        <v>1090.0</v>
      </c>
      <c r="M87" s="301">
        <v>1090.0</v>
      </c>
      <c r="N87" s="284">
        <v>1.2</v>
      </c>
      <c r="O87" s="296">
        <v>2400.0</v>
      </c>
      <c r="P87" s="302">
        <f t="shared" ref="P87:Q87" si="79">O87</f>
        <v>2400</v>
      </c>
      <c r="Q87" s="303">
        <f t="shared" si="79"/>
        <v>2400</v>
      </c>
      <c r="R87" s="299" t="s">
        <v>6220</v>
      </c>
      <c r="S87" s="300">
        <v>46140.38187744213</v>
      </c>
      <c r="T87" s="2"/>
      <c r="U87" s="289">
        <f t="shared" si="4"/>
        <v>1330</v>
      </c>
      <c r="V87" s="304" t="str">
        <f>IF(L87&gt;0, #REF! - L87, "нет з/ч")</f>
        <v>#REF!</v>
      </c>
      <c r="W87" s="2"/>
      <c r="X87" s="289">
        <v>1070.0</v>
      </c>
      <c r="Y87" s="139">
        <v>1090.0</v>
      </c>
      <c r="Z87" s="2"/>
      <c r="AA87" s="2" t="s">
        <v>6218</v>
      </c>
      <c r="AB87" s="2" t="s">
        <v>6218</v>
      </c>
      <c r="AC87" s="2"/>
      <c r="AD87" s="2" t="s">
        <v>6218</v>
      </c>
      <c r="AE87" s="3" t="s">
        <v>6217</v>
      </c>
      <c r="AF87" s="2"/>
      <c r="AG87" s="1" t="s">
        <v>1582</v>
      </c>
      <c r="AH87" s="1" t="s">
        <v>6205</v>
      </c>
      <c r="AI87" s="2">
        <v>180.0</v>
      </c>
      <c r="AJ87" s="1" t="s">
        <v>1589</v>
      </c>
      <c r="AK87" s="1" t="s">
        <v>5877</v>
      </c>
      <c r="AL87" s="1" t="s">
        <v>5878</v>
      </c>
      <c r="AM87" s="2"/>
      <c r="AN87" s="2"/>
      <c r="AO87" s="2"/>
      <c r="AP87" s="2"/>
      <c r="AQ87" s="2"/>
      <c r="AR87" s="2"/>
      <c r="AS87" s="2"/>
      <c r="AT87" s="2"/>
      <c r="AU87" s="126">
        <v>1090.0</v>
      </c>
      <c r="AV87" s="126">
        <v>2400.0</v>
      </c>
      <c r="AW87" s="2"/>
      <c r="AX87" s="2"/>
      <c r="AY87" s="2"/>
      <c r="AZ87" s="2"/>
      <c r="BA87" s="2"/>
      <c r="BB87" s="2"/>
      <c r="BC87" s="2"/>
      <c r="BD87" s="2"/>
      <c r="BE87" s="2"/>
    </row>
    <row r="88" hidden="1">
      <c r="A88" s="2"/>
      <c r="B88" s="293" t="s">
        <v>6221</v>
      </c>
      <c r="C88" s="11" t="s">
        <v>6222</v>
      </c>
      <c r="D88" s="278">
        <v>180.0</v>
      </c>
      <c r="E88" s="134" t="str">
        <f t="shared" si="2"/>
        <v>iPhone 14 Pro</v>
      </c>
      <c r="F88" s="11" t="s">
        <v>5873</v>
      </c>
      <c r="G88" s="295" t="s">
        <v>6223</v>
      </c>
      <c r="H88" s="296"/>
      <c r="I88" s="156">
        <v>790.0</v>
      </c>
      <c r="J88" s="297"/>
      <c r="K88" s="298"/>
      <c r="L88" s="156"/>
      <c r="M88" s="301">
        <v>790.0</v>
      </c>
      <c r="N88" s="284">
        <v>0.12</v>
      </c>
      <c r="O88" s="296">
        <v>900.0</v>
      </c>
      <c r="P88" s="67"/>
      <c r="Q88" s="303">
        <f>P87</f>
        <v>2400</v>
      </c>
      <c r="R88" s="299" t="s">
        <v>6224</v>
      </c>
      <c r="S88" s="300">
        <v>46140.38189739583</v>
      </c>
      <c r="T88" s="2"/>
      <c r="U88" s="289">
        <f t="shared" si="4"/>
        <v>1610</v>
      </c>
      <c r="V88" s="304" t="str">
        <f>IF(L88&gt;0, Q400 - L88, "нет з/ч")</f>
        <v>нет з/ч</v>
      </c>
      <c r="W88" s="2"/>
      <c r="X88" s="289">
        <v>790.0</v>
      </c>
      <c r="Y88" s="139"/>
      <c r="Z88" s="2"/>
      <c r="AA88" s="2" t="s">
        <v>6222</v>
      </c>
      <c r="AB88" s="2" t="s">
        <v>6222</v>
      </c>
      <c r="AC88" s="2"/>
      <c r="AD88" s="2" t="s">
        <v>6222</v>
      </c>
      <c r="AE88" s="3" t="s">
        <v>6221</v>
      </c>
      <c r="AF88" s="2"/>
      <c r="AG88" s="1" t="s">
        <v>1582</v>
      </c>
      <c r="AH88" s="1" t="s">
        <v>6205</v>
      </c>
      <c r="AI88" s="2">
        <v>180.0</v>
      </c>
      <c r="AJ88" s="1" t="s">
        <v>1589</v>
      </c>
      <c r="AK88" s="1" t="s">
        <v>5877</v>
      </c>
      <c r="AL88" s="1" t="s">
        <v>5878</v>
      </c>
      <c r="AM88" s="2"/>
      <c r="AN88" s="2"/>
      <c r="AO88" s="2"/>
      <c r="AP88" s="2"/>
      <c r="AQ88" s="2"/>
      <c r="AR88" s="2"/>
      <c r="AS88" s="2"/>
      <c r="AT88" s="2"/>
      <c r="AU88" s="126">
        <v>790.0</v>
      </c>
      <c r="AV88" s="126">
        <v>2400.0</v>
      </c>
      <c r="AW88" s="2"/>
      <c r="AX88" s="2"/>
      <c r="AY88" s="2"/>
      <c r="AZ88" s="2"/>
      <c r="BA88" s="2"/>
      <c r="BB88" s="2"/>
      <c r="BC88" s="2"/>
      <c r="BD88" s="2"/>
      <c r="BE88" s="2"/>
    </row>
    <row r="89" hidden="1">
      <c r="A89" s="2"/>
      <c r="B89" s="293" t="s">
        <v>6225</v>
      </c>
      <c r="C89" s="11" t="s">
        <v>6226</v>
      </c>
      <c r="D89" s="278">
        <v>180.0</v>
      </c>
      <c r="E89" s="134" t="str">
        <f t="shared" si="2"/>
        <v>iPhone 14 Pro Max</v>
      </c>
      <c r="F89" s="11" t="s">
        <v>5873</v>
      </c>
      <c r="G89" s="295" t="s">
        <v>6227</v>
      </c>
      <c r="H89" s="296"/>
      <c r="I89" s="156">
        <v>8000.0</v>
      </c>
      <c r="J89" s="297"/>
      <c r="K89" s="298"/>
      <c r="L89" s="156"/>
      <c r="M89" s="301">
        <v>8000.0</v>
      </c>
      <c r="N89" s="284">
        <v>0.2</v>
      </c>
      <c r="O89" s="296">
        <v>9600.0</v>
      </c>
      <c r="P89" s="285">
        <f t="shared" ref="P89:Q89" si="80">O89</f>
        <v>9600</v>
      </c>
      <c r="Q89" s="303">
        <f t="shared" si="80"/>
        <v>9600</v>
      </c>
      <c r="R89" s="299" t="s">
        <v>6228</v>
      </c>
      <c r="S89" s="300">
        <v>46140.381930891206</v>
      </c>
      <c r="T89" s="2"/>
      <c r="U89" s="289">
        <f t="shared" si="4"/>
        <v>1600</v>
      </c>
      <c r="V89" s="304" t="str">
        <f t="shared" ref="V89:V91" si="82">IF(L89&gt;0, Q405 - L89, "нет з/ч")</f>
        <v>нет з/ч</v>
      </c>
      <c r="W89" s="2"/>
      <c r="X89" s="289">
        <v>8000.0</v>
      </c>
      <c r="Y89" s="139"/>
      <c r="Z89" s="2"/>
      <c r="AA89" s="2" t="s">
        <v>6226</v>
      </c>
      <c r="AB89" s="2" t="s">
        <v>6226</v>
      </c>
      <c r="AC89" s="2"/>
      <c r="AD89" s="2" t="s">
        <v>6226</v>
      </c>
      <c r="AE89" s="3" t="s">
        <v>6225</v>
      </c>
      <c r="AF89" s="2"/>
      <c r="AG89" s="1" t="s">
        <v>1582</v>
      </c>
      <c r="AH89" s="1" t="s">
        <v>6229</v>
      </c>
      <c r="AI89" s="2">
        <v>180.0</v>
      </c>
      <c r="AJ89" s="1" t="s">
        <v>1589</v>
      </c>
      <c r="AK89" s="1" t="s">
        <v>5877</v>
      </c>
      <c r="AL89" s="1" t="s">
        <v>5878</v>
      </c>
      <c r="AM89" s="2"/>
      <c r="AN89" s="2"/>
      <c r="AO89" s="2"/>
      <c r="AP89" s="2"/>
      <c r="AQ89" s="2"/>
      <c r="AR89" s="2"/>
      <c r="AS89" s="2"/>
      <c r="AT89" s="2"/>
      <c r="AU89" s="126">
        <v>8000.0</v>
      </c>
      <c r="AV89" s="126">
        <v>9600.0</v>
      </c>
      <c r="AW89" s="2"/>
      <c r="AX89" s="2"/>
      <c r="AY89" s="2"/>
      <c r="AZ89" s="2"/>
      <c r="BA89" s="2"/>
      <c r="BB89" s="2"/>
      <c r="BC89" s="2"/>
      <c r="BD89" s="2"/>
      <c r="BE89" s="2"/>
    </row>
    <row r="90" hidden="1">
      <c r="A90" s="2"/>
      <c r="B90" s="293" t="s">
        <v>6230</v>
      </c>
      <c r="C90" s="11" t="s">
        <v>6231</v>
      </c>
      <c r="D90" s="278">
        <v>180.0</v>
      </c>
      <c r="E90" s="134" t="str">
        <f t="shared" si="2"/>
        <v>iPhone 14 Pro Max</v>
      </c>
      <c r="F90" s="11" t="s">
        <v>5873</v>
      </c>
      <c r="G90" s="295" t="s">
        <v>6232</v>
      </c>
      <c r="H90" s="296"/>
      <c r="I90" s="156">
        <v>4000.0</v>
      </c>
      <c r="J90" s="301"/>
      <c r="K90" s="296"/>
      <c r="L90" s="139"/>
      <c r="M90" s="301">
        <v>4000.0</v>
      </c>
      <c r="N90" s="284">
        <v>0.12</v>
      </c>
      <c r="O90" s="296">
        <v>4500.0</v>
      </c>
      <c r="P90" s="285">
        <f t="shared" ref="P90:Q90" si="81">O90</f>
        <v>4500</v>
      </c>
      <c r="Q90" s="303">
        <f t="shared" si="81"/>
        <v>4500</v>
      </c>
      <c r="R90" s="299" t="s">
        <v>6233</v>
      </c>
      <c r="S90" s="300">
        <v>46140.381954745375</v>
      </c>
      <c r="T90" s="2"/>
      <c r="U90" s="289">
        <f t="shared" si="4"/>
        <v>500</v>
      </c>
      <c r="V90" s="304" t="str">
        <f t="shared" si="82"/>
        <v>нет з/ч</v>
      </c>
      <c r="W90" s="2"/>
      <c r="X90" s="289">
        <v>4000.0</v>
      </c>
      <c r="Y90" s="139"/>
      <c r="Z90" s="2"/>
      <c r="AA90" s="2" t="s">
        <v>6231</v>
      </c>
      <c r="AB90" s="2" t="s">
        <v>6231</v>
      </c>
      <c r="AC90" s="2"/>
      <c r="AD90" s="2" t="s">
        <v>6231</v>
      </c>
      <c r="AE90" s="3" t="s">
        <v>6230</v>
      </c>
      <c r="AF90" s="2"/>
      <c r="AG90" s="1" t="s">
        <v>1582</v>
      </c>
      <c r="AH90" s="1" t="s">
        <v>6229</v>
      </c>
      <c r="AI90" s="2">
        <v>180.0</v>
      </c>
      <c r="AJ90" s="1" t="s">
        <v>1589</v>
      </c>
      <c r="AK90" s="1" t="s">
        <v>5877</v>
      </c>
      <c r="AL90" s="1" t="s">
        <v>5878</v>
      </c>
      <c r="AM90" s="2"/>
      <c r="AN90" s="2"/>
      <c r="AO90" s="2"/>
      <c r="AP90" s="2"/>
      <c r="AQ90" s="2"/>
      <c r="AR90" s="2"/>
      <c r="AS90" s="2"/>
      <c r="AT90" s="2"/>
      <c r="AU90" s="126">
        <v>4000.0</v>
      </c>
      <c r="AV90" s="126">
        <v>4500.0</v>
      </c>
      <c r="AW90" s="2"/>
      <c r="AX90" s="2"/>
      <c r="AY90" s="2"/>
      <c r="AZ90" s="2"/>
      <c r="BA90" s="2"/>
      <c r="BB90" s="2"/>
      <c r="BC90" s="2"/>
      <c r="BD90" s="2"/>
      <c r="BE90" s="2"/>
    </row>
    <row r="91" hidden="1">
      <c r="A91" s="2"/>
      <c r="B91" s="293" t="s">
        <v>6234</v>
      </c>
      <c r="C91" s="61"/>
      <c r="D91" s="278">
        <v>180.0</v>
      </c>
      <c r="E91" s="134" t="str">
        <f t="shared" si="2"/>
        <v>iPhone 14 Pro Max</v>
      </c>
      <c r="F91" s="11" t="s">
        <v>5873</v>
      </c>
      <c r="G91" s="295" t="s">
        <v>6235</v>
      </c>
      <c r="H91" s="296"/>
      <c r="I91" s="156">
        <v>2600.0</v>
      </c>
      <c r="J91" s="297"/>
      <c r="K91" s="298"/>
      <c r="L91" s="156">
        <v>2690.0</v>
      </c>
      <c r="M91" s="301">
        <v>2690.0</v>
      </c>
      <c r="N91" s="284">
        <v>0.45</v>
      </c>
      <c r="O91" s="296">
        <v>3900.0</v>
      </c>
      <c r="P91" s="285">
        <f t="shared" ref="P91:Q91" si="83">O91</f>
        <v>3900</v>
      </c>
      <c r="Q91" s="303">
        <f t="shared" si="83"/>
        <v>3900</v>
      </c>
      <c r="R91" s="287" t="s">
        <v>6236</v>
      </c>
      <c r="S91" s="300">
        <v>46140.38198037037</v>
      </c>
      <c r="T91" s="2"/>
      <c r="U91" s="289">
        <f t="shared" si="4"/>
        <v>1300</v>
      </c>
      <c r="V91" s="290">
        <f t="shared" si="82"/>
        <v>-2690</v>
      </c>
      <c r="W91" s="2"/>
      <c r="X91" s="289">
        <v>2600.0</v>
      </c>
      <c r="Y91" s="139">
        <v>2690.0</v>
      </c>
      <c r="Z91" s="2"/>
      <c r="AA91" s="2"/>
      <c r="AB91" s="2"/>
      <c r="AC91" s="2"/>
      <c r="AD91" s="2"/>
      <c r="AE91" s="3" t="s">
        <v>6234</v>
      </c>
      <c r="AF91" s="2"/>
      <c r="AG91" s="1" t="s">
        <v>1582</v>
      </c>
      <c r="AH91" s="1" t="s">
        <v>6229</v>
      </c>
      <c r="AI91" s="2">
        <v>180.0</v>
      </c>
      <c r="AJ91" s="1" t="s">
        <v>1589</v>
      </c>
      <c r="AK91" s="1" t="s">
        <v>5877</v>
      </c>
      <c r="AL91" s="1" t="s">
        <v>5878</v>
      </c>
      <c r="AM91" s="2"/>
      <c r="AN91" s="2"/>
      <c r="AO91" s="2"/>
      <c r="AP91" s="2"/>
      <c r="AQ91" s="2"/>
      <c r="AR91" s="2"/>
      <c r="AS91" s="2"/>
      <c r="AT91" s="2"/>
      <c r="AU91" s="126">
        <v>2690.0</v>
      </c>
      <c r="AV91" s="126">
        <v>3900.0</v>
      </c>
      <c r="AW91" s="2"/>
      <c r="AX91" s="2"/>
      <c r="AY91" s="2"/>
      <c r="AZ91" s="2"/>
      <c r="BA91" s="2"/>
      <c r="BB91" s="2"/>
      <c r="BC91" s="2"/>
      <c r="BD91" s="2"/>
      <c r="BE91" s="2"/>
    </row>
    <row r="92" hidden="1">
      <c r="A92" s="2"/>
      <c r="B92" s="293" t="s">
        <v>6237</v>
      </c>
      <c r="C92" s="11" t="s">
        <v>6238</v>
      </c>
      <c r="D92" s="278">
        <v>180.0</v>
      </c>
      <c r="E92" s="134" t="str">
        <f t="shared" si="2"/>
        <v>iPhone 14 Pro Max</v>
      </c>
      <c r="F92" s="11" t="s">
        <v>5873</v>
      </c>
      <c r="G92" s="295" t="s">
        <v>6239</v>
      </c>
      <c r="H92" s="296"/>
      <c r="I92" s="156">
        <v>1400.0</v>
      </c>
      <c r="J92" s="297"/>
      <c r="K92" s="298"/>
      <c r="L92" s="156">
        <v>1490.0</v>
      </c>
      <c r="M92" s="301">
        <v>1490.0</v>
      </c>
      <c r="N92" s="284">
        <v>0.95</v>
      </c>
      <c r="O92" s="296">
        <v>2900.0</v>
      </c>
      <c r="P92" s="285">
        <f t="shared" ref="P92:Q92" si="84">O92</f>
        <v>2900</v>
      </c>
      <c r="Q92" s="303">
        <f t="shared" si="84"/>
        <v>2900</v>
      </c>
      <c r="R92" s="299" t="s">
        <v>6240</v>
      </c>
      <c r="S92" s="300">
        <v>46140.38200167824</v>
      </c>
      <c r="T92" s="2"/>
      <c r="U92" s="289">
        <f t="shared" si="4"/>
        <v>1500</v>
      </c>
      <c r="V92" s="290">
        <f>IF(L92&gt;0, Q411 - L92, "нет з/ч")</f>
        <v>2110</v>
      </c>
      <c r="W92" s="2"/>
      <c r="X92" s="289">
        <v>1400.0</v>
      </c>
      <c r="Y92" s="139">
        <v>1490.0</v>
      </c>
      <c r="Z92" s="2"/>
      <c r="AA92" s="2" t="s">
        <v>6238</v>
      </c>
      <c r="AB92" s="2" t="s">
        <v>6238</v>
      </c>
      <c r="AC92" s="2"/>
      <c r="AD92" s="2" t="s">
        <v>6238</v>
      </c>
      <c r="AE92" s="3" t="s">
        <v>6237</v>
      </c>
      <c r="AF92" s="2"/>
      <c r="AG92" s="1" t="s">
        <v>1582</v>
      </c>
      <c r="AH92" s="1" t="s">
        <v>6229</v>
      </c>
      <c r="AI92" s="2">
        <v>180.0</v>
      </c>
      <c r="AJ92" s="1" t="s">
        <v>1589</v>
      </c>
      <c r="AK92" s="1" t="s">
        <v>5877</v>
      </c>
      <c r="AL92" s="1" t="s">
        <v>5878</v>
      </c>
      <c r="AM92" s="2"/>
      <c r="AN92" s="2"/>
      <c r="AO92" s="2"/>
      <c r="AP92" s="2"/>
      <c r="AQ92" s="2"/>
      <c r="AR92" s="2"/>
      <c r="AS92" s="2"/>
      <c r="AT92" s="2"/>
      <c r="AU92" s="126">
        <v>1490.0</v>
      </c>
      <c r="AV92" s="126">
        <v>2900.0</v>
      </c>
      <c r="AW92" s="2"/>
      <c r="AX92" s="2"/>
      <c r="AY92" s="2"/>
      <c r="AZ92" s="2"/>
      <c r="BA92" s="2"/>
      <c r="BB92" s="2"/>
      <c r="BC92" s="2"/>
      <c r="BD92" s="2"/>
      <c r="BE92" s="2"/>
    </row>
    <row r="93" hidden="1">
      <c r="A93" s="2"/>
      <c r="B93" s="293" t="s">
        <v>6241</v>
      </c>
      <c r="C93" s="11" t="s">
        <v>6242</v>
      </c>
      <c r="D93" s="278">
        <v>180.0</v>
      </c>
      <c r="E93" s="134" t="str">
        <f t="shared" si="2"/>
        <v>iPhone 14 Pro Max</v>
      </c>
      <c r="F93" s="11" t="s">
        <v>5873</v>
      </c>
      <c r="G93" s="295" t="s">
        <v>6243</v>
      </c>
      <c r="H93" s="296"/>
      <c r="I93" s="156">
        <v>1140.0</v>
      </c>
      <c r="J93" s="297"/>
      <c r="K93" s="298"/>
      <c r="L93" s="156">
        <v>1190.0</v>
      </c>
      <c r="M93" s="301">
        <v>1190.0</v>
      </c>
      <c r="N93" s="284">
        <v>1.0</v>
      </c>
      <c r="O93" s="296">
        <v>2400.0</v>
      </c>
      <c r="P93" s="302">
        <f t="shared" ref="P93:Q93" si="85">O93</f>
        <v>2400</v>
      </c>
      <c r="Q93" s="303">
        <f t="shared" si="85"/>
        <v>2400</v>
      </c>
      <c r="R93" s="299" t="s">
        <v>6244</v>
      </c>
      <c r="S93" s="300">
        <v>46140.382023935184</v>
      </c>
      <c r="T93" s="2"/>
      <c r="U93" s="289">
        <f t="shared" si="4"/>
        <v>1260</v>
      </c>
      <c r="V93" s="290">
        <f>IF(L93&gt;0, Q415 - L93, "нет з/ч")</f>
        <v>2410</v>
      </c>
      <c r="W93" s="2"/>
      <c r="X93" s="289">
        <v>1140.0</v>
      </c>
      <c r="Y93" s="139">
        <v>1190.0</v>
      </c>
      <c r="Z93" s="2"/>
      <c r="AA93" s="2" t="s">
        <v>6242</v>
      </c>
      <c r="AB93" s="2" t="s">
        <v>6242</v>
      </c>
      <c r="AC93" s="2"/>
      <c r="AD93" s="2" t="s">
        <v>6242</v>
      </c>
      <c r="AE93" s="3" t="s">
        <v>6241</v>
      </c>
      <c r="AF93" s="2"/>
      <c r="AG93" s="1" t="s">
        <v>1582</v>
      </c>
      <c r="AH93" s="1" t="s">
        <v>6229</v>
      </c>
      <c r="AI93" s="2">
        <v>180.0</v>
      </c>
      <c r="AJ93" s="1" t="s">
        <v>1589</v>
      </c>
      <c r="AK93" s="1" t="s">
        <v>5877</v>
      </c>
      <c r="AL93" s="1" t="s">
        <v>5878</v>
      </c>
      <c r="AM93" s="2"/>
      <c r="AN93" s="2"/>
      <c r="AO93" s="2"/>
      <c r="AP93" s="2"/>
      <c r="AQ93" s="2"/>
      <c r="AR93" s="2"/>
      <c r="AS93" s="2"/>
      <c r="AT93" s="2"/>
      <c r="AU93" s="126">
        <v>1190.0</v>
      </c>
      <c r="AV93" s="126">
        <v>2400.0</v>
      </c>
      <c r="AW93" s="2"/>
      <c r="AX93" s="2"/>
      <c r="AY93" s="2"/>
      <c r="AZ93" s="2"/>
      <c r="BA93" s="2"/>
      <c r="BB93" s="2"/>
      <c r="BC93" s="2"/>
      <c r="BD93" s="2"/>
      <c r="BE93" s="2"/>
    </row>
    <row r="94" hidden="1">
      <c r="A94" s="2"/>
      <c r="B94" s="293" t="s">
        <v>6245</v>
      </c>
      <c r="C94" s="11" t="s">
        <v>6246</v>
      </c>
      <c r="D94" s="278">
        <v>180.0</v>
      </c>
      <c r="E94" s="134" t="str">
        <f t="shared" si="2"/>
        <v>iPhone 14 Pro Max</v>
      </c>
      <c r="F94" s="11" t="s">
        <v>5873</v>
      </c>
      <c r="G94" s="295" t="s">
        <v>6247</v>
      </c>
      <c r="H94" s="296"/>
      <c r="I94" s="156">
        <v>820.0</v>
      </c>
      <c r="J94" s="297"/>
      <c r="K94" s="298"/>
      <c r="L94" s="156"/>
      <c r="M94" s="301">
        <v>820.0</v>
      </c>
      <c r="N94" s="284">
        <v>0.12</v>
      </c>
      <c r="O94" s="296">
        <v>900.0</v>
      </c>
      <c r="P94" s="67"/>
      <c r="Q94" s="303">
        <f>P93</f>
        <v>2400</v>
      </c>
      <c r="R94" s="299" t="s">
        <v>6248</v>
      </c>
      <c r="S94" s="300">
        <v>46140.38205755787</v>
      </c>
      <c r="T94" s="2"/>
      <c r="U94" s="289">
        <f t="shared" si="4"/>
        <v>1580</v>
      </c>
      <c r="V94" s="304" t="str">
        <f>IF(L94&gt;0, Q419 - L94, "нет з/ч")</f>
        <v>нет з/ч</v>
      </c>
      <c r="W94" s="2"/>
      <c r="X94" s="289">
        <v>820.0</v>
      </c>
      <c r="Y94" s="139"/>
      <c r="Z94" s="2"/>
      <c r="AA94" s="2" t="s">
        <v>6246</v>
      </c>
      <c r="AB94" s="2" t="s">
        <v>6246</v>
      </c>
      <c r="AC94" s="2"/>
      <c r="AD94" s="2" t="s">
        <v>6246</v>
      </c>
      <c r="AE94" s="3" t="s">
        <v>6245</v>
      </c>
      <c r="AF94" s="2"/>
      <c r="AG94" s="1" t="s">
        <v>1582</v>
      </c>
      <c r="AH94" s="1" t="s">
        <v>6229</v>
      </c>
      <c r="AI94" s="2">
        <v>180.0</v>
      </c>
      <c r="AJ94" s="1" t="s">
        <v>1589</v>
      </c>
      <c r="AK94" s="1" t="s">
        <v>5877</v>
      </c>
      <c r="AL94" s="1" t="s">
        <v>5878</v>
      </c>
      <c r="AM94" s="2"/>
      <c r="AN94" s="2"/>
      <c r="AO94" s="2"/>
      <c r="AP94" s="2"/>
      <c r="AQ94" s="2"/>
      <c r="AR94" s="2"/>
      <c r="AS94" s="2"/>
      <c r="AT94" s="2"/>
      <c r="AU94" s="126">
        <v>820.0</v>
      </c>
      <c r="AV94" s="126">
        <v>2400.0</v>
      </c>
      <c r="AW94" s="2"/>
      <c r="AX94" s="2"/>
      <c r="AY94" s="2"/>
      <c r="AZ94" s="2"/>
      <c r="BA94" s="2"/>
      <c r="BB94" s="2"/>
      <c r="BC94" s="2"/>
      <c r="BD94" s="2"/>
      <c r="BE94" s="2"/>
    </row>
    <row r="95" hidden="1">
      <c r="A95" s="2"/>
      <c r="B95" s="293" t="s">
        <v>6249</v>
      </c>
      <c r="C95" s="11" t="s">
        <v>6250</v>
      </c>
      <c r="D95" s="278">
        <v>180.0</v>
      </c>
      <c r="E95" s="134" t="str">
        <f t="shared" si="2"/>
        <v>iPhone 15</v>
      </c>
      <c r="F95" s="11" t="s">
        <v>5873</v>
      </c>
      <c r="G95" s="295" t="s">
        <v>6251</v>
      </c>
      <c r="H95" s="296"/>
      <c r="I95" s="156">
        <v>8200.0</v>
      </c>
      <c r="J95" s="297"/>
      <c r="K95" s="298"/>
      <c r="L95" s="156"/>
      <c r="M95" s="301">
        <v>8200.0</v>
      </c>
      <c r="N95" s="284">
        <v>0.2</v>
      </c>
      <c r="O95" s="296">
        <v>9850.0</v>
      </c>
      <c r="P95" s="285">
        <f t="shared" ref="P95:Q95" si="86">O95</f>
        <v>9850</v>
      </c>
      <c r="Q95" s="303">
        <f t="shared" si="86"/>
        <v>9850</v>
      </c>
      <c r="R95" s="299" t="s">
        <v>6252</v>
      </c>
      <c r="S95" s="300">
        <v>46140.38207703704</v>
      </c>
      <c r="T95" s="2"/>
      <c r="U95" s="289">
        <f t="shared" si="4"/>
        <v>1650</v>
      </c>
      <c r="V95" s="304" t="str">
        <f t="shared" ref="V95:V97" si="88">IF(L95&gt;0, Q423 - L95, "нет з/ч")</f>
        <v>нет з/ч</v>
      </c>
      <c r="W95" s="2"/>
      <c r="X95" s="289">
        <v>8200.0</v>
      </c>
      <c r="Y95" s="139"/>
      <c r="Z95" s="2"/>
      <c r="AA95" s="2" t="s">
        <v>6250</v>
      </c>
      <c r="AB95" s="2" t="s">
        <v>6250</v>
      </c>
      <c r="AC95" s="2"/>
      <c r="AD95" s="2" t="s">
        <v>6250</v>
      </c>
      <c r="AE95" s="3" t="s">
        <v>6249</v>
      </c>
      <c r="AF95" s="2"/>
      <c r="AG95" s="1" t="s">
        <v>1582</v>
      </c>
      <c r="AH95" s="1" t="s">
        <v>6253</v>
      </c>
      <c r="AI95" s="2">
        <v>180.0</v>
      </c>
      <c r="AJ95" s="1" t="s">
        <v>1589</v>
      </c>
      <c r="AK95" s="1" t="s">
        <v>5877</v>
      </c>
      <c r="AL95" s="1" t="s">
        <v>5878</v>
      </c>
      <c r="AM95" s="2"/>
      <c r="AN95" s="2"/>
      <c r="AO95" s="2"/>
      <c r="AP95" s="2"/>
      <c r="AQ95" s="2"/>
      <c r="AR95" s="2"/>
      <c r="AS95" s="2"/>
      <c r="AT95" s="2"/>
      <c r="AU95" s="126">
        <v>8200.0</v>
      </c>
      <c r="AV95" s="126">
        <v>9850.0</v>
      </c>
      <c r="AW95" s="2"/>
      <c r="AX95" s="2"/>
      <c r="AY95" s="2"/>
      <c r="AZ95" s="2"/>
      <c r="BA95" s="2"/>
      <c r="BB95" s="2"/>
      <c r="BC95" s="2"/>
      <c r="BD95" s="2"/>
      <c r="BE95" s="2"/>
    </row>
    <row r="96" hidden="1">
      <c r="A96" s="2"/>
      <c r="B96" s="293" t="s">
        <v>6254</v>
      </c>
      <c r="C96" s="11" t="s">
        <v>6255</v>
      </c>
      <c r="D96" s="278">
        <v>180.0</v>
      </c>
      <c r="E96" s="134" t="str">
        <f t="shared" si="2"/>
        <v>iPhone 15</v>
      </c>
      <c r="F96" s="11" t="s">
        <v>5873</v>
      </c>
      <c r="G96" s="295" t="s">
        <v>6256</v>
      </c>
      <c r="H96" s="296"/>
      <c r="I96" s="156">
        <v>2600.0</v>
      </c>
      <c r="J96" s="301"/>
      <c r="K96" s="296"/>
      <c r="L96" s="139"/>
      <c r="M96" s="301">
        <v>2600.0</v>
      </c>
      <c r="N96" s="284">
        <v>1.0</v>
      </c>
      <c r="O96" s="296">
        <v>5200.0</v>
      </c>
      <c r="P96" s="285">
        <f t="shared" ref="P96:Q96" si="87">O96</f>
        <v>5200</v>
      </c>
      <c r="Q96" s="303">
        <f t="shared" si="87"/>
        <v>5200</v>
      </c>
      <c r="R96" s="299" t="s">
        <v>6257</v>
      </c>
      <c r="S96" s="300">
        <v>46140.382097442125</v>
      </c>
      <c r="T96" s="2"/>
      <c r="U96" s="289">
        <f t="shared" si="4"/>
        <v>2600</v>
      </c>
      <c r="V96" s="304" t="str">
        <f t="shared" si="88"/>
        <v>нет з/ч</v>
      </c>
      <c r="W96" s="2"/>
      <c r="X96" s="289">
        <v>2600.0</v>
      </c>
      <c r="Y96" s="139"/>
      <c r="Z96" s="2"/>
      <c r="AA96" s="2" t="s">
        <v>6255</v>
      </c>
      <c r="AB96" s="2" t="s">
        <v>6255</v>
      </c>
      <c r="AC96" s="2"/>
      <c r="AD96" s="2" t="s">
        <v>6255</v>
      </c>
      <c r="AE96" s="3" t="s">
        <v>6254</v>
      </c>
      <c r="AF96" s="2"/>
      <c r="AG96" s="1" t="s">
        <v>1582</v>
      </c>
      <c r="AH96" s="1" t="s">
        <v>6253</v>
      </c>
      <c r="AI96" s="2">
        <v>180.0</v>
      </c>
      <c r="AJ96" s="1" t="s">
        <v>1589</v>
      </c>
      <c r="AK96" s="1" t="s">
        <v>5877</v>
      </c>
      <c r="AL96" s="1" t="s">
        <v>5878</v>
      </c>
      <c r="AM96" s="2"/>
      <c r="AN96" s="2"/>
      <c r="AO96" s="2"/>
      <c r="AP96" s="2"/>
      <c r="AQ96" s="2"/>
      <c r="AR96" s="2"/>
      <c r="AS96" s="2"/>
      <c r="AT96" s="2"/>
      <c r="AU96" s="126">
        <v>2600.0</v>
      </c>
      <c r="AV96" s="126">
        <v>5200.0</v>
      </c>
      <c r="AW96" s="2"/>
      <c r="AX96" s="2"/>
      <c r="AY96" s="2"/>
      <c r="AZ96" s="2"/>
      <c r="BA96" s="2"/>
      <c r="BB96" s="2"/>
      <c r="BC96" s="2"/>
      <c r="BD96" s="2"/>
      <c r="BE96" s="2"/>
    </row>
    <row r="97" hidden="1">
      <c r="A97" s="2"/>
      <c r="B97" s="293" t="s">
        <v>6258</v>
      </c>
      <c r="C97" s="61"/>
      <c r="D97" s="278">
        <v>180.0</v>
      </c>
      <c r="E97" s="134" t="str">
        <f t="shared" si="2"/>
        <v>iPhone 15</v>
      </c>
      <c r="F97" s="11" t="s">
        <v>5873</v>
      </c>
      <c r="G97" s="295" t="s">
        <v>6259</v>
      </c>
      <c r="H97" s="296"/>
      <c r="I97" s="156">
        <v>2200.0</v>
      </c>
      <c r="J97" s="297"/>
      <c r="K97" s="298"/>
      <c r="L97" s="156">
        <v>2190.0</v>
      </c>
      <c r="M97" s="301">
        <v>2200.0</v>
      </c>
      <c r="N97" s="284">
        <v>1.13</v>
      </c>
      <c r="O97" s="296">
        <v>4700.0</v>
      </c>
      <c r="P97" s="285">
        <f t="shared" ref="P97:Q97" si="89">O97</f>
        <v>4700</v>
      </c>
      <c r="Q97" s="303">
        <f t="shared" si="89"/>
        <v>4700</v>
      </c>
      <c r="R97" s="299" t="s">
        <v>6260</v>
      </c>
      <c r="S97" s="300">
        <v>46140.38211909722</v>
      </c>
      <c r="T97" s="2"/>
      <c r="U97" s="289">
        <f t="shared" si="4"/>
        <v>2500</v>
      </c>
      <c r="V97" s="290">
        <f t="shared" si="88"/>
        <v>1410</v>
      </c>
      <c r="W97" s="2"/>
      <c r="X97" s="289">
        <v>2200.0</v>
      </c>
      <c r="Y97" s="139">
        <v>2190.0</v>
      </c>
      <c r="Z97" s="2"/>
      <c r="AA97" s="2"/>
      <c r="AB97" s="2"/>
      <c r="AC97" s="2"/>
      <c r="AD97" s="2"/>
      <c r="AE97" s="3" t="s">
        <v>6258</v>
      </c>
      <c r="AF97" s="2"/>
      <c r="AG97" s="1" t="s">
        <v>1582</v>
      </c>
      <c r="AH97" s="1" t="s">
        <v>6253</v>
      </c>
      <c r="AI97" s="2">
        <v>180.0</v>
      </c>
      <c r="AJ97" s="1" t="s">
        <v>1589</v>
      </c>
      <c r="AK97" s="1" t="s">
        <v>5877</v>
      </c>
      <c r="AL97" s="1" t="s">
        <v>5878</v>
      </c>
      <c r="AM97" s="2"/>
      <c r="AN97" s="2"/>
      <c r="AO97" s="2"/>
      <c r="AP97" s="2"/>
      <c r="AQ97" s="2"/>
      <c r="AR97" s="2"/>
      <c r="AS97" s="2"/>
      <c r="AT97" s="2"/>
      <c r="AU97" s="126">
        <v>2200.0</v>
      </c>
      <c r="AV97" s="126">
        <v>4700.0</v>
      </c>
      <c r="AW97" s="2"/>
      <c r="AX97" s="2"/>
      <c r="AY97" s="2"/>
      <c r="AZ97" s="2"/>
      <c r="BA97" s="2"/>
      <c r="BB97" s="2"/>
      <c r="BC97" s="2"/>
      <c r="BD97" s="2"/>
      <c r="BE97" s="2"/>
    </row>
    <row r="98" hidden="1">
      <c r="A98" s="2"/>
      <c r="B98" s="293" t="s">
        <v>6261</v>
      </c>
      <c r="C98" s="11" t="s">
        <v>6262</v>
      </c>
      <c r="D98" s="278">
        <v>180.0</v>
      </c>
      <c r="E98" s="134" t="str">
        <f t="shared" si="2"/>
        <v>iPhone 15</v>
      </c>
      <c r="F98" s="11" t="s">
        <v>5873</v>
      </c>
      <c r="G98" s="295" t="s">
        <v>6263</v>
      </c>
      <c r="H98" s="296"/>
      <c r="I98" s="156">
        <v>1200.0</v>
      </c>
      <c r="J98" s="301"/>
      <c r="K98" s="296"/>
      <c r="L98" s="156">
        <v>1190.0</v>
      </c>
      <c r="M98" s="301">
        <v>1200.0</v>
      </c>
      <c r="N98" s="284">
        <v>2.1</v>
      </c>
      <c r="O98" s="296">
        <v>3700.0</v>
      </c>
      <c r="P98" s="285">
        <f t="shared" ref="P98:Q98" si="90">O98</f>
        <v>3700</v>
      </c>
      <c r="Q98" s="303">
        <f t="shared" si="90"/>
        <v>3700</v>
      </c>
      <c r="R98" s="299" t="s">
        <v>6264</v>
      </c>
      <c r="S98" s="300">
        <v>46140.38214047454</v>
      </c>
      <c r="T98" s="2"/>
      <c r="U98" s="289">
        <f t="shared" si="4"/>
        <v>2500</v>
      </c>
      <c r="V98" s="304" t="str">
        <f>IF(L98&gt;0, #REF! - L98, "нет з/ч")</f>
        <v>#REF!</v>
      </c>
      <c r="W98" s="2"/>
      <c r="X98" s="289">
        <v>1200.0</v>
      </c>
      <c r="Y98" s="139">
        <v>1190.0</v>
      </c>
      <c r="Z98" s="2"/>
      <c r="AA98" s="2" t="s">
        <v>6262</v>
      </c>
      <c r="AB98" s="2" t="s">
        <v>6262</v>
      </c>
      <c r="AC98" s="2"/>
      <c r="AD98" s="2" t="s">
        <v>6262</v>
      </c>
      <c r="AE98" s="3" t="s">
        <v>6261</v>
      </c>
      <c r="AF98" s="2"/>
      <c r="AG98" s="1" t="s">
        <v>1582</v>
      </c>
      <c r="AH98" s="1" t="s">
        <v>6253</v>
      </c>
      <c r="AI98" s="2">
        <v>180.0</v>
      </c>
      <c r="AJ98" s="1" t="s">
        <v>1589</v>
      </c>
      <c r="AK98" s="1" t="s">
        <v>5877</v>
      </c>
      <c r="AL98" s="1" t="s">
        <v>5878</v>
      </c>
      <c r="AM98" s="2"/>
      <c r="AN98" s="2"/>
      <c r="AO98" s="2"/>
      <c r="AP98" s="2"/>
      <c r="AQ98" s="2"/>
      <c r="AR98" s="2"/>
      <c r="AS98" s="2"/>
      <c r="AT98" s="2"/>
      <c r="AU98" s="126">
        <v>1200.0</v>
      </c>
      <c r="AV98" s="126">
        <v>3700.0</v>
      </c>
      <c r="AW98" s="2"/>
      <c r="AX98" s="2"/>
      <c r="AY98" s="2"/>
      <c r="AZ98" s="2"/>
      <c r="BA98" s="2"/>
      <c r="BB98" s="2"/>
      <c r="BC98" s="2"/>
      <c r="BD98" s="2"/>
      <c r="BE98" s="2"/>
    </row>
    <row r="99" hidden="1">
      <c r="A99" s="2"/>
      <c r="B99" s="293" t="s">
        <v>6265</v>
      </c>
      <c r="C99" s="11" t="s">
        <v>6266</v>
      </c>
      <c r="D99" s="278">
        <v>180.0</v>
      </c>
      <c r="E99" s="134" t="str">
        <f t="shared" si="2"/>
        <v>iPhone 15</v>
      </c>
      <c r="F99" s="11" t="s">
        <v>5873</v>
      </c>
      <c r="G99" s="295" t="s">
        <v>6267</v>
      </c>
      <c r="H99" s="296"/>
      <c r="I99" s="156">
        <v>1200.0</v>
      </c>
      <c r="J99" s="297"/>
      <c r="K99" s="298"/>
      <c r="L99" s="156">
        <v>990.0</v>
      </c>
      <c r="M99" s="301">
        <v>1200.0</v>
      </c>
      <c r="N99" s="284">
        <v>1.65</v>
      </c>
      <c r="O99" s="296">
        <v>3200.0</v>
      </c>
      <c r="P99" s="302">
        <f t="shared" ref="P99:Q99" si="91">O99</f>
        <v>3200</v>
      </c>
      <c r="Q99" s="303">
        <f t="shared" si="91"/>
        <v>3200</v>
      </c>
      <c r="R99" s="299" t="s">
        <v>6268</v>
      </c>
      <c r="S99" s="300">
        <v>46140.382165567135</v>
      </c>
      <c r="T99" s="2"/>
      <c r="U99" s="289">
        <f t="shared" si="4"/>
        <v>2000</v>
      </c>
      <c r="V99" s="290">
        <f>IF(L99&gt;0, Q429 - L99, "нет з/ч")</f>
        <v>-140</v>
      </c>
      <c r="W99" s="2"/>
      <c r="X99" s="289">
        <v>1200.0</v>
      </c>
      <c r="Y99" s="139">
        <v>990.0</v>
      </c>
      <c r="Z99" s="2"/>
      <c r="AA99" s="2" t="s">
        <v>6266</v>
      </c>
      <c r="AB99" s="2" t="s">
        <v>6266</v>
      </c>
      <c r="AC99" s="2"/>
      <c r="AD99" s="2" t="s">
        <v>6266</v>
      </c>
      <c r="AE99" s="3" t="s">
        <v>6265</v>
      </c>
      <c r="AF99" s="2"/>
      <c r="AG99" s="1" t="s">
        <v>1582</v>
      </c>
      <c r="AH99" s="1" t="s">
        <v>6253</v>
      </c>
      <c r="AI99" s="2">
        <v>180.0</v>
      </c>
      <c r="AJ99" s="1" t="s">
        <v>1589</v>
      </c>
      <c r="AK99" s="1" t="s">
        <v>5877</v>
      </c>
      <c r="AL99" s="1" t="s">
        <v>5878</v>
      </c>
      <c r="AM99" s="2"/>
      <c r="AN99" s="2"/>
      <c r="AO99" s="2"/>
      <c r="AP99" s="2"/>
      <c r="AQ99" s="2"/>
      <c r="AR99" s="2"/>
      <c r="AS99" s="2"/>
      <c r="AT99" s="2"/>
      <c r="AU99" s="126">
        <v>1200.0</v>
      </c>
      <c r="AV99" s="126">
        <v>3200.0</v>
      </c>
      <c r="AW99" s="2"/>
      <c r="AX99" s="2"/>
      <c r="AY99" s="2"/>
      <c r="AZ99" s="2"/>
      <c r="BA99" s="2"/>
      <c r="BB99" s="2"/>
      <c r="BC99" s="2"/>
      <c r="BD99" s="2"/>
      <c r="BE99" s="2"/>
    </row>
    <row r="100" hidden="1">
      <c r="A100" s="2"/>
      <c r="B100" s="293" t="s">
        <v>6269</v>
      </c>
      <c r="C100" s="11" t="s">
        <v>6270</v>
      </c>
      <c r="D100" s="278">
        <v>180.0</v>
      </c>
      <c r="E100" s="134" t="str">
        <f t="shared" si="2"/>
        <v>iPhone 15</v>
      </c>
      <c r="F100" s="11" t="s">
        <v>5873</v>
      </c>
      <c r="G100" s="295" t="s">
        <v>6271</v>
      </c>
      <c r="H100" s="296"/>
      <c r="I100" s="156">
        <v>790.0</v>
      </c>
      <c r="J100" s="297"/>
      <c r="K100" s="298"/>
      <c r="L100" s="156"/>
      <c r="M100" s="301">
        <v>790.0</v>
      </c>
      <c r="N100" s="284">
        <v>0.12</v>
      </c>
      <c r="O100" s="296">
        <v>900.0</v>
      </c>
      <c r="P100" s="67"/>
      <c r="Q100" s="303">
        <f>P99</f>
        <v>3200</v>
      </c>
      <c r="R100" s="299" t="s">
        <v>6272</v>
      </c>
      <c r="S100" s="300">
        <v>46140.38218642361</v>
      </c>
      <c r="T100" s="2"/>
      <c r="U100" s="289">
        <f t="shared" si="4"/>
        <v>2410</v>
      </c>
      <c r="V100" s="304" t="str">
        <f>IF(L100&gt;0, #REF! - L100, "нет з/ч")</f>
        <v>нет з/ч</v>
      </c>
      <c r="W100" s="2"/>
      <c r="X100" s="289">
        <v>790.0</v>
      </c>
      <c r="Y100" s="139"/>
      <c r="Z100" s="2"/>
      <c r="AA100" s="2" t="s">
        <v>6270</v>
      </c>
      <c r="AB100" s="2" t="s">
        <v>6270</v>
      </c>
      <c r="AC100" s="2"/>
      <c r="AD100" s="2" t="s">
        <v>6270</v>
      </c>
      <c r="AE100" s="3" t="s">
        <v>6269</v>
      </c>
      <c r="AF100" s="2"/>
      <c r="AG100" s="1" t="s">
        <v>1582</v>
      </c>
      <c r="AH100" s="1" t="s">
        <v>6253</v>
      </c>
      <c r="AI100" s="2">
        <v>180.0</v>
      </c>
      <c r="AJ100" s="1" t="s">
        <v>1589</v>
      </c>
      <c r="AK100" s="1" t="s">
        <v>5877</v>
      </c>
      <c r="AL100" s="1" t="s">
        <v>5878</v>
      </c>
      <c r="AM100" s="2"/>
      <c r="AN100" s="2"/>
      <c r="AO100" s="2"/>
      <c r="AP100" s="2"/>
      <c r="AQ100" s="2"/>
      <c r="AR100" s="2"/>
      <c r="AS100" s="2"/>
      <c r="AT100" s="2"/>
      <c r="AU100" s="126">
        <v>790.0</v>
      </c>
      <c r="AV100" s="126">
        <v>3200.0</v>
      </c>
      <c r="AW100" s="2"/>
      <c r="AX100" s="2"/>
      <c r="AY100" s="2"/>
      <c r="AZ100" s="2"/>
      <c r="BA100" s="2"/>
      <c r="BB100" s="2"/>
      <c r="BC100" s="2"/>
      <c r="BD100" s="2"/>
      <c r="BE100" s="2"/>
    </row>
    <row r="101" hidden="1">
      <c r="A101" s="2"/>
      <c r="B101" s="293" t="s">
        <v>6273</v>
      </c>
      <c r="C101" s="11" t="s">
        <v>6274</v>
      </c>
      <c r="D101" s="278">
        <v>180.0</v>
      </c>
      <c r="E101" s="134" t="str">
        <f t="shared" si="2"/>
        <v>iPhone 15 Plus</v>
      </c>
      <c r="F101" s="11" t="s">
        <v>5873</v>
      </c>
      <c r="G101" s="295" t="s">
        <v>6275</v>
      </c>
      <c r="H101" s="296"/>
      <c r="I101" s="156">
        <v>8200.0</v>
      </c>
      <c r="J101" s="297"/>
      <c r="K101" s="298"/>
      <c r="L101" s="156"/>
      <c r="M101" s="301">
        <v>8200.0</v>
      </c>
      <c r="N101" s="284">
        <v>0.2</v>
      </c>
      <c r="O101" s="296">
        <v>9850.0</v>
      </c>
      <c r="P101" s="285">
        <f t="shared" ref="P101:Q101" si="92">O101</f>
        <v>9850</v>
      </c>
      <c r="Q101" s="303">
        <f t="shared" si="92"/>
        <v>9850</v>
      </c>
      <c r="R101" s="299" t="s">
        <v>6276</v>
      </c>
      <c r="S101" s="300">
        <v>46140.382208055555</v>
      </c>
      <c r="T101" s="2"/>
      <c r="U101" s="289">
        <f t="shared" si="4"/>
        <v>1650</v>
      </c>
      <c r="V101" s="304" t="str">
        <f t="shared" ref="V101:V103" si="94">IF(L101&gt;0, Q433 - L101, "нет з/ч")</f>
        <v>нет з/ч</v>
      </c>
      <c r="W101" s="2"/>
      <c r="X101" s="289">
        <v>8200.0</v>
      </c>
      <c r="Y101" s="139"/>
      <c r="Z101" s="2"/>
      <c r="AA101" s="2" t="s">
        <v>6274</v>
      </c>
      <c r="AB101" s="2" t="s">
        <v>6274</v>
      </c>
      <c r="AC101" s="2"/>
      <c r="AD101" s="2" t="s">
        <v>6274</v>
      </c>
      <c r="AE101" s="3" t="s">
        <v>6273</v>
      </c>
      <c r="AF101" s="2"/>
      <c r="AG101" s="1" t="s">
        <v>1582</v>
      </c>
      <c r="AH101" s="1" t="s">
        <v>6277</v>
      </c>
      <c r="AI101" s="2">
        <v>180.0</v>
      </c>
      <c r="AJ101" s="1" t="s">
        <v>1589</v>
      </c>
      <c r="AK101" s="1" t="s">
        <v>5877</v>
      </c>
      <c r="AL101" s="1" t="s">
        <v>5878</v>
      </c>
      <c r="AM101" s="2"/>
      <c r="AN101" s="2"/>
      <c r="AO101" s="2"/>
      <c r="AP101" s="2"/>
      <c r="AQ101" s="2"/>
      <c r="AR101" s="2"/>
      <c r="AS101" s="2"/>
      <c r="AT101" s="2"/>
      <c r="AU101" s="126">
        <v>8200.0</v>
      </c>
      <c r="AV101" s="126">
        <v>9850.0</v>
      </c>
      <c r="AW101" s="2"/>
      <c r="AX101" s="2"/>
      <c r="AY101" s="2"/>
      <c r="AZ101" s="2"/>
      <c r="BA101" s="2"/>
      <c r="BB101" s="2"/>
      <c r="BC101" s="2"/>
      <c r="BD101" s="2"/>
      <c r="BE101" s="2"/>
    </row>
    <row r="102" hidden="1">
      <c r="A102" s="2"/>
      <c r="B102" s="293" t="s">
        <v>6278</v>
      </c>
      <c r="C102" s="11" t="s">
        <v>6279</v>
      </c>
      <c r="D102" s="278">
        <v>180.0</v>
      </c>
      <c r="E102" s="134" t="str">
        <f t="shared" si="2"/>
        <v>iPhone 15 Plus</v>
      </c>
      <c r="F102" s="11" t="s">
        <v>5873</v>
      </c>
      <c r="G102" s="306"/>
      <c r="H102" s="296"/>
      <c r="I102" s="139"/>
      <c r="J102" s="301"/>
      <c r="K102" s="296"/>
      <c r="L102" s="139"/>
      <c r="M102" s="301" t="s">
        <v>22</v>
      </c>
      <c r="N102" s="284">
        <v>0.12</v>
      </c>
      <c r="O102" s="296" t="s">
        <v>22</v>
      </c>
      <c r="P102" s="285" t="str">
        <f t="shared" ref="P102:Q102" si="93">O102</f>
        <v/>
      </c>
      <c r="Q102" s="303" t="str">
        <f t="shared" si="93"/>
        <v/>
      </c>
      <c r="R102" s="307"/>
      <c r="S102" s="308"/>
      <c r="T102" s="2"/>
      <c r="U102" s="59" t="str">
        <f t="shared" si="4"/>
        <v>нет з/ч</v>
      </c>
      <c r="V102" s="304" t="str">
        <f t="shared" si="94"/>
        <v>нет з/ч</v>
      </c>
      <c r="W102" s="2"/>
      <c r="X102" s="289"/>
      <c r="Y102" s="139"/>
      <c r="Z102" s="2"/>
      <c r="AA102" s="2" t="s">
        <v>6279</v>
      </c>
      <c r="AB102" s="2" t="s">
        <v>6279</v>
      </c>
      <c r="AC102" s="2"/>
      <c r="AD102" s="2" t="s">
        <v>6279</v>
      </c>
      <c r="AE102" s="3" t="s">
        <v>6278</v>
      </c>
      <c r="AF102" s="2"/>
      <c r="AG102" s="1" t="s">
        <v>1582</v>
      </c>
      <c r="AH102" s="1" t="s">
        <v>6277</v>
      </c>
      <c r="AI102" s="2">
        <v>180.0</v>
      </c>
      <c r="AJ102" s="1" t="s">
        <v>1589</v>
      </c>
      <c r="AK102" s="1" t="s">
        <v>5877</v>
      </c>
      <c r="AL102" s="1" t="s">
        <v>5878</v>
      </c>
      <c r="AM102" s="2"/>
      <c r="AN102" s="2"/>
      <c r="AO102" s="2"/>
      <c r="AP102" s="2"/>
      <c r="AQ102" s="2"/>
      <c r="AR102" s="2"/>
      <c r="AS102" s="2"/>
      <c r="AT102" s="2"/>
      <c r="AU102" s="126" t="s">
        <v>22</v>
      </c>
      <c r="AV102" s="126" t="s">
        <v>22</v>
      </c>
      <c r="AW102" s="2"/>
      <c r="AX102" s="2"/>
      <c r="AY102" s="2"/>
      <c r="AZ102" s="2"/>
      <c r="BA102" s="2"/>
      <c r="BB102" s="2"/>
      <c r="BC102" s="2"/>
      <c r="BD102" s="2"/>
      <c r="BE102" s="2"/>
    </row>
    <row r="103" hidden="1">
      <c r="A103" s="2"/>
      <c r="B103" s="293" t="s">
        <v>6280</v>
      </c>
      <c r="C103" s="61"/>
      <c r="D103" s="278">
        <v>180.0</v>
      </c>
      <c r="E103" s="134" t="str">
        <f t="shared" si="2"/>
        <v>iPhone 15 Plus</v>
      </c>
      <c r="F103" s="11" t="s">
        <v>5873</v>
      </c>
      <c r="G103" s="306"/>
      <c r="H103" s="296"/>
      <c r="I103" s="139"/>
      <c r="J103" s="297"/>
      <c r="K103" s="298"/>
      <c r="L103" s="156">
        <v>2290.0</v>
      </c>
      <c r="M103" s="301">
        <v>2290.0</v>
      </c>
      <c r="N103" s="284">
        <v>1.05</v>
      </c>
      <c r="O103" s="296">
        <v>4700.0</v>
      </c>
      <c r="P103" s="285">
        <f t="shared" ref="P103:Q103" si="95">O103</f>
        <v>4700</v>
      </c>
      <c r="Q103" s="303">
        <f t="shared" si="95"/>
        <v>4700</v>
      </c>
      <c r="R103" s="307"/>
      <c r="S103" s="300">
        <v>46139.7484047801</v>
      </c>
      <c r="T103" s="2"/>
      <c r="U103" s="59" t="str">
        <f t="shared" si="4"/>
        <v>нет з/ч</v>
      </c>
      <c r="V103" s="290">
        <f t="shared" si="94"/>
        <v>-1390</v>
      </c>
      <c r="W103" s="2"/>
      <c r="X103" s="289"/>
      <c r="Y103" s="139">
        <v>2290.0</v>
      </c>
      <c r="Z103" s="2"/>
      <c r="AA103" s="2"/>
      <c r="AB103" s="2"/>
      <c r="AC103" s="2"/>
      <c r="AD103" s="2"/>
      <c r="AE103" s="3" t="s">
        <v>6280</v>
      </c>
      <c r="AF103" s="2"/>
      <c r="AG103" s="1" t="s">
        <v>1582</v>
      </c>
      <c r="AH103" s="1" t="s">
        <v>6277</v>
      </c>
      <c r="AI103" s="2">
        <v>180.0</v>
      </c>
      <c r="AJ103" s="1" t="s">
        <v>1589</v>
      </c>
      <c r="AK103" s="1" t="s">
        <v>5877</v>
      </c>
      <c r="AL103" s="1" t="s">
        <v>5878</v>
      </c>
      <c r="AM103" s="2"/>
      <c r="AN103" s="2"/>
      <c r="AO103" s="2"/>
      <c r="AP103" s="2"/>
      <c r="AQ103" s="2"/>
      <c r="AR103" s="2"/>
      <c r="AS103" s="2"/>
      <c r="AT103" s="2"/>
      <c r="AU103" s="126">
        <v>2290.0</v>
      </c>
      <c r="AV103" s="126">
        <v>4700.0</v>
      </c>
      <c r="AW103" s="2"/>
      <c r="AX103" s="2"/>
      <c r="AY103" s="2"/>
      <c r="AZ103" s="2"/>
      <c r="BA103" s="2"/>
      <c r="BB103" s="2"/>
      <c r="BC103" s="2"/>
      <c r="BD103" s="2"/>
      <c r="BE103" s="2"/>
    </row>
    <row r="104" ht="15.0" hidden="1" customHeight="1">
      <c r="A104" s="2"/>
      <c r="B104" s="293" t="s">
        <v>6281</v>
      </c>
      <c r="C104" s="11" t="s">
        <v>6282</v>
      </c>
      <c r="D104" s="278">
        <v>180.0</v>
      </c>
      <c r="E104" s="134" t="str">
        <f t="shared" si="2"/>
        <v>iPhone 15 Plus</v>
      </c>
      <c r="F104" s="11" t="s">
        <v>5873</v>
      </c>
      <c r="G104" s="295" t="s">
        <v>6283</v>
      </c>
      <c r="H104" s="296"/>
      <c r="I104" s="156">
        <v>1200.0</v>
      </c>
      <c r="J104" s="297"/>
      <c r="K104" s="298"/>
      <c r="L104" s="156"/>
      <c r="M104" s="301">
        <v>1200.0</v>
      </c>
      <c r="N104" s="284">
        <v>2.1</v>
      </c>
      <c r="O104" s="296">
        <v>3700.0</v>
      </c>
      <c r="P104" s="285">
        <f t="shared" ref="P104:Q104" si="96">O104</f>
        <v>3700</v>
      </c>
      <c r="Q104" s="303">
        <f t="shared" si="96"/>
        <v>3700</v>
      </c>
      <c r="R104" s="299" t="s">
        <v>6284</v>
      </c>
      <c r="S104" s="300">
        <v>46140.382229780094</v>
      </c>
      <c r="T104" s="2"/>
      <c r="U104" s="289">
        <f t="shared" si="4"/>
        <v>2500</v>
      </c>
      <c r="V104" s="304" t="str">
        <f>IF(L104&gt;0, Q438 - L104, "нет з/ч")</f>
        <v>нет з/ч</v>
      </c>
      <c r="W104" s="2"/>
      <c r="X104" s="289">
        <v>1200.0</v>
      </c>
      <c r="Y104" s="139"/>
      <c r="Z104" s="2"/>
      <c r="AA104" s="2" t="s">
        <v>6282</v>
      </c>
      <c r="AB104" s="2" t="s">
        <v>6282</v>
      </c>
      <c r="AC104" s="2"/>
      <c r="AD104" s="2" t="s">
        <v>6282</v>
      </c>
      <c r="AE104" s="3" t="s">
        <v>6281</v>
      </c>
      <c r="AF104" s="2"/>
      <c r="AG104" s="1" t="s">
        <v>1582</v>
      </c>
      <c r="AH104" s="1" t="s">
        <v>6277</v>
      </c>
      <c r="AI104" s="2">
        <v>180.0</v>
      </c>
      <c r="AJ104" s="1" t="s">
        <v>1589</v>
      </c>
      <c r="AK104" s="1" t="s">
        <v>5877</v>
      </c>
      <c r="AL104" s="1" t="s">
        <v>5878</v>
      </c>
      <c r="AM104" s="2"/>
      <c r="AN104" s="2"/>
      <c r="AO104" s="2"/>
      <c r="AP104" s="2"/>
      <c r="AQ104" s="2"/>
      <c r="AR104" s="2"/>
      <c r="AS104" s="2"/>
      <c r="AT104" s="2"/>
      <c r="AU104" s="126">
        <v>1200.0</v>
      </c>
      <c r="AV104" s="126">
        <v>3700.0</v>
      </c>
      <c r="AW104" s="2"/>
      <c r="AX104" s="2"/>
      <c r="AY104" s="2"/>
      <c r="AZ104" s="2"/>
      <c r="BA104" s="2"/>
      <c r="BB104" s="2"/>
      <c r="BC104" s="2"/>
      <c r="BD104" s="2"/>
      <c r="BE104" s="2"/>
    </row>
    <row r="105" hidden="1">
      <c r="A105" s="2"/>
      <c r="B105" s="293" t="s">
        <v>6285</v>
      </c>
      <c r="C105" s="11" t="s">
        <v>6286</v>
      </c>
      <c r="D105" s="278">
        <v>180.0</v>
      </c>
      <c r="E105" s="134" t="str">
        <f t="shared" si="2"/>
        <v>iPhone 15 Plus</v>
      </c>
      <c r="F105" s="11" t="s">
        <v>5873</v>
      </c>
      <c r="G105" s="295" t="s">
        <v>6287</v>
      </c>
      <c r="H105" s="296"/>
      <c r="I105" s="156">
        <v>1200.0</v>
      </c>
      <c r="J105" s="297"/>
      <c r="K105" s="298"/>
      <c r="L105" s="156"/>
      <c r="M105" s="301">
        <v>1200.0</v>
      </c>
      <c r="N105" s="284">
        <v>1.68</v>
      </c>
      <c r="O105" s="296">
        <v>3200.0</v>
      </c>
      <c r="P105" s="302">
        <f t="shared" ref="P105:Q105" si="97">O105</f>
        <v>3200</v>
      </c>
      <c r="Q105" s="303">
        <f t="shared" si="97"/>
        <v>3200</v>
      </c>
      <c r="R105" s="299" t="s">
        <v>6288</v>
      </c>
      <c r="S105" s="300">
        <v>46140.38225196759</v>
      </c>
      <c r="T105" s="2"/>
      <c r="U105" s="289">
        <f t="shared" si="4"/>
        <v>2000</v>
      </c>
      <c r="V105" s="304" t="str">
        <f>IF(L105&gt;0, Q442 - L105, "нет з/ч")</f>
        <v>нет з/ч</v>
      </c>
      <c r="W105" s="2"/>
      <c r="X105" s="289">
        <v>1200.0</v>
      </c>
      <c r="Y105" s="139"/>
      <c r="Z105" s="2"/>
      <c r="AA105" s="2" t="s">
        <v>6286</v>
      </c>
      <c r="AB105" s="2" t="s">
        <v>6286</v>
      </c>
      <c r="AC105" s="2"/>
      <c r="AD105" s="2" t="s">
        <v>6286</v>
      </c>
      <c r="AE105" s="3" t="s">
        <v>6285</v>
      </c>
      <c r="AF105" s="2"/>
      <c r="AG105" s="1" t="s">
        <v>1582</v>
      </c>
      <c r="AH105" s="1" t="s">
        <v>6277</v>
      </c>
      <c r="AI105" s="2">
        <v>180.0</v>
      </c>
      <c r="AJ105" s="1" t="s">
        <v>1589</v>
      </c>
      <c r="AK105" s="1" t="s">
        <v>5877</v>
      </c>
      <c r="AL105" s="1" t="s">
        <v>5878</v>
      </c>
      <c r="AM105" s="2"/>
      <c r="AN105" s="2"/>
      <c r="AO105" s="2"/>
      <c r="AP105" s="2"/>
      <c r="AQ105" s="2"/>
      <c r="AR105" s="2"/>
      <c r="AS105" s="2"/>
      <c r="AT105" s="2"/>
      <c r="AU105" s="126">
        <v>1200.0</v>
      </c>
      <c r="AV105" s="126">
        <v>3200.0</v>
      </c>
      <c r="AW105" s="2"/>
      <c r="AX105" s="2"/>
      <c r="AY105" s="2"/>
      <c r="AZ105" s="2"/>
      <c r="BA105" s="2"/>
      <c r="BB105" s="2"/>
      <c r="BC105" s="2"/>
      <c r="BD105" s="2"/>
      <c r="BE105" s="2"/>
    </row>
    <row r="106" hidden="1">
      <c r="A106" s="2"/>
      <c r="B106" s="293" t="s">
        <v>6289</v>
      </c>
      <c r="C106" s="11" t="s">
        <v>6290</v>
      </c>
      <c r="D106" s="278">
        <v>180.0</v>
      </c>
      <c r="E106" s="134" t="str">
        <f t="shared" si="2"/>
        <v>iPhone 15 Plus</v>
      </c>
      <c r="F106" s="11" t="s">
        <v>5873</v>
      </c>
      <c r="G106" s="306"/>
      <c r="H106" s="296"/>
      <c r="I106" s="139"/>
      <c r="J106" s="297"/>
      <c r="K106" s="298"/>
      <c r="L106" s="156"/>
      <c r="M106" s="301" t="s">
        <v>22</v>
      </c>
      <c r="N106" s="284">
        <v>0.12</v>
      </c>
      <c r="O106" s="296" t="s">
        <v>22</v>
      </c>
      <c r="P106" s="67"/>
      <c r="Q106" s="303">
        <f>P105</f>
        <v>3200</v>
      </c>
      <c r="R106" s="307"/>
      <c r="S106" s="300">
        <v>46111.53379310185</v>
      </c>
      <c r="T106" s="2"/>
      <c r="U106" s="59" t="str">
        <f t="shared" si="4"/>
        <v>нет з/ч</v>
      </c>
      <c r="V106" s="304" t="str">
        <f>IF(L106&gt;0, Q456 - L106, "нет з/ч")</f>
        <v>нет з/ч</v>
      </c>
      <c r="W106" s="2"/>
      <c r="X106" s="289"/>
      <c r="Y106" s="139"/>
      <c r="Z106" s="2"/>
      <c r="AA106" s="2" t="s">
        <v>6290</v>
      </c>
      <c r="AB106" s="2" t="s">
        <v>6290</v>
      </c>
      <c r="AC106" s="2"/>
      <c r="AD106" s="2" t="s">
        <v>6290</v>
      </c>
      <c r="AE106" s="3" t="s">
        <v>6289</v>
      </c>
      <c r="AF106" s="2"/>
      <c r="AG106" s="1" t="s">
        <v>1582</v>
      </c>
      <c r="AH106" s="1" t="s">
        <v>6277</v>
      </c>
      <c r="AI106" s="2">
        <v>180.0</v>
      </c>
      <c r="AJ106" s="1" t="s">
        <v>1589</v>
      </c>
      <c r="AK106" s="1" t="s">
        <v>5877</v>
      </c>
      <c r="AL106" s="1" t="s">
        <v>5878</v>
      </c>
      <c r="AM106" s="2"/>
      <c r="AN106" s="2"/>
      <c r="AO106" s="2"/>
      <c r="AP106" s="2"/>
      <c r="AQ106" s="2"/>
      <c r="AR106" s="2"/>
      <c r="AS106" s="2"/>
      <c r="AT106" s="2"/>
      <c r="AU106" s="126" t="s">
        <v>22</v>
      </c>
      <c r="AV106" s="126">
        <v>3200.0</v>
      </c>
      <c r="AW106" s="2"/>
      <c r="AX106" s="2"/>
      <c r="AY106" s="2"/>
      <c r="AZ106" s="2"/>
      <c r="BA106" s="2"/>
      <c r="BB106" s="2"/>
      <c r="BC106" s="2"/>
      <c r="BD106" s="2"/>
      <c r="BE106" s="2"/>
    </row>
    <row r="107" hidden="1">
      <c r="A107" s="2"/>
      <c r="B107" s="293" t="s">
        <v>6291</v>
      </c>
      <c r="C107" s="11" t="s">
        <v>6292</v>
      </c>
      <c r="D107" s="278">
        <v>180.0</v>
      </c>
      <c r="E107" s="134" t="str">
        <f t="shared" si="2"/>
        <v>iPhone 15 Pro</v>
      </c>
      <c r="F107" s="11" t="s">
        <v>5873</v>
      </c>
      <c r="G107" s="295" t="s">
        <v>6293</v>
      </c>
      <c r="H107" s="296"/>
      <c r="I107" s="156">
        <v>8200.0</v>
      </c>
      <c r="J107" s="297"/>
      <c r="K107" s="298"/>
      <c r="L107" s="156"/>
      <c r="M107" s="301">
        <v>8200.0</v>
      </c>
      <c r="N107" s="284">
        <v>0.2</v>
      </c>
      <c r="O107" s="296">
        <v>9850.0</v>
      </c>
      <c r="P107" s="285">
        <f t="shared" ref="P107:Q107" si="98">O107</f>
        <v>9850</v>
      </c>
      <c r="Q107" s="303">
        <f t="shared" si="98"/>
        <v>9850</v>
      </c>
      <c r="R107" s="299" t="s">
        <v>6294</v>
      </c>
      <c r="S107" s="300">
        <v>46140.38227192129</v>
      </c>
      <c r="T107" s="2"/>
      <c r="U107" s="289">
        <f t="shared" si="4"/>
        <v>1650</v>
      </c>
      <c r="V107" s="304" t="str">
        <f t="shared" ref="V107:V109" si="100">IF(L107&gt;0, Q460 - L107, "нет з/ч")</f>
        <v>нет з/ч</v>
      </c>
      <c r="W107" s="2"/>
      <c r="X107" s="289">
        <v>8200.0</v>
      </c>
      <c r="Y107" s="139"/>
      <c r="Z107" s="2"/>
      <c r="AA107" s="2" t="s">
        <v>6292</v>
      </c>
      <c r="AB107" s="2" t="s">
        <v>6292</v>
      </c>
      <c r="AC107" s="2"/>
      <c r="AD107" s="2" t="s">
        <v>6292</v>
      </c>
      <c r="AE107" s="3" t="s">
        <v>6291</v>
      </c>
      <c r="AF107" s="2"/>
      <c r="AG107" s="1" t="s">
        <v>1582</v>
      </c>
      <c r="AH107" s="1" t="s">
        <v>6295</v>
      </c>
      <c r="AI107" s="2">
        <v>180.0</v>
      </c>
      <c r="AJ107" s="1" t="s">
        <v>1589</v>
      </c>
      <c r="AK107" s="1" t="s">
        <v>5877</v>
      </c>
      <c r="AL107" s="1" t="s">
        <v>5878</v>
      </c>
      <c r="AM107" s="2"/>
      <c r="AN107" s="2"/>
      <c r="AO107" s="2"/>
      <c r="AP107" s="2"/>
      <c r="AQ107" s="2"/>
      <c r="AR107" s="2"/>
      <c r="AS107" s="2"/>
      <c r="AT107" s="2"/>
      <c r="AU107" s="126">
        <v>8200.0</v>
      </c>
      <c r="AV107" s="126">
        <v>9850.0</v>
      </c>
      <c r="AW107" s="2"/>
      <c r="AX107" s="2"/>
      <c r="AY107" s="2"/>
      <c r="AZ107" s="2"/>
      <c r="BA107" s="2"/>
      <c r="BB107" s="2"/>
      <c r="BC107" s="2"/>
      <c r="BD107" s="2"/>
      <c r="BE107" s="2"/>
    </row>
    <row r="108" hidden="1">
      <c r="A108" s="2"/>
      <c r="B108" s="293" t="s">
        <v>6296</v>
      </c>
      <c r="C108" s="11" t="s">
        <v>6297</v>
      </c>
      <c r="D108" s="278">
        <v>180.0</v>
      </c>
      <c r="E108" s="134" t="str">
        <f t="shared" si="2"/>
        <v>iPhone 15 Pro</v>
      </c>
      <c r="F108" s="11" t="s">
        <v>5873</v>
      </c>
      <c r="G108" s="295" t="s">
        <v>6298</v>
      </c>
      <c r="H108" s="296"/>
      <c r="I108" s="156">
        <v>3000.0</v>
      </c>
      <c r="J108" s="301"/>
      <c r="K108" s="296"/>
      <c r="L108" s="139"/>
      <c r="M108" s="301">
        <v>3000.0</v>
      </c>
      <c r="N108" s="284">
        <v>0.63</v>
      </c>
      <c r="O108" s="296">
        <v>4900.0</v>
      </c>
      <c r="P108" s="285">
        <f t="shared" ref="P108:Q108" si="99">O108</f>
        <v>4900</v>
      </c>
      <c r="Q108" s="303">
        <f t="shared" si="99"/>
        <v>4900</v>
      </c>
      <c r="R108" s="299" t="s">
        <v>6299</v>
      </c>
      <c r="S108" s="300">
        <v>46140.382290925925</v>
      </c>
      <c r="T108" s="2"/>
      <c r="U108" s="289">
        <f t="shared" si="4"/>
        <v>1900</v>
      </c>
      <c r="V108" s="304" t="str">
        <f t="shared" si="100"/>
        <v>нет з/ч</v>
      </c>
      <c r="W108" s="2"/>
      <c r="X108" s="289">
        <v>3000.0</v>
      </c>
      <c r="Y108" s="139"/>
      <c r="Z108" s="2"/>
      <c r="AA108" s="2" t="s">
        <v>6297</v>
      </c>
      <c r="AB108" s="2" t="s">
        <v>6297</v>
      </c>
      <c r="AC108" s="2"/>
      <c r="AD108" s="2" t="s">
        <v>6297</v>
      </c>
      <c r="AE108" s="3" t="s">
        <v>6296</v>
      </c>
      <c r="AF108" s="2"/>
      <c r="AG108" s="1" t="s">
        <v>1582</v>
      </c>
      <c r="AH108" s="1" t="s">
        <v>6295</v>
      </c>
      <c r="AI108" s="2">
        <v>180.0</v>
      </c>
      <c r="AJ108" s="1" t="s">
        <v>1589</v>
      </c>
      <c r="AK108" s="1" t="s">
        <v>5877</v>
      </c>
      <c r="AL108" s="1" t="s">
        <v>5878</v>
      </c>
      <c r="AM108" s="2"/>
      <c r="AN108" s="2"/>
      <c r="AO108" s="2"/>
      <c r="AP108" s="2"/>
      <c r="AQ108" s="2"/>
      <c r="AR108" s="2"/>
      <c r="AS108" s="2"/>
      <c r="AT108" s="2"/>
      <c r="AU108" s="126">
        <v>3000.0</v>
      </c>
      <c r="AV108" s="126">
        <v>4900.0</v>
      </c>
      <c r="AW108" s="2"/>
      <c r="AX108" s="2"/>
      <c r="AY108" s="2"/>
      <c r="AZ108" s="2"/>
      <c r="BA108" s="2"/>
      <c r="BB108" s="2"/>
      <c r="BC108" s="2"/>
      <c r="BD108" s="2"/>
      <c r="BE108" s="2"/>
    </row>
    <row r="109" hidden="1">
      <c r="A109" s="2"/>
      <c r="B109" s="293" t="s">
        <v>6300</v>
      </c>
      <c r="C109" s="61"/>
      <c r="D109" s="278">
        <v>180.0</v>
      </c>
      <c r="E109" s="134" t="str">
        <f t="shared" si="2"/>
        <v>iPhone 15 Pro</v>
      </c>
      <c r="F109" s="11" t="s">
        <v>5873</v>
      </c>
      <c r="G109" s="295" t="s">
        <v>6301</v>
      </c>
      <c r="H109" s="296"/>
      <c r="I109" s="156">
        <v>2600.0</v>
      </c>
      <c r="J109" s="297"/>
      <c r="K109" s="298"/>
      <c r="L109" s="156">
        <v>2750.0</v>
      </c>
      <c r="M109" s="301">
        <v>2750.0</v>
      </c>
      <c r="N109" s="284">
        <v>0.6</v>
      </c>
      <c r="O109" s="296">
        <v>4400.0</v>
      </c>
      <c r="P109" s="285">
        <f t="shared" ref="P109:Q109" si="101">O109</f>
        <v>4400</v>
      </c>
      <c r="Q109" s="303">
        <f t="shared" si="101"/>
        <v>4400</v>
      </c>
      <c r="R109" s="287" t="s">
        <v>6302</v>
      </c>
      <c r="S109" s="300">
        <v>46140.3823111574</v>
      </c>
      <c r="T109" s="2"/>
      <c r="U109" s="289">
        <f t="shared" si="4"/>
        <v>1800</v>
      </c>
      <c r="V109" s="290">
        <f t="shared" si="100"/>
        <v>550</v>
      </c>
      <c r="W109" s="2"/>
      <c r="X109" s="289">
        <v>2600.0</v>
      </c>
      <c r="Y109" s="139">
        <v>2750.0</v>
      </c>
      <c r="Z109" s="2"/>
      <c r="AA109" s="2"/>
      <c r="AB109" s="2"/>
      <c r="AC109" s="2"/>
      <c r="AD109" s="2"/>
      <c r="AE109" s="3" t="s">
        <v>6300</v>
      </c>
      <c r="AF109" s="2"/>
      <c r="AG109" s="1" t="s">
        <v>1582</v>
      </c>
      <c r="AH109" s="1" t="s">
        <v>6295</v>
      </c>
      <c r="AI109" s="2">
        <v>180.0</v>
      </c>
      <c r="AJ109" s="1" t="s">
        <v>1589</v>
      </c>
      <c r="AK109" s="1" t="s">
        <v>5877</v>
      </c>
      <c r="AL109" s="1" t="s">
        <v>5878</v>
      </c>
      <c r="AM109" s="2"/>
      <c r="AN109" s="2"/>
      <c r="AO109" s="2"/>
      <c r="AP109" s="2"/>
      <c r="AQ109" s="2"/>
      <c r="AR109" s="2"/>
      <c r="AS109" s="2"/>
      <c r="AT109" s="2"/>
      <c r="AU109" s="126">
        <v>2750.0</v>
      </c>
      <c r="AV109" s="126">
        <v>4400.0</v>
      </c>
      <c r="AW109" s="2"/>
      <c r="AX109" s="2"/>
      <c r="AY109" s="2"/>
      <c r="AZ109" s="2"/>
      <c r="BA109" s="2"/>
      <c r="BB109" s="2"/>
      <c r="BC109" s="2"/>
      <c r="BD109" s="2"/>
      <c r="BE109" s="2"/>
    </row>
    <row r="110" hidden="1">
      <c r="A110" s="2"/>
      <c r="B110" s="293" t="s">
        <v>6303</v>
      </c>
      <c r="C110" s="11" t="s">
        <v>6304</v>
      </c>
      <c r="D110" s="278">
        <v>180.0</v>
      </c>
      <c r="E110" s="134" t="str">
        <f t="shared" si="2"/>
        <v>iPhone 15 Pro</v>
      </c>
      <c r="F110" s="11" t="s">
        <v>5873</v>
      </c>
      <c r="G110" s="295" t="s">
        <v>6305</v>
      </c>
      <c r="H110" s="296"/>
      <c r="I110" s="156">
        <v>1350.0</v>
      </c>
      <c r="J110" s="301"/>
      <c r="K110" s="296"/>
      <c r="L110" s="156">
        <v>1450.0</v>
      </c>
      <c r="M110" s="301">
        <v>1450.0</v>
      </c>
      <c r="N110" s="284">
        <v>1.35</v>
      </c>
      <c r="O110" s="296">
        <v>3400.0</v>
      </c>
      <c r="P110" s="285">
        <f t="shared" ref="P110:Q110" si="102">O110</f>
        <v>3400</v>
      </c>
      <c r="Q110" s="303">
        <f t="shared" si="102"/>
        <v>3400</v>
      </c>
      <c r="R110" s="299" t="s">
        <v>6306</v>
      </c>
      <c r="S110" s="300">
        <v>46140.38233148148</v>
      </c>
      <c r="T110" s="2"/>
      <c r="U110" s="289">
        <f t="shared" si="4"/>
        <v>2050</v>
      </c>
      <c r="V110" s="290">
        <f>IF(L110&gt;0, Q466 - L110, "нет з/ч")</f>
        <v>7850</v>
      </c>
      <c r="W110" s="2"/>
      <c r="X110" s="289">
        <v>1350.0</v>
      </c>
      <c r="Y110" s="139">
        <v>1450.0</v>
      </c>
      <c r="Z110" s="2"/>
      <c r="AA110" s="2" t="s">
        <v>6304</v>
      </c>
      <c r="AB110" s="2" t="s">
        <v>6304</v>
      </c>
      <c r="AC110" s="2"/>
      <c r="AD110" s="2" t="s">
        <v>6304</v>
      </c>
      <c r="AE110" s="3" t="s">
        <v>6303</v>
      </c>
      <c r="AF110" s="2"/>
      <c r="AG110" s="1" t="s">
        <v>1582</v>
      </c>
      <c r="AH110" s="1" t="s">
        <v>6295</v>
      </c>
      <c r="AI110" s="2">
        <v>180.0</v>
      </c>
      <c r="AJ110" s="1" t="s">
        <v>1589</v>
      </c>
      <c r="AK110" s="1" t="s">
        <v>5877</v>
      </c>
      <c r="AL110" s="1" t="s">
        <v>5878</v>
      </c>
      <c r="AM110" s="2"/>
      <c r="AN110" s="2"/>
      <c r="AO110" s="2"/>
      <c r="AP110" s="2"/>
      <c r="AQ110" s="2"/>
      <c r="AR110" s="2"/>
      <c r="AS110" s="2"/>
      <c r="AT110" s="2"/>
      <c r="AU110" s="126">
        <v>1450.0</v>
      </c>
      <c r="AV110" s="126">
        <v>3400.0</v>
      </c>
      <c r="AW110" s="2"/>
      <c r="AX110" s="2"/>
      <c r="AY110" s="2"/>
      <c r="AZ110" s="2"/>
      <c r="BA110" s="2"/>
      <c r="BB110" s="2"/>
      <c r="BC110" s="2"/>
      <c r="BD110" s="2"/>
      <c r="BE110" s="2"/>
    </row>
    <row r="111" hidden="1">
      <c r="A111" s="2"/>
      <c r="B111" s="293" t="s">
        <v>6307</v>
      </c>
      <c r="C111" s="11" t="s">
        <v>6308</v>
      </c>
      <c r="D111" s="278">
        <v>180.0</v>
      </c>
      <c r="E111" s="134" t="str">
        <f t="shared" si="2"/>
        <v>iPhone 15 Pro</v>
      </c>
      <c r="F111" s="11" t="s">
        <v>5873</v>
      </c>
      <c r="G111" s="295" t="s">
        <v>6309</v>
      </c>
      <c r="H111" s="296"/>
      <c r="I111" s="156">
        <v>1300.0</v>
      </c>
      <c r="J111" s="297"/>
      <c r="K111" s="298"/>
      <c r="L111" s="156">
        <v>1190.0</v>
      </c>
      <c r="M111" s="301">
        <v>1300.0</v>
      </c>
      <c r="N111" s="284">
        <v>1.23</v>
      </c>
      <c r="O111" s="296">
        <v>2900.0</v>
      </c>
      <c r="P111" s="302">
        <f t="shared" ref="P111:Q111" si="103">O111</f>
        <v>2900</v>
      </c>
      <c r="Q111" s="303">
        <f t="shared" si="103"/>
        <v>2900</v>
      </c>
      <c r="R111" s="299" t="s">
        <v>6310</v>
      </c>
      <c r="S111" s="300">
        <v>46140.38235167824</v>
      </c>
      <c r="T111" s="2"/>
      <c r="U111" s="289">
        <f t="shared" si="4"/>
        <v>1600</v>
      </c>
      <c r="V111" s="290">
        <f>IF(L111&gt;0, Q470 - L111, "нет з/ч")</f>
        <v>2110</v>
      </c>
      <c r="W111" s="2"/>
      <c r="X111" s="289">
        <v>1300.0</v>
      </c>
      <c r="Y111" s="139">
        <v>1190.0</v>
      </c>
      <c r="Z111" s="2"/>
      <c r="AA111" s="2" t="s">
        <v>6308</v>
      </c>
      <c r="AB111" s="2" t="s">
        <v>6308</v>
      </c>
      <c r="AC111" s="2"/>
      <c r="AD111" s="2" t="s">
        <v>6308</v>
      </c>
      <c r="AE111" s="3" t="s">
        <v>6307</v>
      </c>
      <c r="AF111" s="2"/>
      <c r="AG111" s="1" t="s">
        <v>1582</v>
      </c>
      <c r="AH111" s="1" t="s">
        <v>6295</v>
      </c>
      <c r="AI111" s="2">
        <v>180.0</v>
      </c>
      <c r="AJ111" s="1" t="s">
        <v>1589</v>
      </c>
      <c r="AK111" s="1" t="s">
        <v>5877</v>
      </c>
      <c r="AL111" s="1" t="s">
        <v>5878</v>
      </c>
      <c r="AM111" s="2"/>
      <c r="AN111" s="2"/>
      <c r="AO111" s="2"/>
      <c r="AP111" s="2"/>
      <c r="AQ111" s="2"/>
      <c r="AR111" s="2"/>
      <c r="AS111" s="2"/>
      <c r="AT111" s="2"/>
      <c r="AU111" s="126">
        <v>1300.0</v>
      </c>
      <c r="AV111" s="126">
        <v>2900.0</v>
      </c>
      <c r="AW111" s="2"/>
      <c r="AX111" s="2"/>
      <c r="AY111" s="2"/>
      <c r="AZ111" s="2"/>
      <c r="BA111" s="2"/>
      <c r="BB111" s="2"/>
      <c r="BC111" s="2"/>
      <c r="BD111" s="2"/>
      <c r="BE111" s="2"/>
    </row>
    <row r="112" hidden="1">
      <c r="A112" s="2"/>
      <c r="B112" s="293" t="s">
        <v>6311</v>
      </c>
      <c r="C112" s="11" t="s">
        <v>6312</v>
      </c>
      <c r="D112" s="278">
        <v>180.0</v>
      </c>
      <c r="E112" s="134" t="str">
        <f t="shared" si="2"/>
        <v>iPhone 15 Pro</v>
      </c>
      <c r="F112" s="11" t="s">
        <v>5873</v>
      </c>
      <c r="G112" s="295" t="s">
        <v>6313</v>
      </c>
      <c r="H112" s="296"/>
      <c r="I112" s="156">
        <v>890.0</v>
      </c>
      <c r="J112" s="297"/>
      <c r="K112" s="298"/>
      <c r="L112" s="156"/>
      <c r="M112" s="301">
        <v>890.0</v>
      </c>
      <c r="N112" s="284">
        <v>0.12</v>
      </c>
      <c r="O112" s="296">
        <v>1000.0</v>
      </c>
      <c r="P112" s="67"/>
      <c r="Q112" s="303">
        <f>P111</f>
        <v>2900</v>
      </c>
      <c r="R112" s="299" t="s">
        <v>6314</v>
      </c>
      <c r="S112" s="300">
        <v>46140.38237111111</v>
      </c>
      <c r="T112" s="2"/>
      <c r="U112" s="289">
        <f t="shared" si="4"/>
        <v>2010</v>
      </c>
      <c r="V112" s="304" t="str">
        <f>IF(L112&gt;0, Q474 - L112, "нет з/ч")</f>
        <v>нет з/ч</v>
      </c>
      <c r="W112" s="2"/>
      <c r="X112" s="289">
        <v>890.0</v>
      </c>
      <c r="Y112" s="139"/>
      <c r="Z112" s="2"/>
      <c r="AA112" s="2" t="s">
        <v>6312</v>
      </c>
      <c r="AB112" s="2" t="s">
        <v>6312</v>
      </c>
      <c r="AC112" s="2"/>
      <c r="AD112" s="2" t="s">
        <v>6312</v>
      </c>
      <c r="AE112" s="3" t="s">
        <v>6311</v>
      </c>
      <c r="AF112" s="2"/>
      <c r="AG112" s="1" t="s">
        <v>1582</v>
      </c>
      <c r="AH112" s="1" t="s">
        <v>6295</v>
      </c>
      <c r="AI112" s="2">
        <v>180.0</v>
      </c>
      <c r="AJ112" s="1" t="s">
        <v>1589</v>
      </c>
      <c r="AK112" s="1" t="s">
        <v>5877</v>
      </c>
      <c r="AL112" s="1" t="s">
        <v>5878</v>
      </c>
      <c r="AM112" s="2"/>
      <c r="AN112" s="2"/>
      <c r="AO112" s="2"/>
      <c r="AP112" s="2"/>
      <c r="AQ112" s="2"/>
      <c r="AR112" s="2"/>
      <c r="AS112" s="2"/>
      <c r="AT112" s="2"/>
      <c r="AU112" s="126">
        <v>890.0</v>
      </c>
      <c r="AV112" s="126">
        <v>2900.0</v>
      </c>
      <c r="AW112" s="2"/>
      <c r="AX112" s="2"/>
      <c r="AY112" s="2"/>
      <c r="AZ112" s="2"/>
      <c r="BA112" s="2"/>
      <c r="BB112" s="2"/>
      <c r="BC112" s="2"/>
      <c r="BD112" s="2"/>
      <c r="BE112" s="2"/>
    </row>
    <row r="113" hidden="1">
      <c r="A113" s="2"/>
      <c r="B113" s="293" t="s">
        <v>6315</v>
      </c>
      <c r="C113" s="11" t="s">
        <v>6316</v>
      </c>
      <c r="D113" s="278">
        <v>180.0</v>
      </c>
      <c r="E113" s="134" t="str">
        <f t="shared" si="2"/>
        <v>iPhone 15 Pro Max</v>
      </c>
      <c r="F113" s="11" t="s">
        <v>5873</v>
      </c>
      <c r="G113" s="295" t="s">
        <v>6317</v>
      </c>
      <c r="H113" s="296"/>
      <c r="I113" s="156">
        <v>8200.0</v>
      </c>
      <c r="J113" s="297"/>
      <c r="K113" s="298"/>
      <c r="L113" s="156"/>
      <c r="M113" s="301">
        <v>8200.0</v>
      </c>
      <c r="N113" s="284">
        <v>0.2</v>
      </c>
      <c r="O113" s="296">
        <v>9850.0</v>
      </c>
      <c r="P113" s="285">
        <f t="shared" ref="P113:Q113" si="104">O113</f>
        <v>9850</v>
      </c>
      <c r="Q113" s="303">
        <f t="shared" si="104"/>
        <v>9850</v>
      </c>
      <c r="R113" s="299" t="s">
        <v>6318</v>
      </c>
      <c r="S113" s="300">
        <v>46140.38240017361</v>
      </c>
      <c r="T113" s="2"/>
      <c r="U113" s="289">
        <f t="shared" si="4"/>
        <v>1650</v>
      </c>
      <c r="V113" s="304" t="str">
        <f t="shared" ref="V113:V115" si="106">IF(L113&gt;0, Q478 - L113, "нет з/ч")</f>
        <v>нет з/ч</v>
      </c>
      <c r="W113" s="2"/>
      <c r="X113" s="289">
        <v>8200.0</v>
      </c>
      <c r="Y113" s="139"/>
      <c r="Z113" s="2"/>
      <c r="AA113" s="2" t="s">
        <v>6316</v>
      </c>
      <c r="AB113" s="2" t="s">
        <v>6316</v>
      </c>
      <c r="AC113" s="2"/>
      <c r="AD113" s="2" t="s">
        <v>6316</v>
      </c>
      <c r="AE113" s="3" t="s">
        <v>6315</v>
      </c>
      <c r="AF113" s="2"/>
      <c r="AG113" s="1" t="s">
        <v>1582</v>
      </c>
      <c r="AH113" s="1" t="s">
        <v>6319</v>
      </c>
      <c r="AI113" s="2">
        <v>180.0</v>
      </c>
      <c r="AJ113" s="1" t="s">
        <v>1589</v>
      </c>
      <c r="AK113" s="1" t="s">
        <v>5877</v>
      </c>
      <c r="AL113" s="1" t="s">
        <v>5878</v>
      </c>
      <c r="AM113" s="2"/>
      <c r="AN113" s="2"/>
      <c r="AO113" s="2"/>
      <c r="AP113" s="2"/>
      <c r="AQ113" s="2"/>
      <c r="AR113" s="2"/>
      <c r="AS113" s="2"/>
      <c r="AT113" s="2"/>
      <c r="AU113" s="126">
        <v>8200.0</v>
      </c>
      <c r="AV113" s="126">
        <v>9850.0</v>
      </c>
      <c r="AW113" s="2"/>
      <c r="AX113" s="2"/>
      <c r="AY113" s="2"/>
      <c r="AZ113" s="2"/>
      <c r="BA113" s="2"/>
      <c r="BB113" s="2"/>
      <c r="BC113" s="2"/>
      <c r="BD113" s="2"/>
      <c r="BE113" s="2"/>
    </row>
    <row r="114" hidden="1">
      <c r="A114" s="2"/>
      <c r="B114" s="293" t="s">
        <v>6320</v>
      </c>
      <c r="C114" s="11" t="s">
        <v>6321</v>
      </c>
      <c r="D114" s="278">
        <v>180.0</v>
      </c>
      <c r="E114" s="134" t="str">
        <f t="shared" si="2"/>
        <v>iPhone 15 Pro Max</v>
      </c>
      <c r="F114" s="11" t="s">
        <v>5873</v>
      </c>
      <c r="G114" s="295" t="s">
        <v>6322</v>
      </c>
      <c r="H114" s="296"/>
      <c r="I114" s="156">
        <v>3000.0</v>
      </c>
      <c r="J114" s="301"/>
      <c r="K114" s="296"/>
      <c r="L114" s="139"/>
      <c r="M114" s="301">
        <v>3000.0</v>
      </c>
      <c r="N114" s="284">
        <v>0.97</v>
      </c>
      <c r="O114" s="296">
        <v>5900.0</v>
      </c>
      <c r="P114" s="285">
        <f t="shared" ref="P114:Q114" si="105">O114</f>
        <v>5900</v>
      </c>
      <c r="Q114" s="303">
        <f t="shared" si="105"/>
        <v>5900</v>
      </c>
      <c r="R114" s="299" t="s">
        <v>6323</v>
      </c>
      <c r="S114" s="300">
        <v>46140.38241837963</v>
      </c>
      <c r="T114" s="2"/>
      <c r="U114" s="289">
        <f t="shared" si="4"/>
        <v>2900</v>
      </c>
      <c r="V114" s="304" t="str">
        <f t="shared" si="106"/>
        <v>нет з/ч</v>
      </c>
      <c r="W114" s="2"/>
      <c r="X114" s="289">
        <v>3000.0</v>
      </c>
      <c r="Y114" s="139"/>
      <c r="Z114" s="2"/>
      <c r="AA114" s="2" t="s">
        <v>6321</v>
      </c>
      <c r="AB114" s="2" t="s">
        <v>6321</v>
      </c>
      <c r="AC114" s="2"/>
      <c r="AD114" s="2" t="s">
        <v>6321</v>
      </c>
      <c r="AE114" s="3" t="s">
        <v>6320</v>
      </c>
      <c r="AF114" s="2"/>
      <c r="AG114" s="1" t="s">
        <v>1582</v>
      </c>
      <c r="AH114" s="1" t="s">
        <v>6319</v>
      </c>
      <c r="AI114" s="2">
        <v>180.0</v>
      </c>
      <c r="AJ114" s="1" t="s">
        <v>1589</v>
      </c>
      <c r="AK114" s="1" t="s">
        <v>5877</v>
      </c>
      <c r="AL114" s="1" t="s">
        <v>5878</v>
      </c>
      <c r="AM114" s="2"/>
      <c r="AN114" s="2"/>
      <c r="AO114" s="2"/>
      <c r="AP114" s="2"/>
      <c r="AQ114" s="2"/>
      <c r="AR114" s="2"/>
      <c r="AS114" s="2"/>
      <c r="AT114" s="2"/>
      <c r="AU114" s="126">
        <v>3000.0</v>
      </c>
      <c r="AV114" s="126">
        <v>5900.0</v>
      </c>
      <c r="AW114" s="2"/>
      <c r="AX114" s="2"/>
      <c r="AY114" s="2"/>
      <c r="AZ114" s="2"/>
      <c r="BA114" s="2"/>
      <c r="BB114" s="2"/>
      <c r="BC114" s="2"/>
      <c r="BD114" s="2"/>
      <c r="BE114" s="2"/>
    </row>
    <row r="115" hidden="1">
      <c r="A115" s="2"/>
      <c r="B115" s="293" t="s">
        <v>6324</v>
      </c>
      <c r="C115" s="61"/>
      <c r="D115" s="278">
        <v>180.0</v>
      </c>
      <c r="E115" s="134" t="str">
        <f t="shared" si="2"/>
        <v>iPhone 15 Pro Max</v>
      </c>
      <c r="F115" s="11" t="s">
        <v>5873</v>
      </c>
      <c r="G115" s="295" t="s">
        <v>6325</v>
      </c>
      <c r="H115" s="296"/>
      <c r="I115" s="156">
        <v>2700.0</v>
      </c>
      <c r="J115" s="297"/>
      <c r="K115" s="298"/>
      <c r="L115" s="156">
        <v>2850.0</v>
      </c>
      <c r="M115" s="301">
        <v>2850.0</v>
      </c>
      <c r="N115" s="284">
        <v>0.9</v>
      </c>
      <c r="O115" s="296">
        <v>5400.0</v>
      </c>
      <c r="P115" s="285">
        <f t="shared" ref="P115:Q115" si="107">O115</f>
        <v>5400</v>
      </c>
      <c r="Q115" s="303">
        <f t="shared" si="107"/>
        <v>5400</v>
      </c>
      <c r="R115" s="299" t="s">
        <v>6326</v>
      </c>
      <c r="S115" s="300">
        <v>46140.38244274305</v>
      </c>
      <c r="T115" s="2"/>
      <c r="U115" s="289">
        <f t="shared" si="4"/>
        <v>2700</v>
      </c>
      <c r="V115" s="290">
        <f t="shared" si="106"/>
        <v>250</v>
      </c>
      <c r="W115" s="2"/>
      <c r="X115" s="289">
        <v>2700.0</v>
      </c>
      <c r="Y115" s="139">
        <v>2850.0</v>
      </c>
      <c r="Z115" s="2"/>
      <c r="AA115" s="2"/>
      <c r="AB115" s="2"/>
      <c r="AC115" s="2"/>
      <c r="AD115" s="2"/>
      <c r="AE115" s="3" t="s">
        <v>6324</v>
      </c>
      <c r="AF115" s="2"/>
      <c r="AG115" s="1" t="s">
        <v>1582</v>
      </c>
      <c r="AH115" s="1" t="s">
        <v>6319</v>
      </c>
      <c r="AI115" s="2">
        <v>180.0</v>
      </c>
      <c r="AJ115" s="1" t="s">
        <v>1589</v>
      </c>
      <c r="AK115" s="1" t="s">
        <v>5877</v>
      </c>
      <c r="AL115" s="1" t="s">
        <v>5878</v>
      </c>
      <c r="AM115" s="2"/>
      <c r="AN115" s="2"/>
      <c r="AO115" s="2"/>
      <c r="AP115" s="2"/>
      <c r="AQ115" s="2"/>
      <c r="AR115" s="2"/>
      <c r="AS115" s="2"/>
      <c r="AT115" s="2"/>
      <c r="AU115" s="126">
        <v>2850.0</v>
      </c>
      <c r="AV115" s="126">
        <v>5400.0</v>
      </c>
      <c r="AW115" s="2"/>
      <c r="AX115" s="2"/>
      <c r="AY115" s="2"/>
      <c r="AZ115" s="2"/>
      <c r="BA115" s="2"/>
      <c r="BB115" s="2"/>
      <c r="BC115" s="2"/>
      <c r="BD115" s="2"/>
      <c r="BE115" s="2"/>
    </row>
    <row r="116" hidden="1">
      <c r="A116" s="2"/>
      <c r="B116" s="293" t="s">
        <v>6327</v>
      </c>
      <c r="C116" s="11" t="s">
        <v>6328</v>
      </c>
      <c r="D116" s="278">
        <v>180.0</v>
      </c>
      <c r="E116" s="134" t="str">
        <f t="shared" si="2"/>
        <v>iPhone 15 Pro Max</v>
      </c>
      <c r="F116" s="11" t="s">
        <v>5873</v>
      </c>
      <c r="G116" s="295" t="s">
        <v>6329</v>
      </c>
      <c r="H116" s="296"/>
      <c r="I116" s="156">
        <v>1400.0</v>
      </c>
      <c r="J116" s="301"/>
      <c r="K116" s="296"/>
      <c r="L116" s="156">
        <v>1590.0</v>
      </c>
      <c r="M116" s="301">
        <v>1590.0</v>
      </c>
      <c r="N116" s="284">
        <v>1.78</v>
      </c>
      <c r="O116" s="296">
        <v>4400.0</v>
      </c>
      <c r="P116" s="285">
        <f t="shared" ref="P116:Q116" si="108">O116</f>
        <v>4400</v>
      </c>
      <c r="Q116" s="303">
        <f t="shared" si="108"/>
        <v>4400</v>
      </c>
      <c r="R116" s="299" t="s">
        <v>6330</v>
      </c>
      <c r="S116" s="300">
        <v>46140.38246466435</v>
      </c>
      <c r="T116" s="2"/>
      <c r="U116" s="289">
        <f t="shared" si="4"/>
        <v>3000</v>
      </c>
      <c r="V116" s="290">
        <f>IF(L116&gt;0, Q488 - L116, "нет з/ч")</f>
        <v>-1590</v>
      </c>
      <c r="W116" s="2"/>
      <c r="X116" s="289">
        <v>1400.0</v>
      </c>
      <c r="Y116" s="139">
        <v>1590.0</v>
      </c>
      <c r="Z116" s="2"/>
      <c r="AA116" s="2" t="s">
        <v>6328</v>
      </c>
      <c r="AB116" s="2" t="s">
        <v>6328</v>
      </c>
      <c r="AC116" s="2"/>
      <c r="AD116" s="2" t="s">
        <v>6328</v>
      </c>
      <c r="AE116" s="3" t="s">
        <v>6327</v>
      </c>
      <c r="AF116" s="2"/>
      <c r="AG116" s="1" t="s">
        <v>1582</v>
      </c>
      <c r="AH116" s="1" t="s">
        <v>6319</v>
      </c>
      <c r="AI116" s="2">
        <v>180.0</v>
      </c>
      <c r="AJ116" s="1" t="s">
        <v>1589</v>
      </c>
      <c r="AK116" s="1" t="s">
        <v>5877</v>
      </c>
      <c r="AL116" s="1" t="s">
        <v>5878</v>
      </c>
      <c r="AM116" s="2"/>
      <c r="AN116" s="2"/>
      <c r="AO116" s="2"/>
      <c r="AP116" s="2"/>
      <c r="AQ116" s="2"/>
      <c r="AR116" s="2"/>
      <c r="AS116" s="2"/>
      <c r="AT116" s="2"/>
      <c r="AU116" s="126">
        <v>1590.0</v>
      </c>
      <c r="AV116" s="126">
        <v>4400.0</v>
      </c>
      <c r="AW116" s="2"/>
      <c r="AX116" s="2"/>
      <c r="AY116" s="2"/>
      <c r="AZ116" s="2"/>
      <c r="BA116" s="2"/>
      <c r="BB116" s="2"/>
      <c r="BC116" s="2"/>
      <c r="BD116" s="2"/>
      <c r="BE116" s="2"/>
    </row>
    <row r="117" hidden="1">
      <c r="A117" s="2"/>
      <c r="B117" s="293" t="s">
        <v>6331</v>
      </c>
      <c r="C117" s="11" t="s">
        <v>6332</v>
      </c>
      <c r="D117" s="278">
        <v>180.0</v>
      </c>
      <c r="E117" s="134" t="str">
        <f t="shared" si="2"/>
        <v>iPhone 15 Pro Max</v>
      </c>
      <c r="F117" s="11" t="s">
        <v>5873</v>
      </c>
      <c r="G117" s="295" t="s">
        <v>6333</v>
      </c>
      <c r="H117" s="296"/>
      <c r="I117" s="156">
        <v>1400.0</v>
      </c>
      <c r="J117" s="297"/>
      <c r="K117" s="298"/>
      <c r="L117" s="156">
        <v>1290.0</v>
      </c>
      <c r="M117" s="301">
        <v>1400.0</v>
      </c>
      <c r="N117" s="284">
        <v>1.78</v>
      </c>
      <c r="O117" s="296">
        <v>3900.0</v>
      </c>
      <c r="P117" s="302">
        <f t="shared" ref="P117:Q117" si="109">O117</f>
        <v>3900</v>
      </c>
      <c r="Q117" s="303">
        <f t="shared" si="109"/>
        <v>3900</v>
      </c>
      <c r="R117" s="299" t="s">
        <v>6334</v>
      </c>
      <c r="S117" s="300">
        <v>46140.382485995375</v>
      </c>
      <c r="T117" s="2"/>
      <c r="U117" s="289">
        <f t="shared" si="4"/>
        <v>2500</v>
      </c>
      <c r="V117" s="290">
        <f>IF(L117&gt;0, Q492 - L117, "нет з/ч")</f>
        <v>1810</v>
      </c>
      <c r="W117" s="2"/>
      <c r="X117" s="289">
        <v>1400.0</v>
      </c>
      <c r="Y117" s="139">
        <v>1290.0</v>
      </c>
      <c r="Z117" s="2"/>
      <c r="AA117" s="2" t="s">
        <v>6332</v>
      </c>
      <c r="AB117" s="2" t="s">
        <v>6332</v>
      </c>
      <c r="AC117" s="2"/>
      <c r="AD117" s="2" t="s">
        <v>6332</v>
      </c>
      <c r="AE117" s="3" t="s">
        <v>6331</v>
      </c>
      <c r="AF117" s="2"/>
      <c r="AG117" s="1" t="s">
        <v>1582</v>
      </c>
      <c r="AH117" s="1" t="s">
        <v>6319</v>
      </c>
      <c r="AI117" s="2">
        <v>180.0</v>
      </c>
      <c r="AJ117" s="1" t="s">
        <v>1589</v>
      </c>
      <c r="AK117" s="1" t="s">
        <v>5877</v>
      </c>
      <c r="AL117" s="1" t="s">
        <v>5878</v>
      </c>
      <c r="AM117" s="2"/>
      <c r="AN117" s="2"/>
      <c r="AO117" s="2"/>
      <c r="AP117" s="2"/>
      <c r="AQ117" s="2"/>
      <c r="AR117" s="2"/>
      <c r="AS117" s="2"/>
      <c r="AT117" s="2"/>
      <c r="AU117" s="126">
        <v>1400.0</v>
      </c>
      <c r="AV117" s="126">
        <v>3900.0</v>
      </c>
      <c r="AW117" s="2"/>
      <c r="AX117" s="2"/>
      <c r="AY117" s="2"/>
      <c r="AZ117" s="2"/>
      <c r="BA117" s="2"/>
      <c r="BB117" s="2"/>
      <c r="BC117" s="2"/>
      <c r="BD117" s="2"/>
      <c r="BE117" s="2"/>
    </row>
    <row r="118" hidden="1">
      <c r="A118" s="2"/>
      <c r="B118" s="293" t="s">
        <v>6335</v>
      </c>
      <c r="C118" s="11" t="s">
        <v>6336</v>
      </c>
      <c r="D118" s="278">
        <v>180.0</v>
      </c>
      <c r="E118" s="134" t="str">
        <f t="shared" si="2"/>
        <v>iPhone 15 Pro Max</v>
      </c>
      <c r="F118" s="11" t="s">
        <v>5873</v>
      </c>
      <c r="G118" s="295" t="s">
        <v>6337</v>
      </c>
      <c r="H118" s="296"/>
      <c r="I118" s="156">
        <v>940.0</v>
      </c>
      <c r="J118" s="297"/>
      <c r="K118" s="298"/>
      <c r="L118" s="156"/>
      <c r="M118" s="301">
        <v>940.0</v>
      </c>
      <c r="N118" s="284">
        <v>0.12</v>
      </c>
      <c r="O118" s="296">
        <v>1050.0</v>
      </c>
      <c r="P118" s="67"/>
      <c r="Q118" s="303">
        <f>P117</f>
        <v>3900</v>
      </c>
      <c r="R118" s="299" t="s">
        <v>6338</v>
      </c>
      <c r="S118" s="300">
        <v>46140.382564872685</v>
      </c>
      <c r="T118" s="2"/>
      <c r="U118" s="289">
        <f t="shared" si="4"/>
        <v>2960</v>
      </c>
      <c r="V118" s="304" t="str">
        <f>IF(L118&gt;0, Q496 - L118, "нет з/ч")</f>
        <v>нет з/ч</v>
      </c>
      <c r="W118" s="2"/>
      <c r="X118" s="289">
        <v>940.0</v>
      </c>
      <c r="Y118" s="139"/>
      <c r="Z118" s="2"/>
      <c r="AA118" s="2" t="s">
        <v>6336</v>
      </c>
      <c r="AB118" s="2" t="s">
        <v>6336</v>
      </c>
      <c r="AC118" s="2"/>
      <c r="AD118" s="2" t="s">
        <v>6336</v>
      </c>
      <c r="AE118" s="3" t="s">
        <v>6335</v>
      </c>
      <c r="AF118" s="2"/>
      <c r="AG118" s="1" t="s">
        <v>1582</v>
      </c>
      <c r="AH118" s="1" t="s">
        <v>6319</v>
      </c>
      <c r="AI118" s="2">
        <v>180.0</v>
      </c>
      <c r="AJ118" s="1" t="s">
        <v>1589</v>
      </c>
      <c r="AK118" s="1" t="s">
        <v>5877</v>
      </c>
      <c r="AL118" s="1" t="s">
        <v>5878</v>
      </c>
      <c r="AM118" s="2"/>
      <c r="AN118" s="2"/>
      <c r="AO118" s="2"/>
      <c r="AP118" s="2"/>
      <c r="AQ118" s="2"/>
      <c r="AR118" s="2"/>
      <c r="AS118" s="2"/>
      <c r="AT118" s="2"/>
      <c r="AU118" s="126">
        <v>940.0</v>
      </c>
      <c r="AV118" s="126">
        <v>3900.0</v>
      </c>
      <c r="AW118" s="2"/>
      <c r="AX118" s="2"/>
      <c r="AY118" s="2"/>
      <c r="AZ118" s="2"/>
      <c r="BA118" s="2"/>
      <c r="BB118" s="2"/>
      <c r="BC118" s="2"/>
      <c r="BD118" s="2"/>
      <c r="BE118" s="2"/>
    </row>
    <row r="119" hidden="1">
      <c r="A119" s="2"/>
      <c r="B119" s="293" t="s">
        <v>6339</v>
      </c>
      <c r="C119" s="11" t="s">
        <v>6340</v>
      </c>
      <c r="D119" s="278">
        <v>180.0</v>
      </c>
      <c r="E119" s="134" t="str">
        <f t="shared" si="2"/>
        <v>iPhone 16</v>
      </c>
      <c r="F119" s="11" t="s">
        <v>5873</v>
      </c>
      <c r="G119" s="295" t="s">
        <v>6341</v>
      </c>
      <c r="H119" s="296"/>
      <c r="I119" s="156">
        <v>9500.0</v>
      </c>
      <c r="J119" s="297"/>
      <c r="K119" s="298"/>
      <c r="L119" s="156"/>
      <c r="M119" s="301">
        <v>9500.0</v>
      </c>
      <c r="N119" s="284">
        <v>0.2</v>
      </c>
      <c r="O119" s="296">
        <v>11400.0</v>
      </c>
      <c r="P119" s="285">
        <f t="shared" ref="P119:Q119" si="110">O119</f>
        <v>11400</v>
      </c>
      <c r="Q119" s="303">
        <f t="shared" si="110"/>
        <v>11400</v>
      </c>
      <c r="R119" s="299" t="s">
        <v>6342</v>
      </c>
      <c r="S119" s="300">
        <v>46140.38259090278</v>
      </c>
      <c r="T119" s="2"/>
      <c r="U119" s="289">
        <f t="shared" si="4"/>
        <v>1900</v>
      </c>
      <c r="V119" s="304" t="str">
        <f t="shared" ref="V119:V121" si="112">IF(L119&gt;0, Q500 - L119, "нет з/ч")</f>
        <v>нет з/ч</v>
      </c>
      <c r="W119" s="2"/>
      <c r="X119" s="289">
        <v>9500.0</v>
      </c>
      <c r="Y119" s="139"/>
      <c r="Z119" s="2"/>
      <c r="AA119" s="2" t="s">
        <v>6340</v>
      </c>
      <c r="AB119" s="2" t="s">
        <v>6340</v>
      </c>
      <c r="AC119" s="2"/>
      <c r="AD119" s="2" t="s">
        <v>6340</v>
      </c>
      <c r="AE119" s="3" t="s">
        <v>6339</v>
      </c>
      <c r="AF119" s="2"/>
      <c r="AG119" s="1" t="s">
        <v>1582</v>
      </c>
      <c r="AH119" s="1" t="s">
        <v>6343</v>
      </c>
      <c r="AI119" s="2">
        <v>180.0</v>
      </c>
      <c r="AJ119" s="1" t="s">
        <v>1589</v>
      </c>
      <c r="AK119" s="1" t="s">
        <v>5877</v>
      </c>
      <c r="AL119" s="1" t="s">
        <v>5878</v>
      </c>
      <c r="AM119" s="2"/>
      <c r="AN119" s="2"/>
      <c r="AO119" s="2"/>
      <c r="AP119" s="2"/>
      <c r="AQ119" s="2"/>
      <c r="AR119" s="2"/>
      <c r="AS119" s="2"/>
      <c r="AT119" s="2"/>
      <c r="AU119" s="126">
        <v>9500.0</v>
      </c>
      <c r="AV119" s="126">
        <v>11400.0</v>
      </c>
      <c r="AW119" s="2"/>
      <c r="AX119" s="2"/>
      <c r="AY119" s="2"/>
      <c r="AZ119" s="2"/>
      <c r="BA119" s="2"/>
      <c r="BB119" s="2"/>
      <c r="BC119" s="2"/>
      <c r="BD119" s="2"/>
      <c r="BE119" s="2"/>
    </row>
    <row r="120" hidden="1">
      <c r="A120" s="2"/>
      <c r="B120" s="293" t="s">
        <v>6344</v>
      </c>
      <c r="C120" s="11" t="s">
        <v>6345</v>
      </c>
      <c r="D120" s="278">
        <v>180.0</v>
      </c>
      <c r="E120" s="134" t="str">
        <f t="shared" si="2"/>
        <v>iPhone 16</v>
      </c>
      <c r="F120" s="11" t="s">
        <v>5873</v>
      </c>
      <c r="G120" s="295" t="s">
        <v>6346</v>
      </c>
      <c r="H120" s="296"/>
      <c r="I120" s="156">
        <v>2900.0</v>
      </c>
      <c r="J120" s="301"/>
      <c r="K120" s="296"/>
      <c r="L120" s="139"/>
      <c r="M120" s="301">
        <v>2900.0</v>
      </c>
      <c r="N120" s="284">
        <v>1.13</v>
      </c>
      <c r="O120" s="296">
        <v>6200.0</v>
      </c>
      <c r="P120" s="285">
        <f t="shared" ref="P120:Q120" si="111">O120</f>
        <v>6200</v>
      </c>
      <c r="Q120" s="303">
        <f t="shared" si="111"/>
        <v>6200</v>
      </c>
      <c r="R120" s="299" t="s">
        <v>6347</v>
      </c>
      <c r="S120" s="300">
        <v>46140.38261409722</v>
      </c>
      <c r="T120" s="2"/>
      <c r="U120" s="289">
        <f t="shared" si="4"/>
        <v>3300</v>
      </c>
      <c r="V120" s="304" t="str">
        <f t="shared" si="112"/>
        <v>нет з/ч</v>
      </c>
      <c r="W120" s="2"/>
      <c r="X120" s="289">
        <v>2900.0</v>
      </c>
      <c r="Y120" s="139"/>
      <c r="Z120" s="2"/>
      <c r="AA120" s="2" t="s">
        <v>6345</v>
      </c>
      <c r="AB120" s="2" t="s">
        <v>6345</v>
      </c>
      <c r="AC120" s="2"/>
      <c r="AD120" s="2" t="s">
        <v>6345</v>
      </c>
      <c r="AE120" s="3" t="s">
        <v>6344</v>
      </c>
      <c r="AF120" s="2"/>
      <c r="AG120" s="1" t="s">
        <v>1582</v>
      </c>
      <c r="AH120" s="1" t="s">
        <v>6343</v>
      </c>
      <c r="AI120" s="2">
        <v>180.0</v>
      </c>
      <c r="AJ120" s="1" t="s">
        <v>1589</v>
      </c>
      <c r="AK120" s="1" t="s">
        <v>5877</v>
      </c>
      <c r="AL120" s="1" t="s">
        <v>5878</v>
      </c>
      <c r="AM120" s="2"/>
      <c r="AN120" s="2"/>
      <c r="AO120" s="2"/>
      <c r="AP120" s="2"/>
      <c r="AQ120" s="2"/>
      <c r="AR120" s="2"/>
      <c r="AS120" s="2"/>
      <c r="AT120" s="2"/>
      <c r="AU120" s="126">
        <v>2900.0</v>
      </c>
      <c r="AV120" s="126">
        <v>6200.0</v>
      </c>
      <c r="AW120" s="2"/>
      <c r="AX120" s="2"/>
      <c r="AY120" s="2"/>
      <c r="AZ120" s="2"/>
      <c r="BA120" s="2"/>
      <c r="BB120" s="2"/>
      <c r="BC120" s="2"/>
      <c r="BD120" s="2"/>
      <c r="BE120" s="2"/>
    </row>
    <row r="121" hidden="1">
      <c r="A121" s="2"/>
      <c r="B121" s="293" t="s">
        <v>6348</v>
      </c>
      <c r="C121" s="61"/>
      <c r="D121" s="278">
        <v>180.0</v>
      </c>
      <c r="E121" s="134" t="str">
        <f t="shared" si="2"/>
        <v>iPhone 16</v>
      </c>
      <c r="F121" s="11" t="s">
        <v>5873</v>
      </c>
      <c r="G121" s="306"/>
      <c r="H121" s="296"/>
      <c r="I121" s="139"/>
      <c r="J121" s="301"/>
      <c r="K121" s="296"/>
      <c r="L121" s="139"/>
      <c r="M121" s="301" t="s">
        <v>22</v>
      </c>
      <c r="N121" s="284">
        <v>0.12</v>
      </c>
      <c r="O121" s="296" t="s">
        <v>22</v>
      </c>
      <c r="P121" s="285" t="str">
        <f t="shared" ref="P121:Q121" si="113">O121</f>
        <v/>
      </c>
      <c r="Q121" s="303" t="str">
        <f t="shared" si="113"/>
        <v/>
      </c>
      <c r="R121" s="307"/>
      <c r="S121" s="300">
        <v>46139.74931550926</v>
      </c>
      <c r="T121" s="2"/>
      <c r="U121" s="59" t="str">
        <f t="shared" si="4"/>
        <v>нет з/ч</v>
      </c>
      <c r="V121" s="304" t="str">
        <f t="shared" si="112"/>
        <v>нет з/ч</v>
      </c>
      <c r="W121" s="2"/>
      <c r="X121" s="289"/>
      <c r="Y121" s="139"/>
      <c r="Z121" s="2"/>
      <c r="AA121" s="2"/>
      <c r="AB121" s="2"/>
      <c r="AC121" s="2"/>
      <c r="AD121" s="2"/>
      <c r="AE121" s="3" t="s">
        <v>6348</v>
      </c>
      <c r="AF121" s="2"/>
      <c r="AG121" s="1" t="s">
        <v>1582</v>
      </c>
      <c r="AH121" s="1" t="s">
        <v>6343</v>
      </c>
      <c r="AI121" s="2">
        <v>180.0</v>
      </c>
      <c r="AJ121" s="1" t="s">
        <v>1589</v>
      </c>
      <c r="AK121" s="1" t="s">
        <v>5877</v>
      </c>
      <c r="AL121" s="1" t="s">
        <v>5878</v>
      </c>
      <c r="AM121" s="2"/>
      <c r="AN121" s="2"/>
      <c r="AO121" s="2"/>
      <c r="AP121" s="2"/>
      <c r="AQ121" s="2"/>
      <c r="AR121" s="2"/>
      <c r="AS121" s="2"/>
      <c r="AT121" s="2"/>
      <c r="AU121" s="126" t="s">
        <v>22</v>
      </c>
      <c r="AV121" s="126" t="s">
        <v>22</v>
      </c>
      <c r="AW121" s="2"/>
      <c r="AX121" s="2"/>
      <c r="AY121" s="2"/>
      <c r="AZ121" s="2"/>
      <c r="BA121" s="2"/>
      <c r="BB121" s="2"/>
      <c r="BC121" s="2"/>
      <c r="BD121" s="2"/>
      <c r="BE121" s="2"/>
    </row>
    <row r="122" hidden="1">
      <c r="A122" s="2"/>
      <c r="B122" s="293" t="s">
        <v>6349</v>
      </c>
      <c r="C122" s="11" t="s">
        <v>6350</v>
      </c>
      <c r="D122" s="278">
        <v>180.0</v>
      </c>
      <c r="E122" s="134" t="str">
        <f t="shared" si="2"/>
        <v>iPhone 16</v>
      </c>
      <c r="F122" s="11" t="s">
        <v>5873</v>
      </c>
      <c r="G122" s="306"/>
      <c r="H122" s="296"/>
      <c r="I122" s="139"/>
      <c r="J122" s="301"/>
      <c r="K122" s="296"/>
      <c r="L122" s="139"/>
      <c r="M122" s="301" t="s">
        <v>22</v>
      </c>
      <c r="N122" s="284">
        <v>0.12</v>
      </c>
      <c r="O122" s="296" t="s">
        <v>22</v>
      </c>
      <c r="P122" s="285" t="str">
        <f t="shared" ref="P122:Q122" si="114">O122</f>
        <v/>
      </c>
      <c r="Q122" s="303" t="str">
        <f t="shared" si="114"/>
        <v/>
      </c>
      <c r="R122" s="307"/>
      <c r="S122" s="300">
        <v>46139.74934018518</v>
      </c>
      <c r="T122" s="2"/>
      <c r="U122" s="59" t="str">
        <f t="shared" si="4"/>
        <v>нет з/ч</v>
      </c>
      <c r="V122" s="304" t="str">
        <f>IF(L122&gt;0, Q506 - L122, "нет з/ч")</f>
        <v>нет з/ч</v>
      </c>
      <c r="W122" s="2"/>
      <c r="X122" s="289"/>
      <c r="Y122" s="139"/>
      <c r="Z122" s="2"/>
      <c r="AA122" s="2" t="s">
        <v>6350</v>
      </c>
      <c r="AB122" s="2" t="s">
        <v>6350</v>
      </c>
      <c r="AC122" s="2"/>
      <c r="AD122" s="2" t="s">
        <v>6350</v>
      </c>
      <c r="AE122" s="3" t="s">
        <v>6349</v>
      </c>
      <c r="AF122" s="2"/>
      <c r="AG122" s="1" t="s">
        <v>1582</v>
      </c>
      <c r="AH122" s="1" t="s">
        <v>6343</v>
      </c>
      <c r="AI122" s="2">
        <v>180.0</v>
      </c>
      <c r="AJ122" s="1" t="s">
        <v>1589</v>
      </c>
      <c r="AK122" s="1" t="s">
        <v>5877</v>
      </c>
      <c r="AL122" s="1" t="s">
        <v>5878</v>
      </c>
      <c r="AM122" s="2"/>
      <c r="AN122" s="2"/>
      <c r="AO122" s="2"/>
      <c r="AP122" s="2"/>
      <c r="AQ122" s="2"/>
      <c r="AR122" s="2"/>
      <c r="AS122" s="2"/>
      <c r="AT122" s="2"/>
      <c r="AU122" s="126" t="s">
        <v>22</v>
      </c>
      <c r="AV122" s="126" t="s">
        <v>22</v>
      </c>
      <c r="AW122" s="2"/>
      <c r="AX122" s="2"/>
      <c r="AY122" s="2"/>
      <c r="AZ122" s="2"/>
      <c r="BA122" s="2"/>
      <c r="BB122" s="2"/>
      <c r="BC122" s="2"/>
      <c r="BD122" s="2"/>
      <c r="BE122" s="2"/>
    </row>
    <row r="123" hidden="1">
      <c r="A123" s="2"/>
      <c r="B123" s="293" t="s">
        <v>6351</v>
      </c>
      <c r="C123" s="11" t="s">
        <v>6352</v>
      </c>
      <c r="D123" s="278">
        <v>180.0</v>
      </c>
      <c r="E123" s="134" t="str">
        <f t="shared" si="2"/>
        <v>iPhone 16</v>
      </c>
      <c r="F123" s="11" t="s">
        <v>5873</v>
      </c>
      <c r="G123" s="295" t="s">
        <v>6353</v>
      </c>
      <c r="H123" s="296"/>
      <c r="I123" s="156">
        <v>1400.0</v>
      </c>
      <c r="J123" s="297"/>
      <c r="K123" s="298"/>
      <c r="L123" s="156"/>
      <c r="M123" s="301">
        <v>1400.0</v>
      </c>
      <c r="N123" s="284">
        <v>2.0</v>
      </c>
      <c r="O123" s="296">
        <v>4200.0</v>
      </c>
      <c r="P123" s="302">
        <f t="shared" ref="P123:Q123" si="115">O123</f>
        <v>4200</v>
      </c>
      <c r="Q123" s="303">
        <f t="shared" si="115"/>
        <v>4200</v>
      </c>
      <c r="R123" s="299" t="s">
        <v>6354</v>
      </c>
      <c r="S123" s="300">
        <v>46140.38263649306</v>
      </c>
      <c r="T123" s="2"/>
      <c r="U123" s="289">
        <f t="shared" si="4"/>
        <v>2800</v>
      </c>
      <c r="V123" s="304" t="str">
        <f>IF(L123&gt;0, Q510 - L123, "нет з/ч")</f>
        <v>нет з/ч</v>
      </c>
      <c r="W123" s="2"/>
      <c r="X123" s="289">
        <v>1400.0</v>
      </c>
      <c r="Y123" s="139"/>
      <c r="Z123" s="2"/>
      <c r="AA123" s="2" t="s">
        <v>6352</v>
      </c>
      <c r="AB123" s="2" t="s">
        <v>6352</v>
      </c>
      <c r="AC123" s="2"/>
      <c r="AD123" s="2" t="s">
        <v>6352</v>
      </c>
      <c r="AE123" s="3" t="s">
        <v>6351</v>
      </c>
      <c r="AF123" s="2"/>
      <c r="AG123" s="1" t="s">
        <v>1582</v>
      </c>
      <c r="AH123" s="1" t="s">
        <v>6343</v>
      </c>
      <c r="AI123" s="2">
        <v>180.0</v>
      </c>
      <c r="AJ123" s="1" t="s">
        <v>1589</v>
      </c>
      <c r="AK123" s="1" t="s">
        <v>5877</v>
      </c>
      <c r="AL123" s="1" t="s">
        <v>5878</v>
      </c>
      <c r="AM123" s="2"/>
      <c r="AN123" s="2"/>
      <c r="AO123" s="2"/>
      <c r="AP123" s="2"/>
      <c r="AQ123" s="2"/>
      <c r="AR123" s="2"/>
      <c r="AS123" s="2"/>
      <c r="AT123" s="2"/>
      <c r="AU123" s="126">
        <v>1400.0</v>
      </c>
      <c r="AV123" s="126">
        <v>4200.0</v>
      </c>
      <c r="AW123" s="2"/>
      <c r="AX123" s="2"/>
      <c r="AY123" s="2"/>
      <c r="AZ123" s="2"/>
      <c r="BA123" s="2"/>
      <c r="BB123" s="2"/>
      <c r="BC123" s="2"/>
      <c r="BD123" s="2"/>
      <c r="BE123" s="2"/>
    </row>
    <row r="124" hidden="1">
      <c r="A124" s="2"/>
      <c r="B124" s="293" t="s">
        <v>6355</v>
      </c>
      <c r="C124" s="11" t="s">
        <v>6356</v>
      </c>
      <c r="D124" s="278">
        <v>180.0</v>
      </c>
      <c r="E124" s="134" t="str">
        <f t="shared" si="2"/>
        <v>iPhone 16</v>
      </c>
      <c r="F124" s="11" t="s">
        <v>5873</v>
      </c>
      <c r="G124" s="306"/>
      <c r="H124" s="296"/>
      <c r="I124" s="139"/>
      <c r="J124" s="297"/>
      <c r="K124" s="298"/>
      <c r="L124" s="156"/>
      <c r="M124" s="301" t="s">
        <v>22</v>
      </c>
      <c r="N124" s="284">
        <v>0.12</v>
      </c>
      <c r="O124" s="296" t="s">
        <v>22</v>
      </c>
      <c r="P124" s="67"/>
      <c r="Q124" s="303">
        <f>P123</f>
        <v>4200</v>
      </c>
      <c r="R124" s="307"/>
      <c r="S124" s="300">
        <v>46139.74945769676</v>
      </c>
      <c r="T124" s="2"/>
      <c r="U124" s="59" t="str">
        <f t="shared" si="4"/>
        <v>нет з/ч</v>
      </c>
      <c r="V124" s="304" t="str">
        <f>IF(L124&gt;0, Q514 - L124, "нет з/ч")</f>
        <v>нет з/ч</v>
      </c>
      <c r="W124" s="2"/>
      <c r="X124" s="289"/>
      <c r="Y124" s="139"/>
      <c r="Z124" s="2"/>
      <c r="AA124" s="2" t="s">
        <v>6356</v>
      </c>
      <c r="AB124" s="2" t="s">
        <v>6356</v>
      </c>
      <c r="AC124" s="2"/>
      <c r="AD124" s="2" t="s">
        <v>6356</v>
      </c>
      <c r="AE124" s="3" t="s">
        <v>6355</v>
      </c>
      <c r="AF124" s="2"/>
      <c r="AG124" s="1" t="s">
        <v>1582</v>
      </c>
      <c r="AH124" s="1" t="s">
        <v>6343</v>
      </c>
      <c r="AI124" s="2">
        <v>180.0</v>
      </c>
      <c r="AJ124" s="1" t="s">
        <v>1589</v>
      </c>
      <c r="AK124" s="1" t="s">
        <v>5877</v>
      </c>
      <c r="AL124" s="1" t="s">
        <v>5878</v>
      </c>
      <c r="AM124" s="2"/>
      <c r="AN124" s="2"/>
      <c r="AO124" s="2"/>
      <c r="AP124" s="2"/>
      <c r="AQ124" s="2"/>
      <c r="AR124" s="2"/>
      <c r="AS124" s="2"/>
      <c r="AT124" s="2"/>
      <c r="AU124" s="126" t="s">
        <v>22</v>
      </c>
      <c r="AV124" s="126">
        <v>4200.0</v>
      </c>
      <c r="AW124" s="2"/>
      <c r="AX124" s="2"/>
      <c r="AY124" s="2"/>
      <c r="AZ124" s="2"/>
      <c r="BA124" s="2"/>
      <c r="BB124" s="2"/>
      <c r="BC124" s="2"/>
      <c r="BD124" s="2"/>
      <c r="BE124" s="2"/>
    </row>
    <row r="125" hidden="1">
      <c r="A125" s="2"/>
      <c r="B125" s="293" t="s">
        <v>6357</v>
      </c>
      <c r="C125" s="11" t="s">
        <v>6358</v>
      </c>
      <c r="D125" s="278">
        <v>180.0</v>
      </c>
      <c r="E125" s="134" t="str">
        <f t="shared" si="2"/>
        <v>iPhone 16E</v>
      </c>
      <c r="F125" s="11" t="s">
        <v>5873</v>
      </c>
      <c r="G125" s="306"/>
      <c r="H125" s="296"/>
      <c r="I125" s="139"/>
      <c r="J125" s="301"/>
      <c r="K125" s="296"/>
      <c r="L125" s="139"/>
      <c r="M125" s="301" t="s">
        <v>22</v>
      </c>
      <c r="N125" s="284">
        <v>0.2</v>
      </c>
      <c r="O125" s="296" t="s">
        <v>22</v>
      </c>
      <c r="P125" s="285" t="str">
        <f t="shared" ref="P125:Q125" si="116">O125</f>
        <v/>
      </c>
      <c r="Q125" s="303" t="str">
        <f t="shared" si="116"/>
        <v/>
      </c>
      <c r="R125" s="307"/>
      <c r="S125" s="308"/>
      <c r="T125" s="2"/>
      <c r="U125" s="59" t="str">
        <f t="shared" si="4"/>
        <v>нет з/ч</v>
      </c>
      <c r="V125" s="304" t="str">
        <f t="shared" ref="V125:V127" si="118">IF(L125&gt;0, Q518 - L125, "нет з/ч")</f>
        <v>нет з/ч</v>
      </c>
      <c r="W125" s="2"/>
      <c r="X125" s="289"/>
      <c r="Y125" s="139"/>
      <c r="Z125" s="2"/>
      <c r="AA125" s="2" t="s">
        <v>6358</v>
      </c>
      <c r="AB125" s="2" t="s">
        <v>6358</v>
      </c>
      <c r="AC125" s="2"/>
      <c r="AD125" s="2" t="s">
        <v>6358</v>
      </c>
      <c r="AE125" s="3" t="s">
        <v>6357</v>
      </c>
      <c r="AF125" s="2"/>
      <c r="AG125" s="1" t="s">
        <v>1582</v>
      </c>
      <c r="AH125" s="1" t="s">
        <v>6359</v>
      </c>
      <c r="AI125" s="2">
        <v>180.0</v>
      </c>
      <c r="AJ125" s="1" t="s">
        <v>1589</v>
      </c>
      <c r="AK125" s="1" t="s">
        <v>5877</v>
      </c>
      <c r="AL125" s="1" t="s">
        <v>5878</v>
      </c>
      <c r="AM125" s="2"/>
      <c r="AN125" s="2"/>
      <c r="AO125" s="2"/>
      <c r="AP125" s="2"/>
      <c r="AQ125" s="2"/>
      <c r="AR125" s="2"/>
      <c r="AS125" s="2"/>
      <c r="AT125" s="2"/>
      <c r="AU125" s="126" t="s">
        <v>22</v>
      </c>
      <c r="AV125" s="126" t="s">
        <v>22</v>
      </c>
      <c r="AW125" s="2"/>
      <c r="AX125" s="2"/>
      <c r="AY125" s="2"/>
      <c r="AZ125" s="2"/>
      <c r="BA125" s="2"/>
      <c r="BB125" s="2"/>
      <c r="BC125" s="2"/>
      <c r="BD125" s="2"/>
      <c r="BE125" s="2"/>
    </row>
    <row r="126" hidden="1">
      <c r="A126" s="2"/>
      <c r="B126" s="293" t="s">
        <v>6360</v>
      </c>
      <c r="C126" s="11" t="s">
        <v>6361</v>
      </c>
      <c r="D126" s="278">
        <v>180.0</v>
      </c>
      <c r="E126" s="134" t="str">
        <f t="shared" si="2"/>
        <v>iPhone 16E</v>
      </c>
      <c r="F126" s="11" t="s">
        <v>5873</v>
      </c>
      <c r="G126" s="306"/>
      <c r="H126" s="296"/>
      <c r="I126" s="139"/>
      <c r="J126" s="301"/>
      <c r="K126" s="296"/>
      <c r="L126" s="139"/>
      <c r="M126" s="301" t="s">
        <v>22</v>
      </c>
      <c r="N126" s="284">
        <v>0.12</v>
      </c>
      <c r="O126" s="296" t="s">
        <v>22</v>
      </c>
      <c r="P126" s="285" t="str">
        <f t="shared" ref="P126:Q126" si="117">O126</f>
        <v/>
      </c>
      <c r="Q126" s="303" t="str">
        <f t="shared" si="117"/>
        <v/>
      </c>
      <c r="R126" s="307"/>
      <c r="S126" s="308"/>
      <c r="T126" s="2"/>
      <c r="U126" s="59" t="str">
        <f t="shared" si="4"/>
        <v>нет з/ч</v>
      </c>
      <c r="V126" s="304" t="str">
        <f t="shared" si="118"/>
        <v>нет з/ч</v>
      </c>
      <c r="W126" s="2"/>
      <c r="X126" s="289"/>
      <c r="Y126" s="139"/>
      <c r="Z126" s="2"/>
      <c r="AA126" s="2" t="s">
        <v>6361</v>
      </c>
      <c r="AB126" s="2" t="s">
        <v>6361</v>
      </c>
      <c r="AC126" s="2"/>
      <c r="AD126" s="2" t="s">
        <v>6361</v>
      </c>
      <c r="AE126" s="3" t="s">
        <v>6360</v>
      </c>
      <c r="AF126" s="2"/>
      <c r="AG126" s="1" t="s">
        <v>1582</v>
      </c>
      <c r="AH126" s="1" t="s">
        <v>6359</v>
      </c>
      <c r="AI126" s="2">
        <v>180.0</v>
      </c>
      <c r="AJ126" s="1" t="s">
        <v>1589</v>
      </c>
      <c r="AK126" s="1" t="s">
        <v>5877</v>
      </c>
      <c r="AL126" s="1" t="s">
        <v>5878</v>
      </c>
      <c r="AM126" s="2"/>
      <c r="AN126" s="2"/>
      <c r="AO126" s="2"/>
      <c r="AP126" s="2"/>
      <c r="AQ126" s="2"/>
      <c r="AR126" s="2"/>
      <c r="AS126" s="2"/>
      <c r="AT126" s="2"/>
      <c r="AU126" s="126" t="s">
        <v>22</v>
      </c>
      <c r="AV126" s="126" t="s">
        <v>22</v>
      </c>
      <c r="AW126" s="2"/>
      <c r="AX126" s="2"/>
      <c r="AY126" s="2"/>
      <c r="AZ126" s="2"/>
      <c r="BA126" s="2"/>
      <c r="BB126" s="2"/>
      <c r="BC126" s="2"/>
      <c r="BD126" s="2"/>
      <c r="BE126" s="2"/>
    </row>
    <row r="127" hidden="1">
      <c r="A127" s="2"/>
      <c r="B127" s="293" t="s">
        <v>6362</v>
      </c>
      <c r="C127" s="61"/>
      <c r="D127" s="278">
        <v>180.0</v>
      </c>
      <c r="E127" s="134" t="str">
        <f t="shared" si="2"/>
        <v>iPhone 16E</v>
      </c>
      <c r="F127" s="11" t="s">
        <v>5873</v>
      </c>
      <c r="G127" s="306"/>
      <c r="H127" s="296"/>
      <c r="I127" s="139"/>
      <c r="J127" s="301"/>
      <c r="K127" s="296"/>
      <c r="L127" s="139"/>
      <c r="M127" s="301" t="s">
        <v>22</v>
      </c>
      <c r="N127" s="284">
        <v>0.12</v>
      </c>
      <c r="O127" s="296" t="s">
        <v>22</v>
      </c>
      <c r="P127" s="285" t="str">
        <f t="shared" ref="P127:Q127" si="119">O127</f>
        <v/>
      </c>
      <c r="Q127" s="303" t="str">
        <f t="shared" si="119"/>
        <v/>
      </c>
      <c r="R127" s="307"/>
      <c r="S127" s="308"/>
      <c r="T127" s="2"/>
      <c r="U127" s="59" t="str">
        <f t="shared" si="4"/>
        <v>нет з/ч</v>
      </c>
      <c r="V127" s="304" t="str">
        <f t="shared" si="118"/>
        <v>нет з/ч</v>
      </c>
      <c r="W127" s="2"/>
      <c r="X127" s="289"/>
      <c r="Y127" s="139"/>
      <c r="Z127" s="2"/>
      <c r="AA127" s="2"/>
      <c r="AB127" s="2"/>
      <c r="AC127" s="2"/>
      <c r="AD127" s="2"/>
      <c r="AE127" s="3" t="s">
        <v>6362</v>
      </c>
      <c r="AF127" s="2"/>
      <c r="AG127" s="1" t="s">
        <v>1582</v>
      </c>
      <c r="AH127" s="1" t="s">
        <v>6359</v>
      </c>
      <c r="AI127" s="2">
        <v>180.0</v>
      </c>
      <c r="AJ127" s="1" t="s">
        <v>1589</v>
      </c>
      <c r="AK127" s="1" t="s">
        <v>5877</v>
      </c>
      <c r="AL127" s="1" t="s">
        <v>5878</v>
      </c>
      <c r="AM127" s="2"/>
      <c r="AN127" s="2"/>
      <c r="AO127" s="2"/>
      <c r="AP127" s="2"/>
      <c r="AQ127" s="2"/>
      <c r="AR127" s="2"/>
      <c r="AS127" s="2"/>
      <c r="AT127" s="2"/>
      <c r="AU127" s="126" t="s">
        <v>22</v>
      </c>
      <c r="AV127" s="126" t="s">
        <v>22</v>
      </c>
      <c r="AW127" s="2"/>
      <c r="AX127" s="2"/>
      <c r="AY127" s="2"/>
      <c r="AZ127" s="2"/>
      <c r="BA127" s="2"/>
      <c r="BB127" s="2"/>
      <c r="BC127" s="2"/>
      <c r="BD127" s="2"/>
      <c r="BE127" s="2"/>
    </row>
    <row r="128" hidden="1">
      <c r="A128" s="2"/>
      <c r="B128" s="293" t="s">
        <v>6363</v>
      </c>
      <c r="C128" s="11" t="s">
        <v>6364</v>
      </c>
      <c r="D128" s="278">
        <v>180.0</v>
      </c>
      <c r="E128" s="134" t="str">
        <f t="shared" si="2"/>
        <v>iPhone 16E</v>
      </c>
      <c r="F128" s="11" t="s">
        <v>5873</v>
      </c>
      <c r="G128" s="306"/>
      <c r="H128" s="296"/>
      <c r="I128" s="139"/>
      <c r="J128" s="301"/>
      <c r="K128" s="296"/>
      <c r="L128" s="139"/>
      <c r="M128" s="301" t="s">
        <v>22</v>
      </c>
      <c r="N128" s="284">
        <v>0.12</v>
      </c>
      <c r="O128" s="296" t="s">
        <v>22</v>
      </c>
      <c r="P128" s="285" t="str">
        <f t="shared" ref="P128:Q128" si="120">O128</f>
        <v/>
      </c>
      <c r="Q128" s="303" t="str">
        <f t="shared" si="120"/>
        <v/>
      </c>
      <c r="R128" s="307"/>
      <c r="S128" s="308"/>
      <c r="T128" s="2"/>
      <c r="U128" s="59" t="str">
        <f t="shared" si="4"/>
        <v>нет з/ч</v>
      </c>
      <c r="V128" s="304" t="str">
        <f>IF(L128&gt;0, Q524 - L128, "нет з/ч")</f>
        <v>нет з/ч</v>
      </c>
      <c r="W128" s="2"/>
      <c r="X128" s="289"/>
      <c r="Y128" s="139"/>
      <c r="Z128" s="2"/>
      <c r="AA128" s="2" t="s">
        <v>6364</v>
      </c>
      <c r="AB128" s="2" t="s">
        <v>6364</v>
      </c>
      <c r="AC128" s="2"/>
      <c r="AD128" s="2" t="s">
        <v>6364</v>
      </c>
      <c r="AE128" s="3" t="s">
        <v>6363</v>
      </c>
      <c r="AF128" s="2"/>
      <c r="AG128" s="1" t="s">
        <v>1582</v>
      </c>
      <c r="AH128" s="1" t="s">
        <v>6359</v>
      </c>
      <c r="AI128" s="2">
        <v>180.0</v>
      </c>
      <c r="AJ128" s="1" t="s">
        <v>1589</v>
      </c>
      <c r="AK128" s="1" t="s">
        <v>5877</v>
      </c>
      <c r="AL128" s="1" t="s">
        <v>5878</v>
      </c>
      <c r="AM128" s="2"/>
      <c r="AN128" s="2"/>
      <c r="AO128" s="2"/>
      <c r="AP128" s="2"/>
      <c r="AQ128" s="2"/>
      <c r="AR128" s="2"/>
      <c r="AS128" s="2"/>
      <c r="AT128" s="2"/>
      <c r="AU128" s="126" t="s">
        <v>22</v>
      </c>
      <c r="AV128" s="126" t="s">
        <v>22</v>
      </c>
      <c r="AW128" s="2"/>
      <c r="AX128" s="2"/>
      <c r="AY128" s="2"/>
      <c r="AZ128" s="2"/>
      <c r="BA128" s="2"/>
      <c r="BB128" s="2"/>
      <c r="BC128" s="2"/>
      <c r="BD128" s="2"/>
      <c r="BE128" s="2"/>
    </row>
    <row r="129" hidden="1">
      <c r="A129" s="2"/>
      <c r="B129" s="293" t="s">
        <v>6365</v>
      </c>
      <c r="C129" s="11" t="s">
        <v>6366</v>
      </c>
      <c r="D129" s="278">
        <v>180.0</v>
      </c>
      <c r="E129" s="134" t="str">
        <f t="shared" si="2"/>
        <v>iPhone 16E</v>
      </c>
      <c r="F129" s="11" t="s">
        <v>5873</v>
      </c>
      <c r="G129" s="306"/>
      <c r="H129" s="296"/>
      <c r="I129" s="139"/>
      <c r="J129" s="301"/>
      <c r="K129" s="296"/>
      <c r="L129" s="139"/>
      <c r="M129" s="301" t="s">
        <v>22</v>
      </c>
      <c r="N129" s="284">
        <v>0.12</v>
      </c>
      <c r="O129" s="296" t="s">
        <v>22</v>
      </c>
      <c r="P129" s="302" t="str">
        <f t="shared" ref="P129:Q129" si="121">O129</f>
        <v/>
      </c>
      <c r="Q129" s="303" t="str">
        <f t="shared" si="121"/>
        <v/>
      </c>
      <c r="R129" s="307"/>
      <c r="S129" s="308"/>
      <c r="T129" s="2"/>
      <c r="U129" s="59" t="str">
        <f t="shared" si="4"/>
        <v>нет з/ч</v>
      </c>
      <c r="V129" s="304" t="str">
        <f>IF(L129&gt;0, Q528 - L129, "нет з/ч")</f>
        <v>нет з/ч</v>
      </c>
      <c r="W129" s="2"/>
      <c r="X129" s="289"/>
      <c r="Y129" s="139"/>
      <c r="Z129" s="2"/>
      <c r="AA129" s="2" t="s">
        <v>6366</v>
      </c>
      <c r="AB129" s="2" t="s">
        <v>6366</v>
      </c>
      <c r="AC129" s="2"/>
      <c r="AD129" s="2" t="s">
        <v>6366</v>
      </c>
      <c r="AE129" s="3" t="s">
        <v>6365</v>
      </c>
      <c r="AF129" s="2"/>
      <c r="AG129" s="1" t="s">
        <v>1582</v>
      </c>
      <c r="AH129" s="1" t="s">
        <v>6359</v>
      </c>
      <c r="AI129" s="2">
        <v>180.0</v>
      </c>
      <c r="AJ129" s="1" t="s">
        <v>1589</v>
      </c>
      <c r="AK129" s="1" t="s">
        <v>5877</v>
      </c>
      <c r="AL129" s="1" t="s">
        <v>5878</v>
      </c>
      <c r="AM129" s="2"/>
      <c r="AN129" s="2"/>
      <c r="AO129" s="2"/>
      <c r="AP129" s="2"/>
      <c r="AQ129" s="2"/>
      <c r="AR129" s="2"/>
      <c r="AS129" s="2"/>
      <c r="AT129" s="2"/>
      <c r="AU129" s="126" t="s">
        <v>22</v>
      </c>
      <c r="AV129" s="126" t="s">
        <v>22</v>
      </c>
      <c r="AW129" s="2"/>
      <c r="AX129" s="2"/>
      <c r="AY129" s="2"/>
      <c r="AZ129" s="2"/>
      <c r="BA129" s="2"/>
      <c r="BB129" s="2"/>
      <c r="BC129" s="2"/>
      <c r="BD129" s="2"/>
      <c r="BE129" s="2"/>
    </row>
    <row r="130" hidden="1">
      <c r="A130" s="2"/>
      <c r="B130" s="293" t="s">
        <v>6367</v>
      </c>
      <c r="C130" s="11" t="s">
        <v>6368</v>
      </c>
      <c r="D130" s="278">
        <v>180.0</v>
      </c>
      <c r="E130" s="134" t="str">
        <f t="shared" si="2"/>
        <v>iPhone 16E</v>
      </c>
      <c r="F130" s="11" t="s">
        <v>5873</v>
      </c>
      <c r="G130" s="306"/>
      <c r="H130" s="296"/>
      <c r="I130" s="139"/>
      <c r="J130" s="297"/>
      <c r="K130" s="298"/>
      <c r="L130" s="156"/>
      <c r="M130" s="301" t="s">
        <v>22</v>
      </c>
      <c r="N130" s="284">
        <v>0.12</v>
      </c>
      <c r="O130" s="296" t="s">
        <v>22</v>
      </c>
      <c r="P130" s="67"/>
      <c r="Q130" s="303" t="str">
        <f>P129</f>
        <v/>
      </c>
      <c r="R130" s="307"/>
      <c r="S130" s="300">
        <v>46111.535609548606</v>
      </c>
      <c r="T130" s="2"/>
      <c r="U130" s="59" t="str">
        <f t="shared" si="4"/>
        <v>нет з/ч</v>
      </c>
      <c r="V130" s="304" t="str">
        <f>IF(L130&gt;0, Q532 - L130, "нет з/ч")</f>
        <v>нет з/ч</v>
      </c>
      <c r="W130" s="2"/>
      <c r="X130" s="289"/>
      <c r="Y130" s="139"/>
      <c r="Z130" s="2"/>
      <c r="AA130" s="2" t="s">
        <v>6368</v>
      </c>
      <c r="AB130" s="2" t="s">
        <v>6368</v>
      </c>
      <c r="AC130" s="2"/>
      <c r="AD130" s="2" t="s">
        <v>6368</v>
      </c>
      <c r="AE130" s="3" t="s">
        <v>6367</v>
      </c>
      <c r="AF130" s="2"/>
      <c r="AG130" s="1" t="s">
        <v>1582</v>
      </c>
      <c r="AH130" s="1" t="s">
        <v>6359</v>
      </c>
      <c r="AI130" s="2">
        <v>180.0</v>
      </c>
      <c r="AJ130" s="1" t="s">
        <v>1589</v>
      </c>
      <c r="AK130" s="1" t="s">
        <v>5877</v>
      </c>
      <c r="AL130" s="1" t="s">
        <v>5878</v>
      </c>
      <c r="AM130" s="2"/>
      <c r="AN130" s="2"/>
      <c r="AO130" s="2"/>
      <c r="AP130" s="2"/>
      <c r="AQ130" s="2"/>
      <c r="AR130" s="2"/>
      <c r="AS130" s="2"/>
      <c r="AT130" s="2"/>
      <c r="AU130" s="126" t="s">
        <v>22</v>
      </c>
      <c r="AV130" s="126" t="s">
        <v>22</v>
      </c>
      <c r="AW130" s="2"/>
      <c r="AX130" s="2"/>
      <c r="AY130" s="2"/>
      <c r="AZ130" s="2"/>
      <c r="BA130" s="2"/>
      <c r="BB130" s="2"/>
      <c r="BC130" s="2"/>
      <c r="BD130" s="2"/>
      <c r="BE130" s="2"/>
    </row>
    <row r="131" hidden="1">
      <c r="A131" s="2"/>
      <c r="B131" s="293" t="s">
        <v>6369</v>
      </c>
      <c r="C131" s="11" t="s">
        <v>6370</v>
      </c>
      <c r="D131" s="278">
        <v>180.0</v>
      </c>
      <c r="E131" s="134" t="str">
        <f t="shared" si="2"/>
        <v>iPhone 16 Plus</v>
      </c>
      <c r="F131" s="11" t="s">
        <v>5873</v>
      </c>
      <c r="G131" s="295" t="s">
        <v>6371</v>
      </c>
      <c r="H131" s="296"/>
      <c r="I131" s="156">
        <v>10000.0</v>
      </c>
      <c r="J131" s="297"/>
      <c r="K131" s="298"/>
      <c r="L131" s="156"/>
      <c r="M131" s="301">
        <v>10000.0</v>
      </c>
      <c r="N131" s="284">
        <v>0.2</v>
      </c>
      <c r="O131" s="296">
        <v>12000.0</v>
      </c>
      <c r="P131" s="285">
        <f t="shared" ref="P131:Q131" si="122">O131</f>
        <v>12000</v>
      </c>
      <c r="Q131" s="303">
        <f t="shared" si="122"/>
        <v>12000</v>
      </c>
      <c r="R131" s="299" t="s">
        <v>6372</v>
      </c>
      <c r="S131" s="300">
        <v>46140.382661655094</v>
      </c>
      <c r="T131" s="2"/>
      <c r="U131" s="289">
        <f t="shared" si="4"/>
        <v>2000</v>
      </c>
      <c r="V131" s="304" t="str">
        <f t="shared" ref="V131:V133" si="124">IF(L131&gt;0, Q536 - L131, "нет з/ч")</f>
        <v>нет з/ч</v>
      </c>
      <c r="W131" s="2"/>
      <c r="X131" s="289">
        <v>10000.0</v>
      </c>
      <c r="Y131" s="139"/>
      <c r="Z131" s="2"/>
      <c r="AA131" s="2" t="s">
        <v>6370</v>
      </c>
      <c r="AB131" s="2" t="s">
        <v>6370</v>
      </c>
      <c r="AC131" s="2"/>
      <c r="AD131" s="2" t="s">
        <v>6370</v>
      </c>
      <c r="AE131" s="3" t="s">
        <v>6369</v>
      </c>
      <c r="AF131" s="2"/>
      <c r="AG131" s="1" t="s">
        <v>1582</v>
      </c>
      <c r="AH131" s="1" t="s">
        <v>6373</v>
      </c>
      <c r="AI131" s="2">
        <v>180.0</v>
      </c>
      <c r="AJ131" s="1" t="s">
        <v>1589</v>
      </c>
      <c r="AK131" s="1" t="s">
        <v>5877</v>
      </c>
      <c r="AL131" s="1" t="s">
        <v>5878</v>
      </c>
      <c r="AM131" s="2"/>
      <c r="AN131" s="2"/>
      <c r="AO131" s="2"/>
      <c r="AP131" s="2"/>
      <c r="AQ131" s="2"/>
      <c r="AR131" s="2"/>
      <c r="AS131" s="2"/>
      <c r="AT131" s="2"/>
      <c r="AU131" s="126">
        <v>10000.0</v>
      </c>
      <c r="AV131" s="126">
        <v>12000.0</v>
      </c>
      <c r="AW131" s="2"/>
      <c r="AX131" s="2"/>
      <c r="AY131" s="2"/>
      <c r="AZ131" s="2"/>
      <c r="BA131" s="2"/>
      <c r="BB131" s="2"/>
      <c r="BC131" s="2"/>
      <c r="BD131" s="2"/>
      <c r="BE131" s="2"/>
    </row>
    <row r="132" hidden="1">
      <c r="A132" s="2"/>
      <c r="B132" s="293" t="s">
        <v>6374</v>
      </c>
      <c r="C132" s="11" t="s">
        <v>6375</v>
      </c>
      <c r="D132" s="278">
        <v>180.0</v>
      </c>
      <c r="E132" s="134" t="str">
        <f t="shared" si="2"/>
        <v>iPhone 16 Plus</v>
      </c>
      <c r="F132" s="11" t="s">
        <v>5873</v>
      </c>
      <c r="G132" s="306"/>
      <c r="H132" s="296"/>
      <c r="I132" s="139"/>
      <c r="J132" s="301"/>
      <c r="K132" s="296"/>
      <c r="L132" s="139"/>
      <c r="M132" s="301" t="s">
        <v>22</v>
      </c>
      <c r="N132" s="284">
        <v>0.12</v>
      </c>
      <c r="O132" s="296" t="s">
        <v>22</v>
      </c>
      <c r="P132" s="285" t="str">
        <f t="shared" ref="P132:Q132" si="123">O132</f>
        <v/>
      </c>
      <c r="Q132" s="303" t="str">
        <f t="shared" si="123"/>
        <v/>
      </c>
      <c r="R132" s="307"/>
      <c r="S132" s="308"/>
      <c r="T132" s="2"/>
      <c r="U132" s="59" t="str">
        <f t="shared" si="4"/>
        <v>нет з/ч</v>
      </c>
      <c r="V132" s="304" t="str">
        <f t="shared" si="124"/>
        <v>нет з/ч</v>
      </c>
      <c r="W132" s="2"/>
      <c r="X132" s="289"/>
      <c r="Y132" s="139"/>
      <c r="Z132" s="2"/>
      <c r="AA132" s="2" t="s">
        <v>6375</v>
      </c>
      <c r="AB132" s="2" t="s">
        <v>6375</v>
      </c>
      <c r="AC132" s="2"/>
      <c r="AD132" s="2" t="s">
        <v>6375</v>
      </c>
      <c r="AE132" s="3" t="s">
        <v>6374</v>
      </c>
      <c r="AF132" s="2"/>
      <c r="AG132" s="1" t="s">
        <v>1582</v>
      </c>
      <c r="AH132" s="1" t="s">
        <v>6373</v>
      </c>
      <c r="AI132" s="2">
        <v>180.0</v>
      </c>
      <c r="AJ132" s="1" t="s">
        <v>1589</v>
      </c>
      <c r="AK132" s="1" t="s">
        <v>5877</v>
      </c>
      <c r="AL132" s="1" t="s">
        <v>5878</v>
      </c>
      <c r="AM132" s="2"/>
      <c r="AN132" s="2"/>
      <c r="AO132" s="2"/>
      <c r="AP132" s="2"/>
      <c r="AQ132" s="2"/>
      <c r="AR132" s="2"/>
      <c r="AS132" s="2"/>
      <c r="AT132" s="2"/>
      <c r="AU132" s="126" t="s">
        <v>22</v>
      </c>
      <c r="AV132" s="126" t="s">
        <v>22</v>
      </c>
      <c r="AW132" s="2"/>
      <c r="AX132" s="2"/>
      <c r="AY132" s="2"/>
      <c r="AZ132" s="2"/>
      <c r="BA132" s="2"/>
      <c r="BB132" s="2"/>
      <c r="BC132" s="2"/>
      <c r="BD132" s="2"/>
      <c r="BE132" s="2"/>
    </row>
    <row r="133" hidden="1">
      <c r="A133" s="2"/>
      <c r="B133" s="293" t="s">
        <v>6376</v>
      </c>
      <c r="C133" s="61"/>
      <c r="D133" s="278">
        <v>180.0</v>
      </c>
      <c r="E133" s="134" t="str">
        <f t="shared" si="2"/>
        <v>iPhone 16 Plus</v>
      </c>
      <c r="F133" s="11" t="s">
        <v>5873</v>
      </c>
      <c r="G133" s="306"/>
      <c r="H133" s="296"/>
      <c r="I133" s="139"/>
      <c r="J133" s="301"/>
      <c r="K133" s="296"/>
      <c r="L133" s="139"/>
      <c r="M133" s="301" t="s">
        <v>22</v>
      </c>
      <c r="N133" s="284">
        <v>0.12</v>
      </c>
      <c r="O133" s="296" t="s">
        <v>22</v>
      </c>
      <c r="P133" s="285" t="str">
        <f t="shared" ref="P133:Q133" si="125">O133</f>
        <v/>
      </c>
      <c r="Q133" s="303" t="str">
        <f t="shared" si="125"/>
        <v/>
      </c>
      <c r="R133" s="307"/>
      <c r="S133" s="300">
        <v>46111.535683229165</v>
      </c>
      <c r="T133" s="2"/>
      <c r="U133" s="59" t="str">
        <f t="shared" si="4"/>
        <v>нет з/ч</v>
      </c>
      <c r="V133" s="304" t="str">
        <f t="shared" si="124"/>
        <v>нет з/ч</v>
      </c>
      <c r="W133" s="2"/>
      <c r="X133" s="289"/>
      <c r="Y133" s="139"/>
      <c r="Z133" s="2"/>
      <c r="AA133" s="2"/>
      <c r="AB133" s="2"/>
      <c r="AC133" s="2"/>
      <c r="AD133" s="2"/>
      <c r="AE133" s="3" t="s">
        <v>6376</v>
      </c>
      <c r="AF133" s="2"/>
      <c r="AG133" s="1" t="s">
        <v>1582</v>
      </c>
      <c r="AH133" s="1" t="s">
        <v>6373</v>
      </c>
      <c r="AI133" s="2">
        <v>180.0</v>
      </c>
      <c r="AJ133" s="1" t="s">
        <v>1589</v>
      </c>
      <c r="AK133" s="1" t="s">
        <v>5877</v>
      </c>
      <c r="AL133" s="1" t="s">
        <v>5878</v>
      </c>
      <c r="AM133" s="2"/>
      <c r="AN133" s="2"/>
      <c r="AO133" s="2"/>
      <c r="AP133" s="2"/>
      <c r="AQ133" s="2"/>
      <c r="AR133" s="2"/>
      <c r="AS133" s="2"/>
      <c r="AT133" s="2"/>
      <c r="AU133" s="126" t="s">
        <v>22</v>
      </c>
      <c r="AV133" s="126" t="s">
        <v>22</v>
      </c>
      <c r="AW133" s="2"/>
      <c r="AX133" s="2"/>
      <c r="AY133" s="2"/>
      <c r="AZ133" s="2"/>
      <c r="BA133" s="2"/>
      <c r="BB133" s="2"/>
      <c r="BC133" s="2"/>
      <c r="BD133" s="2"/>
      <c r="BE133" s="2"/>
    </row>
    <row r="134" hidden="1">
      <c r="A134" s="2"/>
      <c r="B134" s="293" t="s">
        <v>6377</v>
      </c>
      <c r="C134" s="11" t="s">
        <v>6378</v>
      </c>
      <c r="D134" s="278">
        <v>180.0</v>
      </c>
      <c r="E134" s="134" t="str">
        <f t="shared" si="2"/>
        <v>iPhone 16 Plus</v>
      </c>
      <c r="F134" s="11" t="s">
        <v>5873</v>
      </c>
      <c r="G134" s="306"/>
      <c r="H134" s="296"/>
      <c r="I134" s="139"/>
      <c r="J134" s="301"/>
      <c r="K134" s="296"/>
      <c r="L134" s="139"/>
      <c r="M134" s="301" t="s">
        <v>22</v>
      </c>
      <c r="N134" s="284">
        <v>0.12</v>
      </c>
      <c r="O134" s="296" t="s">
        <v>22</v>
      </c>
      <c r="P134" s="285" t="str">
        <f t="shared" ref="P134:Q134" si="126">O134</f>
        <v/>
      </c>
      <c r="Q134" s="303" t="str">
        <f t="shared" si="126"/>
        <v/>
      </c>
      <c r="R134" s="307"/>
      <c r="S134" s="300">
        <v>46139.74953667824</v>
      </c>
      <c r="T134" s="2"/>
      <c r="U134" s="59" t="str">
        <f t="shared" si="4"/>
        <v>нет з/ч</v>
      </c>
      <c r="V134" s="304" t="str">
        <f>IF(L134&gt;0, Q542 - L134, "нет з/ч")</f>
        <v>нет з/ч</v>
      </c>
      <c r="W134" s="2"/>
      <c r="X134" s="289"/>
      <c r="Y134" s="139"/>
      <c r="Z134" s="2"/>
      <c r="AA134" s="2" t="s">
        <v>6378</v>
      </c>
      <c r="AB134" s="2" t="s">
        <v>6378</v>
      </c>
      <c r="AC134" s="2"/>
      <c r="AD134" s="2" t="s">
        <v>6378</v>
      </c>
      <c r="AE134" s="3" t="s">
        <v>6377</v>
      </c>
      <c r="AF134" s="2"/>
      <c r="AG134" s="1" t="s">
        <v>1582</v>
      </c>
      <c r="AH134" s="1" t="s">
        <v>6373</v>
      </c>
      <c r="AI134" s="2">
        <v>180.0</v>
      </c>
      <c r="AJ134" s="1" t="s">
        <v>1589</v>
      </c>
      <c r="AK134" s="1" t="s">
        <v>5877</v>
      </c>
      <c r="AL134" s="1" t="s">
        <v>5878</v>
      </c>
      <c r="AM134" s="2"/>
      <c r="AN134" s="2"/>
      <c r="AO134" s="2"/>
      <c r="AP134" s="2"/>
      <c r="AQ134" s="2"/>
      <c r="AR134" s="2"/>
      <c r="AS134" s="2"/>
      <c r="AT134" s="2"/>
      <c r="AU134" s="126" t="s">
        <v>22</v>
      </c>
      <c r="AV134" s="126" t="s">
        <v>22</v>
      </c>
      <c r="AW134" s="2"/>
      <c r="AX134" s="2"/>
      <c r="AY134" s="2"/>
      <c r="AZ134" s="2"/>
      <c r="BA134" s="2"/>
      <c r="BB134" s="2"/>
      <c r="BC134" s="2"/>
      <c r="BD134" s="2"/>
      <c r="BE134" s="2"/>
    </row>
    <row r="135" hidden="1">
      <c r="A135" s="2"/>
      <c r="B135" s="293" t="s">
        <v>6379</v>
      </c>
      <c r="C135" s="11" t="s">
        <v>6380</v>
      </c>
      <c r="D135" s="278">
        <v>180.0</v>
      </c>
      <c r="E135" s="134" t="str">
        <f t="shared" si="2"/>
        <v>iPhone 16 Plus</v>
      </c>
      <c r="F135" s="11" t="s">
        <v>5873</v>
      </c>
      <c r="G135" s="295" t="s">
        <v>6381</v>
      </c>
      <c r="H135" s="296"/>
      <c r="I135" s="156">
        <v>1600.0</v>
      </c>
      <c r="J135" s="297"/>
      <c r="K135" s="298"/>
      <c r="L135" s="156"/>
      <c r="M135" s="301">
        <v>1600.0</v>
      </c>
      <c r="N135" s="284">
        <v>1.63</v>
      </c>
      <c r="O135" s="296">
        <v>4200.0</v>
      </c>
      <c r="P135" s="302">
        <f t="shared" ref="P135:Q135" si="127">O135</f>
        <v>4200</v>
      </c>
      <c r="Q135" s="303">
        <f t="shared" si="127"/>
        <v>4200</v>
      </c>
      <c r="R135" s="299" t="s">
        <v>6382</v>
      </c>
      <c r="S135" s="300">
        <v>46140.382685069446</v>
      </c>
      <c r="T135" s="2"/>
      <c r="U135" s="289">
        <f t="shared" si="4"/>
        <v>2600</v>
      </c>
      <c r="V135" s="304" t="str">
        <f>IF(L135&gt;0, Q546 - L135, "нет з/ч")</f>
        <v>нет з/ч</v>
      </c>
      <c r="W135" s="2"/>
      <c r="X135" s="289">
        <v>1600.0</v>
      </c>
      <c r="Y135" s="139"/>
      <c r="Z135" s="2"/>
      <c r="AA135" s="2" t="s">
        <v>6380</v>
      </c>
      <c r="AB135" s="2" t="s">
        <v>6380</v>
      </c>
      <c r="AC135" s="2"/>
      <c r="AD135" s="2" t="s">
        <v>6380</v>
      </c>
      <c r="AE135" s="3" t="s">
        <v>6379</v>
      </c>
      <c r="AF135" s="2"/>
      <c r="AG135" s="1" t="s">
        <v>1582</v>
      </c>
      <c r="AH135" s="1" t="s">
        <v>6373</v>
      </c>
      <c r="AI135" s="2">
        <v>180.0</v>
      </c>
      <c r="AJ135" s="1" t="s">
        <v>1589</v>
      </c>
      <c r="AK135" s="1" t="s">
        <v>5877</v>
      </c>
      <c r="AL135" s="1" t="s">
        <v>5878</v>
      </c>
      <c r="AM135" s="2"/>
      <c r="AN135" s="2"/>
      <c r="AO135" s="2"/>
      <c r="AP135" s="2"/>
      <c r="AQ135" s="2"/>
      <c r="AR135" s="2"/>
      <c r="AS135" s="2"/>
      <c r="AT135" s="2"/>
      <c r="AU135" s="126">
        <v>1600.0</v>
      </c>
      <c r="AV135" s="126">
        <v>4200.0</v>
      </c>
      <c r="AW135" s="2"/>
      <c r="AX135" s="2"/>
      <c r="AY135" s="2"/>
      <c r="AZ135" s="2"/>
      <c r="BA135" s="2"/>
      <c r="BB135" s="2"/>
      <c r="BC135" s="2"/>
      <c r="BD135" s="2"/>
      <c r="BE135" s="2"/>
    </row>
    <row r="136" hidden="1">
      <c r="A136" s="2"/>
      <c r="B136" s="293" t="s">
        <v>6383</v>
      </c>
      <c r="C136" s="11" t="s">
        <v>6384</v>
      </c>
      <c r="D136" s="278">
        <v>180.0</v>
      </c>
      <c r="E136" s="134" t="str">
        <f t="shared" si="2"/>
        <v>iPhone 16 Plus</v>
      </c>
      <c r="F136" s="11" t="s">
        <v>5873</v>
      </c>
      <c r="G136" s="306"/>
      <c r="H136" s="296"/>
      <c r="I136" s="139"/>
      <c r="J136" s="297"/>
      <c r="K136" s="298"/>
      <c r="L136" s="156"/>
      <c r="M136" s="301" t="s">
        <v>22</v>
      </c>
      <c r="N136" s="284">
        <v>0.12</v>
      </c>
      <c r="O136" s="296" t="s">
        <v>22</v>
      </c>
      <c r="P136" s="67"/>
      <c r="Q136" s="303">
        <f>P135</f>
        <v>4200</v>
      </c>
      <c r="R136" s="307"/>
      <c r="S136" s="300">
        <v>46139.749653969906</v>
      </c>
      <c r="T136" s="2"/>
      <c r="U136" s="59" t="str">
        <f t="shared" si="4"/>
        <v>нет з/ч</v>
      </c>
      <c r="V136" s="304" t="str">
        <f>IF(L136&gt;0, Q550 - L136, "нет з/ч")</f>
        <v>нет з/ч</v>
      </c>
      <c r="W136" s="2"/>
      <c r="X136" s="289"/>
      <c r="Y136" s="139"/>
      <c r="Z136" s="2"/>
      <c r="AA136" s="2" t="s">
        <v>6384</v>
      </c>
      <c r="AB136" s="2" t="s">
        <v>6384</v>
      </c>
      <c r="AC136" s="2"/>
      <c r="AD136" s="2" t="s">
        <v>6384</v>
      </c>
      <c r="AE136" s="3" t="s">
        <v>6383</v>
      </c>
      <c r="AF136" s="2"/>
      <c r="AG136" s="1" t="s">
        <v>1582</v>
      </c>
      <c r="AH136" s="1" t="s">
        <v>6373</v>
      </c>
      <c r="AI136" s="2">
        <v>180.0</v>
      </c>
      <c r="AJ136" s="1" t="s">
        <v>1589</v>
      </c>
      <c r="AK136" s="1" t="s">
        <v>5877</v>
      </c>
      <c r="AL136" s="1" t="s">
        <v>5878</v>
      </c>
      <c r="AM136" s="2"/>
      <c r="AN136" s="2"/>
      <c r="AO136" s="2"/>
      <c r="AP136" s="2"/>
      <c r="AQ136" s="2"/>
      <c r="AR136" s="2"/>
      <c r="AS136" s="2"/>
      <c r="AT136" s="2"/>
      <c r="AU136" s="126" t="s">
        <v>22</v>
      </c>
      <c r="AV136" s="126">
        <v>4200.0</v>
      </c>
      <c r="AW136" s="2"/>
      <c r="AX136" s="2"/>
      <c r="AY136" s="2"/>
      <c r="AZ136" s="2"/>
      <c r="BA136" s="2"/>
      <c r="BB136" s="2"/>
      <c r="BC136" s="2"/>
      <c r="BD136" s="2"/>
      <c r="BE136" s="2"/>
    </row>
    <row r="137" hidden="1">
      <c r="A137" s="2"/>
      <c r="B137" s="293" t="s">
        <v>6385</v>
      </c>
      <c r="C137" s="11" t="s">
        <v>6386</v>
      </c>
      <c r="D137" s="278">
        <v>180.0</v>
      </c>
      <c r="E137" s="134" t="str">
        <f t="shared" si="2"/>
        <v>iPhone 16 Pro</v>
      </c>
      <c r="F137" s="11" t="s">
        <v>5873</v>
      </c>
      <c r="G137" s="295" t="s">
        <v>6387</v>
      </c>
      <c r="H137" s="296"/>
      <c r="I137" s="156">
        <v>10500.0</v>
      </c>
      <c r="J137" s="297"/>
      <c r="K137" s="298"/>
      <c r="L137" s="156"/>
      <c r="M137" s="301">
        <v>10500.0</v>
      </c>
      <c r="N137" s="284">
        <v>0.2</v>
      </c>
      <c r="O137" s="296">
        <v>12600.0</v>
      </c>
      <c r="P137" s="285">
        <f t="shared" ref="P137:Q137" si="128">O137</f>
        <v>12600</v>
      </c>
      <c r="Q137" s="303">
        <f t="shared" si="128"/>
        <v>12600</v>
      </c>
      <c r="R137" s="299" t="s">
        <v>6388</v>
      </c>
      <c r="S137" s="300">
        <v>46140.38271002314</v>
      </c>
      <c r="T137" s="2"/>
      <c r="U137" s="289">
        <f t="shared" si="4"/>
        <v>2100</v>
      </c>
      <c r="V137" s="304" t="str">
        <f t="shared" ref="V137:V139" si="130">IF(L137&gt;0, Q553 - L137, "нет з/ч")</f>
        <v>нет з/ч</v>
      </c>
      <c r="W137" s="2"/>
      <c r="X137" s="289">
        <v>10500.0</v>
      </c>
      <c r="Y137" s="139"/>
      <c r="Z137" s="2"/>
      <c r="AA137" s="2" t="s">
        <v>6386</v>
      </c>
      <c r="AB137" s="2" t="s">
        <v>6386</v>
      </c>
      <c r="AC137" s="2"/>
      <c r="AD137" s="2" t="s">
        <v>6386</v>
      </c>
      <c r="AE137" s="3" t="s">
        <v>6385</v>
      </c>
      <c r="AF137" s="2"/>
      <c r="AG137" s="1" t="s">
        <v>1582</v>
      </c>
      <c r="AH137" s="1" t="s">
        <v>6389</v>
      </c>
      <c r="AI137" s="2">
        <v>180.0</v>
      </c>
      <c r="AJ137" s="1" t="s">
        <v>1589</v>
      </c>
      <c r="AK137" s="1" t="s">
        <v>5877</v>
      </c>
      <c r="AL137" s="1" t="s">
        <v>5878</v>
      </c>
      <c r="AM137" s="2"/>
      <c r="AN137" s="2"/>
      <c r="AO137" s="2"/>
      <c r="AP137" s="2"/>
      <c r="AQ137" s="2"/>
      <c r="AR137" s="2"/>
      <c r="AS137" s="2"/>
      <c r="AT137" s="2"/>
      <c r="AU137" s="126">
        <v>10500.0</v>
      </c>
      <c r="AV137" s="126">
        <v>12600.0</v>
      </c>
      <c r="AW137" s="2"/>
      <c r="AX137" s="2"/>
      <c r="AY137" s="2"/>
      <c r="AZ137" s="2"/>
      <c r="BA137" s="2"/>
      <c r="BB137" s="2"/>
      <c r="BC137" s="2"/>
      <c r="BD137" s="2"/>
      <c r="BE137" s="2"/>
    </row>
    <row r="138" hidden="1">
      <c r="A138" s="2"/>
      <c r="B138" s="293" t="s">
        <v>6390</v>
      </c>
      <c r="C138" s="11" t="s">
        <v>6391</v>
      </c>
      <c r="D138" s="278">
        <v>180.0</v>
      </c>
      <c r="E138" s="134" t="str">
        <f t="shared" si="2"/>
        <v>iPhone 16 Pro</v>
      </c>
      <c r="F138" s="11" t="s">
        <v>5873</v>
      </c>
      <c r="G138" s="295" t="s">
        <v>6392</v>
      </c>
      <c r="H138" s="296"/>
      <c r="I138" s="156">
        <v>3500.0</v>
      </c>
      <c r="J138" s="301"/>
      <c r="K138" s="296"/>
      <c r="L138" s="139"/>
      <c r="M138" s="301">
        <v>3500.0</v>
      </c>
      <c r="N138" s="284">
        <v>0.68</v>
      </c>
      <c r="O138" s="296">
        <v>5900.0</v>
      </c>
      <c r="P138" s="285">
        <f t="shared" ref="P138:Q138" si="129">O138</f>
        <v>5900</v>
      </c>
      <c r="Q138" s="303">
        <f t="shared" si="129"/>
        <v>5900</v>
      </c>
      <c r="R138" s="299" t="s">
        <v>6393</v>
      </c>
      <c r="S138" s="300">
        <v>46140.38273196759</v>
      </c>
      <c r="T138" s="2"/>
      <c r="U138" s="289">
        <f t="shared" si="4"/>
        <v>2400</v>
      </c>
      <c r="V138" s="304" t="str">
        <f t="shared" si="130"/>
        <v>нет з/ч</v>
      </c>
      <c r="W138" s="2"/>
      <c r="X138" s="289">
        <v>3500.0</v>
      </c>
      <c r="Y138" s="139"/>
      <c r="Z138" s="2"/>
      <c r="AA138" s="2" t="s">
        <v>6391</v>
      </c>
      <c r="AB138" s="2" t="s">
        <v>6391</v>
      </c>
      <c r="AC138" s="2"/>
      <c r="AD138" s="2" t="s">
        <v>6391</v>
      </c>
      <c r="AE138" s="3" t="s">
        <v>6390</v>
      </c>
      <c r="AF138" s="2"/>
      <c r="AG138" s="1" t="s">
        <v>1582</v>
      </c>
      <c r="AH138" s="1" t="s">
        <v>6389</v>
      </c>
      <c r="AI138" s="2">
        <v>180.0</v>
      </c>
      <c r="AJ138" s="1" t="s">
        <v>1589</v>
      </c>
      <c r="AK138" s="1" t="s">
        <v>5877</v>
      </c>
      <c r="AL138" s="1" t="s">
        <v>5878</v>
      </c>
      <c r="AM138" s="2"/>
      <c r="AN138" s="2"/>
      <c r="AO138" s="2"/>
      <c r="AP138" s="2"/>
      <c r="AQ138" s="2"/>
      <c r="AR138" s="2"/>
      <c r="AS138" s="2"/>
      <c r="AT138" s="2"/>
      <c r="AU138" s="126">
        <v>3500.0</v>
      </c>
      <c r="AV138" s="126">
        <v>5900.0</v>
      </c>
      <c r="AW138" s="2"/>
      <c r="AX138" s="2"/>
      <c r="AY138" s="2"/>
      <c r="AZ138" s="2"/>
      <c r="BA138" s="2"/>
      <c r="BB138" s="2"/>
      <c r="BC138" s="2"/>
      <c r="BD138" s="2"/>
      <c r="BE138" s="2"/>
    </row>
    <row r="139" hidden="1">
      <c r="A139" s="2"/>
      <c r="B139" s="293" t="s">
        <v>6394</v>
      </c>
      <c r="C139" s="61"/>
      <c r="D139" s="278">
        <v>180.0</v>
      </c>
      <c r="E139" s="134" t="str">
        <f t="shared" si="2"/>
        <v>iPhone 16 Pro</v>
      </c>
      <c r="F139" s="11" t="s">
        <v>5873</v>
      </c>
      <c r="G139" s="306"/>
      <c r="H139" s="296"/>
      <c r="I139" s="139"/>
      <c r="J139" s="301"/>
      <c r="K139" s="296"/>
      <c r="L139" s="139"/>
      <c r="M139" s="301" t="s">
        <v>22</v>
      </c>
      <c r="N139" s="284">
        <v>0.12</v>
      </c>
      <c r="O139" s="296" t="s">
        <v>22</v>
      </c>
      <c r="P139" s="285" t="str">
        <f t="shared" ref="P139:Q139" si="131">O139</f>
        <v/>
      </c>
      <c r="Q139" s="303" t="str">
        <f t="shared" si="131"/>
        <v/>
      </c>
      <c r="R139" s="307"/>
      <c r="S139" s="300">
        <v>46139.74973659722</v>
      </c>
      <c r="T139" s="2"/>
      <c r="U139" s="59" t="str">
        <f t="shared" si="4"/>
        <v>нет з/ч</v>
      </c>
      <c r="V139" s="304" t="str">
        <f t="shared" si="130"/>
        <v>нет з/ч</v>
      </c>
      <c r="W139" s="2"/>
      <c r="X139" s="289"/>
      <c r="Y139" s="139"/>
      <c r="Z139" s="2"/>
      <c r="AA139" s="2"/>
      <c r="AB139" s="2"/>
      <c r="AC139" s="2"/>
      <c r="AD139" s="2"/>
      <c r="AE139" s="3" t="s">
        <v>6394</v>
      </c>
      <c r="AF139" s="2"/>
      <c r="AG139" s="1" t="s">
        <v>1582</v>
      </c>
      <c r="AH139" s="1" t="s">
        <v>6389</v>
      </c>
      <c r="AI139" s="2">
        <v>180.0</v>
      </c>
      <c r="AJ139" s="1" t="s">
        <v>1589</v>
      </c>
      <c r="AK139" s="1" t="s">
        <v>5877</v>
      </c>
      <c r="AL139" s="1" t="s">
        <v>5878</v>
      </c>
      <c r="AM139" s="2"/>
      <c r="AN139" s="2"/>
      <c r="AO139" s="2"/>
      <c r="AP139" s="2"/>
      <c r="AQ139" s="2"/>
      <c r="AR139" s="2"/>
      <c r="AS139" s="2"/>
      <c r="AT139" s="2"/>
      <c r="AU139" s="126" t="s">
        <v>22</v>
      </c>
      <c r="AV139" s="126" t="s">
        <v>22</v>
      </c>
      <c r="AW139" s="2"/>
      <c r="AX139" s="2"/>
      <c r="AY139" s="2"/>
      <c r="AZ139" s="2"/>
      <c r="BA139" s="2"/>
      <c r="BB139" s="2"/>
      <c r="BC139" s="2"/>
      <c r="BD139" s="2"/>
      <c r="BE139" s="2"/>
    </row>
    <row r="140" hidden="1">
      <c r="A140" s="2"/>
      <c r="B140" s="293" t="s">
        <v>6395</v>
      </c>
      <c r="C140" s="11" t="s">
        <v>6396</v>
      </c>
      <c r="D140" s="278">
        <v>180.0</v>
      </c>
      <c r="E140" s="134" t="str">
        <f t="shared" si="2"/>
        <v>iPhone 16 Pro</v>
      </c>
      <c r="F140" s="11" t="s">
        <v>5873</v>
      </c>
      <c r="G140" s="306"/>
      <c r="H140" s="296"/>
      <c r="I140" s="139"/>
      <c r="J140" s="301"/>
      <c r="K140" s="296"/>
      <c r="L140" s="139"/>
      <c r="M140" s="301" t="s">
        <v>22</v>
      </c>
      <c r="N140" s="284">
        <v>0.12</v>
      </c>
      <c r="O140" s="296" t="s">
        <v>22</v>
      </c>
      <c r="P140" s="285" t="str">
        <f t="shared" ref="P140:Q140" si="132">O140</f>
        <v/>
      </c>
      <c r="Q140" s="303" t="str">
        <f t="shared" si="132"/>
        <v/>
      </c>
      <c r="R140" s="307"/>
      <c r="S140" s="300">
        <v>46111.53601122685</v>
      </c>
      <c r="T140" s="2"/>
      <c r="U140" s="59" t="str">
        <f t="shared" si="4"/>
        <v>нет з/ч</v>
      </c>
      <c r="V140" s="304" t="str">
        <f>IF(L140&gt;0, Q559 - L140, "нет з/ч")</f>
        <v>нет з/ч</v>
      </c>
      <c r="W140" s="2"/>
      <c r="X140" s="289"/>
      <c r="Y140" s="139"/>
      <c r="Z140" s="2"/>
      <c r="AA140" s="2" t="s">
        <v>6396</v>
      </c>
      <c r="AB140" s="2" t="s">
        <v>6396</v>
      </c>
      <c r="AC140" s="2"/>
      <c r="AD140" s="2" t="s">
        <v>6396</v>
      </c>
      <c r="AE140" s="3" t="s">
        <v>6395</v>
      </c>
      <c r="AF140" s="2"/>
      <c r="AG140" s="1" t="s">
        <v>1582</v>
      </c>
      <c r="AH140" s="1" t="s">
        <v>6389</v>
      </c>
      <c r="AI140" s="2">
        <v>180.0</v>
      </c>
      <c r="AJ140" s="1" t="s">
        <v>1589</v>
      </c>
      <c r="AK140" s="1" t="s">
        <v>5877</v>
      </c>
      <c r="AL140" s="1" t="s">
        <v>5878</v>
      </c>
      <c r="AM140" s="2"/>
      <c r="AN140" s="2"/>
      <c r="AO140" s="2"/>
      <c r="AP140" s="2"/>
      <c r="AQ140" s="2"/>
      <c r="AR140" s="2"/>
      <c r="AS140" s="2"/>
      <c r="AT140" s="2"/>
      <c r="AU140" s="126" t="s">
        <v>22</v>
      </c>
      <c r="AV140" s="126" t="s">
        <v>22</v>
      </c>
      <c r="AW140" s="2"/>
      <c r="AX140" s="2"/>
      <c r="AY140" s="2"/>
      <c r="AZ140" s="2"/>
      <c r="BA140" s="2"/>
      <c r="BB140" s="2"/>
      <c r="BC140" s="2"/>
      <c r="BD140" s="2"/>
      <c r="BE140" s="2"/>
    </row>
    <row r="141" hidden="1">
      <c r="A141" s="2"/>
      <c r="B141" s="293" t="s">
        <v>6397</v>
      </c>
      <c r="C141" s="11" t="s">
        <v>6398</v>
      </c>
      <c r="D141" s="278">
        <v>180.0</v>
      </c>
      <c r="E141" s="134" t="str">
        <f t="shared" si="2"/>
        <v>iPhone 16 Pro</v>
      </c>
      <c r="F141" s="11" t="s">
        <v>5873</v>
      </c>
      <c r="G141" s="295" t="s">
        <v>6399</v>
      </c>
      <c r="H141" s="296"/>
      <c r="I141" s="156">
        <v>1500.0</v>
      </c>
      <c r="J141" s="297"/>
      <c r="K141" s="298"/>
      <c r="L141" s="156"/>
      <c r="M141" s="301">
        <v>1500.0</v>
      </c>
      <c r="N141" s="284">
        <v>1.6</v>
      </c>
      <c r="O141" s="296">
        <v>3900.0</v>
      </c>
      <c r="P141" s="302">
        <f t="shared" ref="P141:Q141" si="133">O141</f>
        <v>3900</v>
      </c>
      <c r="Q141" s="303">
        <f t="shared" si="133"/>
        <v>3900</v>
      </c>
      <c r="R141" s="299" t="s">
        <v>6400</v>
      </c>
      <c r="S141" s="300">
        <v>46140.382758692125</v>
      </c>
      <c r="T141" s="2"/>
      <c r="U141" s="289">
        <f t="shared" si="4"/>
        <v>2400</v>
      </c>
      <c r="V141" s="304" t="str">
        <f>IF(L141&gt;0, Q925 - L141, "нет з/ч")</f>
        <v>нет з/ч</v>
      </c>
      <c r="W141" s="2"/>
      <c r="X141" s="289">
        <v>1500.0</v>
      </c>
      <c r="Y141" s="139"/>
      <c r="Z141" s="2"/>
      <c r="AA141" s="2" t="s">
        <v>6398</v>
      </c>
      <c r="AB141" s="2" t="s">
        <v>6398</v>
      </c>
      <c r="AC141" s="2"/>
      <c r="AD141" s="2" t="s">
        <v>6398</v>
      </c>
      <c r="AE141" s="3" t="s">
        <v>6397</v>
      </c>
      <c r="AF141" s="2"/>
      <c r="AG141" s="1" t="s">
        <v>1582</v>
      </c>
      <c r="AH141" s="1" t="s">
        <v>6389</v>
      </c>
      <c r="AI141" s="2">
        <v>180.0</v>
      </c>
      <c r="AJ141" s="1" t="s">
        <v>1589</v>
      </c>
      <c r="AK141" s="1" t="s">
        <v>5877</v>
      </c>
      <c r="AL141" s="1" t="s">
        <v>5878</v>
      </c>
      <c r="AM141" s="2"/>
      <c r="AN141" s="2"/>
      <c r="AO141" s="2"/>
      <c r="AP141" s="2"/>
      <c r="AQ141" s="2"/>
      <c r="AR141" s="2"/>
      <c r="AS141" s="2"/>
      <c r="AT141" s="2"/>
      <c r="AU141" s="126">
        <v>1500.0</v>
      </c>
      <c r="AV141" s="126">
        <v>3900.0</v>
      </c>
      <c r="AW141" s="2"/>
      <c r="AX141" s="2"/>
      <c r="AY141" s="2"/>
      <c r="AZ141" s="2"/>
      <c r="BA141" s="2"/>
      <c r="BB141" s="2"/>
      <c r="BC141" s="2"/>
      <c r="BD141" s="2"/>
      <c r="BE141" s="2"/>
    </row>
    <row r="142" hidden="1">
      <c r="A142" s="2"/>
      <c r="B142" s="293" t="s">
        <v>6401</v>
      </c>
      <c r="C142" s="11" t="s">
        <v>6402</v>
      </c>
      <c r="D142" s="278">
        <v>180.0</v>
      </c>
      <c r="E142" s="134" t="str">
        <f t="shared" si="2"/>
        <v>iPhone 16 Pro</v>
      </c>
      <c r="F142" s="11" t="s">
        <v>5873</v>
      </c>
      <c r="G142" s="306"/>
      <c r="H142" s="296"/>
      <c r="I142" s="139"/>
      <c r="J142" s="297"/>
      <c r="K142" s="298"/>
      <c r="L142" s="156"/>
      <c r="M142" s="301" t="s">
        <v>22</v>
      </c>
      <c r="N142" s="284">
        <v>0.12</v>
      </c>
      <c r="O142" s="296" t="s">
        <v>22</v>
      </c>
      <c r="P142" s="67"/>
      <c r="Q142" s="303">
        <f>P141</f>
        <v>3900</v>
      </c>
      <c r="R142" s="307"/>
      <c r="S142" s="300">
        <v>46111.53616216435</v>
      </c>
      <c r="T142" s="2"/>
      <c r="U142" s="59" t="str">
        <f t="shared" si="4"/>
        <v>нет з/ч</v>
      </c>
      <c r="V142" s="304" t="str">
        <f>IF(L142&gt;0, Q929 - L142, "нет з/ч")</f>
        <v>нет з/ч</v>
      </c>
      <c r="W142" s="2"/>
      <c r="X142" s="289"/>
      <c r="Y142" s="139"/>
      <c r="Z142" s="2"/>
      <c r="AA142" s="2" t="s">
        <v>6402</v>
      </c>
      <c r="AB142" s="2" t="s">
        <v>6402</v>
      </c>
      <c r="AC142" s="2"/>
      <c r="AD142" s="2" t="s">
        <v>6402</v>
      </c>
      <c r="AE142" s="3" t="s">
        <v>6401</v>
      </c>
      <c r="AF142" s="2"/>
      <c r="AG142" s="1" t="s">
        <v>1582</v>
      </c>
      <c r="AH142" s="1" t="s">
        <v>6389</v>
      </c>
      <c r="AI142" s="2">
        <v>180.0</v>
      </c>
      <c r="AJ142" s="1" t="s">
        <v>1589</v>
      </c>
      <c r="AK142" s="1" t="s">
        <v>5877</v>
      </c>
      <c r="AL142" s="1" t="s">
        <v>5878</v>
      </c>
      <c r="AM142" s="2"/>
      <c r="AN142" s="2"/>
      <c r="AO142" s="2"/>
      <c r="AP142" s="2"/>
      <c r="AQ142" s="2"/>
      <c r="AR142" s="2"/>
      <c r="AS142" s="2"/>
      <c r="AT142" s="2"/>
      <c r="AU142" s="126" t="s">
        <v>22</v>
      </c>
      <c r="AV142" s="126">
        <v>3900.0</v>
      </c>
      <c r="AW142" s="2"/>
      <c r="AX142" s="2"/>
      <c r="AY142" s="2"/>
      <c r="AZ142" s="2"/>
      <c r="BA142" s="2"/>
      <c r="BB142" s="2"/>
      <c r="BC142" s="2"/>
      <c r="BD142" s="2"/>
      <c r="BE142" s="2"/>
    </row>
    <row r="143" hidden="1">
      <c r="A143" s="2"/>
      <c r="B143" s="293" t="s">
        <v>6403</v>
      </c>
      <c r="C143" s="11" t="s">
        <v>6404</v>
      </c>
      <c r="D143" s="278">
        <v>180.0</v>
      </c>
      <c r="E143" s="134" t="str">
        <f t="shared" si="2"/>
        <v>iPhone 16 Pro Max</v>
      </c>
      <c r="F143" s="11" t="s">
        <v>5873</v>
      </c>
      <c r="G143" s="295" t="s">
        <v>6405</v>
      </c>
      <c r="H143" s="296"/>
      <c r="I143" s="156">
        <v>10500.0</v>
      </c>
      <c r="J143" s="297"/>
      <c r="K143" s="298"/>
      <c r="L143" s="156"/>
      <c r="M143" s="301">
        <v>10500.0</v>
      </c>
      <c r="N143" s="284">
        <v>0.2</v>
      </c>
      <c r="O143" s="296">
        <v>12600.0</v>
      </c>
      <c r="P143" s="285">
        <f t="shared" ref="P143:Q143" si="134">O143</f>
        <v>12600</v>
      </c>
      <c r="Q143" s="303">
        <f t="shared" si="134"/>
        <v>12600</v>
      </c>
      <c r="R143" s="299" t="s">
        <v>6406</v>
      </c>
      <c r="S143" s="300">
        <v>46140.382779259264</v>
      </c>
      <c r="T143" s="2"/>
      <c r="U143" s="289">
        <f t="shared" si="4"/>
        <v>2100</v>
      </c>
      <c r="V143" s="304" t="str">
        <f t="shared" ref="V143:V145" si="136">IF(L143&gt;0, Q933 - L143, "нет з/ч")</f>
        <v>нет з/ч</v>
      </c>
      <c r="W143" s="2"/>
      <c r="X143" s="289">
        <v>10500.0</v>
      </c>
      <c r="Y143" s="139"/>
      <c r="Z143" s="2"/>
      <c r="AA143" s="2" t="s">
        <v>6404</v>
      </c>
      <c r="AB143" s="2" t="s">
        <v>6404</v>
      </c>
      <c r="AC143" s="2"/>
      <c r="AD143" s="2" t="s">
        <v>6404</v>
      </c>
      <c r="AE143" s="3" t="s">
        <v>6403</v>
      </c>
      <c r="AF143" s="2"/>
      <c r="AG143" s="1" t="s">
        <v>1582</v>
      </c>
      <c r="AH143" s="1" t="s">
        <v>6407</v>
      </c>
      <c r="AI143" s="2">
        <v>180.0</v>
      </c>
      <c r="AJ143" s="1" t="s">
        <v>1589</v>
      </c>
      <c r="AK143" s="1" t="s">
        <v>5877</v>
      </c>
      <c r="AL143" s="1" t="s">
        <v>5878</v>
      </c>
      <c r="AM143" s="2"/>
      <c r="AN143" s="2"/>
      <c r="AO143" s="2"/>
      <c r="AP143" s="2"/>
      <c r="AQ143" s="2"/>
      <c r="AR143" s="2"/>
      <c r="AS143" s="2"/>
      <c r="AT143" s="2"/>
      <c r="AU143" s="126">
        <v>10500.0</v>
      </c>
      <c r="AV143" s="126">
        <v>12600.0</v>
      </c>
      <c r="AW143" s="2"/>
      <c r="AX143" s="2"/>
      <c r="AY143" s="2"/>
      <c r="AZ143" s="2"/>
      <c r="BA143" s="2"/>
      <c r="BB143" s="2"/>
      <c r="BC143" s="2"/>
      <c r="BD143" s="2"/>
      <c r="BE143" s="2"/>
    </row>
    <row r="144" hidden="1">
      <c r="A144" s="2"/>
      <c r="B144" s="293" t="s">
        <v>6408</v>
      </c>
      <c r="C144" s="11" t="s">
        <v>6409</v>
      </c>
      <c r="D144" s="278">
        <v>180.0</v>
      </c>
      <c r="E144" s="134" t="str">
        <f t="shared" si="2"/>
        <v>iPhone 16 Pro Max</v>
      </c>
      <c r="F144" s="11" t="s">
        <v>5873</v>
      </c>
      <c r="G144" s="295" t="s">
        <v>6410</v>
      </c>
      <c r="H144" s="296"/>
      <c r="I144" s="156">
        <v>4200.0</v>
      </c>
      <c r="J144" s="301"/>
      <c r="K144" s="296"/>
      <c r="L144" s="139"/>
      <c r="M144" s="301">
        <v>4200.0</v>
      </c>
      <c r="N144" s="284">
        <v>0.4</v>
      </c>
      <c r="O144" s="296">
        <v>5900.0</v>
      </c>
      <c r="P144" s="285">
        <f t="shared" ref="P144:Q144" si="135">O144</f>
        <v>5900</v>
      </c>
      <c r="Q144" s="303">
        <f t="shared" si="135"/>
        <v>5900</v>
      </c>
      <c r="R144" s="299" t="s">
        <v>6411</v>
      </c>
      <c r="S144" s="300">
        <v>46140.38279966435</v>
      </c>
      <c r="T144" s="2"/>
      <c r="U144" s="289">
        <f t="shared" si="4"/>
        <v>1700</v>
      </c>
      <c r="V144" s="304" t="str">
        <f t="shared" si="136"/>
        <v>нет з/ч</v>
      </c>
      <c r="W144" s="2"/>
      <c r="X144" s="289">
        <v>4200.0</v>
      </c>
      <c r="Y144" s="139"/>
      <c r="Z144" s="2"/>
      <c r="AA144" s="2" t="s">
        <v>6409</v>
      </c>
      <c r="AB144" s="2" t="s">
        <v>6409</v>
      </c>
      <c r="AC144" s="2"/>
      <c r="AD144" s="2" t="s">
        <v>6409</v>
      </c>
      <c r="AE144" s="3" t="s">
        <v>6408</v>
      </c>
      <c r="AF144" s="2"/>
      <c r="AG144" s="1" t="s">
        <v>1582</v>
      </c>
      <c r="AH144" s="1" t="s">
        <v>6407</v>
      </c>
      <c r="AI144" s="2">
        <v>180.0</v>
      </c>
      <c r="AJ144" s="1" t="s">
        <v>1589</v>
      </c>
      <c r="AK144" s="1" t="s">
        <v>5877</v>
      </c>
      <c r="AL144" s="1" t="s">
        <v>5878</v>
      </c>
      <c r="AM144" s="2"/>
      <c r="AN144" s="2"/>
      <c r="AO144" s="2"/>
      <c r="AP144" s="2"/>
      <c r="AQ144" s="2"/>
      <c r="AR144" s="2"/>
      <c r="AS144" s="2"/>
      <c r="AT144" s="2"/>
      <c r="AU144" s="126">
        <v>4200.0</v>
      </c>
      <c r="AV144" s="126">
        <v>5900.0</v>
      </c>
      <c r="AW144" s="2"/>
      <c r="AX144" s="2"/>
      <c r="AY144" s="2"/>
      <c r="AZ144" s="2"/>
      <c r="BA144" s="2"/>
      <c r="BB144" s="2"/>
      <c r="BC144" s="2"/>
      <c r="BD144" s="2"/>
      <c r="BE144" s="2"/>
    </row>
    <row r="145" hidden="1">
      <c r="A145" s="2"/>
      <c r="B145" s="293" t="s">
        <v>6412</v>
      </c>
      <c r="C145" s="61"/>
      <c r="D145" s="278">
        <v>180.0</v>
      </c>
      <c r="E145" s="134" t="str">
        <f t="shared" si="2"/>
        <v>iPhone 16 Pro Max</v>
      </c>
      <c r="F145" s="11" t="s">
        <v>5873</v>
      </c>
      <c r="G145" s="306"/>
      <c r="H145" s="296"/>
      <c r="I145" s="139"/>
      <c r="J145" s="301"/>
      <c r="K145" s="296"/>
      <c r="L145" s="139"/>
      <c r="M145" s="301" t="s">
        <v>22</v>
      </c>
      <c r="N145" s="284">
        <v>0.12</v>
      </c>
      <c r="O145" s="296" t="s">
        <v>22</v>
      </c>
      <c r="P145" s="285" t="str">
        <f t="shared" ref="P145:Q145" si="137">O145</f>
        <v/>
      </c>
      <c r="Q145" s="303" t="str">
        <f t="shared" si="137"/>
        <v/>
      </c>
      <c r="R145" s="307"/>
      <c r="S145" s="300">
        <v>46111.536267476855</v>
      </c>
      <c r="T145" s="2"/>
      <c r="U145" s="59" t="str">
        <f t="shared" si="4"/>
        <v>нет з/ч</v>
      </c>
      <c r="V145" s="304" t="str">
        <f t="shared" si="136"/>
        <v>нет з/ч</v>
      </c>
      <c r="W145" s="2"/>
      <c r="X145" s="289"/>
      <c r="Y145" s="139"/>
      <c r="Z145" s="2"/>
      <c r="AA145" s="2"/>
      <c r="AB145" s="2"/>
      <c r="AC145" s="2"/>
      <c r="AD145" s="2"/>
      <c r="AE145" s="3" t="s">
        <v>6412</v>
      </c>
      <c r="AF145" s="2"/>
      <c r="AG145" s="1" t="s">
        <v>1582</v>
      </c>
      <c r="AH145" s="1" t="s">
        <v>6407</v>
      </c>
      <c r="AI145" s="2">
        <v>180.0</v>
      </c>
      <c r="AJ145" s="1" t="s">
        <v>1589</v>
      </c>
      <c r="AK145" s="1" t="s">
        <v>5877</v>
      </c>
      <c r="AL145" s="1" t="s">
        <v>5878</v>
      </c>
      <c r="AM145" s="2"/>
      <c r="AN145" s="2"/>
      <c r="AO145" s="2"/>
      <c r="AP145" s="2"/>
      <c r="AQ145" s="2"/>
      <c r="AR145" s="2"/>
      <c r="AS145" s="2"/>
      <c r="AT145" s="2"/>
      <c r="AU145" s="126" t="s">
        <v>22</v>
      </c>
      <c r="AV145" s="126" t="s">
        <v>22</v>
      </c>
      <c r="AW145" s="2"/>
      <c r="AX145" s="2"/>
      <c r="AY145" s="2"/>
      <c r="AZ145" s="2"/>
      <c r="BA145" s="2"/>
      <c r="BB145" s="2"/>
      <c r="BC145" s="2"/>
      <c r="BD145" s="2"/>
      <c r="BE145" s="2"/>
    </row>
    <row r="146" hidden="1">
      <c r="A146" s="2"/>
      <c r="B146" s="293" t="s">
        <v>6413</v>
      </c>
      <c r="C146" s="11" t="s">
        <v>6414</v>
      </c>
      <c r="D146" s="278">
        <v>180.0</v>
      </c>
      <c r="E146" s="134" t="str">
        <f t="shared" si="2"/>
        <v>iPhone 16 Pro Max</v>
      </c>
      <c r="F146" s="11" t="s">
        <v>5873</v>
      </c>
      <c r="G146" s="306"/>
      <c r="H146" s="296"/>
      <c r="I146" s="139"/>
      <c r="J146" s="301"/>
      <c r="K146" s="296"/>
      <c r="L146" s="139"/>
      <c r="M146" s="301" t="s">
        <v>22</v>
      </c>
      <c r="N146" s="284">
        <v>0.12</v>
      </c>
      <c r="O146" s="296" t="s">
        <v>22</v>
      </c>
      <c r="P146" s="285" t="str">
        <f t="shared" ref="P146:Q146" si="138">O146</f>
        <v/>
      </c>
      <c r="Q146" s="303" t="str">
        <f t="shared" si="138"/>
        <v/>
      </c>
      <c r="R146" s="307"/>
      <c r="S146" s="300">
        <v>46111.53629297454</v>
      </c>
      <c r="T146" s="2"/>
      <c r="U146" s="59" t="str">
        <f t="shared" si="4"/>
        <v>нет з/ч</v>
      </c>
      <c r="V146" s="304" t="str">
        <f>IF(L146&gt;0, Q939 - L146, "нет з/ч")</f>
        <v>нет з/ч</v>
      </c>
      <c r="W146" s="2"/>
      <c r="X146" s="289"/>
      <c r="Y146" s="139"/>
      <c r="Z146" s="2"/>
      <c r="AA146" s="2" t="s">
        <v>6414</v>
      </c>
      <c r="AB146" s="2" t="s">
        <v>6414</v>
      </c>
      <c r="AC146" s="2"/>
      <c r="AD146" s="2" t="s">
        <v>6414</v>
      </c>
      <c r="AE146" s="3" t="s">
        <v>6413</v>
      </c>
      <c r="AF146" s="2"/>
      <c r="AG146" s="1" t="s">
        <v>1582</v>
      </c>
      <c r="AH146" s="1" t="s">
        <v>6407</v>
      </c>
      <c r="AI146" s="2">
        <v>180.0</v>
      </c>
      <c r="AJ146" s="1" t="s">
        <v>1589</v>
      </c>
      <c r="AK146" s="1" t="s">
        <v>5877</v>
      </c>
      <c r="AL146" s="1" t="s">
        <v>5878</v>
      </c>
      <c r="AM146" s="2"/>
      <c r="AN146" s="2"/>
      <c r="AO146" s="2"/>
      <c r="AP146" s="2"/>
      <c r="AQ146" s="2"/>
      <c r="AR146" s="2"/>
      <c r="AS146" s="2"/>
      <c r="AT146" s="2"/>
      <c r="AU146" s="126" t="s">
        <v>22</v>
      </c>
      <c r="AV146" s="126" t="s">
        <v>22</v>
      </c>
      <c r="AW146" s="2"/>
      <c r="AX146" s="2"/>
      <c r="AY146" s="2"/>
      <c r="AZ146" s="2"/>
      <c r="BA146" s="2"/>
      <c r="BB146" s="2"/>
      <c r="BC146" s="2"/>
      <c r="BD146" s="2"/>
      <c r="BE146" s="2"/>
    </row>
    <row r="147" hidden="1">
      <c r="A147" s="2"/>
      <c r="B147" s="293" t="s">
        <v>6415</v>
      </c>
      <c r="C147" s="11" t="s">
        <v>6416</v>
      </c>
      <c r="D147" s="278">
        <v>180.0</v>
      </c>
      <c r="E147" s="134" t="str">
        <f t="shared" si="2"/>
        <v>iPhone 16 Pro Max</v>
      </c>
      <c r="F147" s="11" t="s">
        <v>5873</v>
      </c>
      <c r="G147" s="295" t="s">
        <v>6417</v>
      </c>
      <c r="H147" s="296"/>
      <c r="I147" s="156">
        <v>1600.0</v>
      </c>
      <c r="J147" s="297"/>
      <c r="K147" s="298"/>
      <c r="L147" s="156"/>
      <c r="M147" s="301">
        <v>1600.0</v>
      </c>
      <c r="N147" s="284">
        <v>1.45</v>
      </c>
      <c r="O147" s="296">
        <v>3900.0</v>
      </c>
      <c r="P147" s="302">
        <f t="shared" ref="P147:Q147" si="139">O147</f>
        <v>3900</v>
      </c>
      <c r="Q147" s="303">
        <f t="shared" si="139"/>
        <v>3900</v>
      </c>
      <c r="R147" s="299" t="s">
        <v>6418</v>
      </c>
      <c r="S147" s="300">
        <v>46140.382819074075</v>
      </c>
      <c r="T147" s="2"/>
      <c r="U147" s="289">
        <f t="shared" si="4"/>
        <v>2300</v>
      </c>
      <c r="V147" s="304" t="str">
        <f>IF(L147&gt;0, Q943 - L147, "нет з/ч")</f>
        <v>нет з/ч</v>
      </c>
      <c r="W147" s="2"/>
      <c r="X147" s="289">
        <v>1600.0</v>
      </c>
      <c r="Y147" s="139"/>
      <c r="Z147" s="2"/>
      <c r="AA147" s="2" t="s">
        <v>6416</v>
      </c>
      <c r="AB147" s="2" t="s">
        <v>6416</v>
      </c>
      <c r="AC147" s="2"/>
      <c r="AD147" s="2" t="s">
        <v>6416</v>
      </c>
      <c r="AE147" s="3" t="s">
        <v>6415</v>
      </c>
      <c r="AF147" s="2"/>
      <c r="AG147" s="1" t="s">
        <v>1582</v>
      </c>
      <c r="AH147" s="1" t="s">
        <v>6407</v>
      </c>
      <c r="AI147" s="2">
        <v>180.0</v>
      </c>
      <c r="AJ147" s="1" t="s">
        <v>1589</v>
      </c>
      <c r="AK147" s="1" t="s">
        <v>5877</v>
      </c>
      <c r="AL147" s="1" t="s">
        <v>5878</v>
      </c>
      <c r="AM147" s="2"/>
      <c r="AN147" s="2"/>
      <c r="AO147" s="2"/>
      <c r="AP147" s="2"/>
      <c r="AQ147" s="2"/>
      <c r="AR147" s="2"/>
      <c r="AS147" s="2"/>
      <c r="AT147" s="2"/>
      <c r="AU147" s="126">
        <v>1600.0</v>
      </c>
      <c r="AV147" s="126">
        <v>3900.0</v>
      </c>
      <c r="AW147" s="2"/>
      <c r="AX147" s="2"/>
      <c r="AY147" s="2"/>
      <c r="AZ147" s="2"/>
      <c r="BA147" s="2"/>
      <c r="BB147" s="2"/>
      <c r="BC147" s="2"/>
      <c r="BD147" s="2"/>
      <c r="BE147" s="2"/>
    </row>
    <row r="148" hidden="1">
      <c r="A148" s="2"/>
      <c r="B148" s="293" t="s">
        <v>6419</v>
      </c>
      <c r="C148" s="11" t="s">
        <v>6420</v>
      </c>
      <c r="D148" s="278">
        <v>180.0</v>
      </c>
      <c r="E148" s="134" t="str">
        <f t="shared" si="2"/>
        <v>iPhone 16 Pro Max</v>
      </c>
      <c r="F148" s="11" t="s">
        <v>5873</v>
      </c>
      <c r="G148" s="306"/>
      <c r="H148" s="296"/>
      <c r="I148" s="139"/>
      <c r="J148" s="297"/>
      <c r="K148" s="298"/>
      <c r="L148" s="156"/>
      <c r="M148" s="301" t="s">
        <v>22</v>
      </c>
      <c r="N148" s="284">
        <v>0.12</v>
      </c>
      <c r="O148" s="296" t="s">
        <v>22</v>
      </c>
      <c r="P148" s="67"/>
      <c r="Q148" s="303">
        <f>P147</f>
        <v>3900</v>
      </c>
      <c r="R148" s="307"/>
      <c r="S148" s="300">
        <v>46111.536427314815</v>
      </c>
      <c r="T148" s="2"/>
      <c r="U148" s="59" t="str">
        <f t="shared" si="4"/>
        <v>нет з/ч</v>
      </c>
      <c r="V148" s="304" t="str">
        <f>IF(L148&gt;0, Q947 - L148, "нет з/ч")</f>
        <v>нет з/ч</v>
      </c>
      <c r="W148" s="2"/>
      <c r="X148" s="289"/>
      <c r="Y148" s="139"/>
      <c r="Z148" s="2"/>
      <c r="AA148" s="2" t="s">
        <v>6420</v>
      </c>
      <c r="AB148" s="2" t="s">
        <v>6420</v>
      </c>
      <c r="AC148" s="2"/>
      <c r="AD148" s="2" t="s">
        <v>6420</v>
      </c>
      <c r="AE148" s="3" t="s">
        <v>6419</v>
      </c>
      <c r="AF148" s="2"/>
      <c r="AG148" s="1" t="s">
        <v>1582</v>
      </c>
      <c r="AH148" s="1" t="s">
        <v>6407</v>
      </c>
      <c r="AI148" s="2">
        <v>180.0</v>
      </c>
      <c r="AJ148" s="1" t="s">
        <v>1589</v>
      </c>
      <c r="AK148" s="1" t="s">
        <v>5877</v>
      </c>
      <c r="AL148" s="1" t="s">
        <v>5878</v>
      </c>
      <c r="AM148" s="2"/>
      <c r="AN148" s="2"/>
      <c r="AO148" s="2"/>
      <c r="AP148" s="2"/>
      <c r="AQ148" s="2"/>
      <c r="AR148" s="2"/>
      <c r="AS148" s="2"/>
      <c r="AT148" s="2"/>
      <c r="AU148" s="126" t="s">
        <v>22</v>
      </c>
      <c r="AV148" s="126">
        <v>3900.0</v>
      </c>
      <c r="AW148" s="2"/>
      <c r="AX148" s="2"/>
      <c r="AY148" s="2"/>
      <c r="AZ148" s="2"/>
      <c r="BA148" s="2"/>
      <c r="BB148" s="2"/>
      <c r="BC148" s="2"/>
      <c r="BD148" s="2"/>
      <c r="BE148" s="2"/>
    </row>
    <row r="149" hidden="1">
      <c r="A149" s="2"/>
      <c r="B149" s="309" t="s">
        <v>6421</v>
      </c>
      <c r="C149" s="220" t="s">
        <v>6422</v>
      </c>
      <c r="D149" s="11">
        <v>90.0</v>
      </c>
      <c r="E149" s="11" t="s">
        <v>1481</v>
      </c>
      <c r="F149" s="11" t="s">
        <v>6423</v>
      </c>
      <c r="G149" s="306"/>
      <c r="H149" s="296"/>
      <c r="I149" s="156"/>
      <c r="J149" s="301"/>
      <c r="K149" s="296"/>
      <c r="L149" s="139"/>
      <c r="M149" s="301" t="s">
        <v>22</v>
      </c>
      <c r="N149" s="284">
        <v>0.12</v>
      </c>
      <c r="O149" s="296" t="s">
        <v>22</v>
      </c>
      <c r="P149" s="310">
        <v>50.0</v>
      </c>
      <c r="Q149" s="311">
        <f t="shared" ref="Q149:Q150" si="140">P149</f>
        <v>50</v>
      </c>
      <c r="R149" s="307"/>
      <c r="S149" s="308"/>
      <c r="T149" s="2"/>
      <c r="U149" s="59" t="str">
        <f t="shared" si="4"/>
        <v>нет з/ч</v>
      </c>
      <c r="V149" s="304" t="str">
        <f t="shared" ref="V149:V153" si="141">IF(L149&gt;0, Q1060 - L149, "нет з/ч")</f>
        <v>нет з/ч</v>
      </c>
      <c r="W149" s="2"/>
      <c r="X149" s="289"/>
      <c r="Y149" s="139"/>
      <c r="Z149" s="2"/>
      <c r="AA149" s="2" t="s">
        <v>6422</v>
      </c>
      <c r="AB149" s="2" t="s">
        <v>6422</v>
      </c>
      <c r="AC149" s="2"/>
      <c r="AD149" s="2" t="s">
        <v>6422</v>
      </c>
      <c r="AE149" s="3" t="s">
        <v>6421</v>
      </c>
      <c r="AF149" s="2"/>
      <c r="AG149" s="1" t="s">
        <v>1582</v>
      </c>
      <c r="AH149" s="1" t="s">
        <v>5883</v>
      </c>
      <c r="AI149" s="2">
        <v>90.0</v>
      </c>
      <c r="AJ149" s="1" t="s">
        <v>1589</v>
      </c>
      <c r="AK149" s="1" t="s">
        <v>5877</v>
      </c>
      <c r="AL149" s="1" t="s">
        <v>5878</v>
      </c>
      <c r="AM149" s="2"/>
      <c r="AN149" s="2"/>
      <c r="AO149" s="2"/>
      <c r="AP149" s="2"/>
      <c r="AQ149" s="2"/>
      <c r="AR149" s="2"/>
      <c r="AS149" s="2"/>
      <c r="AT149" s="2"/>
      <c r="AU149" s="126" t="s">
        <v>22</v>
      </c>
      <c r="AV149" s="126">
        <v>50.0</v>
      </c>
      <c r="AW149" s="2"/>
      <c r="AX149" s="2"/>
      <c r="AY149" s="2"/>
      <c r="AZ149" s="2"/>
      <c r="BA149" s="2"/>
      <c r="BB149" s="2"/>
      <c r="BC149" s="2"/>
      <c r="BD149" s="2"/>
      <c r="BE149" s="2"/>
    </row>
    <row r="150" hidden="1">
      <c r="A150" s="2"/>
      <c r="B150" s="312" t="s">
        <v>6424</v>
      </c>
      <c r="C150" s="220" t="s">
        <v>6425</v>
      </c>
      <c r="D150" s="11">
        <v>90.0</v>
      </c>
      <c r="E150" s="11" t="s">
        <v>6426</v>
      </c>
      <c r="F150" s="11" t="s">
        <v>6423</v>
      </c>
      <c r="G150" s="295" t="s">
        <v>6427</v>
      </c>
      <c r="H150" s="298"/>
      <c r="I150" s="156">
        <v>1050.0</v>
      </c>
      <c r="J150" s="301"/>
      <c r="K150" s="296"/>
      <c r="L150" s="156"/>
      <c r="M150" s="301">
        <v>1050.0</v>
      </c>
      <c r="N150" s="284">
        <v>0.12</v>
      </c>
      <c r="O150" s="296">
        <v>1200.0</v>
      </c>
      <c r="P150" s="313">
        <f>MAX(O150:O151)</f>
        <v>1200</v>
      </c>
      <c r="Q150" s="303">
        <f t="shared" si="140"/>
        <v>1200</v>
      </c>
      <c r="R150" s="287" t="s">
        <v>6428</v>
      </c>
      <c r="S150" s="300">
        <v>46147.49456958333</v>
      </c>
      <c r="T150" s="2"/>
      <c r="U150" s="289">
        <f t="shared" si="4"/>
        <v>150</v>
      </c>
      <c r="V150" s="304" t="str">
        <f t="shared" si="141"/>
        <v>нет з/ч</v>
      </c>
      <c r="W150" s="2"/>
      <c r="X150" s="289">
        <v>1050.0</v>
      </c>
      <c r="Y150" s="139"/>
      <c r="Z150" s="2"/>
      <c r="AA150" s="2" t="s">
        <v>6425</v>
      </c>
      <c r="AB150" s="2" t="s">
        <v>6425</v>
      </c>
      <c r="AC150" s="2"/>
      <c r="AD150" s="2" t="s">
        <v>6425</v>
      </c>
      <c r="AE150" s="3" t="s">
        <v>6424</v>
      </c>
      <c r="AF150" s="2"/>
      <c r="AG150" s="1" t="s">
        <v>1582</v>
      </c>
      <c r="AH150" s="1" t="s">
        <v>6429</v>
      </c>
      <c r="AI150" s="2">
        <v>90.0</v>
      </c>
      <c r="AJ150" s="1" t="s">
        <v>1589</v>
      </c>
      <c r="AK150" s="1" t="s">
        <v>5877</v>
      </c>
      <c r="AL150" s="1" t="s">
        <v>5878</v>
      </c>
      <c r="AM150" s="2"/>
      <c r="AN150" s="2"/>
      <c r="AO150" s="2"/>
      <c r="AP150" s="2"/>
      <c r="AQ150" s="2"/>
      <c r="AR150" s="2"/>
      <c r="AS150" s="2"/>
      <c r="AT150" s="2"/>
      <c r="AU150" s="126">
        <v>1050.0</v>
      </c>
      <c r="AV150" s="126">
        <v>1200.0</v>
      </c>
      <c r="AW150" s="2"/>
      <c r="AX150" s="2"/>
      <c r="AY150" s="2"/>
      <c r="AZ150" s="2"/>
      <c r="BA150" s="2"/>
      <c r="BB150" s="2"/>
      <c r="BC150" s="2"/>
      <c r="BD150" s="2"/>
      <c r="BE150" s="2"/>
    </row>
    <row r="151" hidden="1">
      <c r="A151" s="2"/>
      <c r="B151" s="312" t="s">
        <v>6430</v>
      </c>
      <c r="C151" s="220" t="s">
        <v>6431</v>
      </c>
      <c r="D151" s="11">
        <v>90.0</v>
      </c>
      <c r="E151" s="11" t="s">
        <v>6426</v>
      </c>
      <c r="F151" s="11" t="s">
        <v>6423</v>
      </c>
      <c r="G151" s="295" t="s">
        <v>6432</v>
      </c>
      <c r="H151" s="296"/>
      <c r="I151" s="156">
        <v>1050.0</v>
      </c>
      <c r="J151" s="301"/>
      <c r="K151" s="296"/>
      <c r="L151" s="139"/>
      <c r="M151" s="301">
        <v>1050.0</v>
      </c>
      <c r="N151" s="284">
        <v>0.12</v>
      </c>
      <c r="O151" s="296">
        <v>1200.0</v>
      </c>
      <c r="P151" s="67"/>
      <c r="Q151" s="303">
        <f>P150</f>
        <v>1200</v>
      </c>
      <c r="R151" s="287" t="s">
        <v>6433</v>
      </c>
      <c r="S151" s="300">
        <v>46140.55725131945</v>
      </c>
      <c r="T151" s="2"/>
      <c r="U151" s="289">
        <f t="shared" si="4"/>
        <v>150</v>
      </c>
      <c r="V151" s="304" t="str">
        <f t="shared" si="141"/>
        <v>нет з/ч</v>
      </c>
      <c r="W151" s="2"/>
      <c r="X151" s="289">
        <v>1050.0</v>
      </c>
      <c r="Y151" s="139"/>
      <c r="Z151" s="2"/>
      <c r="AA151" s="2" t="s">
        <v>6431</v>
      </c>
      <c r="AB151" s="2" t="s">
        <v>6431</v>
      </c>
      <c r="AC151" s="2"/>
      <c r="AD151" s="2" t="s">
        <v>6431</v>
      </c>
      <c r="AE151" s="3" t="s">
        <v>6430</v>
      </c>
      <c r="AF151" s="2"/>
      <c r="AG151" s="1" t="s">
        <v>1582</v>
      </c>
      <c r="AH151" s="1" t="s">
        <v>6429</v>
      </c>
      <c r="AI151" s="2">
        <v>90.0</v>
      </c>
      <c r="AJ151" s="1" t="s">
        <v>1589</v>
      </c>
      <c r="AK151" s="1" t="s">
        <v>5877</v>
      </c>
      <c r="AL151" s="1" t="s">
        <v>5878</v>
      </c>
      <c r="AM151" s="2"/>
      <c r="AN151" s="2"/>
      <c r="AO151" s="2"/>
      <c r="AP151" s="2"/>
      <c r="AQ151" s="2"/>
      <c r="AR151" s="2"/>
      <c r="AS151" s="2"/>
      <c r="AT151" s="2"/>
      <c r="AU151" s="126">
        <v>1050.0</v>
      </c>
      <c r="AV151" s="126">
        <v>1200.0</v>
      </c>
      <c r="AW151" s="2"/>
      <c r="AX151" s="2"/>
      <c r="AY151" s="2"/>
      <c r="AZ151" s="2"/>
      <c r="BA151" s="2"/>
      <c r="BB151" s="2"/>
      <c r="BC151" s="2"/>
      <c r="BD151" s="2"/>
      <c r="BE151" s="2"/>
    </row>
    <row r="152" hidden="1">
      <c r="A152" s="2"/>
      <c r="B152" s="312" t="s">
        <v>6434</v>
      </c>
      <c r="C152" s="220" t="s">
        <v>6435</v>
      </c>
      <c r="D152" s="11">
        <v>90.0</v>
      </c>
      <c r="E152" s="11" t="s">
        <v>6426</v>
      </c>
      <c r="F152" s="11" t="s">
        <v>6423</v>
      </c>
      <c r="G152" s="295" t="s">
        <v>6436</v>
      </c>
      <c r="H152" s="296"/>
      <c r="I152" s="156">
        <v>950.0</v>
      </c>
      <c r="J152" s="301"/>
      <c r="K152" s="296"/>
      <c r="L152" s="139"/>
      <c r="M152" s="301">
        <v>950.0</v>
      </c>
      <c r="N152" s="284">
        <v>0.12</v>
      </c>
      <c r="O152" s="296">
        <v>1050.0</v>
      </c>
      <c r="P152" s="313">
        <f>MAX(O152:O153)</f>
        <v>1050</v>
      </c>
      <c r="Q152" s="303">
        <f>P152</f>
        <v>1050</v>
      </c>
      <c r="R152" s="299" t="s">
        <v>6437</v>
      </c>
      <c r="S152" s="300">
        <v>46140.55728076389</v>
      </c>
      <c r="T152" s="2"/>
      <c r="U152" s="289">
        <f t="shared" si="4"/>
        <v>100</v>
      </c>
      <c r="V152" s="304" t="str">
        <f t="shared" si="141"/>
        <v>нет з/ч</v>
      </c>
      <c r="W152" s="2"/>
      <c r="X152" s="289">
        <v>950.0</v>
      </c>
      <c r="Y152" s="139"/>
      <c r="Z152" s="2"/>
      <c r="AA152" s="2" t="s">
        <v>6435</v>
      </c>
      <c r="AB152" s="2" t="s">
        <v>6435</v>
      </c>
      <c r="AC152" s="2"/>
      <c r="AD152" s="2" t="s">
        <v>6435</v>
      </c>
      <c r="AE152" s="3" t="s">
        <v>6434</v>
      </c>
      <c r="AF152" s="2"/>
      <c r="AG152" s="1" t="s">
        <v>1582</v>
      </c>
      <c r="AH152" s="1" t="s">
        <v>6429</v>
      </c>
      <c r="AI152" s="2">
        <v>90.0</v>
      </c>
      <c r="AJ152" s="1" t="s">
        <v>1589</v>
      </c>
      <c r="AK152" s="1" t="s">
        <v>5877</v>
      </c>
      <c r="AL152" s="1" t="s">
        <v>5878</v>
      </c>
      <c r="AM152" s="2"/>
      <c r="AN152" s="2"/>
      <c r="AO152" s="2"/>
      <c r="AP152" s="2"/>
      <c r="AQ152" s="2"/>
      <c r="AR152" s="2"/>
      <c r="AS152" s="2"/>
      <c r="AT152" s="2"/>
      <c r="AU152" s="126">
        <v>950.0</v>
      </c>
      <c r="AV152" s="126">
        <v>1050.0</v>
      </c>
      <c r="AW152" s="2"/>
      <c r="AX152" s="2"/>
      <c r="AY152" s="2"/>
      <c r="AZ152" s="2"/>
      <c r="BA152" s="2"/>
      <c r="BB152" s="2"/>
      <c r="BC152" s="2"/>
      <c r="BD152" s="2"/>
      <c r="BE152" s="2"/>
    </row>
    <row r="153" hidden="1">
      <c r="A153" s="2"/>
      <c r="B153" s="312" t="s">
        <v>6438</v>
      </c>
      <c r="C153" s="220" t="s">
        <v>6439</v>
      </c>
      <c r="D153" s="11">
        <v>90.0</v>
      </c>
      <c r="E153" s="11" t="s">
        <v>6426</v>
      </c>
      <c r="F153" s="11" t="s">
        <v>6423</v>
      </c>
      <c r="G153" s="295" t="s">
        <v>6440</v>
      </c>
      <c r="H153" s="296"/>
      <c r="I153" s="156">
        <v>950.0</v>
      </c>
      <c r="J153" s="301"/>
      <c r="K153" s="296"/>
      <c r="L153" s="139"/>
      <c r="M153" s="301">
        <v>950.0</v>
      </c>
      <c r="N153" s="284">
        <v>0.12</v>
      </c>
      <c r="O153" s="296">
        <v>1050.0</v>
      </c>
      <c r="P153" s="67"/>
      <c r="Q153" s="303">
        <f>P152</f>
        <v>1050</v>
      </c>
      <c r="R153" s="299" t="s">
        <v>6441</v>
      </c>
      <c r="S153" s="300">
        <v>46140.557303379624</v>
      </c>
      <c r="T153" s="2"/>
      <c r="U153" s="289">
        <f t="shared" si="4"/>
        <v>100</v>
      </c>
      <c r="V153" s="304" t="str">
        <f t="shared" si="141"/>
        <v>нет з/ч</v>
      </c>
      <c r="W153" s="2"/>
      <c r="X153" s="289">
        <v>950.0</v>
      </c>
      <c r="Y153" s="139"/>
      <c r="Z153" s="2"/>
      <c r="AA153" s="2" t="s">
        <v>6439</v>
      </c>
      <c r="AB153" s="2" t="s">
        <v>6439</v>
      </c>
      <c r="AC153" s="2"/>
      <c r="AD153" s="2" t="s">
        <v>6439</v>
      </c>
      <c r="AE153" s="3" t="s">
        <v>6438</v>
      </c>
      <c r="AF153" s="2"/>
      <c r="AG153" s="1" t="s">
        <v>1582</v>
      </c>
      <c r="AH153" s="1" t="s">
        <v>6429</v>
      </c>
      <c r="AI153" s="2">
        <v>90.0</v>
      </c>
      <c r="AJ153" s="1" t="s">
        <v>1589</v>
      </c>
      <c r="AK153" s="1" t="s">
        <v>5877</v>
      </c>
      <c r="AL153" s="1" t="s">
        <v>5878</v>
      </c>
      <c r="AM153" s="2"/>
      <c r="AN153" s="2"/>
      <c r="AO153" s="2"/>
      <c r="AP153" s="2"/>
      <c r="AQ153" s="2"/>
      <c r="AR153" s="2"/>
      <c r="AS153" s="2"/>
      <c r="AT153" s="2"/>
      <c r="AU153" s="126">
        <v>950.0</v>
      </c>
      <c r="AV153" s="126">
        <v>1050.0</v>
      </c>
      <c r="AW153" s="2"/>
      <c r="AX153" s="2"/>
      <c r="AY153" s="2"/>
      <c r="AZ153" s="2"/>
      <c r="BA153" s="2"/>
      <c r="BB153" s="2"/>
      <c r="BC153" s="2"/>
      <c r="BD153" s="2"/>
      <c r="BE153" s="2"/>
    </row>
    <row r="154" hidden="1">
      <c r="A154" s="2"/>
      <c r="B154" s="312" t="s">
        <v>6442</v>
      </c>
      <c r="C154" s="220" t="s">
        <v>6443</v>
      </c>
      <c r="D154" s="11">
        <v>90.0</v>
      </c>
      <c r="E154" s="11" t="s">
        <v>83</v>
      </c>
      <c r="F154" s="11" t="s">
        <v>6423</v>
      </c>
      <c r="G154" s="295" t="s">
        <v>6444</v>
      </c>
      <c r="H154" s="296"/>
      <c r="I154" s="156">
        <v>1490.0</v>
      </c>
      <c r="J154" s="301"/>
      <c r="K154" s="296"/>
      <c r="L154" s="139"/>
      <c r="M154" s="301">
        <v>1490.0</v>
      </c>
      <c r="N154" s="284">
        <v>0.27</v>
      </c>
      <c r="O154" s="296">
        <v>1900.0</v>
      </c>
      <c r="P154" s="313">
        <f>MAX(O154:O155)</f>
        <v>1900</v>
      </c>
      <c r="Q154" s="303">
        <f>P154</f>
        <v>1900</v>
      </c>
      <c r="R154" s="299" t="s">
        <v>6445</v>
      </c>
      <c r="S154" s="300">
        <v>46140.55732820602</v>
      </c>
      <c r="T154" s="2"/>
      <c r="U154" s="289">
        <f t="shared" si="4"/>
        <v>410</v>
      </c>
      <c r="V154" s="304" t="str">
        <f t="shared" ref="V154:V157" si="142">IF(L154&gt;0, Q1068 - L154, "нет з/ч")</f>
        <v>нет з/ч</v>
      </c>
      <c r="W154" s="2"/>
      <c r="X154" s="289">
        <v>1490.0</v>
      </c>
      <c r="Y154" s="139"/>
      <c r="Z154" s="2"/>
      <c r="AA154" s="2" t="s">
        <v>6443</v>
      </c>
      <c r="AB154" s="2" t="s">
        <v>6443</v>
      </c>
      <c r="AC154" s="2"/>
      <c r="AD154" s="2" t="s">
        <v>6443</v>
      </c>
      <c r="AE154" s="3" t="s">
        <v>6442</v>
      </c>
      <c r="AF154" s="2"/>
      <c r="AG154" s="1" t="s">
        <v>1582</v>
      </c>
      <c r="AH154" s="1" t="s">
        <v>5893</v>
      </c>
      <c r="AI154" s="2">
        <v>90.0</v>
      </c>
      <c r="AJ154" s="1" t="s">
        <v>1589</v>
      </c>
      <c r="AK154" s="1" t="s">
        <v>5877</v>
      </c>
      <c r="AL154" s="1" t="s">
        <v>5878</v>
      </c>
      <c r="AM154" s="2"/>
      <c r="AN154" s="2"/>
      <c r="AO154" s="2"/>
      <c r="AP154" s="2"/>
      <c r="AQ154" s="2"/>
      <c r="AR154" s="2"/>
      <c r="AS154" s="2"/>
      <c r="AT154" s="2"/>
      <c r="AU154" s="126">
        <v>1490.0</v>
      </c>
      <c r="AV154" s="126">
        <v>1900.0</v>
      </c>
      <c r="AW154" s="2"/>
      <c r="AX154" s="2"/>
      <c r="AY154" s="2"/>
      <c r="AZ154" s="2"/>
      <c r="BA154" s="2"/>
      <c r="BB154" s="2"/>
      <c r="BC154" s="2"/>
      <c r="BD154" s="2"/>
      <c r="BE154" s="2"/>
    </row>
    <row r="155" hidden="1">
      <c r="A155" s="2"/>
      <c r="B155" s="312" t="s">
        <v>6446</v>
      </c>
      <c r="C155" s="220" t="s">
        <v>6447</v>
      </c>
      <c r="D155" s="11">
        <v>90.0</v>
      </c>
      <c r="E155" s="11" t="s">
        <v>83</v>
      </c>
      <c r="F155" s="11" t="s">
        <v>6423</v>
      </c>
      <c r="G155" s="295" t="s">
        <v>6448</v>
      </c>
      <c r="H155" s="296"/>
      <c r="I155" s="156">
        <v>1490.0</v>
      </c>
      <c r="J155" s="301"/>
      <c r="K155" s="296"/>
      <c r="L155" s="139"/>
      <c r="M155" s="301">
        <v>1490.0</v>
      </c>
      <c r="N155" s="284">
        <v>0.27</v>
      </c>
      <c r="O155" s="296">
        <v>1900.0</v>
      </c>
      <c r="P155" s="67"/>
      <c r="Q155" s="303">
        <f>P154</f>
        <v>1900</v>
      </c>
      <c r="R155" s="299" t="s">
        <v>6449</v>
      </c>
      <c r="S155" s="300">
        <v>46140.55735106481</v>
      </c>
      <c r="T155" s="2"/>
      <c r="U155" s="289">
        <f t="shared" si="4"/>
        <v>410</v>
      </c>
      <c r="V155" s="304" t="str">
        <f t="shared" si="142"/>
        <v>нет з/ч</v>
      </c>
      <c r="W155" s="2"/>
      <c r="X155" s="289">
        <v>1490.0</v>
      </c>
      <c r="Y155" s="139"/>
      <c r="Z155" s="2"/>
      <c r="AA155" s="2" t="s">
        <v>6447</v>
      </c>
      <c r="AB155" s="2" t="s">
        <v>6447</v>
      </c>
      <c r="AC155" s="2"/>
      <c r="AD155" s="2" t="s">
        <v>6447</v>
      </c>
      <c r="AE155" s="3" t="s">
        <v>6446</v>
      </c>
      <c r="AF155" s="2"/>
      <c r="AG155" s="1" t="s">
        <v>1582</v>
      </c>
      <c r="AH155" s="1" t="s">
        <v>5893</v>
      </c>
      <c r="AI155" s="2">
        <v>90.0</v>
      </c>
      <c r="AJ155" s="1" t="s">
        <v>1589</v>
      </c>
      <c r="AK155" s="1" t="s">
        <v>5877</v>
      </c>
      <c r="AL155" s="1" t="s">
        <v>5878</v>
      </c>
      <c r="AM155" s="2"/>
      <c r="AN155" s="2"/>
      <c r="AO155" s="2"/>
      <c r="AP155" s="2"/>
      <c r="AQ155" s="2"/>
      <c r="AR155" s="2"/>
      <c r="AS155" s="2"/>
      <c r="AT155" s="2"/>
      <c r="AU155" s="126">
        <v>1490.0</v>
      </c>
      <c r="AV155" s="126">
        <v>1900.0</v>
      </c>
      <c r="AW155" s="2"/>
      <c r="AX155" s="2"/>
      <c r="AY155" s="2"/>
      <c r="AZ155" s="2"/>
      <c r="BA155" s="2"/>
      <c r="BB155" s="2"/>
      <c r="BC155" s="2"/>
      <c r="BD155" s="2"/>
      <c r="BE155" s="2"/>
    </row>
    <row r="156" hidden="1">
      <c r="A156" s="2"/>
      <c r="B156" s="312" t="s">
        <v>6450</v>
      </c>
      <c r="C156" s="220" t="s">
        <v>6451</v>
      </c>
      <c r="D156" s="11">
        <v>90.0</v>
      </c>
      <c r="E156" s="11" t="s">
        <v>83</v>
      </c>
      <c r="F156" s="11" t="s">
        <v>6423</v>
      </c>
      <c r="G156" s="295" t="s">
        <v>6452</v>
      </c>
      <c r="H156" s="296"/>
      <c r="I156" s="156">
        <v>1260.0</v>
      </c>
      <c r="J156" s="301"/>
      <c r="K156" s="296"/>
      <c r="L156" s="139"/>
      <c r="M156" s="301">
        <v>1260.0</v>
      </c>
      <c r="N156" s="284">
        <v>0.25</v>
      </c>
      <c r="O156" s="296">
        <v>1600.0</v>
      </c>
      <c r="P156" s="313">
        <f>MAX(O156:O157)</f>
        <v>1600</v>
      </c>
      <c r="Q156" s="303">
        <f>P156</f>
        <v>1600</v>
      </c>
      <c r="R156" s="299" t="s">
        <v>6453</v>
      </c>
      <c r="S156" s="300">
        <v>46140.55737361111</v>
      </c>
      <c r="T156" s="2"/>
      <c r="U156" s="289">
        <f t="shared" si="4"/>
        <v>340</v>
      </c>
      <c r="V156" s="304" t="str">
        <f t="shared" si="142"/>
        <v>нет з/ч</v>
      </c>
      <c r="W156" s="2"/>
      <c r="X156" s="289">
        <v>1260.0</v>
      </c>
      <c r="Y156" s="139"/>
      <c r="Z156" s="2"/>
      <c r="AA156" s="2" t="s">
        <v>6451</v>
      </c>
      <c r="AB156" s="2" t="s">
        <v>6451</v>
      </c>
      <c r="AC156" s="2"/>
      <c r="AD156" s="2" t="s">
        <v>6451</v>
      </c>
      <c r="AE156" s="3" t="s">
        <v>6450</v>
      </c>
      <c r="AF156" s="2"/>
      <c r="AG156" s="1" t="s">
        <v>1582</v>
      </c>
      <c r="AH156" s="1" t="s">
        <v>5893</v>
      </c>
      <c r="AI156" s="2">
        <v>90.0</v>
      </c>
      <c r="AJ156" s="1" t="s">
        <v>1589</v>
      </c>
      <c r="AK156" s="1" t="s">
        <v>5877</v>
      </c>
      <c r="AL156" s="1" t="s">
        <v>5878</v>
      </c>
      <c r="AM156" s="2"/>
      <c r="AN156" s="2"/>
      <c r="AO156" s="2"/>
      <c r="AP156" s="2"/>
      <c r="AQ156" s="2"/>
      <c r="AR156" s="2"/>
      <c r="AS156" s="2"/>
      <c r="AT156" s="2"/>
      <c r="AU156" s="126">
        <v>1260.0</v>
      </c>
      <c r="AV156" s="126">
        <v>1600.0</v>
      </c>
      <c r="AW156" s="2"/>
      <c r="AX156" s="2"/>
      <c r="AY156" s="2"/>
      <c r="AZ156" s="2"/>
      <c r="BA156" s="2"/>
      <c r="BB156" s="2"/>
      <c r="BC156" s="2"/>
      <c r="BD156" s="2"/>
      <c r="BE156" s="2"/>
    </row>
    <row r="157" hidden="1">
      <c r="A157" s="2"/>
      <c r="B157" s="312" t="s">
        <v>6454</v>
      </c>
      <c r="C157" s="220" t="s">
        <v>6455</v>
      </c>
      <c r="D157" s="11">
        <v>90.0</v>
      </c>
      <c r="E157" s="11" t="s">
        <v>83</v>
      </c>
      <c r="F157" s="11" t="s">
        <v>6423</v>
      </c>
      <c r="G157" s="295" t="s">
        <v>6456</v>
      </c>
      <c r="H157" s="296"/>
      <c r="I157" s="156">
        <v>1260.0</v>
      </c>
      <c r="J157" s="301"/>
      <c r="K157" s="296"/>
      <c r="L157" s="139"/>
      <c r="M157" s="301">
        <v>1260.0</v>
      </c>
      <c r="N157" s="284">
        <v>0.25</v>
      </c>
      <c r="O157" s="296">
        <v>1600.0</v>
      </c>
      <c r="P157" s="67"/>
      <c r="Q157" s="303">
        <f>P156</f>
        <v>1600</v>
      </c>
      <c r="R157" s="299" t="s">
        <v>6457</v>
      </c>
      <c r="S157" s="300">
        <v>46140.55740016204</v>
      </c>
      <c r="T157" s="2"/>
      <c r="U157" s="289">
        <f t="shared" si="4"/>
        <v>340</v>
      </c>
      <c r="V157" s="304" t="str">
        <f t="shared" si="142"/>
        <v>нет з/ч</v>
      </c>
      <c r="W157" s="2"/>
      <c r="X157" s="289">
        <v>1260.0</v>
      </c>
      <c r="Y157" s="139"/>
      <c r="Z157" s="2"/>
      <c r="AA157" s="2" t="s">
        <v>6455</v>
      </c>
      <c r="AB157" s="2" t="s">
        <v>6455</v>
      </c>
      <c r="AC157" s="2"/>
      <c r="AD157" s="2" t="s">
        <v>6455</v>
      </c>
      <c r="AE157" s="3" t="s">
        <v>6454</v>
      </c>
      <c r="AF157" s="2"/>
      <c r="AG157" s="1" t="s">
        <v>1582</v>
      </c>
      <c r="AH157" s="1" t="s">
        <v>5893</v>
      </c>
      <c r="AI157" s="2">
        <v>90.0</v>
      </c>
      <c r="AJ157" s="1" t="s">
        <v>1589</v>
      </c>
      <c r="AK157" s="1" t="s">
        <v>5877</v>
      </c>
      <c r="AL157" s="1" t="s">
        <v>5878</v>
      </c>
      <c r="AM157" s="2"/>
      <c r="AN157" s="2"/>
      <c r="AO157" s="2"/>
      <c r="AP157" s="2"/>
      <c r="AQ157" s="2"/>
      <c r="AR157" s="2"/>
      <c r="AS157" s="2"/>
      <c r="AT157" s="2"/>
      <c r="AU157" s="126">
        <v>1260.0</v>
      </c>
      <c r="AV157" s="126">
        <v>1600.0</v>
      </c>
      <c r="AW157" s="2"/>
      <c r="AX157" s="2"/>
      <c r="AY157" s="2"/>
      <c r="AZ157" s="2"/>
      <c r="BA157" s="2"/>
      <c r="BB157" s="2"/>
      <c r="BC157" s="2"/>
      <c r="BD157" s="2"/>
      <c r="BE157" s="2"/>
    </row>
    <row r="158" hidden="1">
      <c r="A158" s="2"/>
      <c r="B158" s="312" t="s">
        <v>6458</v>
      </c>
      <c r="C158" s="220" t="s">
        <v>6459</v>
      </c>
      <c r="D158" s="11">
        <v>90.0</v>
      </c>
      <c r="E158" s="11" t="s">
        <v>90</v>
      </c>
      <c r="F158" s="11" t="s">
        <v>6423</v>
      </c>
      <c r="G158" s="295" t="s">
        <v>6460</v>
      </c>
      <c r="H158" s="296"/>
      <c r="I158" s="156">
        <v>1750.0</v>
      </c>
      <c r="J158" s="301"/>
      <c r="K158" s="296"/>
      <c r="L158" s="139"/>
      <c r="M158" s="301">
        <v>1750.0</v>
      </c>
      <c r="N158" s="284">
        <v>0.12</v>
      </c>
      <c r="O158" s="296">
        <v>1950.0</v>
      </c>
      <c r="P158" s="313">
        <f>MAX(O158:O159)</f>
        <v>1950</v>
      </c>
      <c r="Q158" s="303">
        <f>P158</f>
        <v>1950</v>
      </c>
      <c r="R158" s="299" t="s">
        <v>6461</v>
      </c>
      <c r="S158" s="300">
        <v>46140.55747226852</v>
      </c>
      <c r="T158" s="2"/>
      <c r="U158" s="289">
        <f t="shared" si="4"/>
        <v>200</v>
      </c>
      <c r="V158" s="304" t="str">
        <f t="shared" ref="V158:V161" si="143">IF(L158&gt;0, Q1074 - L158, "нет з/ч")</f>
        <v>нет з/ч</v>
      </c>
      <c r="W158" s="2"/>
      <c r="X158" s="289">
        <v>1750.0</v>
      </c>
      <c r="Y158" s="139"/>
      <c r="Z158" s="2"/>
      <c r="AA158" s="2" t="s">
        <v>6459</v>
      </c>
      <c r="AB158" s="2" t="s">
        <v>6459</v>
      </c>
      <c r="AC158" s="2"/>
      <c r="AD158" s="2" t="s">
        <v>6459</v>
      </c>
      <c r="AE158" s="3" t="s">
        <v>6458</v>
      </c>
      <c r="AF158" s="2"/>
      <c r="AG158" s="1" t="s">
        <v>1582</v>
      </c>
      <c r="AH158" s="1" t="s">
        <v>5898</v>
      </c>
      <c r="AI158" s="2">
        <v>90.0</v>
      </c>
      <c r="AJ158" s="1" t="s">
        <v>1589</v>
      </c>
      <c r="AK158" s="1" t="s">
        <v>5877</v>
      </c>
      <c r="AL158" s="1" t="s">
        <v>5878</v>
      </c>
      <c r="AM158" s="2"/>
      <c r="AN158" s="2"/>
      <c r="AO158" s="2"/>
      <c r="AP158" s="2"/>
      <c r="AQ158" s="2"/>
      <c r="AR158" s="2"/>
      <c r="AS158" s="2"/>
      <c r="AT158" s="2"/>
      <c r="AU158" s="126">
        <v>1750.0</v>
      </c>
      <c r="AV158" s="126">
        <v>1950.0</v>
      </c>
      <c r="AW158" s="2"/>
      <c r="AX158" s="2"/>
      <c r="AY158" s="2"/>
      <c r="AZ158" s="2"/>
      <c r="BA158" s="2"/>
      <c r="BB158" s="2"/>
      <c r="BC158" s="2"/>
      <c r="BD158" s="2"/>
      <c r="BE158" s="2"/>
    </row>
    <row r="159" hidden="1">
      <c r="A159" s="2"/>
      <c r="B159" s="312" t="s">
        <v>6462</v>
      </c>
      <c r="C159" s="220" t="s">
        <v>6463</v>
      </c>
      <c r="D159" s="11">
        <v>90.0</v>
      </c>
      <c r="E159" s="11" t="s">
        <v>90</v>
      </c>
      <c r="F159" s="11" t="s">
        <v>6423</v>
      </c>
      <c r="G159" s="295" t="s">
        <v>6464</v>
      </c>
      <c r="H159" s="296"/>
      <c r="I159" s="156">
        <v>1750.0</v>
      </c>
      <c r="J159" s="301"/>
      <c r="K159" s="296"/>
      <c r="L159" s="139"/>
      <c r="M159" s="301">
        <v>1750.0</v>
      </c>
      <c r="N159" s="284">
        <v>0.12</v>
      </c>
      <c r="O159" s="296">
        <v>1950.0</v>
      </c>
      <c r="P159" s="67"/>
      <c r="Q159" s="303">
        <f>P158</f>
        <v>1950</v>
      </c>
      <c r="R159" s="299" t="s">
        <v>6465</v>
      </c>
      <c r="S159" s="300">
        <v>46140.55749670139</v>
      </c>
      <c r="T159" s="2"/>
      <c r="U159" s="289">
        <f t="shared" si="4"/>
        <v>200</v>
      </c>
      <c r="V159" s="304" t="str">
        <f t="shared" si="143"/>
        <v>нет з/ч</v>
      </c>
      <c r="W159" s="2"/>
      <c r="X159" s="289">
        <v>1750.0</v>
      </c>
      <c r="Y159" s="139"/>
      <c r="Z159" s="2"/>
      <c r="AA159" s="2" t="s">
        <v>6463</v>
      </c>
      <c r="AB159" s="2" t="s">
        <v>6463</v>
      </c>
      <c r="AC159" s="2"/>
      <c r="AD159" s="2" t="s">
        <v>6463</v>
      </c>
      <c r="AE159" s="3" t="s">
        <v>6462</v>
      </c>
      <c r="AF159" s="2"/>
      <c r="AG159" s="1" t="s">
        <v>1582</v>
      </c>
      <c r="AH159" s="1" t="s">
        <v>5898</v>
      </c>
      <c r="AI159" s="2">
        <v>90.0</v>
      </c>
      <c r="AJ159" s="1" t="s">
        <v>1589</v>
      </c>
      <c r="AK159" s="1" t="s">
        <v>5877</v>
      </c>
      <c r="AL159" s="1" t="s">
        <v>5878</v>
      </c>
      <c r="AM159" s="2"/>
      <c r="AN159" s="2"/>
      <c r="AO159" s="2"/>
      <c r="AP159" s="2"/>
      <c r="AQ159" s="2"/>
      <c r="AR159" s="2"/>
      <c r="AS159" s="2"/>
      <c r="AT159" s="2"/>
      <c r="AU159" s="126">
        <v>1750.0</v>
      </c>
      <c r="AV159" s="126">
        <v>1950.0</v>
      </c>
      <c r="AW159" s="2"/>
      <c r="AX159" s="2"/>
      <c r="AY159" s="2"/>
      <c r="AZ159" s="2"/>
      <c r="BA159" s="2"/>
      <c r="BB159" s="2"/>
      <c r="BC159" s="2"/>
      <c r="BD159" s="2"/>
      <c r="BE159" s="2"/>
    </row>
    <row r="160" hidden="1">
      <c r="A160" s="2"/>
      <c r="B160" s="312" t="s">
        <v>6466</v>
      </c>
      <c r="C160" s="220" t="s">
        <v>6467</v>
      </c>
      <c r="D160" s="11">
        <v>90.0</v>
      </c>
      <c r="E160" s="11" t="s">
        <v>90</v>
      </c>
      <c r="F160" s="11" t="s">
        <v>6423</v>
      </c>
      <c r="G160" s="295" t="s">
        <v>6468</v>
      </c>
      <c r="H160" s="296"/>
      <c r="I160" s="156">
        <v>1450.0</v>
      </c>
      <c r="J160" s="301"/>
      <c r="K160" s="296"/>
      <c r="L160" s="139"/>
      <c r="M160" s="301">
        <v>1450.0</v>
      </c>
      <c r="N160" s="284">
        <v>0.12</v>
      </c>
      <c r="O160" s="296">
        <v>1600.0</v>
      </c>
      <c r="P160" s="313">
        <f>MAX(O160:O161)</f>
        <v>1600</v>
      </c>
      <c r="Q160" s="303">
        <f>P160</f>
        <v>1600</v>
      </c>
      <c r="R160" s="299" t="s">
        <v>6469</v>
      </c>
      <c r="S160" s="300">
        <v>46140.557519050926</v>
      </c>
      <c r="T160" s="2"/>
      <c r="U160" s="289">
        <f t="shared" si="4"/>
        <v>150</v>
      </c>
      <c r="V160" s="304" t="str">
        <f t="shared" si="143"/>
        <v>нет з/ч</v>
      </c>
      <c r="W160" s="2"/>
      <c r="X160" s="289">
        <v>1450.0</v>
      </c>
      <c r="Y160" s="139"/>
      <c r="Z160" s="2"/>
      <c r="AA160" s="2" t="s">
        <v>6467</v>
      </c>
      <c r="AB160" s="2" t="s">
        <v>6467</v>
      </c>
      <c r="AC160" s="2"/>
      <c r="AD160" s="2" t="s">
        <v>6467</v>
      </c>
      <c r="AE160" s="3" t="s">
        <v>6466</v>
      </c>
      <c r="AF160" s="2"/>
      <c r="AG160" s="1" t="s">
        <v>1582</v>
      </c>
      <c r="AH160" s="1" t="s">
        <v>5898</v>
      </c>
      <c r="AI160" s="2">
        <v>90.0</v>
      </c>
      <c r="AJ160" s="1" t="s">
        <v>1589</v>
      </c>
      <c r="AK160" s="1" t="s">
        <v>5877</v>
      </c>
      <c r="AL160" s="1" t="s">
        <v>5878</v>
      </c>
      <c r="AM160" s="2"/>
      <c r="AN160" s="2"/>
      <c r="AO160" s="2"/>
      <c r="AP160" s="2"/>
      <c r="AQ160" s="2"/>
      <c r="AR160" s="2"/>
      <c r="AS160" s="2"/>
      <c r="AT160" s="2"/>
      <c r="AU160" s="126">
        <v>1450.0</v>
      </c>
      <c r="AV160" s="126">
        <v>1600.0</v>
      </c>
      <c r="AW160" s="2"/>
      <c r="AX160" s="2"/>
      <c r="AY160" s="2"/>
      <c r="AZ160" s="2"/>
      <c r="BA160" s="2"/>
      <c r="BB160" s="2"/>
      <c r="BC160" s="2"/>
      <c r="BD160" s="2"/>
      <c r="BE160" s="2"/>
    </row>
    <row r="161" hidden="1">
      <c r="A161" s="2"/>
      <c r="B161" s="312" t="s">
        <v>6470</v>
      </c>
      <c r="C161" s="220" t="s">
        <v>6471</v>
      </c>
      <c r="D161" s="11">
        <v>90.0</v>
      </c>
      <c r="E161" s="11" t="s">
        <v>90</v>
      </c>
      <c r="F161" s="11" t="s">
        <v>6423</v>
      </c>
      <c r="G161" s="295" t="s">
        <v>6472</v>
      </c>
      <c r="H161" s="296"/>
      <c r="I161" s="156">
        <v>1450.0</v>
      </c>
      <c r="J161" s="301"/>
      <c r="K161" s="296"/>
      <c r="L161" s="139"/>
      <c r="M161" s="301">
        <v>1450.0</v>
      </c>
      <c r="N161" s="284">
        <v>0.12</v>
      </c>
      <c r="O161" s="296">
        <v>1600.0</v>
      </c>
      <c r="P161" s="67"/>
      <c r="Q161" s="303">
        <f>P160</f>
        <v>1600</v>
      </c>
      <c r="R161" s="299" t="s">
        <v>6473</v>
      </c>
      <c r="S161" s="300">
        <v>46140.57071467592</v>
      </c>
      <c r="T161" s="2"/>
      <c r="U161" s="289">
        <f t="shared" si="4"/>
        <v>150</v>
      </c>
      <c r="V161" s="304" t="str">
        <f t="shared" si="143"/>
        <v>нет з/ч</v>
      </c>
      <c r="W161" s="2"/>
      <c r="X161" s="289">
        <v>1450.0</v>
      </c>
      <c r="Y161" s="139"/>
      <c r="Z161" s="2"/>
      <c r="AA161" s="2" t="s">
        <v>6471</v>
      </c>
      <c r="AB161" s="2" t="s">
        <v>6471</v>
      </c>
      <c r="AC161" s="2"/>
      <c r="AD161" s="2" t="s">
        <v>6471</v>
      </c>
      <c r="AE161" s="3" t="s">
        <v>6470</v>
      </c>
      <c r="AF161" s="2"/>
      <c r="AG161" s="1" t="s">
        <v>1582</v>
      </c>
      <c r="AH161" s="1" t="s">
        <v>5898</v>
      </c>
      <c r="AI161" s="2">
        <v>90.0</v>
      </c>
      <c r="AJ161" s="1" t="s">
        <v>1589</v>
      </c>
      <c r="AK161" s="1" t="s">
        <v>5877</v>
      </c>
      <c r="AL161" s="1" t="s">
        <v>5878</v>
      </c>
      <c r="AM161" s="2"/>
      <c r="AN161" s="2"/>
      <c r="AO161" s="2"/>
      <c r="AP161" s="2"/>
      <c r="AQ161" s="2"/>
      <c r="AR161" s="2"/>
      <c r="AS161" s="2"/>
      <c r="AT161" s="2"/>
      <c r="AU161" s="126">
        <v>1450.0</v>
      </c>
      <c r="AV161" s="126">
        <v>1600.0</v>
      </c>
      <c r="AW161" s="2"/>
      <c r="AX161" s="2"/>
      <c r="AY161" s="2"/>
      <c r="AZ161" s="2"/>
      <c r="BA161" s="2"/>
      <c r="BB161" s="2"/>
      <c r="BC161" s="2"/>
      <c r="BD161" s="2"/>
      <c r="BE161" s="2"/>
    </row>
    <row r="162" hidden="1">
      <c r="A162" s="2"/>
      <c r="B162" s="312" t="s">
        <v>6474</v>
      </c>
      <c r="C162" s="220" t="s">
        <v>6475</v>
      </c>
      <c r="D162" s="11">
        <v>90.0</v>
      </c>
      <c r="E162" s="11" t="s">
        <v>97</v>
      </c>
      <c r="F162" s="11" t="s">
        <v>6423</v>
      </c>
      <c r="G162" s="295" t="s">
        <v>6476</v>
      </c>
      <c r="H162" s="296"/>
      <c r="I162" s="156">
        <v>1950.0</v>
      </c>
      <c r="J162" s="301"/>
      <c r="K162" s="296"/>
      <c r="L162" s="139"/>
      <c r="M162" s="301">
        <v>1950.0</v>
      </c>
      <c r="N162" s="284">
        <v>0.15</v>
      </c>
      <c r="O162" s="296">
        <v>2250.0</v>
      </c>
      <c r="P162" s="313">
        <f>MAX(O162:O163)</f>
        <v>2250</v>
      </c>
      <c r="Q162" s="303">
        <f>P162</f>
        <v>2250</v>
      </c>
      <c r="R162" s="299" t="s">
        <v>6477</v>
      </c>
      <c r="S162" s="300">
        <v>46140.557606250004</v>
      </c>
      <c r="T162" s="2"/>
      <c r="U162" s="289">
        <f t="shared" si="4"/>
        <v>300</v>
      </c>
      <c r="V162" s="304" t="str">
        <f t="shared" ref="V162:V165" si="144">IF(L162&gt;0, Q1080 - L162, "нет з/ч")</f>
        <v>нет з/ч</v>
      </c>
      <c r="W162" s="2"/>
      <c r="X162" s="289">
        <v>1950.0</v>
      </c>
      <c r="Y162" s="139"/>
      <c r="Z162" s="2"/>
      <c r="AA162" s="2" t="s">
        <v>6475</v>
      </c>
      <c r="AB162" s="2" t="s">
        <v>6475</v>
      </c>
      <c r="AC162" s="2"/>
      <c r="AD162" s="2" t="s">
        <v>6475</v>
      </c>
      <c r="AE162" s="3" t="s">
        <v>6474</v>
      </c>
      <c r="AF162" s="2"/>
      <c r="AG162" s="1" t="s">
        <v>1582</v>
      </c>
      <c r="AH162" s="1" t="s">
        <v>5903</v>
      </c>
      <c r="AI162" s="2">
        <v>90.0</v>
      </c>
      <c r="AJ162" s="1" t="s">
        <v>1589</v>
      </c>
      <c r="AK162" s="1" t="s">
        <v>5877</v>
      </c>
      <c r="AL162" s="1" t="s">
        <v>5878</v>
      </c>
      <c r="AM162" s="2"/>
      <c r="AN162" s="2"/>
      <c r="AO162" s="2"/>
      <c r="AP162" s="2"/>
      <c r="AQ162" s="2"/>
      <c r="AR162" s="2"/>
      <c r="AS162" s="2"/>
      <c r="AT162" s="2"/>
      <c r="AU162" s="126">
        <v>1950.0</v>
      </c>
      <c r="AV162" s="126">
        <v>2250.0</v>
      </c>
      <c r="AW162" s="2"/>
      <c r="AX162" s="2"/>
      <c r="AY162" s="2"/>
      <c r="AZ162" s="2"/>
      <c r="BA162" s="2"/>
      <c r="BB162" s="2"/>
      <c r="BC162" s="2"/>
      <c r="BD162" s="2"/>
      <c r="BE162" s="2"/>
    </row>
    <row r="163" hidden="1">
      <c r="A163" s="2"/>
      <c r="B163" s="312" t="s">
        <v>6478</v>
      </c>
      <c r="C163" s="220" t="s">
        <v>6479</v>
      </c>
      <c r="D163" s="11">
        <v>90.0</v>
      </c>
      <c r="E163" s="11" t="s">
        <v>97</v>
      </c>
      <c r="F163" s="11" t="s">
        <v>6423</v>
      </c>
      <c r="G163" s="295" t="s">
        <v>6480</v>
      </c>
      <c r="H163" s="296"/>
      <c r="I163" s="156">
        <v>1950.0</v>
      </c>
      <c r="J163" s="301"/>
      <c r="K163" s="296"/>
      <c r="L163" s="139"/>
      <c r="M163" s="301">
        <v>1950.0</v>
      </c>
      <c r="N163" s="284">
        <v>0.15</v>
      </c>
      <c r="O163" s="296">
        <v>2250.0</v>
      </c>
      <c r="P163" s="67"/>
      <c r="Q163" s="303">
        <f>P162</f>
        <v>2250</v>
      </c>
      <c r="R163" s="299" t="s">
        <v>6481</v>
      </c>
      <c r="S163" s="300">
        <v>46140.55762827546</v>
      </c>
      <c r="T163" s="2"/>
      <c r="U163" s="289">
        <f t="shared" si="4"/>
        <v>300</v>
      </c>
      <c r="V163" s="304" t="str">
        <f t="shared" si="144"/>
        <v>нет з/ч</v>
      </c>
      <c r="W163" s="2"/>
      <c r="X163" s="289">
        <v>1950.0</v>
      </c>
      <c r="Y163" s="139"/>
      <c r="Z163" s="2"/>
      <c r="AA163" s="2" t="s">
        <v>6479</v>
      </c>
      <c r="AB163" s="2" t="s">
        <v>6479</v>
      </c>
      <c r="AC163" s="2"/>
      <c r="AD163" s="2" t="s">
        <v>6479</v>
      </c>
      <c r="AE163" s="3" t="s">
        <v>6478</v>
      </c>
      <c r="AF163" s="2"/>
      <c r="AG163" s="1" t="s">
        <v>1582</v>
      </c>
      <c r="AH163" s="1" t="s">
        <v>5903</v>
      </c>
      <c r="AI163" s="2">
        <v>90.0</v>
      </c>
      <c r="AJ163" s="1" t="s">
        <v>1589</v>
      </c>
      <c r="AK163" s="1" t="s">
        <v>5877</v>
      </c>
      <c r="AL163" s="1" t="s">
        <v>5878</v>
      </c>
      <c r="AM163" s="2"/>
      <c r="AN163" s="2"/>
      <c r="AO163" s="2"/>
      <c r="AP163" s="2"/>
      <c r="AQ163" s="2"/>
      <c r="AR163" s="2"/>
      <c r="AS163" s="2"/>
      <c r="AT163" s="2"/>
      <c r="AU163" s="126">
        <v>1950.0</v>
      </c>
      <c r="AV163" s="126">
        <v>2250.0</v>
      </c>
      <c r="AW163" s="2"/>
      <c r="AX163" s="2"/>
      <c r="AY163" s="2"/>
      <c r="AZ163" s="2"/>
      <c r="BA163" s="2"/>
      <c r="BB163" s="2"/>
      <c r="BC163" s="2"/>
      <c r="BD163" s="2"/>
      <c r="BE163" s="2"/>
    </row>
    <row r="164" hidden="1">
      <c r="A164" s="2"/>
      <c r="B164" s="312" t="s">
        <v>6482</v>
      </c>
      <c r="C164" s="220" t="s">
        <v>6483</v>
      </c>
      <c r="D164" s="11">
        <v>90.0</v>
      </c>
      <c r="E164" s="11" t="s">
        <v>97</v>
      </c>
      <c r="F164" s="11" t="s">
        <v>6423</v>
      </c>
      <c r="G164" s="295" t="s">
        <v>6484</v>
      </c>
      <c r="H164" s="296"/>
      <c r="I164" s="156">
        <v>1300.0</v>
      </c>
      <c r="J164" s="301"/>
      <c r="K164" s="296"/>
      <c r="L164" s="139"/>
      <c r="M164" s="301">
        <v>1300.0</v>
      </c>
      <c r="N164" s="284">
        <v>0.23</v>
      </c>
      <c r="O164" s="296">
        <v>1600.0</v>
      </c>
      <c r="P164" s="313">
        <f>MAX(O164:O165)</f>
        <v>1600</v>
      </c>
      <c r="Q164" s="303">
        <f>P164</f>
        <v>1600</v>
      </c>
      <c r="R164" s="299" t="s">
        <v>6485</v>
      </c>
      <c r="S164" s="300">
        <v>46140.557651967596</v>
      </c>
      <c r="T164" s="2"/>
      <c r="U164" s="289">
        <f t="shared" si="4"/>
        <v>300</v>
      </c>
      <c r="V164" s="304" t="str">
        <f t="shared" si="144"/>
        <v>нет з/ч</v>
      </c>
      <c r="W164" s="2"/>
      <c r="X164" s="289">
        <v>1300.0</v>
      </c>
      <c r="Y164" s="139"/>
      <c r="Z164" s="2"/>
      <c r="AA164" s="2" t="s">
        <v>6483</v>
      </c>
      <c r="AB164" s="2" t="s">
        <v>6483</v>
      </c>
      <c r="AC164" s="2"/>
      <c r="AD164" s="2" t="s">
        <v>6483</v>
      </c>
      <c r="AE164" s="3" t="s">
        <v>6482</v>
      </c>
      <c r="AF164" s="2"/>
      <c r="AG164" s="1" t="s">
        <v>1582</v>
      </c>
      <c r="AH164" s="1" t="s">
        <v>5903</v>
      </c>
      <c r="AI164" s="2">
        <v>90.0</v>
      </c>
      <c r="AJ164" s="1" t="s">
        <v>1589</v>
      </c>
      <c r="AK164" s="1" t="s">
        <v>5877</v>
      </c>
      <c r="AL164" s="1" t="s">
        <v>5878</v>
      </c>
      <c r="AM164" s="2"/>
      <c r="AN164" s="2"/>
      <c r="AO164" s="2"/>
      <c r="AP164" s="2"/>
      <c r="AQ164" s="2"/>
      <c r="AR164" s="2"/>
      <c r="AS164" s="2"/>
      <c r="AT164" s="2"/>
      <c r="AU164" s="126">
        <v>1300.0</v>
      </c>
      <c r="AV164" s="126">
        <v>1600.0</v>
      </c>
      <c r="AW164" s="2"/>
      <c r="AX164" s="2"/>
      <c r="AY164" s="2"/>
      <c r="AZ164" s="2"/>
      <c r="BA164" s="2"/>
      <c r="BB164" s="2"/>
      <c r="BC164" s="2"/>
      <c r="BD164" s="2"/>
      <c r="BE164" s="2"/>
    </row>
    <row r="165" hidden="1">
      <c r="A165" s="2"/>
      <c r="B165" s="312" t="s">
        <v>6486</v>
      </c>
      <c r="C165" s="220" t="s">
        <v>6487</v>
      </c>
      <c r="D165" s="11">
        <v>90.0</v>
      </c>
      <c r="E165" s="11" t="s">
        <v>97</v>
      </c>
      <c r="F165" s="11" t="s">
        <v>6423</v>
      </c>
      <c r="G165" s="295" t="s">
        <v>6488</v>
      </c>
      <c r="H165" s="296"/>
      <c r="I165" s="156">
        <v>1290.0</v>
      </c>
      <c r="J165" s="301"/>
      <c r="K165" s="296"/>
      <c r="L165" s="139"/>
      <c r="M165" s="301">
        <v>1290.0</v>
      </c>
      <c r="N165" s="284">
        <v>0.23</v>
      </c>
      <c r="O165" s="296">
        <v>1600.0</v>
      </c>
      <c r="P165" s="67"/>
      <c r="Q165" s="303">
        <f>P164</f>
        <v>1600</v>
      </c>
      <c r="R165" s="299" t="s">
        <v>6489</v>
      </c>
      <c r="S165" s="300">
        <v>46140.55768240741</v>
      </c>
      <c r="T165" s="2"/>
      <c r="U165" s="289">
        <f t="shared" si="4"/>
        <v>310</v>
      </c>
      <c r="V165" s="304" t="str">
        <f t="shared" si="144"/>
        <v>нет з/ч</v>
      </c>
      <c r="W165" s="2"/>
      <c r="X165" s="289">
        <v>1290.0</v>
      </c>
      <c r="Y165" s="139"/>
      <c r="Z165" s="2"/>
      <c r="AA165" s="2" t="s">
        <v>6487</v>
      </c>
      <c r="AB165" s="2" t="s">
        <v>6487</v>
      </c>
      <c r="AC165" s="2"/>
      <c r="AD165" s="2" t="s">
        <v>6487</v>
      </c>
      <c r="AE165" s="3" t="s">
        <v>6486</v>
      </c>
      <c r="AF165" s="2"/>
      <c r="AG165" s="1" t="s">
        <v>1582</v>
      </c>
      <c r="AH165" s="1" t="s">
        <v>5903</v>
      </c>
      <c r="AI165" s="2">
        <v>90.0</v>
      </c>
      <c r="AJ165" s="1" t="s">
        <v>1589</v>
      </c>
      <c r="AK165" s="1" t="s">
        <v>5877</v>
      </c>
      <c r="AL165" s="1" t="s">
        <v>5878</v>
      </c>
      <c r="AM165" s="2"/>
      <c r="AN165" s="2"/>
      <c r="AO165" s="2"/>
      <c r="AP165" s="2"/>
      <c r="AQ165" s="2"/>
      <c r="AR165" s="2"/>
      <c r="AS165" s="2"/>
      <c r="AT165" s="2"/>
      <c r="AU165" s="126">
        <v>1290.0</v>
      </c>
      <c r="AV165" s="126">
        <v>1600.0</v>
      </c>
      <c r="AW165" s="2"/>
      <c r="AX165" s="2"/>
      <c r="AY165" s="2"/>
      <c r="AZ165" s="2"/>
      <c r="BA165" s="2"/>
      <c r="BB165" s="2"/>
      <c r="BC165" s="2"/>
      <c r="BD165" s="2"/>
      <c r="BE165" s="2"/>
    </row>
    <row r="166" hidden="1">
      <c r="A166" s="2"/>
      <c r="B166" s="312" t="s">
        <v>6490</v>
      </c>
      <c r="C166" s="220" t="s">
        <v>6491</v>
      </c>
      <c r="D166" s="11">
        <v>90.0</v>
      </c>
      <c r="E166" s="11" t="s">
        <v>104</v>
      </c>
      <c r="F166" s="11" t="s">
        <v>6423</v>
      </c>
      <c r="G166" s="295" t="s">
        <v>6492</v>
      </c>
      <c r="H166" s="296"/>
      <c r="I166" s="156">
        <v>2850.0</v>
      </c>
      <c r="J166" s="301"/>
      <c r="K166" s="296"/>
      <c r="L166" s="139"/>
      <c r="M166" s="301">
        <v>2850.0</v>
      </c>
      <c r="N166" s="284">
        <v>0.12</v>
      </c>
      <c r="O166" s="296">
        <v>3200.0</v>
      </c>
      <c r="P166" s="313">
        <f>MAX(O166:O167)</f>
        <v>3200</v>
      </c>
      <c r="Q166" s="303">
        <f>P166</f>
        <v>3200</v>
      </c>
      <c r="R166" s="299" t="s">
        <v>6493</v>
      </c>
      <c r="S166" s="300">
        <v>46140.55775365741</v>
      </c>
      <c r="T166" s="2"/>
      <c r="U166" s="289">
        <f t="shared" si="4"/>
        <v>350</v>
      </c>
      <c r="V166" s="304" t="str">
        <f t="shared" ref="V166:V169" si="145">IF(L166&gt;0, Q1087 - L166, "нет з/ч")</f>
        <v>нет з/ч</v>
      </c>
      <c r="W166" s="2"/>
      <c r="X166" s="289">
        <v>2850.0</v>
      </c>
      <c r="Y166" s="139"/>
      <c r="Z166" s="2"/>
      <c r="AA166" s="2" t="s">
        <v>6491</v>
      </c>
      <c r="AB166" s="2" t="s">
        <v>6491</v>
      </c>
      <c r="AC166" s="2"/>
      <c r="AD166" s="2" t="s">
        <v>6491</v>
      </c>
      <c r="AE166" s="3" t="s">
        <v>6490</v>
      </c>
      <c r="AF166" s="2"/>
      <c r="AG166" s="1" t="s">
        <v>1582</v>
      </c>
      <c r="AH166" s="1" t="s">
        <v>5908</v>
      </c>
      <c r="AI166" s="2">
        <v>90.0</v>
      </c>
      <c r="AJ166" s="1" t="s">
        <v>1589</v>
      </c>
      <c r="AK166" s="1" t="s">
        <v>5877</v>
      </c>
      <c r="AL166" s="1" t="s">
        <v>5878</v>
      </c>
      <c r="AM166" s="2"/>
      <c r="AN166" s="2"/>
      <c r="AO166" s="2"/>
      <c r="AP166" s="2"/>
      <c r="AQ166" s="2"/>
      <c r="AR166" s="2"/>
      <c r="AS166" s="2"/>
      <c r="AT166" s="2"/>
      <c r="AU166" s="126">
        <v>2850.0</v>
      </c>
      <c r="AV166" s="126">
        <v>3200.0</v>
      </c>
      <c r="AW166" s="2"/>
      <c r="AX166" s="2"/>
      <c r="AY166" s="2"/>
      <c r="AZ166" s="2"/>
      <c r="BA166" s="2"/>
      <c r="BB166" s="2"/>
      <c r="BC166" s="2"/>
      <c r="BD166" s="2"/>
      <c r="BE166" s="2"/>
    </row>
    <row r="167" hidden="1">
      <c r="A167" s="2"/>
      <c r="B167" s="312" t="s">
        <v>6494</v>
      </c>
      <c r="C167" s="220" t="s">
        <v>6495</v>
      </c>
      <c r="D167" s="11">
        <v>90.0</v>
      </c>
      <c r="E167" s="11" t="s">
        <v>104</v>
      </c>
      <c r="F167" s="11" t="s">
        <v>6423</v>
      </c>
      <c r="G167" s="295" t="s">
        <v>6496</v>
      </c>
      <c r="H167" s="296"/>
      <c r="I167" s="156">
        <v>2850.0</v>
      </c>
      <c r="J167" s="301"/>
      <c r="K167" s="296"/>
      <c r="L167" s="139"/>
      <c r="M167" s="301">
        <v>2850.0</v>
      </c>
      <c r="N167" s="284">
        <v>0.12</v>
      </c>
      <c r="O167" s="296">
        <v>3200.0</v>
      </c>
      <c r="P167" s="67"/>
      <c r="Q167" s="303">
        <f>P166</f>
        <v>3200</v>
      </c>
      <c r="R167" s="299" t="s">
        <v>6497</v>
      </c>
      <c r="S167" s="300">
        <v>46140.55777884259</v>
      </c>
      <c r="T167" s="2"/>
      <c r="U167" s="289">
        <f t="shared" si="4"/>
        <v>350</v>
      </c>
      <c r="V167" s="304" t="str">
        <f t="shared" si="145"/>
        <v>нет з/ч</v>
      </c>
      <c r="W167" s="2"/>
      <c r="X167" s="289">
        <v>2850.0</v>
      </c>
      <c r="Y167" s="139"/>
      <c r="Z167" s="2"/>
      <c r="AA167" s="2" t="s">
        <v>6495</v>
      </c>
      <c r="AB167" s="2" t="s">
        <v>6495</v>
      </c>
      <c r="AC167" s="2"/>
      <c r="AD167" s="2" t="s">
        <v>6495</v>
      </c>
      <c r="AE167" s="3" t="s">
        <v>6494</v>
      </c>
      <c r="AF167" s="2"/>
      <c r="AG167" s="1" t="s">
        <v>1582</v>
      </c>
      <c r="AH167" s="1" t="s">
        <v>5908</v>
      </c>
      <c r="AI167" s="2">
        <v>90.0</v>
      </c>
      <c r="AJ167" s="1" t="s">
        <v>1589</v>
      </c>
      <c r="AK167" s="1" t="s">
        <v>5877</v>
      </c>
      <c r="AL167" s="1" t="s">
        <v>5878</v>
      </c>
      <c r="AM167" s="2"/>
      <c r="AN167" s="2"/>
      <c r="AO167" s="2"/>
      <c r="AP167" s="2"/>
      <c r="AQ167" s="2"/>
      <c r="AR167" s="2"/>
      <c r="AS167" s="2"/>
      <c r="AT167" s="2"/>
      <c r="AU167" s="126">
        <v>2850.0</v>
      </c>
      <c r="AV167" s="126">
        <v>3200.0</v>
      </c>
      <c r="AW167" s="2"/>
      <c r="AX167" s="2"/>
      <c r="AY167" s="2"/>
      <c r="AZ167" s="2"/>
      <c r="BA167" s="2"/>
      <c r="BB167" s="2"/>
      <c r="BC167" s="2"/>
      <c r="BD167" s="2"/>
      <c r="BE167" s="2"/>
    </row>
    <row r="168" hidden="1">
      <c r="A168" s="2"/>
      <c r="B168" s="312" t="s">
        <v>6498</v>
      </c>
      <c r="C168" s="220" t="s">
        <v>6499</v>
      </c>
      <c r="D168" s="11">
        <v>90.0</v>
      </c>
      <c r="E168" s="11" t="s">
        <v>104</v>
      </c>
      <c r="F168" s="11" t="s">
        <v>6423</v>
      </c>
      <c r="G168" s="295" t="s">
        <v>6500</v>
      </c>
      <c r="H168" s="296"/>
      <c r="I168" s="156">
        <v>2050.0</v>
      </c>
      <c r="J168" s="301"/>
      <c r="K168" s="296"/>
      <c r="L168" s="139"/>
      <c r="M168" s="301">
        <v>2050.0</v>
      </c>
      <c r="N168" s="284">
        <v>0.12</v>
      </c>
      <c r="O168" s="296">
        <v>2300.0</v>
      </c>
      <c r="P168" s="313">
        <f>MAX(O168:O169)</f>
        <v>2600</v>
      </c>
      <c r="Q168" s="303">
        <f>P168</f>
        <v>2600</v>
      </c>
      <c r="R168" s="299" t="s">
        <v>6501</v>
      </c>
      <c r="S168" s="300">
        <v>46140.557806956014</v>
      </c>
      <c r="T168" s="2"/>
      <c r="U168" s="289">
        <f t="shared" si="4"/>
        <v>550</v>
      </c>
      <c r="V168" s="304" t="str">
        <f t="shared" si="145"/>
        <v>нет з/ч</v>
      </c>
      <c r="W168" s="2"/>
      <c r="X168" s="289">
        <v>2050.0</v>
      </c>
      <c r="Y168" s="139"/>
      <c r="Z168" s="2"/>
      <c r="AA168" s="2" t="s">
        <v>6499</v>
      </c>
      <c r="AB168" s="2" t="s">
        <v>6499</v>
      </c>
      <c r="AC168" s="2"/>
      <c r="AD168" s="2" t="s">
        <v>6499</v>
      </c>
      <c r="AE168" s="3" t="s">
        <v>6498</v>
      </c>
      <c r="AF168" s="2"/>
      <c r="AG168" s="1" t="s">
        <v>1582</v>
      </c>
      <c r="AH168" s="1" t="s">
        <v>5908</v>
      </c>
      <c r="AI168" s="2">
        <v>90.0</v>
      </c>
      <c r="AJ168" s="1" t="s">
        <v>1589</v>
      </c>
      <c r="AK168" s="1" t="s">
        <v>5877</v>
      </c>
      <c r="AL168" s="1" t="s">
        <v>5878</v>
      </c>
      <c r="AM168" s="2"/>
      <c r="AN168" s="2"/>
      <c r="AO168" s="2"/>
      <c r="AP168" s="2"/>
      <c r="AQ168" s="2"/>
      <c r="AR168" s="2"/>
      <c r="AS168" s="2"/>
      <c r="AT168" s="2"/>
      <c r="AU168" s="126">
        <v>2050.0</v>
      </c>
      <c r="AV168" s="126">
        <v>2600.0</v>
      </c>
      <c r="AW168" s="2"/>
      <c r="AX168" s="2"/>
      <c r="AY168" s="2"/>
      <c r="AZ168" s="2"/>
      <c r="BA168" s="2"/>
      <c r="BB168" s="2"/>
      <c r="BC168" s="2"/>
      <c r="BD168" s="2"/>
      <c r="BE168" s="2"/>
    </row>
    <row r="169" hidden="1">
      <c r="A169" s="2"/>
      <c r="B169" s="312" t="s">
        <v>6502</v>
      </c>
      <c r="C169" s="220" t="s">
        <v>6503</v>
      </c>
      <c r="D169" s="11">
        <v>90.0</v>
      </c>
      <c r="E169" s="11" t="s">
        <v>104</v>
      </c>
      <c r="F169" s="11" t="s">
        <v>6423</v>
      </c>
      <c r="G169" s="295" t="s">
        <v>6504</v>
      </c>
      <c r="H169" s="296"/>
      <c r="I169" s="156">
        <v>2300.0</v>
      </c>
      <c r="J169" s="301"/>
      <c r="K169" s="296"/>
      <c r="L169" s="139"/>
      <c r="M169" s="301">
        <v>2300.0</v>
      </c>
      <c r="N169" s="284">
        <v>0.12</v>
      </c>
      <c r="O169" s="296">
        <v>2600.0</v>
      </c>
      <c r="P169" s="67"/>
      <c r="Q169" s="303">
        <f>P168</f>
        <v>2600</v>
      </c>
      <c r="R169" s="299" t="s">
        <v>6505</v>
      </c>
      <c r="S169" s="300">
        <v>46140.557829178244</v>
      </c>
      <c r="T169" s="2"/>
      <c r="U169" s="289">
        <f t="shared" si="4"/>
        <v>300</v>
      </c>
      <c r="V169" s="304" t="str">
        <f t="shared" si="145"/>
        <v>нет з/ч</v>
      </c>
      <c r="W169" s="2"/>
      <c r="X169" s="289">
        <v>2300.0</v>
      </c>
      <c r="Y169" s="139"/>
      <c r="Z169" s="2"/>
      <c r="AA169" s="2" t="s">
        <v>6503</v>
      </c>
      <c r="AB169" s="2" t="s">
        <v>6503</v>
      </c>
      <c r="AC169" s="2"/>
      <c r="AD169" s="2" t="s">
        <v>6503</v>
      </c>
      <c r="AE169" s="3" t="s">
        <v>6502</v>
      </c>
      <c r="AF169" s="2"/>
      <c r="AG169" s="1" t="s">
        <v>1582</v>
      </c>
      <c r="AH169" s="1" t="s">
        <v>5908</v>
      </c>
      <c r="AI169" s="2">
        <v>90.0</v>
      </c>
      <c r="AJ169" s="1" t="s">
        <v>1589</v>
      </c>
      <c r="AK169" s="1" t="s">
        <v>5877</v>
      </c>
      <c r="AL169" s="1" t="s">
        <v>5878</v>
      </c>
      <c r="AM169" s="2"/>
      <c r="AN169" s="2"/>
      <c r="AO169" s="2"/>
      <c r="AP169" s="2"/>
      <c r="AQ169" s="2"/>
      <c r="AR169" s="2"/>
      <c r="AS169" s="2"/>
      <c r="AT169" s="2"/>
      <c r="AU169" s="126">
        <v>2300.0</v>
      </c>
      <c r="AV169" s="126">
        <v>2600.0</v>
      </c>
      <c r="AW169" s="2"/>
      <c r="AX169" s="2"/>
      <c r="AY169" s="2"/>
      <c r="AZ169" s="2"/>
      <c r="BA169" s="2"/>
      <c r="BB169" s="2"/>
      <c r="BC169" s="2"/>
      <c r="BD169" s="2"/>
      <c r="BE169" s="2"/>
    </row>
    <row r="170" hidden="1">
      <c r="A170" s="2"/>
      <c r="B170" s="312" t="s">
        <v>6506</v>
      </c>
      <c r="C170" s="220" t="s">
        <v>6507</v>
      </c>
      <c r="D170" s="11">
        <v>90.0</v>
      </c>
      <c r="E170" s="11" t="s">
        <v>111</v>
      </c>
      <c r="F170" s="11" t="s">
        <v>6423</v>
      </c>
      <c r="G170" s="295" t="s">
        <v>6508</v>
      </c>
      <c r="H170" s="296"/>
      <c r="I170" s="156">
        <v>1500.0</v>
      </c>
      <c r="J170" s="301"/>
      <c r="K170" s="296"/>
      <c r="L170" s="139"/>
      <c r="M170" s="301">
        <v>1500.0</v>
      </c>
      <c r="N170" s="284">
        <v>0.12</v>
      </c>
      <c r="O170" s="296">
        <v>1700.0</v>
      </c>
      <c r="P170" s="313">
        <f>MAX(O170:O171)</f>
        <v>1700</v>
      </c>
      <c r="Q170" s="303">
        <f>P170</f>
        <v>1700</v>
      </c>
      <c r="R170" s="299" t="s">
        <v>6509</v>
      </c>
      <c r="S170" s="300">
        <v>46140.557911006945</v>
      </c>
      <c r="T170" s="2"/>
      <c r="U170" s="289">
        <f t="shared" si="4"/>
        <v>200</v>
      </c>
      <c r="V170" s="304" t="str">
        <f t="shared" ref="V170:V173" si="146">IF(L170&gt;0, Q1093 - L170, "нет з/ч")</f>
        <v>нет з/ч</v>
      </c>
      <c r="W170" s="2"/>
      <c r="X170" s="289">
        <v>1500.0</v>
      </c>
      <c r="Y170" s="139"/>
      <c r="Z170" s="2"/>
      <c r="AA170" s="2" t="s">
        <v>6507</v>
      </c>
      <c r="AB170" s="2" t="s">
        <v>6507</v>
      </c>
      <c r="AC170" s="2"/>
      <c r="AD170" s="2" t="s">
        <v>6507</v>
      </c>
      <c r="AE170" s="3" t="s">
        <v>6506</v>
      </c>
      <c r="AF170" s="2"/>
      <c r="AG170" s="1" t="s">
        <v>1582</v>
      </c>
      <c r="AH170" s="1" t="s">
        <v>5913</v>
      </c>
      <c r="AI170" s="2">
        <v>90.0</v>
      </c>
      <c r="AJ170" s="1" t="s">
        <v>1589</v>
      </c>
      <c r="AK170" s="1" t="s">
        <v>5877</v>
      </c>
      <c r="AL170" s="1" t="s">
        <v>5878</v>
      </c>
      <c r="AM170" s="2"/>
      <c r="AN170" s="2"/>
      <c r="AO170" s="2"/>
      <c r="AP170" s="2"/>
      <c r="AQ170" s="2"/>
      <c r="AR170" s="2"/>
      <c r="AS170" s="2"/>
      <c r="AT170" s="2"/>
      <c r="AU170" s="126">
        <v>1500.0</v>
      </c>
      <c r="AV170" s="126">
        <v>1700.0</v>
      </c>
      <c r="AW170" s="2"/>
      <c r="AX170" s="2"/>
      <c r="AY170" s="2"/>
      <c r="AZ170" s="2"/>
      <c r="BA170" s="2"/>
      <c r="BB170" s="2"/>
      <c r="BC170" s="2"/>
      <c r="BD170" s="2"/>
      <c r="BE170" s="2"/>
    </row>
    <row r="171" hidden="1">
      <c r="A171" s="2"/>
      <c r="B171" s="312" t="s">
        <v>6510</v>
      </c>
      <c r="C171" s="220" t="s">
        <v>6511</v>
      </c>
      <c r="D171" s="11">
        <v>90.0</v>
      </c>
      <c r="E171" s="11" t="s">
        <v>111</v>
      </c>
      <c r="F171" s="11" t="s">
        <v>6423</v>
      </c>
      <c r="G171" s="295" t="s">
        <v>6512</v>
      </c>
      <c r="H171" s="296"/>
      <c r="I171" s="156">
        <v>1500.0</v>
      </c>
      <c r="J171" s="301"/>
      <c r="K171" s="296"/>
      <c r="L171" s="139"/>
      <c r="M171" s="301">
        <v>1500.0</v>
      </c>
      <c r="N171" s="284">
        <v>0.12</v>
      </c>
      <c r="O171" s="296">
        <v>1700.0</v>
      </c>
      <c r="P171" s="67"/>
      <c r="Q171" s="303">
        <f>P170</f>
        <v>1700</v>
      </c>
      <c r="R171" s="299" t="s">
        <v>6513</v>
      </c>
      <c r="S171" s="300">
        <v>46140.55793284722</v>
      </c>
      <c r="T171" s="2"/>
      <c r="U171" s="289">
        <f t="shared" si="4"/>
        <v>200</v>
      </c>
      <c r="V171" s="304" t="str">
        <f t="shared" si="146"/>
        <v>нет з/ч</v>
      </c>
      <c r="W171" s="2"/>
      <c r="X171" s="289">
        <v>1500.0</v>
      </c>
      <c r="Y171" s="139"/>
      <c r="Z171" s="2"/>
      <c r="AA171" s="2" t="s">
        <v>6511</v>
      </c>
      <c r="AB171" s="2" t="s">
        <v>6511</v>
      </c>
      <c r="AC171" s="2"/>
      <c r="AD171" s="2" t="s">
        <v>6511</v>
      </c>
      <c r="AE171" s="3" t="s">
        <v>6510</v>
      </c>
      <c r="AF171" s="2"/>
      <c r="AG171" s="1" t="s">
        <v>1582</v>
      </c>
      <c r="AH171" s="1" t="s">
        <v>5913</v>
      </c>
      <c r="AI171" s="2">
        <v>90.0</v>
      </c>
      <c r="AJ171" s="1" t="s">
        <v>1589</v>
      </c>
      <c r="AK171" s="1" t="s">
        <v>5877</v>
      </c>
      <c r="AL171" s="1" t="s">
        <v>5878</v>
      </c>
      <c r="AM171" s="2"/>
      <c r="AN171" s="2"/>
      <c r="AO171" s="2"/>
      <c r="AP171" s="2"/>
      <c r="AQ171" s="2"/>
      <c r="AR171" s="2"/>
      <c r="AS171" s="2"/>
      <c r="AT171" s="2"/>
      <c r="AU171" s="126">
        <v>1500.0</v>
      </c>
      <c r="AV171" s="126">
        <v>1700.0</v>
      </c>
      <c r="AW171" s="2"/>
      <c r="AX171" s="2"/>
      <c r="AY171" s="2"/>
      <c r="AZ171" s="2"/>
      <c r="BA171" s="2"/>
      <c r="BB171" s="2"/>
      <c r="BC171" s="2"/>
      <c r="BD171" s="2"/>
      <c r="BE171" s="2"/>
    </row>
    <row r="172" hidden="1">
      <c r="A172" s="2"/>
      <c r="B172" s="312" t="s">
        <v>6514</v>
      </c>
      <c r="C172" s="220" t="s">
        <v>6515</v>
      </c>
      <c r="D172" s="11">
        <v>90.0</v>
      </c>
      <c r="E172" s="11" t="s">
        <v>111</v>
      </c>
      <c r="F172" s="11" t="s">
        <v>6423</v>
      </c>
      <c r="G172" s="295" t="s">
        <v>6516</v>
      </c>
      <c r="H172" s="296"/>
      <c r="I172" s="156">
        <v>1100.0</v>
      </c>
      <c r="J172" s="301"/>
      <c r="K172" s="296"/>
      <c r="L172" s="139"/>
      <c r="M172" s="301">
        <v>1100.0</v>
      </c>
      <c r="N172" s="284">
        <v>0.12</v>
      </c>
      <c r="O172" s="296">
        <v>1250.0</v>
      </c>
      <c r="P172" s="313">
        <f>MAX(O172:O173)</f>
        <v>1250</v>
      </c>
      <c r="Q172" s="303">
        <f>P172</f>
        <v>1250</v>
      </c>
      <c r="R172" s="299" t="s">
        <v>6517</v>
      </c>
      <c r="S172" s="300">
        <v>46140.55795523148</v>
      </c>
      <c r="T172" s="2"/>
      <c r="U172" s="289">
        <f t="shared" si="4"/>
        <v>150</v>
      </c>
      <c r="V172" s="304" t="str">
        <f t="shared" si="146"/>
        <v>нет з/ч</v>
      </c>
      <c r="W172" s="2"/>
      <c r="X172" s="289">
        <v>1100.0</v>
      </c>
      <c r="Y172" s="139"/>
      <c r="Z172" s="2"/>
      <c r="AA172" s="2" t="s">
        <v>6515</v>
      </c>
      <c r="AB172" s="2" t="s">
        <v>6515</v>
      </c>
      <c r="AC172" s="2"/>
      <c r="AD172" s="2" t="s">
        <v>6515</v>
      </c>
      <c r="AE172" s="3" t="s">
        <v>6514</v>
      </c>
      <c r="AF172" s="2"/>
      <c r="AG172" s="1" t="s">
        <v>1582</v>
      </c>
      <c r="AH172" s="1" t="s">
        <v>5913</v>
      </c>
      <c r="AI172" s="2">
        <v>90.0</v>
      </c>
      <c r="AJ172" s="1" t="s">
        <v>1589</v>
      </c>
      <c r="AK172" s="1" t="s">
        <v>5877</v>
      </c>
      <c r="AL172" s="1" t="s">
        <v>5878</v>
      </c>
      <c r="AM172" s="2"/>
      <c r="AN172" s="2"/>
      <c r="AO172" s="2"/>
      <c r="AP172" s="2"/>
      <c r="AQ172" s="2"/>
      <c r="AR172" s="2"/>
      <c r="AS172" s="2"/>
      <c r="AT172" s="2"/>
      <c r="AU172" s="126">
        <v>1100.0</v>
      </c>
      <c r="AV172" s="126">
        <v>1250.0</v>
      </c>
      <c r="AW172" s="2"/>
      <c r="AX172" s="2"/>
      <c r="AY172" s="2"/>
      <c r="AZ172" s="2"/>
      <c r="BA172" s="2"/>
      <c r="BB172" s="2"/>
      <c r="BC172" s="2"/>
      <c r="BD172" s="2"/>
      <c r="BE172" s="2"/>
    </row>
    <row r="173" hidden="1">
      <c r="A173" s="2"/>
      <c r="B173" s="312" t="s">
        <v>6518</v>
      </c>
      <c r="C173" s="220" t="s">
        <v>6519</v>
      </c>
      <c r="D173" s="11">
        <v>90.0</v>
      </c>
      <c r="E173" s="11" t="s">
        <v>111</v>
      </c>
      <c r="F173" s="11" t="s">
        <v>6423</v>
      </c>
      <c r="G173" s="295" t="s">
        <v>6520</v>
      </c>
      <c r="H173" s="296"/>
      <c r="I173" s="156">
        <v>1100.0</v>
      </c>
      <c r="J173" s="301"/>
      <c r="K173" s="296"/>
      <c r="L173" s="139"/>
      <c r="M173" s="301">
        <v>1100.0</v>
      </c>
      <c r="N173" s="284">
        <v>0.12</v>
      </c>
      <c r="O173" s="296">
        <v>1250.0</v>
      </c>
      <c r="P173" s="67"/>
      <c r="Q173" s="303">
        <f>P172</f>
        <v>1250</v>
      </c>
      <c r="R173" s="299" t="s">
        <v>6521</v>
      </c>
      <c r="S173" s="300">
        <v>46140.55797746527</v>
      </c>
      <c r="T173" s="2"/>
      <c r="U173" s="289">
        <f t="shared" si="4"/>
        <v>150</v>
      </c>
      <c r="V173" s="304" t="str">
        <f t="shared" si="146"/>
        <v>нет з/ч</v>
      </c>
      <c r="W173" s="2"/>
      <c r="X173" s="289">
        <v>1100.0</v>
      </c>
      <c r="Y173" s="139"/>
      <c r="Z173" s="2"/>
      <c r="AA173" s="2" t="s">
        <v>6519</v>
      </c>
      <c r="AB173" s="2" t="s">
        <v>6519</v>
      </c>
      <c r="AC173" s="2"/>
      <c r="AD173" s="2" t="s">
        <v>6519</v>
      </c>
      <c r="AE173" s="3" t="s">
        <v>6518</v>
      </c>
      <c r="AF173" s="2"/>
      <c r="AG173" s="1" t="s">
        <v>1582</v>
      </c>
      <c r="AH173" s="1" t="s">
        <v>5913</v>
      </c>
      <c r="AI173" s="2">
        <v>90.0</v>
      </c>
      <c r="AJ173" s="1" t="s">
        <v>1589</v>
      </c>
      <c r="AK173" s="1" t="s">
        <v>5877</v>
      </c>
      <c r="AL173" s="1" t="s">
        <v>5878</v>
      </c>
      <c r="AM173" s="2"/>
      <c r="AN173" s="2"/>
      <c r="AO173" s="2"/>
      <c r="AP173" s="2"/>
      <c r="AQ173" s="2"/>
      <c r="AR173" s="2"/>
      <c r="AS173" s="2"/>
      <c r="AT173" s="2"/>
      <c r="AU173" s="126">
        <v>1100.0</v>
      </c>
      <c r="AV173" s="126">
        <v>1250.0</v>
      </c>
      <c r="AW173" s="2"/>
      <c r="AX173" s="2"/>
      <c r="AY173" s="2"/>
      <c r="AZ173" s="2"/>
      <c r="BA173" s="2"/>
      <c r="BB173" s="2"/>
      <c r="BC173" s="2"/>
      <c r="BD173" s="2"/>
      <c r="BE173" s="2"/>
    </row>
    <row r="174" hidden="1">
      <c r="A174" s="2"/>
      <c r="B174" s="312" t="s">
        <v>6522</v>
      </c>
      <c r="C174" s="220" t="s">
        <v>6523</v>
      </c>
      <c r="D174" s="11">
        <v>90.0</v>
      </c>
      <c r="E174" s="11" t="s">
        <v>118</v>
      </c>
      <c r="F174" s="11" t="s">
        <v>6423</v>
      </c>
      <c r="G174" s="295" t="s">
        <v>6524</v>
      </c>
      <c r="H174" s="296"/>
      <c r="I174" s="156">
        <v>2500.0</v>
      </c>
      <c r="J174" s="301"/>
      <c r="K174" s="296"/>
      <c r="L174" s="139"/>
      <c r="M174" s="301">
        <v>2500.0</v>
      </c>
      <c r="N174" s="284">
        <v>0.28</v>
      </c>
      <c r="O174" s="296">
        <v>3200.0</v>
      </c>
      <c r="P174" s="313">
        <f>MAX(O174:O175)</f>
        <v>3200</v>
      </c>
      <c r="Q174" s="303">
        <f>P174</f>
        <v>3200</v>
      </c>
      <c r="R174" s="299" t="s">
        <v>6525</v>
      </c>
      <c r="S174" s="300">
        <v>46140.558044942125</v>
      </c>
      <c r="T174" s="2"/>
      <c r="U174" s="289">
        <f t="shared" si="4"/>
        <v>700</v>
      </c>
      <c r="V174" s="304" t="str">
        <f t="shared" ref="V174:V177" si="147">IF(L174&gt;0, Q1099 - L174, "нет з/ч")</f>
        <v>нет з/ч</v>
      </c>
      <c r="W174" s="2"/>
      <c r="X174" s="289">
        <v>2500.0</v>
      </c>
      <c r="Y174" s="139"/>
      <c r="Z174" s="2"/>
      <c r="AA174" s="2" t="s">
        <v>6523</v>
      </c>
      <c r="AB174" s="2" t="s">
        <v>6523</v>
      </c>
      <c r="AC174" s="2"/>
      <c r="AD174" s="2" t="s">
        <v>6523</v>
      </c>
      <c r="AE174" s="3" t="s">
        <v>6522</v>
      </c>
      <c r="AF174" s="2"/>
      <c r="AG174" s="1" t="s">
        <v>1582</v>
      </c>
      <c r="AH174" s="1" t="s">
        <v>5918</v>
      </c>
      <c r="AI174" s="2">
        <v>90.0</v>
      </c>
      <c r="AJ174" s="1" t="s">
        <v>1589</v>
      </c>
      <c r="AK174" s="1" t="s">
        <v>5877</v>
      </c>
      <c r="AL174" s="1" t="s">
        <v>5878</v>
      </c>
      <c r="AM174" s="2"/>
      <c r="AN174" s="2"/>
      <c r="AO174" s="2"/>
      <c r="AP174" s="2"/>
      <c r="AQ174" s="2"/>
      <c r="AR174" s="2"/>
      <c r="AS174" s="2"/>
      <c r="AT174" s="2"/>
      <c r="AU174" s="126">
        <v>2500.0</v>
      </c>
      <c r="AV174" s="126">
        <v>3200.0</v>
      </c>
      <c r="AW174" s="2"/>
      <c r="AX174" s="2"/>
      <c r="AY174" s="2"/>
      <c r="AZ174" s="2"/>
      <c r="BA174" s="2"/>
      <c r="BB174" s="2"/>
      <c r="BC174" s="2"/>
      <c r="BD174" s="2"/>
      <c r="BE174" s="2"/>
    </row>
    <row r="175" hidden="1">
      <c r="A175" s="2"/>
      <c r="B175" s="312" t="s">
        <v>6526</v>
      </c>
      <c r="C175" s="220" t="s">
        <v>6527</v>
      </c>
      <c r="D175" s="11">
        <v>90.0</v>
      </c>
      <c r="E175" s="11" t="s">
        <v>118</v>
      </c>
      <c r="F175" s="11" t="s">
        <v>6423</v>
      </c>
      <c r="G175" s="295" t="s">
        <v>6528</v>
      </c>
      <c r="H175" s="296"/>
      <c r="I175" s="156">
        <v>2500.0</v>
      </c>
      <c r="J175" s="301"/>
      <c r="K175" s="296"/>
      <c r="L175" s="139"/>
      <c r="M175" s="301">
        <v>2500.0</v>
      </c>
      <c r="N175" s="284">
        <v>0.28</v>
      </c>
      <c r="O175" s="296">
        <v>3200.0</v>
      </c>
      <c r="P175" s="67"/>
      <c r="Q175" s="303">
        <f>P174</f>
        <v>3200</v>
      </c>
      <c r="R175" s="299" t="s">
        <v>6529</v>
      </c>
      <c r="S175" s="300">
        <v>46140.55806755787</v>
      </c>
      <c r="T175" s="2"/>
      <c r="U175" s="289">
        <f t="shared" si="4"/>
        <v>700</v>
      </c>
      <c r="V175" s="304" t="str">
        <f t="shared" si="147"/>
        <v>нет з/ч</v>
      </c>
      <c r="W175" s="2"/>
      <c r="X175" s="289">
        <v>2500.0</v>
      </c>
      <c r="Y175" s="139"/>
      <c r="Z175" s="2"/>
      <c r="AA175" s="2" t="s">
        <v>6527</v>
      </c>
      <c r="AB175" s="2" t="s">
        <v>6527</v>
      </c>
      <c r="AC175" s="2"/>
      <c r="AD175" s="2" t="s">
        <v>6527</v>
      </c>
      <c r="AE175" s="3" t="s">
        <v>6526</v>
      </c>
      <c r="AF175" s="2"/>
      <c r="AG175" s="1" t="s">
        <v>1582</v>
      </c>
      <c r="AH175" s="1" t="s">
        <v>5918</v>
      </c>
      <c r="AI175" s="2">
        <v>90.0</v>
      </c>
      <c r="AJ175" s="1" t="s">
        <v>1589</v>
      </c>
      <c r="AK175" s="1" t="s">
        <v>5877</v>
      </c>
      <c r="AL175" s="1" t="s">
        <v>5878</v>
      </c>
      <c r="AM175" s="2"/>
      <c r="AN175" s="2"/>
      <c r="AO175" s="2"/>
      <c r="AP175" s="2"/>
      <c r="AQ175" s="2"/>
      <c r="AR175" s="2"/>
      <c r="AS175" s="2"/>
      <c r="AT175" s="2"/>
      <c r="AU175" s="126">
        <v>2500.0</v>
      </c>
      <c r="AV175" s="126">
        <v>3200.0</v>
      </c>
      <c r="AW175" s="2"/>
      <c r="AX175" s="2"/>
      <c r="AY175" s="2"/>
      <c r="AZ175" s="2"/>
      <c r="BA175" s="2"/>
      <c r="BB175" s="2"/>
      <c r="BC175" s="2"/>
      <c r="BD175" s="2"/>
      <c r="BE175" s="2"/>
    </row>
    <row r="176" hidden="1">
      <c r="A176" s="2"/>
      <c r="B176" s="312" t="s">
        <v>6530</v>
      </c>
      <c r="C176" s="220" t="s">
        <v>6531</v>
      </c>
      <c r="D176" s="11">
        <v>90.0</v>
      </c>
      <c r="E176" s="11" t="s">
        <v>118</v>
      </c>
      <c r="F176" s="11" t="s">
        <v>6423</v>
      </c>
      <c r="G176" s="295" t="s">
        <v>6532</v>
      </c>
      <c r="H176" s="296"/>
      <c r="I176" s="156">
        <v>2490.0</v>
      </c>
      <c r="J176" s="301"/>
      <c r="K176" s="296"/>
      <c r="L176" s="139"/>
      <c r="M176" s="301">
        <v>2490.0</v>
      </c>
      <c r="N176" s="284">
        <v>0.12</v>
      </c>
      <c r="O176" s="296">
        <v>2800.0</v>
      </c>
      <c r="P176" s="313">
        <f>MAX(O176:O177)</f>
        <v>2800</v>
      </c>
      <c r="Q176" s="303">
        <f>P176</f>
        <v>2800</v>
      </c>
      <c r="R176" s="299" t="s">
        <v>6533</v>
      </c>
      <c r="S176" s="300">
        <v>46140.558089143524</v>
      </c>
      <c r="T176" s="2"/>
      <c r="U176" s="289">
        <f t="shared" si="4"/>
        <v>310</v>
      </c>
      <c r="V176" s="304" t="str">
        <f t="shared" si="147"/>
        <v>нет з/ч</v>
      </c>
      <c r="W176" s="2"/>
      <c r="X176" s="289">
        <v>2490.0</v>
      </c>
      <c r="Y176" s="139"/>
      <c r="Z176" s="2"/>
      <c r="AA176" s="2" t="s">
        <v>6531</v>
      </c>
      <c r="AB176" s="2" t="s">
        <v>6531</v>
      </c>
      <c r="AC176" s="2"/>
      <c r="AD176" s="2" t="s">
        <v>6531</v>
      </c>
      <c r="AE176" s="3" t="s">
        <v>6530</v>
      </c>
      <c r="AF176" s="2"/>
      <c r="AG176" s="1" t="s">
        <v>1582</v>
      </c>
      <c r="AH176" s="1" t="s">
        <v>5918</v>
      </c>
      <c r="AI176" s="2">
        <v>90.0</v>
      </c>
      <c r="AJ176" s="1" t="s">
        <v>1589</v>
      </c>
      <c r="AK176" s="1" t="s">
        <v>5877</v>
      </c>
      <c r="AL176" s="1" t="s">
        <v>5878</v>
      </c>
      <c r="AM176" s="2"/>
      <c r="AN176" s="2"/>
      <c r="AO176" s="2"/>
      <c r="AP176" s="2"/>
      <c r="AQ176" s="2"/>
      <c r="AR176" s="2"/>
      <c r="AS176" s="2"/>
      <c r="AT176" s="2"/>
      <c r="AU176" s="126">
        <v>2490.0</v>
      </c>
      <c r="AV176" s="126">
        <v>2800.0</v>
      </c>
      <c r="AW176" s="2"/>
      <c r="AX176" s="2"/>
      <c r="AY176" s="2"/>
      <c r="AZ176" s="2"/>
      <c r="BA176" s="2"/>
      <c r="BB176" s="2"/>
      <c r="BC176" s="2"/>
      <c r="BD176" s="2"/>
      <c r="BE176" s="2"/>
    </row>
    <row r="177" hidden="1">
      <c r="A177" s="2"/>
      <c r="B177" s="312" t="s">
        <v>6534</v>
      </c>
      <c r="C177" s="220" t="s">
        <v>6535</v>
      </c>
      <c r="D177" s="11">
        <v>90.0</v>
      </c>
      <c r="E177" s="11" t="s">
        <v>118</v>
      </c>
      <c r="F177" s="11" t="s">
        <v>6423</v>
      </c>
      <c r="G177" s="295" t="s">
        <v>6536</v>
      </c>
      <c r="H177" s="296"/>
      <c r="I177" s="156">
        <v>2490.0</v>
      </c>
      <c r="J177" s="301"/>
      <c r="K177" s="296"/>
      <c r="L177" s="139"/>
      <c r="M177" s="301">
        <v>2490.0</v>
      </c>
      <c r="N177" s="284">
        <v>0.12</v>
      </c>
      <c r="O177" s="296">
        <v>2800.0</v>
      </c>
      <c r="P177" s="67"/>
      <c r="Q177" s="303">
        <f>P176</f>
        <v>2800</v>
      </c>
      <c r="R177" s="299" t="s">
        <v>6537</v>
      </c>
      <c r="S177" s="300">
        <v>46140.55811184028</v>
      </c>
      <c r="T177" s="2"/>
      <c r="U177" s="289">
        <f t="shared" si="4"/>
        <v>310</v>
      </c>
      <c r="V177" s="304" t="str">
        <f t="shared" si="147"/>
        <v>нет з/ч</v>
      </c>
      <c r="W177" s="2"/>
      <c r="X177" s="289">
        <v>2490.0</v>
      </c>
      <c r="Y177" s="139"/>
      <c r="Z177" s="2"/>
      <c r="AA177" s="2" t="s">
        <v>6535</v>
      </c>
      <c r="AB177" s="2" t="s">
        <v>6535</v>
      </c>
      <c r="AC177" s="2"/>
      <c r="AD177" s="2" t="s">
        <v>6535</v>
      </c>
      <c r="AE177" s="3" t="s">
        <v>6534</v>
      </c>
      <c r="AF177" s="2"/>
      <c r="AG177" s="1" t="s">
        <v>1582</v>
      </c>
      <c r="AH177" s="1" t="s">
        <v>5918</v>
      </c>
      <c r="AI177" s="2">
        <v>90.0</v>
      </c>
      <c r="AJ177" s="1" t="s">
        <v>1589</v>
      </c>
      <c r="AK177" s="1" t="s">
        <v>5877</v>
      </c>
      <c r="AL177" s="1" t="s">
        <v>5878</v>
      </c>
      <c r="AM177" s="2"/>
      <c r="AN177" s="2"/>
      <c r="AO177" s="2"/>
      <c r="AP177" s="2"/>
      <c r="AQ177" s="2"/>
      <c r="AR177" s="2"/>
      <c r="AS177" s="2"/>
      <c r="AT177" s="2"/>
      <c r="AU177" s="126">
        <v>2490.0</v>
      </c>
      <c r="AV177" s="126">
        <v>2800.0</v>
      </c>
      <c r="AW177" s="2"/>
      <c r="AX177" s="2"/>
      <c r="AY177" s="2"/>
      <c r="AZ177" s="2"/>
      <c r="BA177" s="2"/>
      <c r="BB177" s="2"/>
      <c r="BC177" s="2"/>
      <c r="BD177" s="2"/>
      <c r="BE177" s="2"/>
    </row>
    <row r="178" hidden="1">
      <c r="A178" s="2"/>
      <c r="B178" s="312" t="s">
        <v>6538</v>
      </c>
      <c r="C178" s="220" t="s">
        <v>6539</v>
      </c>
      <c r="D178" s="11">
        <v>90.0</v>
      </c>
      <c r="E178" s="11" t="s">
        <v>125</v>
      </c>
      <c r="F178" s="11" t="s">
        <v>6423</v>
      </c>
      <c r="G178" s="295" t="s">
        <v>6540</v>
      </c>
      <c r="H178" s="296"/>
      <c r="I178" s="156">
        <v>1500.0</v>
      </c>
      <c r="J178" s="301"/>
      <c r="K178" s="296"/>
      <c r="L178" s="139"/>
      <c r="M178" s="301">
        <v>1500.0</v>
      </c>
      <c r="N178" s="284">
        <v>0.12</v>
      </c>
      <c r="O178" s="296">
        <v>1700.0</v>
      </c>
      <c r="P178" s="313">
        <f>MAX(O178:O179)</f>
        <v>1900</v>
      </c>
      <c r="Q178" s="303">
        <f>P178</f>
        <v>1900</v>
      </c>
      <c r="R178" s="299" t="s">
        <v>6541</v>
      </c>
      <c r="S178" s="300">
        <v>46140.558191331016</v>
      </c>
      <c r="T178" s="2"/>
      <c r="U178" s="289">
        <f t="shared" si="4"/>
        <v>400</v>
      </c>
      <c r="V178" s="304" t="str">
        <f t="shared" ref="V178:V181" si="148">IF(L178&gt;0, Q1105 - L178, "нет з/ч")</f>
        <v>нет з/ч</v>
      </c>
      <c r="W178" s="2"/>
      <c r="X178" s="289">
        <v>1500.0</v>
      </c>
      <c r="Y178" s="139"/>
      <c r="Z178" s="2"/>
      <c r="AA178" s="2" t="s">
        <v>6539</v>
      </c>
      <c r="AB178" s="2" t="s">
        <v>6539</v>
      </c>
      <c r="AC178" s="2"/>
      <c r="AD178" s="2" t="s">
        <v>6539</v>
      </c>
      <c r="AE178" s="3" t="s">
        <v>6538</v>
      </c>
      <c r="AF178" s="2"/>
      <c r="AG178" s="1" t="s">
        <v>1582</v>
      </c>
      <c r="AH178" s="1" t="s">
        <v>5923</v>
      </c>
      <c r="AI178" s="2">
        <v>90.0</v>
      </c>
      <c r="AJ178" s="1" t="s">
        <v>1589</v>
      </c>
      <c r="AK178" s="1" t="s">
        <v>5877</v>
      </c>
      <c r="AL178" s="1" t="s">
        <v>5878</v>
      </c>
      <c r="AM178" s="2"/>
      <c r="AN178" s="2"/>
      <c r="AO178" s="2"/>
      <c r="AP178" s="2"/>
      <c r="AQ178" s="2"/>
      <c r="AR178" s="2"/>
      <c r="AS178" s="2"/>
      <c r="AT178" s="2"/>
      <c r="AU178" s="126">
        <v>1500.0</v>
      </c>
      <c r="AV178" s="126">
        <v>1900.0</v>
      </c>
      <c r="AW178" s="2"/>
      <c r="AX178" s="2"/>
      <c r="AY178" s="2"/>
      <c r="AZ178" s="2"/>
      <c r="BA178" s="2"/>
      <c r="BB178" s="2"/>
      <c r="BC178" s="2"/>
      <c r="BD178" s="2"/>
      <c r="BE178" s="2"/>
    </row>
    <row r="179" hidden="1">
      <c r="A179" s="3"/>
      <c r="B179" s="312" t="s">
        <v>6542</v>
      </c>
      <c r="C179" s="220" t="s">
        <v>6543</v>
      </c>
      <c r="D179" s="11">
        <v>90.0</v>
      </c>
      <c r="E179" s="11" t="s">
        <v>6544</v>
      </c>
      <c r="F179" s="11" t="s">
        <v>6423</v>
      </c>
      <c r="G179" s="295" t="s">
        <v>6545</v>
      </c>
      <c r="H179" s="296"/>
      <c r="I179" s="156">
        <v>1700.0</v>
      </c>
      <c r="J179" s="301"/>
      <c r="K179" s="296"/>
      <c r="L179" s="139"/>
      <c r="M179" s="301">
        <v>1700.0</v>
      </c>
      <c r="N179" s="284">
        <v>0.12</v>
      </c>
      <c r="O179" s="296">
        <v>1900.0</v>
      </c>
      <c r="P179" s="67"/>
      <c r="Q179" s="303">
        <f>P178</f>
        <v>1900</v>
      </c>
      <c r="R179" s="299" t="s">
        <v>6546</v>
      </c>
      <c r="S179" s="300">
        <v>46140.55821375</v>
      </c>
      <c r="T179" s="2"/>
      <c r="U179" s="289">
        <f t="shared" si="4"/>
        <v>200</v>
      </c>
      <c r="V179" s="304" t="str">
        <f t="shared" si="148"/>
        <v>нет з/ч</v>
      </c>
      <c r="W179" s="2"/>
      <c r="X179" s="289">
        <v>1700.0</v>
      </c>
      <c r="Y179" s="139"/>
      <c r="Z179" s="2"/>
      <c r="AA179" s="2" t="s">
        <v>6543</v>
      </c>
      <c r="AB179" s="2" t="s">
        <v>6543</v>
      </c>
      <c r="AC179" s="2"/>
      <c r="AD179" s="2" t="s">
        <v>6543</v>
      </c>
      <c r="AE179" s="3" t="s">
        <v>6542</v>
      </c>
      <c r="AF179" s="2"/>
      <c r="AG179" s="1" t="s">
        <v>1582</v>
      </c>
      <c r="AH179" s="1" t="s">
        <v>5923</v>
      </c>
      <c r="AI179" s="2">
        <v>90.0</v>
      </c>
      <c r="AJ179" s="1" t="s">
        <v>1589</v>
      </c>
      <c r="AK179" s="1" t="s">
        <v>5877</v>
      </c>
      <c r="AL179" s="1" t="s">
        <v>5878</v>
      </c>
      <c r="AM179" s="2"/>
      <c r="AN179" s="2"/>
      <c r="AO179" s="2"/>
      <c r="AP179" s="2"/>
      <c r="AQ179" s="2"/>
      <c r="AR179" s="2"/>
      <c r="AS179" s="2"/>
      <c r="AT179" s="2"/>
      <c r="AU179" s="126">
        <v>1700.0</v>
      </c>
      <c r="AV179" s="126">
        <v>1900.0</v>
      </c>
      <c r="AW179" s="2"/>
      <c r="AX179" s="2"/>
      <c r="AY179" s="2"/>
      <c r="AZ179" s="2"/>
      <c r="BA179" s="2"/>
      <c r="BB179" s="2"/>
      <c r="BC179" s="2"/>
      <c r="BD179" s="2"/>
      <c r="BE179" s="2"/>
    </row>
    <row r="180" hidden="1">
      <c r="A180" s="2"/>
      <c r="B180" s="312" t="s">
        <v>6547</v>
      </c>
      <c r="C180" s="220" t="s">
        <v>6548</v>
      </c>
      <c r="D180" s="11">
        <v>90.0</v>
      </c>
      <c r="E180" s="11" t="s">
        <v>125</v>
      </c>
      <c r="F180" s="11" t="s">
        <v>6423</v>
      </c>
      <c r="G180" s="295" t="s">
        <v>6549</v>
      </c>
      <c r="H180" s="296"/>
      <c r="I180" s="156">
        <v>1100.0</v>
      </c>
      <c r="J180" s="301"/>
      <c r="K180" s="296"/>
      <c r="L180" s="156">
        <v>1350.0</v>
      </c>
      <c r="M180" s="301">
        <v>1350.0</v>
      </c>
      <c r="N180" s="284">
        <v>0.12</v>
      </c>
      <c r="O180" s="296">
        <v>1500.0</v>
      </c>
      <c r="P180" s="313">
        <f>MAX(O180:O181)</f>
        <v>1500</v>
      </c>
      <c r="Q180" s="303">
        <f>P180</f>
        <v>1500</v>
      </c>
      <c r="R180" s="299" t="s">
        <v>6550</v>
      </c>
      <c r="S180" s="300">
        <v>46140.55823711806</v>
      </c>
      <c r="T180" s="2"/>
      <c r="U180" s="289">
        <f t="shared" si="4"/>
        <v>400</v>
      </c>
      <c r="V180" s="290">
        <f t="shared" si="148"/>
        <v>-1350</v>
      </c>
      <c r="W180" s="2"/>
      <c r="X180" s="289">
        <v>1100.0</v>
      </c>
      <c r="Y180" s="139">
        <v>1350.0</v>
      </c>
      <c r="Z180" s="2"/>
      <c r="AA180" s="2" t="s">
        <v>6548</v>
      </c>
      <c r="AB180" s="2" t="s">
        <v>6548</v>
      </c>
      <c r="AC180" s="2"/>
      <c r="AD180" s="2" t="s">
        <v>6548</v>
      </c>
      <c r="AE180" s="3" t="s">
        <v>6547</v>
      </c>
      <c r="AF180" s="2"/>
      <c r="AG180" s="1" t="s">
        <v>1582</v>
      </c>
      <c r="AH180" s="1" t="s">
        <v>5923</v>
      </c>
      <c r="AI180" s="2">
        <v>90.0</v>
      </c>
      <c r="AJ180" s="1" t="s">
        <v>1589</v>
      </c>
      <c r="AK180" s="1" t="s">
        <v>5877</v>
      </c>
      <c r="AL180" s="1" t="s">
        <v>5878</v>
      </c>
      <c r="AM180" s="2"/>
      <c r="AN180" s="2"/>
      <c r="AO180" s="2"/>
      <c r="AP180" s="2"/>
      <c r="AQ180" s="2"/>
      <c r="AR180" s="2"/>
      <c r="AS180" s="2"/>
      <c r="AT180" s="2"/>
      <c r="AU180" s="126">
        <v>1350.0</v>
      </c>
      <c r="AV180" s="126">
        <v>1500.0</v>
      </c>
      <c r="AW180" s="2"/>
      <c r="AX180" s="2"/>
      <c r="AY180" s="2"/>
      <c r="AZ180" s="2"/>
      <c r="BA180" s="2"/>
      <c r="BB180" s="2"/>
      <c r="BC180" s="2"/>
      <c r="BD180" s="2"/>
      <c r="BE180" s="2"/>
    </row>
    <row r="181" hidden="1">
      <c r="A181" s="2"/>
      <c r="B181" s="312" t="s">
        <v>6551</v>
      </c>
      <c r="C181" s="220" t="s">
        <v>6552</v>
      </c>
      <c r="D181" s="11">
        <v>90.0</v>
      </c>
      <c r="E181" s="11" t="s">
        <v>6544</v>
      </c>
      <c r="F181" s="11" t="s">
        <v>6423</v>
      </c>
      <c r="G181" s="295" t="s">
        <v>6553</v>
      </c>
      <c r="H181" s="296"/>
      <c r="I181" s="156">
        <v>1100.0</v>
      </c>
      <c r="J181" s="301"/>
      <c r="K181" s="296"/>
      <c r="L181" s="156">
        <v>1350.0</v>
      </c>
      <c r="M181" s="301">
        <v>1350.0</v>
      </c>
      <c r="N181" s="284">
        <v>0.12</v>
      </c>
      <c r="O181" s="296">
        <v>1500.0</v>
      </c>
      <c r="P181" s="67"/>
      <c r="Q181" s="303">
        <f>P180</f>
        <v>1500</v>
      </c>
      <c r="R181" s="299" t="s">
        <v>6554</v>
      </c>
      <c r="S181" s="300">
        <v>46140.55826056713</v>
      </c>
      <c r="T181" s="2"/>
      <c r="U181" s="289">
        <f t="shared" si="4"/>
        <v>400</v>
      </c>
      <c r="V181" s="290">
        <f t="shared" si="148"/>
        <v>-1350</v>
      </c>
      <c r="W181" s="2"/>
      <c r="X181" s="289">
        <v>1100.0</v>
      </c>
      <c r="Y181" s="139">
        <v>1350.0</v>
      </c>
      <c r="Z181" s="2"/>
      <c r="AA181" s="2" t="s">
        <v>6552</v>
      </c>
      <c r="AB181" s="2" t="s">
        <v>6552</v>
      </c>
      <c r="AC181" s="2"/>
      <c r="AD181" s="2" t="s">
        <v>6552</v>
      </c>
      <c r="AE181" s="3" t="s">
        <v>6551</v>
      </c>
      <c r="AF181" s="2"/>
      <c r="AG181" s="1" t="s">
        <v>1582</v>
      </c>
      <c r="AH181" s="1" t="s">
        <v>5923</v>
      </c>
      <c r="AI181" s="2">
        <v>90.0</v>
      </c>
      <c r="AJ181" s="1" t="s">
        <v>1589</v>
      </c>
      <c r="AK181" s="1" t="s">
        <v>5877</v>
      </c>
      <c r="AL181" s="1" t="s">
        <v>5878</v>
      </c>
      <c r="AM181" s="2"/>
      <c r="AN181" s="2"/>
      <c r="AO181" s="2"/>
      <c r="AP181" s="2"/>
      <c r="AQ181" s="2"/>
      <c r="AR181" s="2"/>
      <c r="AS181" s="2"/>
      <c r="AT181" s="2"/>
      <c r="AU181" s="126">
        <v>1350.0</v>
      </c>
      <c r="AV181" s="126">
        <v>1500.0</v>
      </c>
      <c r="AW181" s="2"/>
      <c r="AX181" s="2"/>
      <c r="AY181" s="2"/>
      <c r="AZ181" s="2"/>
      <c r="BA181" s="2"/>
      <c r="BB181" s="2"/>
      <c r="BC181" s="2"/>
      <c r="BD181" s="2"/>
      <c r="BE181" s="2"/>
    </row>
    <row r="182" hidden="1">
      <c r="A182" s="2"/>
      <c r="B182" s="312" t="s">
        <v>6555</v>
      </c>
      <c r="C182" s="220" t="s">
        <v>6556</v>
      </c>
      <c r="D182" s="11">
        <v>90.0</v>
      </c>
      <c r="E182" s="11" t="s">
        <v>132</v>
      </c>
      <c r="F182" s="11" t="s">
        <v>6423</v>
      </c>
      <c r="G182" s="295" t="s">
        <v>6557</v>
      </c>
      <c r="H182" s="296"/>
      <c r="I182" s="156">
        <v>2700.0</v>
      </c>
      <c r="J182" s="301"/>
      <c r="K182" s="296"/>
      <c r="L182" s="139"/>
      <c r="M182" s="301">
        <v>2700.0</v>
      </c>
      <c r="N182" s="284">
        <v>0.12</v>
      </c>
      <c r="O182" s="296">
        <v>3000.0</v>
      </c>
      <c r="P182" s="313">
        <f>MAX(O182:O183)</f>
        <v>3350</v>
      </c>
      <c r="Q182" s="303">
        <f>P182</f>
        <v>3350</v>
      </c>
      <c r="R182" s="299" t="s">
        <v>6558</v>
      </c>
      <c r="S182" s="300">
        <v>46140.55832914352</v>
      </c>
      <c r="T182" s="2"/>
      <c r="U182" s="289">
        <f t="shared" si="4"/>
        <v>650</v>
      </c>
      <c r="V182" s="304" t="str">
        <f t="shared" ref="V182:V185" si="149">IF(L182&gt;0, Q1111 - L182, "нет з/ч")</f>
        <v>нет з/ч</v>
      </c>
      <c r="W182" s="2"/>
      <c r="X182" s="289">
        <v>2700.0</v>
      </c>
      <c r="Y182" s="139"/>
      <c r="Z182" s="2"/>
      <c r="AA182" s="2" t="s">
        <v>6556</v>
      </c>
      <c r="AB182" s="2" t="s">
        <v>6556</v>
      </c>
      <c r="AC182" s="2"/>
      <c r="AD182" s="2" t="s">
        <v>6556</v>
      </c>
      <c r="AE182" s="3" t="s">
        <v>6555</v>
      </c>
      <c r="AF182" s="2"/>
      <c r="AG182" s="1" t="s">
        <v>1582</v>
      </c>
      <c r="AH182" s="1" t="s">
        <v>5928</v>
      </c>
      <c r="AI182" s="2">
        <v>90.0</v>
      </c>
      <c r="AJ182" s="1" t="s">
        <v>1589</v>
      </c>
      <c r="AK182" s="1" t="s">
        <v>5877</v>
      </c>
      <c r="AL182" s="1" t="s">
        <v>5878</v>
      </c>
      <c r="AM182" s="2"/>
      <c r="AN182" s="2"/>
      <c r="AO182" s="2"/>
      <c r="AP182" s="2"/>
      <c r="AQ182" s="2"/>
      <c r="AR182" s="2"/>
      <c r="AS182" s="2"/>
      <c r="AT182" s="2"/>
      <c r="AU182" s="126">
        <v>2700.0</v>
      </c>
      <c r="AV182" s="126">
        <v>3350.0</v>
      </c>
      <c r="AW182" s="2"/>
      <c r="AX182" s="2"/>
      <c r="AY182" s="2"/>
      <c r="AZ182" s="2"/>
      <c r="BA182" s="2"/>
      <c r="BB182" s="2"/>
      <c r="BC182" s="2"/>
      <c r="BD182" s="2"/>
      <c r="BE182" s="2"/>
    </row>
    <row r="183" hidden="1">
      <c r="A183" s="2"/>
      <c r="B183" s="312" t="s">
        <v>6559</v>
      </c>
      <c r="C183" s="220" t="s">
        <v>6560</v>
      </c>
      <c r="D183" s="11">
        <v>90.0</v>
      </c>
      <c r="E183" s="11" t="s">
        <v>132</v>
      </c>
      <c r="F183" s="11" t="s">
        <v>6423</v>
      </c>
      <c r="G183" s="295" t="s">
        <v>6561</v>
      </c>
      <c r="H183" s="296"/>
      <c r="I183" s="156">
        <v>3000.0</v>
      </c>
      <c r="J183" s="301"/>
      <c r="K183" s="296"/>
      <c r="L183" s="139"/>
      <c r="M183" s="301">
        <v>3000.0</v>
      </c>
      <c r="N183" s="284">
        <v>0.12</v>
      </c>
      <c r="O183" s="296">
        <v>3350.0</v>
      </c>
      <c r="P183" s="67"/>
      <c r="Q183" s="303">
        <f>P182</f>
        <v>3350</v>
      </c>
      <c r="R183" s="299" t="s">
        <v>6562</v>
      </c>
      <c r="S183" s="300">
        <v>46140.55835247685</v>
      </c>
      <c r="T183" s="2"/>
      <c r="U183" s="289">
        <f t="shared" si="4"/>
        <v>350</v>
      </c>
      <c r="V183" s="304" t="str">
        <f t="shared" si="149"/>
        <v>нет з/ч</v>
      </c>
      <c r="W183" s="2"/>
      <c r="X183" s="289">
        <v>3000.0</v>
      </c>
      <c r="Y183" s="139"/>
      <c r="Z183" s="2"/>
      <c r="AA183" s="2" t="s">
        <v>6560</v>
      </c>
      <c r="AB183" s="2" t="s">
        <v>6560</v>
      </c>
      <c r="AC183" s="2"/>
      <c r="AD183" s="2" t="s">
        <v>6560</v>
      </c>
      <c r="AE183" s="3" t="s">
        <v>6559</v>
      </c>
      <c r="AF183" s="2"/>
      <c r="AG183" s="1" t="s">
        <v>1582</v>
      </c>
      <c r="AH183" s="1" t="s">
        <v>5928</v>
      </c>
      <c r="AI183" s="2">
        <v>90.0</v>
      </c>
      <c r="AJ183" s="1" t="s">
        <v>1589</v>
      </c>
      <c r="AK183" s="1" t="s">
        <v>5877</v>
      </c>
      <c r="AL183" s="1" t="s">
        <v>5878</v>
      </c>
      <c r="AM183" s="2"/>
      <c r="AN183" s="2"/>
      <c r="AO183" s="2"/>
      <c r="AP183" s="2"/>
      <c r="AQ183" s="2"/>
      <c r="AR183" s="2"/>
      <c r="AS183" s="2"/>
      <c r="AT183" s="2"/>
      <c r="AU183" s="126">
        <v>3000.0</v>
      </c>
      <c r="AV183" s="126">
        <v>3350.0</v>
      </c>
      <c r="AW183" s="2"/>
      <c r="AX183" s="2"/>
      <c r="AY183" s="2"/>
      <c r="AZ183" s="2"/>
      <c r="BA183" s="2"/>
      <c r="BB183" s="2"/>
      <c r="BC183" s="2"/>
      <c r="BD183" s="2"/>
      <c r="BE183" s="2"/>
    </row>
    <row r="184" hidden="1">
      <c r="A184" s="2"/>
      <c r="B184" s="312" t="s">
        <v>6563</v>
      </c>
      <c r="C184" s="220" t="s">
        <v>6564</v>
      </c>
      <c r="D184" s="11">
        <v>90.0</v>
      </c>
      <c r="E184" s="11" t="s">
        <v>132</v>
      </c>
      <c r="F184" s="11" t="s">
        <v>6423</v>
      </c>
      <c r="G184" s="295" t="s">
        <v>6565</v>
      </c>
      <c r="H184" s="296"/>
      <c r="I184" s="156">
        <v>2490.0</v>
      </c>
      <c r="J184" s="301"/>
      <c r="K184" s="296"/>
      <c r="L184" s="139"/>
      <c r="M184" s="301">
        <v>2490.0</v>
      </c>
      <c r="N184" s="284">
        <v>0.12</v>
      </c>
      <c r="O184" s="296">
        <v>2800.0</v>
      </c>
      <c r="P184" s="313">
        <f>MAX(O184:O185)</f>
        <v>2800</v>
      </c>
      <c r="Q184" s="303">
        <f>P184</f>
        <v>2800</v>
      </c>
      <c r="R184" s="299" t="s">
        <v>6566</v>
      </c>
      <c r="S184" s="300">
        <v>46140.55837679398</v>
      </c>
      <c r="T184" s="2"/>
      <c r="U184" s="289">
        <f t="shared" si="4"/>
        <v>310</v>
      </c>
      <c r="V184" s="304" t="str">
        <f t="shared" si="149"/>
        <v>нет з/ч</v>
      </c>
      <c r="W184" s="2"/>
      <c r="X184" s="289">
        <v>2490.0</v>
      </c>
      <c r="Y184" s="139"/>
      <c r="Z184" s="2"/>
      <c r="AA184" s="2" t="s">
        <v>6564</v>
      </c>
      <c r="AB184" s="2" t="s">
        <v>6564</v>
      </c>
      <c r="AC184" s="2"/>
      <c r="AD184" s="2" t="s">
        <v>6564</v>
      </c>
      <c r="AE184" s="3" t="s">
        <v>6563</v>
      </c>
      <c r="AF184" s="2"/>
      <c r="AG184" s="1" t="s">
        <v>1582</v>
      </c>
      <c r="AH184" s="1" t="s">
        <v>5928</v>
      </c>
      <c r="AI184" s="2">
        <v>90.0</v>
      </c>
      <c r="AJ184" s="1" t="s">
        <v>1589</v>
      </c>
      <c r="AK184" s="1" t="s">
        <v>5877</v>
      </c>
      <c r="AL184" s="1" t="s">
        <v>5878</v>
      </c>
      <c r="AM184" s="2"/>
      <c r="AN184" s="2"/>
      <c r="AO184" s="2"/>
      <c r="AP184" s="2"/>
      <c r="AQ184" s="2"/>
      <c r="AR184" s="2"/>
      <c r="AS184" s="2"/>
      <c r="AT184" s="2"/>
      <c r="AU184" s="126">
        <v>2490.0</v>
      </c>
      <c r="AV184" s="126">
        <v>2800.0</v>
      </c>
      <c r="AW184" s="2"/>
      <c r="AX184" s="2"/>
      <c r="AY184" s="2"/>
      <c r="AZ184" s="2"/>
      <c r="BA184" s="2"/>
      <c r="BB184" s="2"/>
      <c r="BC184" s="2"/>
      <c r="BD184" s="2"/>
      <c r="BE184" s="2"/>
    </row>
    <row r="185" hidden="1">
      <c r="A185" s="2"/>
      <c r="B185" s="312" t="s">
        <v>6567</v>
      </c>
      <c r="C185" s="220" t="s">
        <v>6568</v>
      </c>
      <c r="D185" s="11">
        <v>90.0</v>
      </c>
      <c r="E185" s="11" t="s">
        <v>132</v>
      </c>
      <c r="F185" s="11" t="s">
        <v>6423</v>
      </c>
      <c r="G185" s="295" t="s">
        <v>6569</v>
      </c>
      <c r="H185" s="296"/>
      <c r="I185" s="156">
        <v>2490.0</v>
      </c>
      <c r="J185" s="301"/>
      <c r="K185" s="296"/>
      <c r="L185" s="139"/>
      <c r="M185" s="301">
        <v>2490.0</v>
      </c>
      <c r="N185" s="284">
        <v>0.12</v>
      </c>
      <c r="O185" s="296">
        <v>2800.0</v>
      </c>
      <c r="P185" s="67"/>
      <c r="Q185" s="303">
        <f>P184</f>
        <v>2800</v>
      </c>
      <c r="R185" s="299" t="s">
        <v>6570</v>
      </c>
      <c r="S185" s="300">
        <v>46140.5583981713</v>
      </c>
      <c r="T185" s="2"/>
      <c r="U185" s="289">
        <f t="shared" si="4"/>
        <v>310</v>
      </c>
      <c r="V185" s="304" t="str">
        <f t="shared" si="149"/>
        <v>нет з/ч</v>
      </c>
      <c r="W185" s="2"/>
      <c r="X185" s="289">
        <v>2490.0</v>
      </c>
      <c r="Y185" s="139"/>
      <c r="Z185" s="2"/>
      <c r="AA185" s="2" t="s">
        <v>6568</v>
      </c>
      <c r="AB185" s="2" t="s">
        <v>6568</v>
      </c>
      <c r="AC185" s="2"/>
      <c r="AD185" s="2" t="s">
        <v>6568</v>
      </c>
      <c r="AE185" s="3" t="s">
        <v>6567</v>
      </c>
      <c r="AF185" s="2"/>
      <c r="AG185" s="1" t="s">
        <v>1582</v>
      </c>
      <c r="AH185" s="1" t="s">
        <v>5928</v>
      </c>
      <c r="AI185" s="2">
        <v>90.0</v>
      </c>
      <c r="AJ185" s="1" t="s">
        <v>1589</v>
      </c>
      <c r="AK185" s="1" t="s">
        <v>5877</v>
      </c>
      <c r="AL185" s="1" t="s">
        <v>5878</v>
      </c>
      <c r="AM185" s="2"/>
      <c r="AN185" s="2"/>
      <c r="AO185" s="2"/>
      <c r="AP185" s="2"/>
      <c r="AQ185" s="2"/>
      <c r="AR185" s="2"/>
      <c r="AS185" s="2"/>
      <c r="AT185" s="2"/>
      <c r="AU185" s="126">
        <v>2490.0</v>
      </c>
      <c r="AV185" s="126">
        <v>2800.0</v>
      </c>
      <c r="AW185" s="2"/>
      <c r="AX185" s="2"/>
      <c r="AY185" s="2"/>
      <c r="AZ185" s="2"/>
      <c r="BA185" s="2"/>
      <c r="BB185" s="2"/>
      <c r="BC185" s="2"/>
      <c r="BD185" s="2"/>
      <c r="BE185" s="2"/>
    </row>
    <row r="186" hidden="1">
      <c r="A186" s="2"/>
      <c r="B186" s="312" t="s">
        <v>6571</v>
      </c>
      <c r="C186" s="220" t="s">
        <v>6572</v>
      </c>
      <c r="D186" s="11">
        <v>90.0</v>
      </c>
      <c r="E186" s="11" t="s">
        <v>153</v>
      </c>
      <c r="F186" s="11" t="s">
        <v>6423</v>
      </c>
      <c r="G186" s="295" t="s">
        <v>6573</v>
      </c>
      <c r="H186" s="296"/>
      <c r="I186" s="156">
        <v>2250.0</v>
      </c>
      <c r="J186" s="301"/>
      <c r="K186" s="296"/>
      <c r="L186" s="139"/>
      <c r="M186" s="301">
        <v>2250.0</v>
      </c>
      <c r="N186" s="284">
        <v>0.2</v>
      </c>
      <c r="O186" s="296">
        <v>2700.0</v>
      </c>
      <c r="P186" s="314">
        <f t="shared" ref="P186:Q186" si="150">O186</f>
        <v>2700</v>
      </c>
      <c r="Q186" s="303">
        <f t="shared" si="150"/>
        <v>2700</v>
      </c>
      <c r="R186" s="299" t="s">
        <v>6574</v>
      </c>
      <c r="S186" s="300">
        <v>46140.55847230324</v>
      </c>
      <c r="T186" s="2"/>
      <c r="U186" s="289">
        <f t="shared" si="4"/>
        <v>450</v>
      </c>
      <c r="V186" s="304" t="str">
        <f t="shared" ref="V186:V187" si="152">IF(L186&gt;0, Q1118 - L186, "нет з/ч")</f>
        <v>нет з/ч</v>
      </c>
      <c r="W186" s="2"/>
      <c r="X186" s="289">
        <v>2250.0</v>
      </c>
      <c r="Y186" s="139"/>
      <c r="Z186" s="2"/>
      <c r="AA186" s="2" t="s">
        <v>6572</v>
      </c>
      <c r="AB186" s="2" t="s">
        <v>6572</v>
      </c>
      <c r="AC186" s="2"/>
      <c r="AD186" s="2" t="s">
        <v>6572</v>
      </c>
      <c r="AE186" s="3" t="s">
        <v>6571</v>
      </c>
      <c r="AF186" s="2"/>
      <c r="AG186" s="1" t="s">
        <v>1582</v>
      </c>
      <c r="AH186" s="1" t="s">
        <v>5943</v>
      </c>
      <c r="AI186" s="2">
        <v>90.0</v>
      </c>
      <c r="AJ186" s="1" t="s">
        <v>1589</v>
      </c>
      <c r="AK186" s="1" t="s">
        <v>5877</v>
      </c>
      <c r="AL186" s="1" t="s">
        <v>5878</v>
      </c>
      <c r="AM186" s="2"/>
      <c r="AN186" s="2"/>
      <c r="AO186" s="2"/>
      <c r="AP186" s="2"/>
      <c r="AQ186" s="2"/>
      <c r="AR186" s="2"/>
      <c r="AS186" s="2"/>
      <c r="AT186" s="2"/>
      <c r="AU186" s="126">
        <v>2250.0</v>
      </c>
      <c r="AV186" s="126">
        <v>2700.0</v>
      </c>
      <c r="AW186" s="2"/>
      <c r="AX186" s="2"/>
      <c r="AY186" s="2"/>
      <c r="AZ186" s="2"/>
      <c r="BA186" s="2"/>
      <c r="BB186" s="2"/>
      <c r="BC186" s="2"/>
      <c r="BD186" s="2"/>
      <c r="BE186" s="2"/>
    </row>
    <row r="187" hidden="1">
      <c r="A187" s="2"/>
      <c r="B187" s="312" t="s">
        <v>6575</v>
      </c>
      <c r="C187" s="220" t="s">
        <v>6576</v>
      </c>
      <c r="D187" s="11">
        <v>90.0</v>
      </c>
      <c r="E187" s="11" t="s">
        <v>153</v>
      </c>
      <c r="F187" s="11" t="s">
        <v>6423</v>
      </c>
      <c r="G187" s="295" t="s">
        <v>6577</v>
      </c>
      <c r="H187" s="296"/>
      <c r="I187" s="156">
        <v>1650.0</v>
      </c>
      <c r="J187" s="301"/>
      <c r="K187" s="296"/>
      <c r="L187" s="156">
        <v>1790.0</v>
      </c>
      <c r="M187" s="301">
        <v>1790.0</v>
      </c>
      <c r="N187" s="284">
        <v>0.22</v>
      </c>
      <c r="O187" s="296">
        <v>2200.0</v>
      </c>
      <c r="P187" s="314">
        <f t="shared" ref="P187:Q187" si="151">O187</f>
        <v>2200</v>
      </c>
      <c r="Q187" s="303">
        <f t="shared" si="151"/>
        <v>2200</v>
      </c>
      <c r="R187" s="299" t="s">
        <v>6578</v>
      </c>
      <c r="S187" s="300">
        <v>46140.558493425924</v>
      </c>
      <c r="T187" s="2"/>
      <c r="U187" s="289">
        <f t="shared" si="4"/>
        <v>550</v>
      </c>
      <c r="V187" s="290">
        <f t="shared" si="152"/>
        <v>-1790</v>
      </c>
      <c r="W187" s="2"/>
      <c r="X187" s="289">
        <v>1650.0</v>
      </c>
      <c r="Y187" s="139">
        <v>1790.0</v>
      </c>
      <c r="Z187" s="2"/>
      <c r="AA187" s="2" t="s">
        <v>6576</v>
      </c>
      <c r="AB187" s="2" t="s">
        <v>6576</v>
      </c>
      <c r="AC187" s="2"/>
      <c r="AD187" s="2" t="s">
        <v>6576</v>
      </c>
      <c r="AE187" s="3" t="s">
        <v>6575</v>
      </c>
      <c r="AF187" s="2"/>
      <c r="AG187" s="1" t="s">
        <v>1582</v>
      </c>
      <c r="AH187" s="1" t="s">
        <v>5943</v>
      </c>
      <c r="AI187" s="2">
        <v>90.0</v>
      </c>
      <c r="AJ187" s="1" t="s">
        <v>1589</v>
      </c>
      <c r="AK187" s="1" t="s">
        <v>5877</v>
      </c>
      <c r="AL187" s="1" t="s">
        <v>5878</v>
      </c>
      <c r="AM187" s="2"/>
      <c r="AN187" s="2"/>
      <c r="AO187" s="2"/>
      <c r="AP187" s="2"/>
      <c r="AQ187" s="2"/>
      <c r="AR187" s="2"/>
      <c r="AS187" s="2"/>
      <c r="AT187" s="2"/>
      <c r="AU187" s="126">
        <v>1790.0</v>
      </c>
      <c r="AV187" s="126">
        <v>2200.0</v>
      </c>
      <c r="AW187" s="2"/>
      <c r="AX187" s="2"/>
      <c r="AY187" s="2"/>
      <c r="AZ187" s="2"/>
      <c r="BA187" s="2"/>
      <c r="BB187" s="2"/>
      <c r="BC187" s="2"/>
      <c r="BD187" s="2"/>
      <c r="BE187" s="2"/>
    </row>
    <row r="188" hidden="1">
      <c r="A188" s="2"/>
      <c r="B188" s="312" t="s">
        <v>6579</v>
      </c>
      <c r="C188" s="220" t="s">
        <v>6580</v>
      </c>
      <c r="D188" s="11">
        <v>90.0</v>
      </c>
      <c r="E188" s="11" t="s">
        <v>159</v>
      </c>
      <c r="F188" s="11" t="s">
        <v>6423</v>
      </c>
      <c r="G188" s="295" t="s">
        <v>6581</v>
      </c>
      <c r="H188" s="296"/>
      <c r="I188" s="156">
        <v>4150.0</v>
      </c>
      <c r="J188" s="301"/>
      <c r="K188" s="296"/>
      <c r="L188" s="139"/>
      <c r="M188" s="301">
        <v>4150.0</v>
      </c>
      <c r="N188" s="284">
        <v>0.12</v>
      </c>
      <c r="O188" s="296">
        <v>4650.0</v>
      </c>
      <c r="P188" s="314">
        <f t="shared" ref="P188:Q188" si="153">O188</f>
        <v>4650</v>
      </c>
      <c r="Q188" s="303">
        <f t="shared" si="153"/>
        <v>4650</v>
      </c>
      <c r="R188" s="299" t="s">
        <v>6582</v>
      </c>
      <c r="S188" s="300">
        <v>46140.5585449537</v>
      </c>
      <c r="T188" s="2"/>
      <c r="U188" s="289">
        <f t="shared" si="4"/>
        <v>500</v>
      </c>
      <c r="V188" s="304" t="str">
        <f t="shared" ref="V188:V189" si="155">IF(L188&gt;0, Q1121 - L188, "нет з/ч")</f>
        <v>нет з/ч</v>
      </c>
      <c r="W188" s="2"/>
      <c r="X188" s="289">
        <v>4150.0</v>
      </c>
      <c r="Y188" s="139"/>
      <c r="Z188" s="2"/>
      <c r="AA188" s="2" t="s">
        <v>6580</v>
      </c>
      <c r="AB188" s="2" t="s">
        <v>6580</v>
      </c>
      <c r="AC188" s="2"/>
      <c r="AD188" s="2" t="s">
        <v>6580</v>
      </c>
      <c r="AE188" s="3" t="s">
        <v>6579</v>
      </c>
      <c r="AF188" s="2"/>
      <c r="AG188" s="1" t="s">
        <v>1582</v>
      </c>
      <c r="AH188" s="1" t="s">
        <v>5952</v>
      </c>
      <c r="AI188" s="2">
        <v>90.0</v>
      </c>
      <c r="AJ188" s="1" t="s">
        <v>1589</v>
      </c>
      <c r="AK188" s="1" t="s">
        <v>5877</v>
      </c>
      <c r="AL188" s="1" t="s">
        <v>5878</v>
      </c>
      <c r="AM188" s="2"/>
      <c r="AN188" s="2"/>
      <c r="AO188" s="2"/>
      <c r="AP188" s="2"/>
      <c r="AQ188" s="2"/>
      <c r="AR188" s="2"/>
      <c r="AS188" s="2"/>
      <c r="AT188" s="2"/>
      <c r="AU188" s="126">
        <v>4150.0</v>
      </c>
      <c r="AV188" s="126">
        <v>4650.0</v>
      </c>
      <c r="AW188" s="2"/>
      <c r="AX188" s="2"/>
      <c r="AY188" s="2"/>
      <c r="AZ188" s="2"/>
      <c r="BA188" s="2"/>
      <c r="BB188" s="2"/>
      <c r="BC188" s="2"/>
      <c r="BD188" s="2"/>
      <c r="BE188" s="2"/>
    </row>
    <row r="189" hidden="1">
      <c r="A189" s="2"/>
      <c r="B189" s="312" t="s">
        <v>6583</v>
      </c>
      <c r="C189" s="220" t="s">
        <v>6584</v>
      </c>
      <c r="D189" s="11">
        <v>90.0</v>
      </c>
      <c r="E189" s="11" t="s">
        <v>159</v>
      </c>
      <c r="F189" s="11" t="s">
        <v>6423</v>
      </c>
      <c r="G189" s="295" t="s">
        <v>6585</v>
      </c>
      <c r="H189" s="296"/>
      <c r="I189" s="156">
        <v>2800.0</v>
      </c>
      <c r="J189" s="301"/>
      <c r="K189" s="296"/>
      <c r="L189" s="156">
        <v>3690.0</v>
      </c>
      <c r="M189" s="301">
        <v>3690.0</v>
      </c>
      <c r="N189" s="284">
        <v>0.12</v>
      </c>
      <c r="O189" s="296">
        <v>4150.0</v>
      </c>
      <c r="P189" s="314">
        <f t="shared" ref="P189:Q189" si="154">O189</f>
        <v>4150</v>
      </c>
      <c r="Q189" s="303">
        <f t="shared" si="154"/>
        <v>4150</v>
      </c>
      <c r="R189" s="299" t="s">
        <v>6586</v>
      </c>
      <c r="S189" s="300">
        <v>46140.55856796296</v>
      </c>
      <c r="T189" s="2"/>
      <c r="U189" s="289">
        <f t="shared" si="4"/>
        <v>1350</v>
      </c>
      <c r="V189" s="290">
        <f t="shared" si="155"/>
        <v>-3690</v>
      </c>
      <c r="W189" s="2"/>
      <c r="X189" s="289">
        <v>2800.0</v>
      </c>
      <c r="Y189" s="139">
        <v>3690.0</v>
      </c>
      <c r="Z189" s="2"/>
      <c r="AA189" s="2" t="s">
        <v>6584</v>
      </c>
      <c r="AB189" s="2" t="s">
        <v>6584</v>
      </c>
      <c r="AC189" s="2"/>
      <c r="AD189" s="2" t="s">
        <v>6584</v>
      </c>
      <c r="AE189" s="3" t="s">
        <v>6583</v>
      </c>
      <c r="AF189" s="2"/>
      <c r="AG189" s="1" t="s">
        <v>1582</v>
      </c>
      <c r="AH189" s="1" t="s">
        <v>5952</v>
      </c>
      <c r="AI189" s="2">
        <v>90.0</v>
      </c>
      <c r="AJ189" s="1" t="s">
        <v>1589</v>
      </c>
      <c r="AK189" s="1" t="s">
        <v>5877</v>
      </c>
      <c r="AL189" s="1" t="s">
        <v>5878</v>
      </c>
      <c r="AM189" s="2"/>
      <c r="AN189" s="2"/>
      <c r="AO189" s="2"/>
      <c r="AP189" s="2"/>
      <c r="AQ189" s="2"/>
      <c r="AR189" s="2"/>
      <c r="AS189" s="2"/>
      <c r="AT189" s="2"/>
      <c r="AU189" s="126">
        <v>3690.0</v>
      </c>
      <c r="AV189" s="126">
        <v>4150.0</v>
      </c>
      <c r="AW189" s="2"/>
      <c r="AX189" s="2"/>
      <c r="AY189" s="2"/>
      <c r="AZ189" s="2"/>
      <c r="BA189" s="2"/>
      <c r="BB189" s="2"/>
      <c r="BC189" s="2"/>
      <c r="BD189" s="2"/>
      <c r="BE189" s="2"/>
    </row>
    <row r="190" hidden="1">
      <c r="A190" s="2"/>
      <c r="B190" s="312" t="s">
        <v>6587</v>
      </c>
      <c r="C190" s="220" t="s">
        <v>6588</v>
      </c>
      <c r="D190" s="11">
        <v>90.0</v>
      </c>
      <c r="E190" s="11" t="s">
        <v>167</v>
      </c>
      <c r="F190" s="11" t="s">
        <v>6423</v>
      </c>
      <c r="G190" s="295" t="s">
        <v>6589</v>
      </c>
      <c r="H190" s="296"/>
      <c r="I190" s="156">
        <v>4750.0</v>
      </c>
      <c r="J190" s="301"/>
      <c r="K190" s="296"/>
      <c r="L190" s="139"/>
      <c r="M190" s="301">
        <v>4750.0</v>
      </c>
      <c r="N190" s="284">
        <v>0.16</v>
      </c>
      <c r="O190" s="296">
        <v>5500.0</v>
      </c>
      <c r="P190" s="314">
        <f t="shared" ref="P190:Q190" si="156">O190</f>
        <v>5500</v>
      </c>
      <c r="Q190" s="303">
        <f t="shared" si="156"/>
        <v>5500</v>
      </c>
      <c r="R190" s="299" t="s">
        <v>6590</v>
      </c>
      <c r="S190" s="300">
        <v>46140.55861413194</v>
      </c>
      <c r="T190" s="2"/>
      <c r="U190" s="289">
        <f t="shared" si="4"/>
        <v>750</v>
      </c>
      <c r="V190" s="304" t="str">
        <f t="shared" ref="V190:V191" si="158">IF(L190&gt;0, Q1124 - L190, "нет з/ч")</f>
        <v>нет з/ч</v>
      </c>
      <c r="W190" s="2"/>
      <c r="X190" s="289">
        <v>4750.0</v>
      </c>
      <c r="Y190" s="139"/>
      <c r="Z190" s="2"/>
      <c r="AA190" s="2" t="s">
        <v>6588</v>
      </c>
      <c r="AB190" s="2" t="s">
        <v>6588</v>
      </c>
      <c r="AC190" s="2"/>
      <c r="AD190" s="2" t="s">
        <v>6588</v>
      </c>
      <c r="AE190" s="3" t="s">
        <v>6587</v>
      </c>
      <c r="AF190" s="2"/>
      <c r="AG190" s="1" t="s">
        <v>1582</v>
      </c>
      <c r="AH190" s="1" t="s">
        <v>5957</v>
      </c>
      <c r="AI190" s="2">
        <v>90.0</v>
      </c>
      <c r="AJ190" s="1" t="s">
        <v>1589</v>
      </c>
      <c r="AK190" s="1" t="s">
        <v>5877</v>
      </c>
      <c r="AL190" s="1" t="s">
        <v>5878</v>
      </c>
      <c r="AM190" s="2"/>
      <c r="AN190" s="2"/>
      <c r="AO190" s="2"/>
      <c r="AP190" s="2"/>
      <c r="AQ190" s="2"/>
      <c r="AR190" s="2"/>
      <c r="AS190" s="2"/>
      <c r="AT190" s="2"/>
      <c r="AU190" s="126">
        <v>4750.0</v>
      </c>
      <c r="AV190" s="126">
        <v>5500.0</v>
      </c>
      <c r="AW190" s="2"/>
      <c r="AX190" s="2"/>
      <c r="AY190" s="2"/>
      <c r="AZ190" s="2"/>
      <c r="BA190" s="2"/>
      <c r="BB190" s="2"/>
      <c r="BC190" s="2"/>
      <c r="BD190" s="2"/>
      <c r="BE190" s="2"/>
    </row>
    <row r="191" hidden="1">
      <c r="A191" s="2"/>
      <c r="B191" s="312" t="s">
        <v>6591</v>
      </c>
      <c r="C191" s="220" t="s">
        <v>6592</v>
      </c>
      <c r="D191" s="11">
        <v>90.0</v>
      </c>
      <c r="E191" s="11" t="s">
        <v>167</v>
      </c>
      <c r="F191" s="11" t="s">
        <v>6423</v>
      </c>
      <c r="G191" s="295" t="s">
        <v>6593</v>
      </c>
      <c r="H191" s="296"/>
      <c r="I191" s="156">
        <v>2800.0</v>
      </c>
      <c r="J191" s="301"/>
      <c r="K191" s="296"/>
      <c r="L191" s="156">
        <v>3990.0</v>
      </c>
      <c r="M191" s="301">
        <v>3990.0</v>
      </c>
      <c r="N191" s="284">
        <v>0.18</v>
      </c>
      <c r="O191" s="296">
        <v>4700.0</v>
      </c>
      <c r="P191" s="314">
        <f t="shared" ref="P191:Q191" si="157">O191</f>
        <v>4700</v>
      </c>
      <c r="Q191" s="303">
        <f t="shared" si="157"/>
        <v>4700</v>
      </c>
      <c r="R191" s="299" t="s">
        <v>6594</v>
      </c>
      <c r="S191" s="300">
        <v>46140.55863758102</v>
      </c>
      <c r="T191" s="2"/>
      <c r="U191" s="289">
        <f t="shared" si="4"/>
        <v>1900</v>
      </c>
      <c r="V191" s="290">
        <f t="shared" si="158"/>
        <v>-3990</v>
      </c>
      <c r="W191" s="2"/>
      <c r="X191" s="289">
        <v>2800.0</v>
      </c>
      <c r="Y191" s="139">
        <v>3990.0</v>
      </c>
      <c r="Z191" s="2"/>
      <c r="AA191" s="2" t="s">
        <v>6592</v>
      </c>
      <c r="AB191" s="2" t="s">
        <v>6592</v>
      </c>
      <c r="AC191" s="2"/>
      <c r="AD191" s="2" t="s">
        <v>6592</v>
      </c>
      <c r="AE191" s="3" t="s">
        <v>6591</v>
      </c>
      <c r="AF191" s="2"/>
      <c r="AG191" s="1" t="s">
        <v>1582</v>
      </c>
      <c r="AH191" s="1" t="s">
        <v>5957</v>
      </c>
      <c r="AI191" s="2">
        <v>90.0</v>
      </c>
      <c r="AJ191" s="1" t="s">
        <v>1589</v>
      </c>
      <c r="AK191" s="1" t="s">
        <v>5877</v>
      </c>
      <c r="AL191" s="1" t="s">
        <v>5878</v>
      </c>
      <c r="AM191" s="2"/>
      <c r="AN191" s="2"/>
      <c r="AO191" s="2"/>
      <c r="AP191" s="2"/>
      <c r="AQ191" s="2"/>
      <c r="AR191" s="2"/>
      <c r="AS191" s="2"/>
      <c r="AT191" s="2"/>
      <c r="AU191" s="126">
        <v>3990.0</v>
      </c>
      <c r="AV191" s="126">
        <v>4700.0</v>
      </c>
      <c r="AW191" s="2"/>
      <c r="AX191" s="2"/>
      <c r="AY191" s="2"/>
      <c r="AZ191" s="2"/>
      <c r="BA191" s="2"/>
      <c r="BB191" s="2"/>
      <c r="BC191" s="2"/>
      <c r="BD191" s="2"/>
      <c r="BE191" s="2"/>
    </row>
    <row r="192" hidden="1">
      <c r="A192" s="2"/>
      <c r="B192" s="312" t="s">
        <v>6595</v>
      </c>
      <c r="C192" s="220" t="s">
        <v>6596</v>
      </c>
      <c r="D192" s="11">
        <v>90.0</v>
      </c>
      <c r="E192" s="11" t="s">
        <v>175</v>
      </c>
      <c r="F192" s="11" t="s">
        <v>6423</v>
      </c>
      <c r="G192" s="295" t="s">
        <v>6597</v>
      </c>
      <c r="H192" s="296"/>
      <c r="I192" s="156">
        <v>5750.0</v>
      </c>
      <c r="J192" s="301"/>
      <c r="K192" s="296"/>
      <c r="L192" s="139"/>
      <c r="M192" s="301">
        <v>5750.0</v>
      </c>
      <c r="N192" s="284">
        <v>0.43</v>
      </c>
      <c r="O192" s="296">
        <v>8200.0</v>
      </c>
      <c r="P192" s="314">
        <f t="shared" ref="P192:Q192" si="159">O192</f>
        <v>8200</v>
      </c>
      <c r="Q192" s="303">
        <f t="shared" si="159"/>
        <v>8200</v>
      </c>
      <c r="R192" s="299" t="s">
        <v>6598</v>
      </c>
      <c r="S192" s="300">
        <v>46140.5586843287</v>
      </c>
      <c r="T192" s="2"/>
      <c r="U192" s="289">
        <f t="shared" si="4"/>
        <v>2450</v>
      </c>
      <c r="V192" s="304" t="str">
        <f t="shared" ref="V192:V193" si="161">IF(L192&gt;0, Q1127 - L192, "нет з/ч")</f>
        <v>нет з/ч</v>
      </c>
      <c r="W192" s="2"/>
      <c r="X192" s="289">
        <v>5750.0</v>
      </c>
      <c r="Y192" s="139"/>
      <c r="Z192" s="2"/>
      <c r="AA192" s="2" t="s">
        <v>6596</v>
      </c>
      <c r="AB192" s="2" t="s">
        <v>6596</v>
      </c>
      <c r="AC192" s="2"/>
      <c r="AD192" s="2" t="s">
        <v>6596</v>
      </c>
      <c r="AE192" s="3" t="s">
        <v>6595</v>
      </c>
      <c r="AF192" s="2"/>
      <c r="AG192" s="1" t="s">
        <v>1582</v>
      </c>
      <c r="AH192" s="1" t="s">
        <v>5966</v>
      </c>
      <c r="AI192" s="2">
        <v>90.0</v>
      </c>
      <c r="AJ192" s="1" t="s">
        <v>1589</v>
      </c>
      <c r="AK192" s="1" t="s">
        <v>5877</v>
      </c>
      <c r="AL192" s="1" t="s">
        <v>5878</v>
      </c>
      <c r="AM192" s="2"/>
      <c r="AN192" s="2"/>
      <c r="AO192" s="2"/>
      <c r="AP192" s="2"/>
      <c r="AQ192" s="2"/>
      <c r="AR192" s="2"/>
      <c r="AS192" s="2"/>
      <c r="AT192" s="2"/>
      <c r="AU192" s="126">
        <v>5750.0</v>
      </c>
      <c r="AV192" s="126">
        <v>8200.0</v>
      </c>
      <c r="AW192" s="2"/>
      <c r="AX192" s="2"/>
      <c r="AY192" s="2"/>
      <c r="AZ192" s="2"/>
      <c r="BA192" s="2"/>
      <c r="BB192" s="2"/>
      <c r="BC192" s="2"/>
      <c r="BD192" s="2"/>
      <c r="BE192" s="2"/>
    </row>
    <row r="193" hidden="1">
      <c r="A193" s="2"/>
      <c r="B193" s="312" t="s">
        <v>6599</v>
      </c>
      <c r="C193" s="220" t="s">
        <v>6600</v>
      </c>
      <c r="D193" s="11">
        <v>90.0</v>
      </c>
      <c r="E193" s="11" t="s">
        <v>175</v>
      </c>
      <c r="F193" s="11" t="s">
        <v>6423</v>
      </c>
      <c r="G193" s="295" t="s">
        <v>6601</v>
      </c>
      <c r="H193" s="296"/>
      <c r="I193" s="156">
        <v>3900.0</v>
      </c>
      <c r="J193" s="301"/>
      <c r="K193" s="296"/>
      <c r="L193" s="156">
        <v>4790.0</v>
      </c>
      <c r="M193" s="301">
        <v>4790.0</v>
      </c>
      <c r="N193" s="284">
        <v>0.5</v>
      </c>
      <c r="O193" s="296">
        <v>7200.0</v>
      </c>
      <c r="P193" s="314">
        <f t="shared" ref="P193:Q193" si="160">O193</f>
        <v>7200</v>
      </c>
      <c r="Q193" s="303">
        <f t="shared" si="160"/>
        <v>7200</v>
      </c>
      <c r="R193" s="299" t="s">
        <v>6602</v>
      </c>
      <c r="S193" s="300">
        <v>46140.55870606481</v>
      </c>
      <c r="T193" s="2"/>
      <c r="U193" s="289">
        <f t="shared" si="4"/>
        <v>3300</v>
      </c>
      <c r="V193" s="290">
        <f t="shared" si="161"/>
        <v>-4790</v>
      </c>
      <c r="W193" s="2"/>
      <c r="X193" s="289">
        <v>3900.0</v>
      </c>
      <c r="Y193" s="139">
        <v>4790.0</v>
      </c>
      <c r="Z193" s="2"/>
      <c r="AA193" s="2" t="s">
        <v>6600</v>
      </c>
      <c r="AB193" s="2" t="s">
        <v>6600</v>
      </c>
      <c r="AC193" s="2"/>
      <c r="AD193" s="2" t="s">
        <v>6600</v>
      </c>
      <c r="AE193" s="3" t="s">
        <v>6599</v>
      </c>
      <c r="AF193" s="2"/>
      <c r="AG193" s="1" t="s">
        <v>1582</v>
      </c>
      <c r="AH193" s="1" t="s">
        <v>5966</v>
      </c>
      <c r="AI193" s="2">
        <v>90.0</v>
      </c>
      <c r="AJ193" s="1" t="s">
        <v>1589</v>
      </c>
      <c r="AK193" s="1" t="s">
        <v>5877</v>
      </c>
      <c r="AL193" s="1" t="s">
        <v>5878</v>
      </c>
      <c r="AM193" s="2"/>
      <c r="AN193" s="2"/>
      <c r="AO193" s="2"/>
      <c r="AP193" s="2"/>
      <c r="AQ193" s="2"/>
      <c r="AR193" s="2"/>
      <c r="AS193" s="2"/>
      <c r="AT193" s="2"/>
      <c r="AU193" s="126">
        <v>4790.0</v>
      </c>
      <c r="AV193" s="126">
        <v>7200.0</v>
      </c>
      <c r="AW193" s="2"/>
      <c r="AX193" s="2"/>
      <c r="AY193" s="2"/>
      <c r="AZ193" s="2"/>
      <c r="BA193" s="2"/>
      <c r="BB193" s="2"/>
      <c r="BC193" s="2"/>
      <c r="BD193" s="2"/>
      <c r="BE193" s="2"/>
    </row>
    <row r="194" hidden="1">
      <c r="A194" s="2"/>
      <c r="B194" s="312" t="s">
        <v>6603</v>
      </c>
      <c r="C194" s="220" t="s">
        <v>6604</v>
      </c>
      <c r="D194" s="11">
        <v>90.0</v>
      </c>
      <c r="E194" s="11" t="s">
        <v>183</v>
      </c>
      <c r="F194" s="11" t="s">
        <v>6423</v>
      </c>
      <c r="G194" s="295" t="s">
        <v>6605</v>
      </c>
      <c r="H194" s="296"/>
      <c r="I194" s="156">
        <v>2550.0</v>
      </c>
      <c r="J194" s="301"/>
      <c r="K194" s="296"/>
      <c r="L194" s="139"/>
      <c r="M194" s="301">
        <v>2550.0</v>
      </c>
      <c r="N194" s="284">
        <v>0.49</v>
      </c>
      <c r="O194" s="296">
        <v>3800.0</v>
      </c>
      <c r="P194" s="314">
        <f t="shared" ref="P194:Q194" si="162">O194</f>
        <v>3800</v>
      </c>
      <c r="Q194" s="303">
        <f t="shared" si="162"/>
        <v>3800</v>
      </c>
      <c r="R194" s="299" t="s">
        <v>6606</v>
      </c>
      <c r="S194" s="300">
        <v>46140.5587508912</v>
      </c>
      <c r="T194" s="2"/>
      <c r="U194" s="289">
        <f t="shared" si="4"/>
        <v>1250</v>
      </c>
      <c r="V194" s="304" t="str">
        <f t="shared" ref="V194:V195" si="164">IF(L194&gt;0, Q1130 - L194, "нет з/ч")</f>
        <v>нет з/ч</v>
      </c>
      <c r="W194" s="2"/>
      <c r="X194" s="289">
        <v>2550.0</v>
      </c>
      <c r="Y194" s="139"/>
      <c r="Z194" s="2"/>
      <c r="AA194" s="2" t="s">
        <v>6604</v>
      </c>
      <c r="AB194" s="2" t="s">
        <v>6604</v>
      </c>
      <c r="AC194" s="2"/>
      <c r="AD194" s="1" t="s">
        <v>6604</v>
      </c>
      <c r="AE194" s="3" t="s">
        <v>6603</v>
      </c>
      <c r="AF194" s="2"/>
      <c r="AG194" s="1" t="s">
        <v>1582</v>
      </c>
      <c r="AH194" s="1" t="s">
        <v>5975</v>
      </c>
      <c r="AI194" s="2">
        <v>90.0</v>
      </c>
      <c r="AJ194" s="1" t="s">
        <v>1589</v>
      </c>
      <c r="AK194" s="1" t="s">
        <v>5877</v>
      </c>
      <c r="AL194" s="1" t="s">
        <v>5878</v>
      </c>
      <c r="AM194" s="2"/>
      <c r="AN194" s="2"/>
      <c r="AO194" s="2"/>
      <c r="AP194" s="2"/>
      <c r="AQ194" s="2"/>
      <c r="AR194" s="2"/>
      <c r="AS194" s="2"/>
      <c r="AT194" s="2"/>
      <c r="AU194" s="126">
        <v>2550.0</v>
      </c>
      <c r="AV194" s="126">
        <v>3800.0</v>
      </c>
      <c r="AW194" s="2"/>
      <c r="AX194" s="2"/>
      <c r="AY194" s="2"/>
      <c r="AZ194" s="2"/>
      <c r="BA194" s="2"/>
      <c r="BB194" s="2"/>
      <c r="BC194" s="2"/>
      <c r="BD194" s="2"/>
      <c r="BE194" s="2"/>
    </row>
    <row r="195" hidden="1">
      <c r="A195" s="2"/>
      <c r="B195" s="312" t="s">
        <v>6607</v>
      </c>
      <c r="C195" s="220" t="s">
        <v>6608</v>
      </c>
      <c r="D195" s="11">
        <v>90.0</v>
      </c>
      <c r="E195" s="11" t="s">
        <v>183</v>
      </c>
      <c r="F195" s="11" t="s">
        <v>6423</v>
      </c>
      <c r="G195" s="295" t="s">
        <v>6609</v>
      </c>
      <c r="H195" s="296"/>
      <c r="I195" s="156">
        <v>1700.0</v>
      </c>
      <c r="J195" s="301"/>
      <c r="K195" s="296"/>
      <c r="L195" s="156">
        <v>1950.0</v>
      </c>
      <c r="M195" s="301">
        <v>1950.0</v>
      </c>
      <c r="N195" s="284">
        <v>0.65</v>
      </c>
      <c r="O195" s="296">
        <v>3200.0</v>
      </c>
      <c r="P195" s="314">
        <f t="shared" ref="P195:Q195" si="163">O195</f>
        <v>3200</v>
      </c>
      <c r="Q195" s="303">
        <f t="shared" si="163"/>
        <v>3200</v>
      </c>
      <c r="R195" s="299" t="s">
        <v>6610</v>
      </c>
      <c r="S195" s="300">
        <v>46140.55877261574</v>
      </c>
      <c r="T195" s="2"/>
      <c r="U195" s="289">
        <f t="shared" si="4"/>
        <v>1500</v>
      </c>
      <c r="V195" s="290">
        <f t="shared" si="164"/>
        <v>-1950</v>
      </c>
      <c r="W195" s="2"/>
      <c r="X195" s="289">
        <v>1700.0</v>
      </c>
      <c r="Y195" s="139">
        <v>1950.0</v>
      </c>
      <c r="Z195" s="2"/>
      <c r="AA195" s="2" t="s">
        <v>6608</v>
      </c>
      <c r="AB195" s="2" t="s">
        <v>6608</v>
      </c>
      <c r="AC195" s="2"/>
      <c r="AD195" s="1" t="s">
        <v>6608</v>
      </c>
      <c r="AE195" s="3" t="s">
        <v>6607</v>
      </c>
      <c r="AF195" s="2"/>
      <c r="AG195" s="1" t="s">
        <v>1582</v>
      </c>
      <c r="AH195" s="1" t="s">
        <v>5975</v>
      </c>
      <c r="AI195" s="2">
        <v>90.0</v>
      </c>
      <c r="AJ195" s="1" t="s">
        <v>1589</v>
      </c>
      <c r="AK195" s="1" t="s">
        <v>5877</v>
      </c>
      <c r="AL195" s="1" t="s">
        <v>5878</v>
      </c>
      <c r="AM195" s="2"/>
      <c r="AN195" s="2"/>
      <c r="AO195" s="2"/>
      <c r="AP195" s="2"/>
      <c r="AQ195" s="2"/>
      <c r="AR195" s="2"/>
      <c r="AS195" s="2"/>
      <c r="AT195" s="2"/>
      <c r="AU195" s="126">
        <v>1950.0</v>
      </c>
      <c r="AV195" s="126">
        <v>3200.0</v>
      </c>
      <c r="AW195" s="2"/>
      <c r="AX195" s="2"/>
      <c r="AY195" s="2"/>
      <c r="AZ195" s="2"/>
      <c r="BA195" s="2"/>
      <c r="BB195" s="2"/>
      <c r="BC195" s="2"/>
      <c r="BD195" s="2"/>
      <c r="BE195" s="2"/>
    </row>
    <row r="196" hidden="1">
      <c r="A196" s="2"/>
      <c r="B196" s="312" t="s">
        <v>6611</v>
      </c>
      <c r="C196" s="220" t="s">
        <v>6612</v>
      </c>
      <c r="D196" s="11">
        <v>90.0</v>
      </c>
      <c r="E196" s="11" t="s">
        <v>185</v>
      </c>
      <c r="F196" s="11" t="s">
        <v>6423</v>
      </c>
      <c r="G196" s="295" t="s">
        <v>6613</v>
      </c>
      <c r="H196" s="296"/>
      <c r="I196" s="156">
        <v>4800.0</v>
      </c>
      <c r="J196" s="301"/>
      <c r="K196" s="296"/>
      <c r="L196" s="139"/>
      <c r="M196" s="301">
        <v>4800.0</v>
      </c>
      <c r="N196" s="284">
        <v>0.44</v>
      </c>
      <c r="O196" s="296">
        <v>6900.0</v>
      </c>
      <c r="P196" s="314">
        <f t="shared" ref="P196:Q196" si="165">O196</f>
        <v>6900</v>
      </c>
      <c r="Q196" s="303">
        <f t="shared" si="165"/>
        <v>6900</v>
      </c>
      <c r="R196" s="299" t="s">
        <v>6614</v>
      </c>
      <c r="S196" s="300">
        <v>46140.55882052083</v>
      </c>
      <c r="T196" s="2"/>
      <c r="U196" s="289">
        <f t="shared" si="4"/>
        <v>2100</v>
      </c>
      <c r="V196" s="304" t="str">
        <f t="shared" ref="V196:V197" si="167">IF(L196&gt;0, Q1133 - L196, "нет з/ч")</f>
        <v>нет з/ч</v>
      </c>
      <c r="W196" s="2"/>
      <c r="X196" s="289">
        <v>4800.0</v>
      </c>
      <c r="Y196" s="139"/>
      <c r="Z196" s="2"/>
      <c r="AA196" s="2" t="s">
        <v>6612</v>
      </c>
      <c r="AB196" s="2" t="s">
        <v>6612</v>
      </c>
      <c r="AC196" s="2"/>
      <c r="AD196" s="1" t="s">
        <v>6612</v>
      </c>
      <c r="AE196" s="3" t="s">
        <v>6611</v>
      </c>
      <c r="AF196" s="2"/>
      <c r="AG196" s="1" t="s">
        <v>1582</v>
      </c>
      <c r="AH196" s="1" t="s">
        <v>5984</v>
      </c>
      <c r="AI196" s="2">
        <v>90.0</v>
      </c>
      <c r="AJ196" s="1" t="s">
        <v>1589</v>
      </c>
      <c r="AK196" s="1" t="s">
        <v>5877</v>
      </c>
      <c r="AL196" s="1" t="s">
        <v>5878</v>
      </c>
      <c r="AM196" s="2"/>
      <c r="AN196" s="2"/>
      <c r="AO196" s="2"/>
      <c r="AP196" s="2"/>
      <c r="AQ196" s="2"/>
      <c r="AR196" s="2"/>
      <c r="AS196" s="2"/>
      <c r="AT196" s="2"/>
      <c r="AU196" s="126">
        <v>4800.0</v>
      </c>
      <c r="AV196" s="126">
        <v>6900.0</v>
      </c>
      <c r="AW196" s="2"/>
      <c r="AX196" s="2"/>
      <c r="AY196" s="2"/>
      <c r="AZ196" s="2"/>
      <c r="BA196" s="2"/>
      <c r="BB196" s="2"/>
      <c r="BC196" s="2"/>
      <c r="BD196" s="2"/>
      <c r="BE196" s="2"/>
    </row>
    <row r="197" hidden="1">
      <c r="A197" s="2"/>
      <c r="B197" s="312" t="s">
        <v>6615</v>
      </c>
      <c r="C197" s="220" t="s">
        <v>6616</v>
      </c>
      <c r="D197" s="11">
        <v>90.0</v>
      </c>
      <c r="E197" s="11" t="s">
        <v>185</v>
      </c>
      <c r="F197" s="11" t="s">
        <v>6423</v>
      </c>
      <c r="G197" s="295" t="s">
        <v>6617</v>
      </c>
      <c r="H197" s="296"/>
      <c r="I197" s="156">
        <v>4300.0</v>
      </c>
      <c r="J197" s="301"/>
      <c r="K197" s="296"/>
      <c r="L197" s="156">
        <v>4790.0</v>
      </c>
      <c r="M197" s="301">
        <v>4790.0</v>
      </c>
      <c r="N197" s="284">
        <v>0.34</v>
      </c>
      <c r="O197" s="296">
        <v>6400.0</v>
      </c>
      <c r="P197" s="314">
        <f t="shared" ref="P197:Q197" si="166">O197</f>
        <v>6400</v>
      </c>
      <c r="Q197" s="303">
        <f t="shared" si="166"/>
        <v>6400</v>
      </c>
      <c r="R197" s="299" t="s">
        <v>6618</v>
      </c>
      <c r="S197" s="300">
        <v>46140.55884222222</v>
      </c>
      <c r="T197" s="2"/>
      <c r="U197" s="289">
        <f t="shared" si="4"/>
        <v>2100</v>
      </c>
      <c r="V197" s="290">
        <f t="shared" si="167"/>
        <v>-4790</v>
      </c>
      <c r="W197" s="2"/>
      <c r="X197" s="289">
        <v>4300.0</v>
      </c>
      <c r="Y197" s="139">
        <v>4790.0</v>
      </c>
      <c r="Z197" s="2"/>
      <c r="AA197" s="2" t="s">
        <v>6616</v>
      </c>
      <c r="AB197" s="2" t="s">
        <v>6616</v>
      </c>
      <c r="AC197" s="2"/>
      <c r="AD197" s="1" t="s">
        <v>6616</v>
      </c>
      <c r="AE197" s="3" t="s">
        <v>6615</v>
      </c>
      <c r="AF197" s="2"/>
      <c r="AG197" s="1" t="s">
        <v>1582</v>
      </c>
      <c r="AH197" s="1" t="s">
        <v>5984</v>
      </c>
      <c r="AI197" s="2">
        <v>90.0</v>
      </c>
      <c r="AJ197" s="1" t="s">
        <v>1589</v>
      </c>
      <c r="AK197" s="1" t="s">
        <v>5877</v>
      </c>
      <c r="AL197" s="1" t="s">
        <v>5878</v>
      </c>
      <c r="AM197" s="2"/>
      <c r="AN197" s="2"/>
      <c r="AO197" s="2"/>
      <c r="AP197" s="2"/>
      <c r="AQ197" s="2"/>
      <c r="AR197" s="2"/>
      <c r="AS197" s="2"/>
      <c r="AT197" s="2"/>
      <c r="AU197" s="126">
        <v>4790.0</v>
      </c>
      <c r="AV197" s="126">
        <v>6400.0</v>
      </c>
      <c r="AW197" s="2"/>
      <c r="AX197" s="2"/>
      <c r="AY197" s="2"/>
      <c r="AZ197" s="2"/>
      <c r="BA197" s="2"/>
      <c r="BB197" s="2"/>
      <c r="BC197" s="2"/>
      <c r="BD197" s="2"/>
      <c r="BE197" s="2"/>
    </row>
    <row r="198" hidden="1">
      <c r="A198" s="2"/>
      <c r="B198" s="312" t="s">
        <v>6619</v>
      </c>
      <c r="C198" s="220" t="s">
        <v>6620</v>
      </c>
      <c r="D198" s="11">
        <v>90.0</v>
      </c>
      <c r="E198" s="11" t="s">
        <v>193</v>
      </c>
      <c r="F198" s="11" t="s">
        <v>6423</v>
      </c>
      <c r="G198" s="295" t="s">
        <v>6621</v>
      </c>
      <c r="H198" s="296"/>
      <c r="I198" s="156">
        <v>6900.0</v>
      </c>
      <c r="J198" s="301"/>
      <c r="K198" s="296"/>
      <c r="L198" s="139"/>
      <c r="M198" s="301">
        <v>6900.0</v>
      </c>
      <c r="N198" s="284">
        <v>0.12</v>
      </c>
      <c r="O198" s="296">
        <v>7750.0</v>
      </c>
      <c r="P198" s="314">
        <f t="shared" ref="P198:Q198" si="168">O198</f>
        <v>7750</v>
      </c>
      <c r="Q198" s="303">
        <f t="shared" si="168"/>
        <v>7750</v>
      </c>
      <c r="R198" s="299" t="s">
        <v>6622</v>
      </c>
      <c r="S198" s="300">
        <v>46140.55886423611</v>
      </c>
      <c r="T198" s="2"/>
      <c r="U198" s="289">
        <f t="shared" si="4"/>
        <v>850</v>
      </c>
      <c r="V198" s="304" t="str">
        <f t="shared" ref="V198:V199" si="170">IF(L198&gt;0, Q1136 - L198, "нет з/ч")</f>
        <v>нет з/ч</v>
      </c>
      <c r="W198" s="2"/>
      <c r="X198" s="289">
        <v>6900.0</v>
      </c>
      <c r="Y198" s="139"/>
      <c r="Z198" s="2"/>
      <c r="AA198" s="2" t="s">
        <v>6620</v>
      </c>
      <c r="AB198" s="2" t="s">
        <v>6620</v>
      </c>
      <c r="AC198" s="2"/>
      <c r="AD198" s="1" t="s">
        <v>6620</v>
      </c>
      <c r="AE198" s="3" t="s">
        <v>6619</v>
      </c>
      <c r="AF198" s="2"/>
      <c r="AG198" s="1" t="s">
        <v>1582</v>
      </c>
      <c r="AH198" s="1" t="s">
        <v>5993</v>
      </c>
      <c r="AI198" s="2">
        <v>90.0</v>
      </c>
      <c r="AJ198" s="1" t="s">
        <v>1589</v>
      </c>
      <c r="AK198" s="1" t="s">
        <v>5877</v>
      </c>
      <c r="AL198" s="1" t="s">
        <v>5878</v>
      </c>
      <c r="AM198" s="2"/>
      <c r="AN198" s="2"/>
      <c r="AO198" s="2"/>
      <c r="AP198" s="2"/>
      <c r="AQ198" s="2"/>
      <c r="AR198" s="2"/>
      <c r="AS198" s="2"/>
      <c r="AT198" s="2"/>
      <c r="AU198" s="167">
        <v>6900.0</v>
      </c>
      <c r="AV198" s="167">
        <v>7750.0</v>
      </c>
      <c r="AW198" s="2"/>
      <c r="AX198" s="2"/>
      <c r="AY198" s="2"/>
      <c r="AZ198" s="2"/>
      <c r="BA198" s="2"/>
      <c r="BB198" s="2"/>
      <c r="BC198" s="2"/>
      <c r="BD198" s="2"/>
      <c r="BE198" s="2"/>
    </row>
    <row r="199" hidden="1">
      <c r="A199" s="2"/>
      <c r="B199" s="312" t="s">
        <v>6623</v>
      </c>
      <c r="C199" s="220">
        <v>1.5121035E7</v>
      </c>
      <c r="D199" s="11">
        <v>90.0</v>
      </c>
      <c r="E199" s="11" t="s">
        <v>193</v>
      </c>
      <c r="F199" s="11" t="s">
        <v>6423</v>
      </c>
      <c r="G199" s="295" t="s">
        <v>6624</v>
      </c>
      <c r="H199" s="296"/>
      <c r="I199" s="156">
        <v>5000.0</v>
      </c>
      <c r="J199" s="301"/>
      <c r="K199" s="296"/>
      <c r="L199" s="156">
        <v>6350.0</v>
      </c>
      <c r="M199" s="301">
        <v>6350.0</v>
      </c>
      <c r="N199" s="284">
        <v>0.12</v>
      </c>
      <c r="O199" s="296">
        <v>7100.0</v>
      </c>
      <c r="P199" s="314">
        <f t="shared" ref="P199:Q199" si="169">O199</f>
        <v>7100</v>
      </c>
      <c r="Q199" s="303">
        <f t="shared" si="169"/>
        <v>7100</v>
      </c>
      <c r="R199" s="299" t="s">
        <v>6625</v>
      </c>
      <c r="S199" s="300">
        <v>46140.55888563658</v>
      </c>
      <c r="T199" s="2"/>
      <c r="U199" s="289">
        <f t="shared" si="4"/>
        <v>2100</v>
      </c>
      <c r="V199" s="290">
        <f t="shared" si="170"/>
        <v>-6350</v>
      </c>
      <c r="W199" s="2"/>
      <c r="X199" s="289">
        <v>5000.0</v>
      </c>
      <c r="Y199" s="139">
        <v>6350.0</v>
      </c>
      <c r="Z199" s="2"/>
      <c r="AA199" s="2">
        <v>1.5121035E7</v>
      </c>
      <c r="AB199" s="2">
        <v>1.5121035E7</v>
      </c>
      <c r="AC199" s="2"/>
      <c r="AD199" s="1">
        <v>1.5121035E7</v>
      </c>
      <c r="AE199" s="3" t="s">
        <v>6623</v>
      </c>
      <c r="AF199" s="2"/>
      <c r="AG199" s="1" t="s">
        <v>1582</v>
      </c>
      <c r="AH199" s="1" t="s">
        <v>5993</v>
      </c>
      <c r="AI199" s="2">
        <v>90.0</v>
      </c>
      <c r="AJ199" s="1" t="s">
        <v>1589</v>
      </c>
      <c r="AK199" s="1" t="s">
        <v>5877</v>
      </c>
      <c r="AL199" s="1" t="s">
        <v>5878</v>
      </c>
      <c r="AM199" s="2"/>
      <c r="AN199" s="2"/>
      <c r="AO199" s="2"/>
      <c r="AP199" s="2"/>
      <c r="AQ199" s="2"/>
      <c r="AR199" s="2"/>
      <c r="AS199" s="2"/>
      <c r="AT199" s="2"/>
      <c r="AU199" s="167">
        <v>6350.0</v>
      </c>
      <c r="AV199" s="167">
        <v>7100.0</v>
      </c>
      <c r="AW199" s="2"/>
      <c r="AX199" s="2"/>
      <c r="AY199" s="2"/>
      <c r="AZ199" s="2"/>
      <c r="BA199" s="2"/>
      <c r="BB199" s="2"/>
      <c r="BC199" s="2"/>
      <c r="BD199" s="2"/>
      <c r="BE199" s="2"/>
    </row>
    <row r="200" hidden="1">
      <c r="A200" s="2"/>
      <c r="B200" s="312" t="s">
        <v>6626</v>
      </c>
      <c r="C200" s="220" t="s">
        <v>6627</v>
      </c>
      <c r="D200" s="11">
        <v>90.0</v>
      </c>
      <c r="E200" s="11" t="s">
        <v>6628</v>
      </c>
      <c r="F200" s="11" t="s">
        <v>6423</v>
      </c>
      <c r="G200" s="295" t="s">
        <v>6629</v>
      </c>
      <c r="H200" s="296"/>
      <c r="I200" s="156">
        <v>8450.0</v>
      </c>
      <c r="J200" s="301"/>
      <c r="K200" s="296"/>
      <c r="L200" s="139"/>
      <c r="M200" s="301">
        <v>8450.0</v>
      </c>
      <c r="N200" s="284">
        <v>0.2</v>
      </c>
      <c r="O200" s="296">
        <v>10150.0</v>
      </c>
      <c r="P200" s="314">
        <f t="shared" ref="P200:Q200" si="171">O200</f>
        <v>10150</v>
      </c>
      <c r="Q200" s="303">
        <f t="shared" si="171"/>
        <v>10150</v>
      </c>
      <c r="R200" s="299" t="s">
        <v>6630</v>
      </c>
      <c r="S200" s="300">
        <v>46140.55890701389</v>
      </c>
      <c r="T200" s="2"/>
      <c r="U200" s="289">
        <f t="shared" si="4"/>
        <v>1700</v>
      </c>
      <c r="V200" s="304" t="str">
        <f t="shared" ref="V200:V204" si="173">IF(L200&gt;0, Q1139 - L200, "нет з/ч")</f>
        <v>нет з/ч</v>
      </c>
      <c r="W200" s="2"/>
      <c r="X200" s="289">
        <v>8450.0</v>
      </c>
      <c r="Y200" s="139"/>
      <c r="Z200" s="2"/>
      <c r="AA200" s="2" t="s">
        <v>6627</v>
      </c>
      <c r="AB200" s="2" t="s">
        <v>6627</v>
      </c>
      <c r="AC200" s="2"/>
      <c r="AD200" s="1" t="s">
        <v>6627</v>
      </c>
      <c r="AE200" s="3" t="s">
        <v>6626</v>
      </c>
      <c r="AF200" s="2"/>
      <c r="AG200" s="1" t="s">
        <v>1582</v>
      </c>
      <c r="AH200" s="1" t="s">
        <v>6002</v>
      </c>
      <c r="AI200" s="2">
        <v>90.0</v>
      </c>
      <c r="AJ200" s="1" t="s">
        <v>1589</v>
      </c>
      <c r="AK200" s="1" t="s">
        <v>5877</v>
      </c>
      <c r="AL200" s="1" t="s">
        <v>5878</v>
      </c>
      <c r="AM200" s="2"/>
      <c r="AN200" s="2"/>
      <c r="AO200" s="2"/>
      <c r="AP200" s="2"/>
      <c r="AQ200" s="2"/>
      <c r="AR200" s="2"/>
      <c r="AS200" s="2"/>
      <c r="AT200" s="2"/>
      <c r="AU200" s="126">
        <v>8450.0</v>
      </c>
      <c r="AV200" s="126">
        <v>10150.0</v>
      </c>
      <c r="AW200" s="2"/>
      <c r="AX200" s="2"/>
      <c r="AY200" s="2"/>
      <c r="AZ200" s="2"/>
      <c r="BA200" s="2"/>
      <c r="BB200" s="2"/>
      <c r="BC200" s="2"/>
      <c r="BD200" s="2"/>
      <c r="BE200" s="2"/>
    </row>
    <row r="201" hidden="1">
      <c r="A201" s="2"/>
      <c r="B201" s="312" t="s">
        <v>6631</v>
      </c>
      <c r="C201" s="84"/>
      <c r="D201" s="11">
        <v>90.0</v>
      </c>
      <c r="E201" s="11" t="s">
        <v>6628</v>
      </c>
      <c r="F201" s="11" t="s">
        <v>6423</v>
      </c>
      <c r="G201" s="295" t="s">
        <v>6632</v>
      </c>
      <c r="H201" s="296"/>
      <c r="I201" s="156">
        <v>7100.0</v>
      </c>
      <c r="J201" s="301"/>
      <c r="K201" s="296"/>
      <c r="L201" s="139"/>
      <c r="M201" s="301">
        <v>7100.0</v>
      </c>
      <c r="N201" s="284">
        <v>0.24</v>
      </c>
      <c r="O201" s="296">
        <v>8800.0</v>
      </c>
      <c r="P201" s="314">
        <f t="shared" ref="P201:Q201" si="172">O201</f>
        <v>8800</v>
      </c>
      <c r="Q201" s="303">
        <f t="shared" si="172"/>
        <v>8800</v>
      </c>
      <c r="R201" s="299" t="s">
        <v>6633</v>
      </c>
      <c r="S201" s="300">
        <v>46140.55892972222</v>
      </c>
      <c r="T201" s="2"/>
      <c r="U201" s="289">
        <f t="shared" si="4"/>
        <v>1700</v>
      </c>
      <c r="V201" s="304" t="str">
        <f t="shared" si="173"/>
        <v>нет з/ч</v>
      </c>
      <c r="W201" s="2"/>
      <c r="X201" s="289">
        <v>7100.0</v>
      </c>
      <c r="Y201" s="139"/>
      <c r="Z201" s="2"/>
      <c r="AA201" s="2"/>
      <c r="AB201" s="2"/>
      <c r="AC201" s="2"/>
      <c r="AD201" s="2"/>
      <c r="AE201" s="3" t="s">
        <v>6631</v>
      </c>
      <c r="AF201" s="2"/>
      <c r="AG201" s="1" t="s">
        <v>1582</v>
      </c>
      <c r="AH201" s="1" t="s">
        <v>6002</v>
      </c>
      <c r="AI201" s="2">
        <v>90.0</v>
      </c>
      <c r="AJ201" s="1" t="s">
        <v>1589</v>
      </c>
      <c r="AK201" s="1" t="s">
        <v>5877</v>
      </c>
      <c r="AL201" s="1" t="s">
        <v>5878</v>
      </c>
      <c r="AM201" s="2"/>
      <c r="AN201" s="2"/>
      <c r="AO201" s="2"/>
      <c r="AP201" s="2"/>
      <c r="AQ201" s="2"/>
      <c r="AR201" s="2"/>
      <c r="AS201" s="2"/>
      <c r="AT201" s="2"/>
      <c r="AU201" s="126">
        <v>7100.0</v>
      </c>
      <c r="AV201" s="126">
        <v>8800.0</v>
      </c>
      <c r="AW201" s="2"/>
      <c r="AX201" s="2"/>
      <c r="AY201" s="2"/>
      <c r="AZ201" s="2"/>
      <c r="BA201" s="2"/>
      <c r="BB201" s="2"/>
      <c r="BC201" s="2"/>
      <c r="BD201" s="2"/>
      <c r="BE201" s="2"/>
    </row>
    <row r="202" hidden="1">
      <c r="A202" s="2"/>
      <c r="B202" s="312" t="s">
        <v>6634</v>
      </c>
      <c r="C202" s="220">
        <v>5.6248848E7</v>
      </c>
      <c r="D202" s="11">
        <v>90.0</v>
      </c>
      <c r="E202" s="11" t="s">
        <v>6628</v>
      </c>
      <c r="F202" s="11" t="s">
        <v>6423</v>
      </c>
      <c r="G202" s="295" t="s">
        <v>6635</v>
      </c>
      <c r="H202" s="296"/>
      <c r="I202" s="156">
        <v>4700.0</v>
      </c>
      <c r="J202" s="301"/>
      <c r="K202" s="296"/>
      <c r="L202" s="139"/>
      <c r="M202" s="301">
        <v>4700.0</v>
      </c>
      <c r="N202" s="284">
        <v>0.43</v>
      </c>
      <c r="O202" s="296">
        <v>6700.0</v>
      </c>
      <c r="P202" s="314">
        <f t="shared" ref="P202:Q202" si="174">O202</f>
        <v>6700</v>
      </c>
      <c r="Q202" s="303">
        <f t="shared" si="174"/>
        <v>6700</v>
      </c>
      <c r="R202" s="299" t="s">
        <v>6636</v>
      </c>
      <c r="S202" s="300">
        <v>46140.5589524074</v>
      </c>
      <c r="T202" s="2"/>
      <c r="U202" s="289">
        <f t="shared" si="4"/>
        <v>2000</v>
      </c>
      <c r="V202" s="304" t="str">
        <f t="shared" si="173"/>
        <v>нет з/ч</v>
      </c>
      <c r="W202" s="2"/>
      <c r="X202" s="289">
        <v>4700.0</v>
      </c>
      <c r="Y202" s="139"/>
      <c r="Z202" s="2"/>
      <c r="AA202" s="2">
        <v>5.6248848E7</v>
      </c>
      <c r="AB202" s="2">
        <v>5.6248848E7</v>
      </c>
      <c r="AC202" s="2"/>
      <c r="AD202" s="1">
        <v>5.6248848E7</v>
      </c>
      <c r="AE202" s="3" t="s">
        <v>6634</v>
      </c>
      <c r="AF202" s="2"/>
      <c r="AG202" s="1" t="s">
        <v>1582</v>
      </c>
      <c r="AH202" s="1" t="s">
        <v>6002</v>
      </c>
      <c r="AI202" s="2">
        <v>90.0</v>
      </c>
      <c r="AJ202" s="1" t="s">
        <v>1589</v>
      </c>
      <c r="AK202" s="1" t="s">
        <v>5877</v>
      </c>
      <c r="AL202" s="1" t="s">
        <v>5878</v>
      </c>
      <c r="AM202" s="2"/>
      <c r="AN202" s="2"/>
      <c r="AO202" s="2"/>
      <c r="AP202" s="2"/>
      <c r="AQ202" s="2"/>
      <c r="AR202" s="2"/>
      <c r="AS202" s="2"/>
      <c r="AT202" s="2"/>
      <c r="AU202" s="126">
        <v>4700.0</v>
      </c>
      <c r="AV202" s="126">
        <v>6700.0</v>
      </c>
      <c r="AW202" s="2"/>
      <c r="AX202" s="2"/>
      <c r="AY202" s="2"/>
      <c r="AZ202" s="2"/>
      <c r="BA202" s="2"/>
      <c r="BB202" s="2"/>
      <c r="BC202" s="2"/>
      <c r="BD202" s="2"/>
      <c r="BE202" s="2"/>
    </row>
    <row r="203" hidden="1">
      <c r="A203" s="2"/>
      <c r="B203" s="312" t="s">
        <v>6637</v>
      </c>
      <c r="C203" s="84"/>
      <c r="D203" s="11">
        <v>90.0</v>
      </c>
      <c r="E203" s="11" t="s">
        <v>6628</v>
      </c>
      <c r="F203" s="11" t="s">
        <v>6423</v>
      </c>
      <c r="G203" s="306"/>
      <c r="H203" s="296"/>
      <c r="I203" s="139"/>
      <c r="J203" s="301"/>
      <c r="K203" s="296"/>
      <c r="L203" s="139"/>
      <c r="M203" s="301" t="s">
        <v>22</v>
      </c>
      <c r="N203" s="284">
        <v>0.12</v>
      </c>
      <c r="O203" s="296" t="s">
        <v>22</v>
      </c>
      <c r="P203" s="314" t="str">
        <f t="shared" ref="P203:Q203" si="175">O203</f>
        <v/>
      </c>
      <c r="Q203" s="303" t="str">
        <f t="shared" si="175"/>
        <v/>
      </c>
      <c r="R203" s="307"/>
      <c r="S203" s="308"/>
      <c r="T203" s="2"/>
      <c r="U203" s="59" t="str">
        <f t="shared" si="4"/>
        <v>нет з/ч</v>
      </c>
      <c r="V203" s="304" t="str">
        <f t="shared" si="173"/>
        <v>нет з/ч</v>
      </c>
      <c r="W203" s="2"/>
      <c r="X203" s="289"/>
      <c r="Y203" s="139"/>
      <c r="Z203" s="2"/>
      <c r="AA203" s="2"/>
      <c r="AB203" s="2"/>
      <c r="AC203" s="2"/>
      <c r="AD203" s="2"/>
      <c r="AE203" s="3" t="s">
        <v>6637</v>
      </c>
      <c r="AF203" s="2"/>
      <c r="AG203" s="1" t="s">
        <v>1582</v>
      </c>
      <c r="AH203" s="1" t="s">
        <v>6002</v>
      </c>
      <c r="AI203" s="2">
        <v>90.0</v>
      </c>
      <c r="AJ203" s="1" t="s">
        <v>1589</v>
      </c>
      <c r="AK203" s="1" t="s">
        <v>5877</v>
      </c>
      <c r="AL203" s="1" t="s">
        <v>5878</v>
      </c>
      <c r="AM203" s="2"/>
      <c r="AN203" s="2"/>
      <c r="AO203" s="2"/>
      <c r="AP203" s="2"/>
      <c r="AQ203" s="2"/>
      <c r="AR203" s="2"/>
      <c r="AS203" s="2"/>
      <c r="AT203" s="2"/>
      <c r="AU203" s="126" t="s">
        <v>22</v>
      </c>
      <c r="AV203" s="126" t="s">
        <v>22</v>
      </c>
      <c r="AW203" s="2"/>
      <c r="AX203" s="2"/>
      <c r="AY203" s="2"/>
      <c r="AZ203" s="2"/>
      <c r="BA203" s="2"/>
      <c r="BB203" s="2"/>
      <c r="BC203" s="2"/>
      <c r="BD203" s="2"/>
      <c r="BE203" s="2"/>
    </row>
    <row r="204" hidden="1">
      <c r="A204" s="2"/>
      <c r="B204" s="312" t="s">
        <v>6638</v>
      </c>
      <c r="C204" s="220" t="s">
        <v>6639</v>
      </c>
      <c r="D204" s="11">
        <v>90.0</v>
      </c>
      <c r="E204" s="11" t="s">
        <v>6628</v>
      </c>
      <c r="F204" s="11" t="s">
        <v>6423</v>
      </c>
      <c r="G204" s="295" t="s">
        <v>6640</v>
      </c>
      <c r="H204" s="296"/>
      <c r="I204" s="156">
        <v>4100.0</v>
      </c>
      <c r="J204" s="301"/>
      <c r="K204" s="296"/>
      <c r="L204" s="156">
        <v>4690.0</v>
      </c>
      <c r="M204" s="301">
        <v>4690.0</v>
      </c>
      <c r="N204" s="284">
        <v>0.36</v>
      </c>
      <c r="O204" s="296">
        <v>6400.0</v>
      </c>
      <c r="P204" s="314">
        <f t="shared" ref="P204:Q204" si="176">O204</f>
        <v>6400</v>
      </c>
      <c r="Q204" s="303">
        <f t="shared" si="176"/>
        <v>6400</v>
      </c>
      <c r="R204" s="299" t="s">
        <v>6641</v>
      </c>
      <c r="S204" s="300">
        <v>46140.55897508102</v>
      </c>
      <c r="T204" s="2"/>
      <c r="U204" s="289">
        <f t="shared" si="4"/>
        <v>2300</v>
      </c>
      <c r="V204" s="290">
        <f t="shared" si="173"/>
        <v>-4690</v>
      </c>
      <c r="W204" s="2"/>
      <c r="X204" s="289">
        <v>4100.0</v>
      </c>
      <c r="Y204" s="139">
        <v>4690.0</v>
      </c>
      <c r="Z204" s="2"/>
      <c r="AA204" s="2" t="s">
        <v>6639</v>
      </c>
      <c r="AB204" s="2" t="s">
        <v>6639</v>
      </c>
      <c r="AC204" s="2"/>
      <c r="AD204" s="1" t="s">
        <v>6639</v>
      </c>
      <c r="AE204" s="3" t="s">
        <v>6638</v>
      </c>
      <c r="AF204" s="2"/>
      <c r="AG204" s="1" t="s">
        <v>1582</v>
      </c>
      <c r="AH204" s="1" t="s">
        <v>6002</v>
      </c>
      <c r="AI204" s="2">
        <v>90.0</v>
      </c>
      <c r="AJ204" s="1" t="s">
        <v>1589</v>
      </c>
      <c r="AK204" s="1" t="s">
        <v>5877</v>
      </c>
      <c r="AL204" s="1" t="s">
        <v>5878</v>
      </c>
      <c r="AM204" s="2"/>
      <c r="AN204" s="2"/>
      <c r="AO204" s="2"/>
      <c r="AP204" s="2"/>
      <c r="AQ204" s="2"/>
      <c r="AR204" s="2"/>
      <c r="AS204" s="2"/>
      <c r="AT204" s="2"/>
      <c r="AU204" s="126">
        <v>4690.0</v>
      </c>
      <c r="AV204" s="126">
        <v>6400.0</v>
      </c>
      <c r="AW204" s="2"/>
      <c r="AX204" s="2"/>
      <c r="AY204" s="2"/>
      <c r="AZ204" s="2"/>
      <c r="BA204" s="2"/>
      <c r="BB204" s="2"/>
      <c r="BC204" s="2"/>
      <c r="BD204" s="2"/>
      <c r="BE204" s="2"/>
    </row>
    <row r="205" hidden="1">
      <c r="A205" s="2"/>
      <c r="B205" s="312" t="s">
        <v>6642</v>
      </c>
      <c r="C205" s="84"/>
      <c r="D205" s="11">
        <v>90.0</v>
      </c>
      <c r="E205" s="11" t="s">
        <v>212</v>
      </c>
      <c r="F205" s="11" t="s">
        <v>6423</v>
      </c>
      <c r="G205" s="306"/>
      <c r="H205" s="296"/>
      <c r="I205" s="139"/>
      <c r="J205" s="301"/>
      <c r="K205" s="296"/>
      <c r="L205" s="139"/>
      <c r="M205" s="301" t="s">
        <v>22</v>
      </c>
      <c r="N205" s="284">
        <v>0.12</v>
      </c>
      <c r="O205" s="296" t="s">
        <v>22</v>
      </c>
      <c r="P205" s="314" t="str">
        <f t="shared" ref="P205:Q205" si="177">O205</f>
        <v/>
      </c>
      <c r="Q205" s="303" t="str">
        <f t="shared" si="177"/>
        <v/>
      </c>
      <c r="R205" s="307"/>
      <c r="S205" s="300">
        <v>46111.54188041667</v>
      </c>
      <c r="T205" s="2"/>
      <c r="U205" s="59" t="str">
        <f t="shared" si="4"/>
        <v>нет з/ч</v>
      </c>
      <c r="V205" s="304" t="str">
        <f t="shared" ref="V205:V209" si="179">IF(L205&gt;0, Q1147 - L205, "нет з/ч")</f>
        <v>нет з/ч</v>
      </c>
      <c r="W205" s="2"/>
      <c r="X205" s="289"/>
      <c r="Y205" s="139"/>
      <c r="Z205" s="2"/>
      <c r="AA205" s="2"/>
      <c r="AB205" s="2"/>
      <c r="AC205" s="2"/>
      <c r="AD205" s="2"/>
      <c r="AE205" s="3" t="s">
        <v>6642</v>
      </c>
      <c r="AF205" s="2"/>
      <c r="AG205" s="1" t="s">
        <v>1582</v>
      </c>
      <c r="AH205" s="1" t="s">
        <v>6026</v>
      </c>
      <c r="AI205" s="2">
        <v>90.0</v>
      </c>
      <c r="AJ205" s="1" t="s">
        <v>1589</v>
      </c>
      <c r="AK205" s="1" t="s">
        <v>5877</v>
      </c>
      <c r="AL205" s="1" t="s">
        <v>5878</v>
      </c>
      <c r="AM205" s="2"/>
      <c r="AN205" s="2"/>
      <c r="AO205" s="2"/>
      <c r="AP205" s="2"/>
      <c r="AQ205" s="2"/>
      <c r="AR205" s="2"/>
      <c r="AS205" s="2"/>
      <c r="AT205" s="2"/>
      <c r="AU205" s="126" t="s">
        <v>22</v>
      </c>
      <c r="AV205" s="126" t="s">
        <v>22</v>
      </c>
      <c r="AW205" s="2"/>
      <c r="AX205" s="2"/>
      <c r="AY205" s="2"/>
      <c r="AZ205" s="2"/>
      <c r="BA205" s="2"/>
      <c r="BB205" s="2"/>
      <c r="BC205" s="2"/>
      <c r="BD205" s="2"/>
      <c r="BE205" s="2"/>
    </row>
    <row r="206" hidden="1">
      <c r="A206" s="2"/>
      <c r="B206" s="312" t="s">
        <v>6643</v>
      </c>
      <c r="C206" s="84"/>
      <c r="D206" s="11">
        <v>90.0</v>
      </c>
      <c r="E206" s="11" t="s">
        <v>212</v>
      </c>
      <c r="F206" s="11" t="s">
        <v>6423</v>
      </c>
      <c r="G206" s="306"/>
      <c r="H206" s="296"/>
      <c r="I206" s="139"/>
      <c r="J206" s="301"/>
      <c r="K206" s="296"/>
      <c r="L206" s="139"/>
      <c r="M206" s="301" t="s">
        <v>22</v>
      </c>
      <c r="N206" s="284">
        <v>0.12</v>
      </c>
      <c r="O206" s="296" t="s">
        <v>22</v>
      </c>
      <c r="P206" s="314" t="str">
        <f t="shared" ref="P206:Q206" si="178">O206</f>
        <v/>
      </c>
      <c r="Q206" s="303" t="str">
        <f t="shared" si="178"/>
        <v/>
      </c>
      <c r="R206" s="307"/>
      <c r="S206" s="308"/>
      <c r="T206" s="2"/>
      <c r="U206" s="59" t="str">
        <f t="shared" si="4"/>
        <v>нет з/ч</v>
      </c>
      <c r="V206" s="304" t="str">
        <f t="shared" si="179"/>
        <v>нет з/ч</v>
      </c>
      <c r="W206" s="2"/>
      <c r="X206" s="289"/>
      <c r="Y206" s="139"/>
      <c r="Z206" s="2"/>
      <c r="AA206" s="2"/>
      <c r="AB206" s="2"/>
      <c r="AC206" s="2"/>
      <c r="AD206" s="2"/>
      <c r="AE206" s="3" t="s">
        <v>6643</v>
      </c>
      <c r="AF206" s="2"/>
      <c r="AG206" s="1" t="s">
        <v>1582</v>
      </c>
      <c r="AH206" s="1" t="s">
        <v>6026</v>
      </c>
      <c r="AI206" s="2">
        <v>90.0</v>
      </c>
      <c r="AJ206" s="1" t="s">
        <v>1589</v>
      </c>
      <c r="AK206" s="1" t="s">
        <v>5877</v>
      </c>
      <c r="AL206" s="1" t="s">
        <v>5878</v>
      </c>
      <c r="AM206" s="2"/>
      <c r="AN206" s="2"/>
      <c r="AO206" s="2"/>
      <c r="AP206" s="2"/>
      <c r="AQ206" s="2"/>
      <c r="AR206" s="2"/>
      <c r="AS206" s="2"/>
      <c r="AT206" s="2"/>
      <c r="AU206" s="126" t="s">
        <v>22</v>
      </c>
      <c r="AV206" s="126" t="s">
        <v>22</v>
      </c>
      <c r="AW206" s="2"/>
      <c r="AX206" s="2"/>
      <c r="AY206" s="2"/>
      <c r="AZ206" s="2"/>
      <c r="BA206" s="2"/>
      <c r="BB206" s="2"/>
      <c r="BC206" s="2"/>
      <c r="BD206" s="2"/>
      <c r="BE206" s="2"/>
    </row>
    <row r="207" hidden="1">
      <c r="A207" s="2"/>
      <c r="B207" s="312" t="s">
        <v>6644</v>
      </c>
      <c r="C207" s="220" t="s">
        <v>6645</v>
      </c>
      <c r="D207" s="11">
        <v>90.0</v>
      </c>
      <c r="E207" s="11" t="s">
        <v>212</v>
      </c>
      <c r="F207" s="11" t="s">
        <v>6423</v>
      </c>
      <c r="G207" s="295" t="s">
        <v>6646</v>
      </c>
      <c r="H207" s="296"/>
      <c r="I207" s="156">
        <v>5200.0</v>
      </c>
      <c r="J207" s="301"/>
      <c r="K207" s="296"/>
      <c r="L207" s="139"/>
      <c r="M207" s="301">
        <v>5200.0</v>
      </c>
      <c r="N207" s="284">
        <v>0.33</v>
      </c>
      <c r="O207" s="296">
        <v>6900.0</v>
      </c>
      <c r="P207" s="314">
        <f t="shared" ref="P207:Q207" si="180">O207</f>
        <v>6900</v>
      </c>
      <c r="Q207" s="303">
        <f t="shared" si="180"/>
        <v>6900</v>
      </c>
      <c r="R207" s="299" t="s">
        <v>6647</v>
      </c>
      <c r="S207" s="300">
        <v>46140.55904550926</v>
      </c>
      <c r="T207" s="2"/>
      <c r="U207" s="289">
        <f t="shared" si="4"/>
        <v>1700</v>
      </c>
      <c r="V207" s="304" t="str">
        <f t="shared" si="179"/>
        <v>нет з/ч</v>
      </c>
      <c r="W207" s="2"/>
      <c r="X207" s="289">
        <v>5200.0</v>
      </c>
      <c r="Y207" s="139"/>
      <c r="Z207" s="2"/>
      <c r="AA207" s="2" t="s">
        <v>6645</v>
      </c>
      <c r="AB207" s="2" t="s">
        <v>6645</v>
      </c>
      <c r="AC207" s="2"/>
      <c r="AD207" s="2" t="s">
        <v>6645</v>
      </c>
      <c r="AE207" s="3" t="s">
        <v>6644</v>
      </c>
      <c r="AF207" s="2"/>
      <c r="AG207" s="1" t="s">
        <v>1582</v>
      </c>
      <c r="AH207" s="1" t="s">
        <v>6026</v>
      </c>
      <c r="AI207" s="2">
        <v>90.0</v>
      </c>
      <c r="AJ207" s="1" t="s">
        <v>1589</v>
      </c>
      <c r="AK207" s="1" t="s">
        <v>5877</v>
      </c>
      <c r="AL207" s="1" t="s">
        <v>5878</v>
      </c>
      <c r="AM207" s="2"/>
      <c r="AN207" s="2"/>
      <c r="AO207" s="2"/>
      <c r="AP207" s="2"/>
      <c r="AQ207" s="2"/>
      <c r="AR207" s="2"/>
      <c r="AS207" s="2"/>
      <c r="AT207" s="2"/>
      <c r="AU207" s="126">
        <v>5200.0</v>
      </c>
      <c r="AV207" s="126">
        <v>6900.0</v>
      </c>
      <c r="AW207" s="2"/>
      <c r="AX207" s="2"/>
      <c r="AY207" s="2"/>
      <c r="AZ207" s="2"/>
      <c r="BA207" s="2"/>
      <c r="BB207" s="2"/>
      <c r="BC207" s="2"/>
      <c r="BD207" s="2"/>
      <c r="BE207" s="2"/>
    </row>
    <row r="208" hidden="1">
      <c r="A208" s="2"/>
      <c r="B208" s="312" t="s">
        <v>6648</v>
      </c>
      <c r="C208" s="84"/>
      <c r="D208" s="11">
        <v>90.0</v>
      </c>
      <c r="E208" s="11" t="s">
        <v>212</v>
      </c>
      <c r="F208" s="11" t="s">
        <v>6423</v>
      </c>
      <c r="G208" s="306"/>
      <c r="H208" s="296"/>
      <c r="I208" s="139"/>
      <c r="J208" s="301"/>
      <c r="K208" s="296"/>
      <c r="L208" s="139"/>
      <c r="M208" s="301" t="s">
        <v>22</v>
      </c>
      <c r="N208" s="284">
        <v>0.12</v>
      </c>
      <c r="O208" s="296" t="s">
        <v>22</v>
      </c>
      <c r="P208" s="314" t="str">
        <f t="shared" ref="P208:Q208" si="181">O208</f>
        <v/>
      </c>
      <c r="Q208" s="303" t="str">
        <f t="shared" si="181"/>
        <v/>
      </c>
      <c r="R208" s="307"/>
      <c r="S208" s="308"/>
      <c r="T208" s="2"/>
      <c r="U208" s="59" t="str">
        <f t="shared" si="4"/>
        <v>нет з/ч</v>
      </c>
      <c r="V208" s="304" t="str">
        <f t="shared" si="179"/>
        <v>нет з/ч</v>
      </c>
      <c r="W208" s="2"/>
      <c r="X208" s="289"/>
      <c r="Y208" s="139"/>
      <c r="Z208" s="2"/>
      <c r="AA208" s="2"/>
      <c r="AB208" s="2"/>
      <c r="AC208" s="2"/>
      <c r="AD208" s="2"/>
      <c r="AE208" s="3" t="s">
        <v>6648</v>
      </c>
      <c r="AF208" s="2"/>
      <c r="AG208" s="1" t="s">
        <v>1582</v>
      </c>
      <c r="AH208" s="1" t="s">
        <v>6026</v>
      </c>
      <c r="AI208" s="2">
        <v>90.0</v>
      </c>
      <c r="AJ208" s="1" t="s">
        <v>1589</v>
      </c>
      <c r="AK208" s="1" t="s">
        <v>5877</v>
      </c>
      <c r="AL208" s="1" t="s">
        <v>5878</v>
      </c>
      <c r="AM208" s="2"/>
      <c r="AN208" s="2"/>
      <c r="AO208" s="2"/>
      <c r="AP208" s="2"/>
      <c r="AQ208" s="2"/>
      <c r="AR208" s="2"/>
      <c r="AS208" s="2"/>
      <c r="AT208" s="2"/>
      <c r="AU208" s="126" t="s">
        <v>22</v>
      </c>
      <c r="AV208" s="126" t="s">
        <v>22</v>
      </c>
      <c r="AW208" s="2"/>
      <c r="AX208" s="2"/>
      <c r="AY208" s="2"/>
      <c r="AZ208" s="2"/>
      <c r="BA208" s="2"/>
      <c r="BB208" s="2"/>
      <c r="BC208" s="2"/>
      <c r="BD208" s="2"/>
      <c r="BE208" s="2"/>
    </row>
    <row r="209" hidden="1">
      <c r="A209" s="2"/>
      <c r="B209" s="312" t="s">
        <v>6649</v>
      </c>
      <c r="C209" s="220" t="s">
        <v>6650</v>
      </c>
      <c r="D209" s="11">
        <v>90.0</v>
      </c>
      <c r="E209" s="11" t="s">
        <v>212</v>
      </c>
      <c r="F209" s="11" t="s">
        <v>6423</v>
      </c>
      <c r="G209" s="295" t="s">
        <v>6651</v>
      </c>
      <c r="H209" s="296"/>
      <c r="I209" s="156">
        <v>5750.0</v>
      </c>
      <c r="J209" s="301"/>
      <c r="K209" s="296"/>
      <c r="L209" s="156">
        <v>5490.0</v>
      </c>
      <c r="M209" s="301">
        <v>5750.0</v>
      </c>
      <c r="N209" s="284">
        <v>0.12</v>
      </c>
      <c r="O209" s="296">
        <v>6450.0</v>
      </c>
      <c r="P209" s="314">
        <f t="shared" ref="P209:Q209" si="182">O209</f>
        <v>6450</v>
      </c>
      <c r="Q209" s="303">
        <f t="shared" si="182"/>
        <v>6450</v>
      </c>
      <c r="R209" s="299" t="s">
        <v>6652</v>
      </c>
      <c r="S209" s="300">
        <v>46140.5590702662</v>
      </c>
      <c r="T209" s="2"/>
      <c r="U209" s="289">
        <f t="shared" si="4"/>
        <v>700</v>
      </c>
      <c r="V209" s="290">
        <f t="shared" si="179"/>
        <v>-5490</v>
      </c>
      <c r="W209" s="2"/>
      <c r="X209" s="289">
        <v>5750.0</v>
      </c>
      <c r="Y209" s="139">
        <v>5490.0</v>
      </c>
      <c r="Z209" s="2"/>
      <c r="AA209" s="2" t="s">
        <v>6650</v>
      </c>
      <c r="AB209" s="2" t="s">
        <v>6650</v>
      </c>
      <c r="AC209" s="2"/>
      <c r="AD209" s="2" t="s">
        <v>6650</v>
      </c>
      <c r="AE209" s="3" t="s">
        <v>6649</v>
      </c>
      <c r="AF209" s="2"/>
      <c r="AG209" s="1" t="s">
        <v>1582</v>
      </c>
      <c r="AH209" s="1" t="s">
        <v>6026</v>
      </c>
      <c r="AI209" s="2">
        <v>90.0</v>
      </c>
      <c r="AJ209" s="1" t="s">
        <v>1589</v>
      </c>
      <c r="AK209" s="1" t="s">
        <v>5877</v>
      </c>
      <c r="AL209" s="1" t="s">
        <v>5878</v>
      </c>
      <c r="AM209" s="2"/>
      <c r="AN209" s="2"/>
      <c r="AO209" s="2"/>
      <c r="AP209" s="2"/>
      <c r="AQ209" s="2"/>
      <c r="AR209" s="2"/>
      <c r="AS209" s="2"/>
      <c r="AT209" s="2"/>
      <c r="AU209" s="126">
        <v>5750.0</v>
      </c>
      <c r="AV209" s="126">
        <v>6450.0</v>
      </c>
      <c r="AW209" s="2"/>
      <c r="AX209" s="2"/>
      <c r="AY209" s="2"/>
      <c r="AZ209" s="2"/>
      <c r="BA209" s="2"/>
      <c r="BB209" s="2"/>
      <c r="BC209" s="2"/>
      <c r="BD209" s="2"/>
      <c r="BE209" s="2"/>
    </row>
    <row r="210" hidden="1">
      <c r="A210" s="2"/>
      <c r="B210" s="312" t="s">
        <v>6653</v>
      </c>
      <c r="C210" s="84"/>
      <c r="D210" s="11">
        <v>90.0</v>
      </c>
      <c r="E210" s="11" t="s">
        <v>228</v>
      </c>
      <c r="F210" s="11" t="s">
        <v>6423</v>
      </c>
      <c r="G210" s="306"/>
      <c r="H210" s="296"/>
      <c r="I210" s="139"/>
      <c r="J210" s="301"/>
      <c r="K210" s="296"/>
      <c r="L210" s="139"/>
      <c r="M210" s="301" t="s">
        <v>22</v>
      </c>
      <c r="N210" s="284">
        <v>0.12</v>
      </c>
      <c r="O210" s="296" t="s">
        <v>22</v>
      </c>
      <c r="P210" s="314" t="str">
        <f t="shared" ref="P210:Q210" si="183">O210</f>
        <v/>
      </c>
      <c r="Q210" s="303" t="str">
        <f t="shared" si="183"/>
        <v/>
      </c>
      <c r="R210" s="307"/>
      <c r="S210" s="308"/>
      <c r="T210" s="2"/>
      <c r="U210" s="59" t="str">
        <f t="shared" si="4"/>
        <v>нет з/ч</v>
      </c>
      <c r="V210" s="304" t="str">
        <f t="shared" ref="V210:V214" si="185">IF(L210&gt;0, Q1155 - L210, "нет з/ч")</f>
        <v>нет з/ч</v>
      </c>
      <c r="W210" s="2"/>
      <c r="X210" s="289"/>
      <c r="Y210" s="139"/>
      <c r="Z210" s="2"/>
      <c r="AA210" s="2"/>
      <c r="AB210" s="2"/>
      <c r="AC210" s="2"/>
      <c r="AD210" s="2"/>
      <c r="AE210" s="3" t="s">
        <v>6653</v>
      </c>
      <c r="AF210" s="2"/>
      <c r="AG210" s="1" t="s">
        <v>1582</v>
      </c>
      <c r="AH210" s="1" t="s">
        <v>6045</v>
      </c>
      <c r="AI210" s="2">
        <v>90.0</v>
      </c>
      <c r="AJ210" s="1" t="s">
        <v>1589</v>
      </c>
      <c r="AK210" s="1" t="s">
        <v>5877</v>
      </c>
      <c r="AL210" s="1" t="s">
        <v>5878</v>
      </c>
      <c r="AM210" s="2"/>
      <c r="AN210" s="2"/>
      <c r="AO210" s="2"/>
      <c r="AP210" s="2"/>
      <c r="AQ210" s="2"/>
      <c r="AR210" s="2"/>
      <c r="AS210" s="2"/>
      <c r="AT210" s="2"/>
      <c r="AU210" s="126" t="s">
        <v>22</v>
      </c>
      <c r="AV210" s="126" t="s">
        <v>22</v>
      </c>
      <c r="AW210" s="2"/>
      <c r="AX210" s="2"/>
      <c r="AY210" s="2"/>
      <c r="AZ210" s="2"/>
      <c r="BA210" s="2"/>
      <c r="BB210" s="2"/>
      <c r="BC210" s="2"/>
      <c r="BD210" s="2"/>
      <c r="BE210" s="2"/>
    </row>
    <row r="211" hidden="1">
      <c r="A211" s="2"/>
      <c r="B211" s="312" t="s">
        <v>6654</v>
      </c>
      <c r="C211" s="84"/>
      <c r="D211" s="11">
        <v>90.0</v>
      </c>
      <c r="E211" s="11" t="s">
        <v>228</v>
      </c>
      <c r="F211" s="11" t="s">
        <v>6423</v>
      </c>
      <c r="G211" s="306"/>
      <c r="H211" s="296"/>
      <c r="I211" s="139"/>
      <c r="J211" s="301"/>
      <c r="K211" s="296"/>
      <c r="L211" s="139"/>
      <c r="M211" s="301" t="s">
        <v>22</v>
      </c>
      <c r="N211" s="284">
        <v>0.12</v>
      </c>
      <c r="O211" s="296" t="s">
        <v>22</v>
      </c>
      <c r="P211" s="314" t="str">
        <f t="shared" ref="P211:Q211" si="184">O211</f>
        <v/>
      </c>
      <c r="Q211" s="303" t="str">
        <f t="shared" si="184"/>
        <v/>
      </c>
      <c r="R211" s="307"/>
      <c r="S211" s="308"/>
      <c r="T211" s="2"/>
      <c r="U211" s="59" t="str">
        <f t="shared" si="4"/>
        <v>нет з/ч</v>
      </c>
      <c r="V211" s="304" t="str">
        <f t="shared" si="185"/>
        <v>нет з/ч</v>
      </c>
      <c r="W211" s="2"/>
      <c r="X211" s="289"/>
      <c r="Y211" s="139"/>
      <c r="Z211" s="2"/>
      <c r="AA211" s="2"/>
      <c r="AB211" s="2"/>
      <c r="AC211" s="2"/>
      <c r="AD211" s="2"/>
      <c r="AE211" s="3" t="s">
        <v>6654</v>
      </c>
      <c r="AF211" s="2"/>
      <c r="AG211" s="1" t="s">
        <v>1582</v>
      </c>
      <c r="AH211" s="1" t="s">
        <v>6045</v>
      </c>
      <c r="AI211" s="2">
        <v>90.0</v>
      </c>
      <c r="AJ211" s="1" t="s">
        <v>1589</v>
      </c>
      <c r="AK211" s="1" t="s">
        <v>5877</v>
      </c>
      <c r="AL211" s="1" t="s">
        <v>5878</v>
      </c>
      <c r="AM211" s="2"/>
      <c r="AN211" s="2"/>
      <c r="AO211" s="2"/>
      <c r="AP211" s="2"/>
      <c r="AQ211" s="2"/>
      <c r="AR211" s="2"/>
      <c r="AS211" s="2"/>
      <c r="AT211" s="2"/>
      <c r="AU211" s="126" t="s">
        <v>22</v>
      </c>
      <c r="AV211" s="126" t="s">
        <v>22</v>
      </c>
      <c r="AW211" s="2"/>
      <c r="AX211" s="2"/>
      <c r="AY211" s="2"/>
      <c r="AZ211" s="2"/>
      <c r="BA211" s="2"/>
      <c r="BB211" s="2"/>
      <c r="BC211" s="2"/>
      <c r="BD211" s="2"/>
      <c r="BE211" s="2"/>
    </row>
    <row r="212" hidden="1">
      <c r="A212" s="2"/>
      <c r="B212" s="312" t="s">
        <v>6655</v>
      </c>
      <c r="C212" s="220" t="s">
        <v>6656</v>
      </c>
      <c r="D212" s="11">
        <v>90.0</v>
      </c>
      <c r="E212" s="11" t="s">
        <v>228</v>
      </c>
      <c r="F212" s="11" t="s">
        <v>6423</v>
      </c>
      <c r="G212" s="295" t="s">
        <v>6657</v>
      </c>
      <c r="H212" s="296"/>
      <c r="I212" s="156">
        <v>10900.0</v>
      </c>
      <c r="J212" s="301"/>
      <c r="K212" s="296"/>
      <c r="L212" s="139"/>
      <c r="M212" s="301">
        <v>10900.0</v>
      </c>
      <c r="N212" s="284">
        <v>0.2</v>
      </c>
      <c r="O212" s="296">
        <v>13100.0</v>
      </c>
      <c r="P212" s="314">
        <f t="shared" ref="P212:Q212" si="186">O212</f>
        <v>13100</v>
      </c>
      <c r="Q212" s="303">
        <f t="shared" si="186"/>
        <v>13100</v>
      </c>
      <c r="R212" s="299" t="s">
        <v>6658</v>
      </c>
      <c r="S212" s="300">
        <v>46140.55909210649</v>
      </c>
      <c r="T212" s="2"/>
      <c r="U212" s="289">
        <f t="shared" si="4"/>
        <v>2200</v>
      </c>
      <c r="V212" s="304" t="str">
        <f t="shared" si="185"/>
        <v>нет з/ч</v>
      </c>
      <c r="W212" s="2"/>
      <c r="X212" s="289">
        <v>10900.0</v>
      </c>
      <c r="Y212" s="139"/>
      <c r="Z212" s="2"/>
      <c r="AA212" s="2" t="s">
        <v>6656</v>
      </c>
      <c r="AB212" s="2" t="s">
        <v>6656</v>
      </c>
      <c r="AC212" s="2"/>
      <c r="AD212" s="2" t="s">
        <v>6656</v>
      </c>
      <c r="AE212" s="3" t="s">
        <v>6655</v>
      </c>
      <c r="AF212" s="2"/>
      <c r="AG212" s="1" t="s">
        <v>1582</v>
      </c>
      <c r="AH212" s="1" t="s">
        <v>6045</v>
      </c>
      <c r="AI212" s="2">
        <v>90.0</v>
      </c>
      <c r="AJ212" s="1" t="s">
        <v>1589</v>
      </c>
      <c r="AK212" s="1" t="s">
        <v>5877</v>
      </c>
      <c r="AL212" s="1" t="s">
        <v>5878</v>
      </c>
      <c r="AM212" s="2"/>
      <c r="AN212" s="2"/>
      <c r="AO212" s="2"/>
      <c r="AP212" s="2"/>
      <c r="AQ212" s="2"/>
      <c r="AR212" s="2"/>
      <c r="AS212" s="2"/>
      <c r="AT212" s="2"/>
      <c r="AU212" s="126">
        <v>10900.0</v>
      </c>
      <c r="AV212" s="126">
        <v>13100.0</v>
      </c>
      <c r="AW212" s="2"/>
      <c r="AX212" s="2"/>
      <c r="AY212" s="2"/>
      <c r="AZ212" s="2"/>
      <c r="BA212" s="2"/>
      <c r="BB212" s="2"/>
      <c r="BC212" s="2"/>
      <c r="BD212" s="2"/>
      <c r="BE212" s="2"/>
    </row>
    <row r="213" hidden="1">
      <c r="A213" s="2"/>
      <c r="B213" s="312" t="s">
        <v>6659</v>
      </c>
      <c r="C213" s="84"/>
      <c r="D213" s="11">
        <v>90.0</v>
      </c>
      <c r="E213" s="11" t="s">
        <v>228</v>
      </c>
      <c r="F213" s="11" t="s">
        <v>6423</v>
      </c>
      <c r="G213" s="306"/>
      <c r="H213" s="296"/>
      <c r="I213" s="139"/>
      <c r="J213" s="301"/>
      <c r="K213" s="296"/>
      <c r="L213" s="139"/>
      <c r="M213" s="301" t="s">
        <v>22</v>
      </c>
      <c r="N213" s="284">
        <v>0.12</v>
      </c>
      <c r="O213" s="296" t="s">
        <v>22</v>
      </c>
      <c r="P213" s="314" t="str">
        <f t="shared" ref="P213:Q213" si="187">O213</f>
        <v/>
      </c>
      <c r="Q213" s="303" t="str">
        <f t="shared" si="187"/>
        <v/>
      </c>
      <c r="R213" s="307"/>
      <c r="S213" s="308"/>
      <c r="T213" s="2"/>
      <c r="U213" s="59" t="str">
        <f t="shared" si="4"/>
        <v>нет з/ч</v>
      </c>
      <c r="V213" s="304" t="str">
        <f t="shared" si="185"/>
        <v>нет з/ч</v>
      </c>
      <c r="W213" s="2"/>
      <c r="X213" s="289"/>
      <c r="Y213" s="139"/>
      <c r="Z213" s="2"/>
      <c r="AA213" s="2"/>
      <c r="AB213" s="2"/>
      <c r="AC213" s="2"/>
      <c r="AD213" s="2"/>
      <c r="AE213" s="3" t="s">
        <v>6659</v>
      </c>
      <c r="AF213" s="2"/>
      <c r="AG213" s="1" t="s">
        <v>1582</v>
      </c>
      <c r="AH213" s="1" t="s">
        <v>6045</v>
      </c>
      <c r="AI213" s="2">
        <v>90.0</v>
      </c>
      <c r="AJ213" s="1" t="s">
        <v>1589</v>
      </c>
      <c r="AK213" s="1" t="s">
        <v>5877</v>
      </c>
      <c r="AL213" s="1" t="s">
        <v>5878</v>
      </c>
      <c r="AM213" s="2"/>
      <c r="AN213" s="2"/>
      <c r="AO213" s="2"/>
      <c r="AP213" s="2"/>
      <c r="AQ213" s="2"/>
      <c r="AR213" s="2"/>
      <c r="AS213" s="2"/>
      <c r="AT213" s="2"/>
      <c r="AU213" s="126" t="s">
        <v>22</v>
      </c>
      <c r="AV213" s="126" t="s">
        <v>22</v>
      </c>
      <c r="AW213" s="2"/>
      <c r="AX213" s="2"/>
      <c r="AY213" s="2"/>
      <c r="AZ213" s="2"/>
      <c r="BA213" s="2"/>
      <c r="BB213" s="2"/>
      <c r="BC213" s="2"/>
      <c r="BD213" s="2"/>
      <c r="BE213" s="2"/>
    </row>
    <row r="214" hidden="1">
      <c r="A214" s="2"/>
      <c r="B214" s="312" t="s">
        <v>6660</v>
      </c>
      <c r="C214" s="220" t="s">
        <v>6661</v>
      </c>
      <c r="D214" s="11">
        <v>90.0</v>
      </c>
      <c r="E214" s="11" t="s">
        <v>228</v>
      </c>
      <c r="F214" s="11" t="s">
        <v>6423</v>
      </c>
      <c r="G214" s="295" t="s">
        <v>6662</v>
      </c>
      <c r="H214" s="296"/>
      <c r="I214" s="156">
        <v>9900.0</v>
      </c>
      <c r="J214" s="301"/>
      <c r="K214" s="296"/>
      <c r="L214" s="156">
        <v>10690.0</v>
      </c>
      <c r="M214" s="301">
        <v>10690.0</v>
      </c>
      <c r="N214" s="284">
        <v>0.18</v>
      </c>
      <c r="O214" s="296">
        <v>12600.0</v>
      </c>
      <c r="P214" s="314">
        <f t="shared" ref="P214:Q214" si="188">O214</f>
        <v>12600</v>
      </c>
      <c r="Q214" s="303">
        <f t="shared" si="188"/>
        <v>12600</v>
      </c>
      <c r="R214" s="299" t="s">
        <v>6663</v>
      </c>
      <c r="S214" s="300">
        <v>46140.5591171875</v>
      </c>
      <c r="T214" s="2"/>
      <c r="U214" s="289">
        <f t="shared" si="4"/>
        <v>2700</v>
      </c>
      <c r="V214" s="290">
        <f t="shared" si="185"/>
        <v>-10690</v>
      </c>
      <c r="W214" s="2"/>
      <c r="X214" s="289">
        <v>9900.0</v>
      </c>
      <c r="Y214" s="139">
        <v>10690.0</v>
      </c>
      <c r="Z214" s="2"/>
      <c r="AA214" s="2" t="s">
        <v>6661</v>
      </c>
      <c r="AB214" s="2" t="s">
        <v>6661</v>
      </c>
      <c r="AC214" s="2"/>
      <c r="AD214" s="2" t="s">
        <v>6661</v>
      </c>
      <c r="AE214" s="3" t="s">
        <v>6660</v>
      </c>
      <c r="AF214" s="2"/>
      <c r="AG214" s="1" t="s">
        <v>1582</v>
      </c>
      <c r="AH214" s="1" t="s">
        <v>6045</v>
      </c>
      <c r="AI214" s="2">
        <v>90.0</v>
      </c>
      <c r="AJ214" s="1" t="s">
        <v>1589</v>
      </c>
      <c r="AK214" s="1" t="s">
        <v>5877</v>
      </c>
      <c r="AL214" s="1" t="s">
        <v>5878</v>
      </c>
      <c r="AM214" s="2"/>
      <c r="AN214" s="2"/>
      <c r="AO214" s="2"/>
      <c r="AP214" s="2"/>
      <c r="AQ214" s="2"/>
      <c r="AR214" s="2"/>
      <c r="AS214" s="2"/>
      <c r="AT214" s="2"/>
      <c r="AU214" s="126">
        <v>10690.0</v>
      </c>
      <c r="AV214" s="126">
        <v>12600.0</v>
      </c>
      <c r="AW214" s="2"/>
      <c r="AX214" s="2"/>
      <c r="AY214" s="2"/>
      <c r="AZ214" s="2"/>
      <c r="BA214" s="2"/>
      <c r="BB214" s="2"/>
      <c r="BC214" s="2"/>
      <c r="BD214" s="2"/>
      <c r="BE214" s="2"/>
    </row>
    <row r="215" hidden="1">
      <c r="A215" s="2"/>
      <c r="B215" s="312" t="s">
        <v>6664</v>
      </c>
      <c r="C215" s="84"/>
      <c r="D215" s="11">
        <v>90.0</v>
      </c>
      <c r="E215" s="11" t="s">
        <v>236</v>
      </c>
      <c r="F215" s="11" t="s">
        <v>6423</v>
      </c>
      <c r="G215" s="306"/>
      <c r="H215" s="296"/>
      <c r="I215" s="139"/>
      <c r="J215" s="301"/>
      <c r="K215" s="296"/>
      <c r="L215" s="139"/>
      <c r="M215" s="301" t="s">
        <v>22</v>
      </c>
      <c r="N215" s="284">
        <v>0.12</v>
      </c>
      <c r="O215" s="296" t="s">
        <v>22</v>
      </c>
      <c r="P215" s="314" t="str">
        <f t="shared" ref="P215:Q215" si="189">O215</f>
        <v/>
      </c>
      <c r="Q215" s="303" t="str">
        <f t="shared" si="189"/>
        <v/>
      </c>
      <c r="R215" s="307"/>
      <c r="S215" s="300">
        <v>46111.54236298611</v>
      </c>
      <c r="T215" s="2"/>
      <c r="U215" s="59" t="str">
        <f t="shared" si="4"/>
        <v>нет з/ч</v>
      </c>
      <c r="V215" s="304" t="str">
        <f t="shared" ref="V215:V219" si="191">IF(L215&gt;0, Q1163 - L215, "нет з/ч")</f>
        <v>нет з/ч</v>
      </c>
      <c r="W215" s="2"/>
      <c r="X215" s="289"/>
      <c r="Y215" s="139"/>
      <c r="Z215" s="2"/>
      <c r="AA215" s="2"/>
      <c r="AB215" s="2"/>
      <c r="AC215" s="2"/>
      <c r="AD215" s="2"/>
      <c r="AE215" s="3" t="s">
        <v>6664</v>
      </c>
      <c r="AF215" s="2"/>
      <c r="AG215" s="1" t="s">
        <v>1582</v>
      </c>
      <c r="AH215" s="1" t="s">
        <v>6069</v>
      </c>
      <c r="AI215" s="2">
        <v>90.0</v>
      </c>
      <c r="AJ215" s="1" t="s">
        <v>1589</v>
      </c>
      <c r="AK215" s="1" t="s">
        <v>5877</v>
      </c>
      <c r="AL215" s="1" t="s">
        <v>5878</v>
      </c>
      <c r="AM215" s="2"/>
      <c r="AN215" s="2"/>
      <c r="AO215" s="2"/>
      <c r="AP215" s="2"/>
      <c r="AQ215" s="2"/>
      <c r="AR215" s="2"/>
      <c r="AS215" s="2"/>
      <c r="AT215" s="2"/>
      <c r="AU215" s="126" t="s">
        <v>22</v>
      </c>
      <c r="AV215" s="126" t="s">
        <v>22</v>
      </c>
      <c r="AW215" s="2"/>
      <c r="AX215" s="2"/>
      <c r="AY215" s="2"/>
      <c r="AZ215" s="2"/>
      <c r="BA215" s="2"/>
      <c r="BB215" s="2"/>
      <c r="BC215" s="2"/>
      <c r="BD215" s="2"/>
      <c r="BE215" s="2"/>
    </row>
    <row r="216" hidden="1">
      <c r="A216" s="2"/>
      <c r="B216" s="312" t="s">
        <v>6665</v>
      </c>
      <c r="C216" s="220" t="s">
        <v>6666</v>
      </c>
      <c r="D216" s="11">
        <v>90.0</v>
      </c>
      <c r="E216" s="11" t="s">
        <v>236</v>
      </c>
      <c r="F216" s="11" t="s">
        <v>6423</v>
      </c>
      <c r="G216" s="295" t="s">
        <v>6667</v>
      </c>
      <c r="H216" s="296"/>
      <c r="I216" s="156">
        <v>6400.0</v>
      </c>
      <c r="J216" s="301"/>
      <c r="K216" s="296"/>
      <c r="L216" s="139"/>
      <c r="M216" s="301">
        <v>6400.0</v>
      </c>
      <c r="N216" s="284">
        <v>0.25</v>
      </c>
      <c r="O216" s="296">
        <v>8000.0</v>
      </c>
      <c r="P216" s="314">
        <f t="shared" ref="P216:Q216" si="190">O216</f>
        <v>8000</v>
      </c>
      <c r="Q216" s="303">
        <f t="shared" si="190"/>
        <v>8000</v>
      </c>
      <c r="R216" s="299" t="s">
        <v>6668</v>
      </c>
      <c r="S216" s="300">
        <v>46140.55918471065</v>
      </c>
      <c r="T216" s="2"/>
      <c r="U216" s="289">
        <f t="shared" si="4"/>
        <v>1600</v>
      </c>
      <c r="V216" s="304" t="str">
        <f t="shared" si="191"/>
        <v>нет з/ч</v>
      </c>
      <c r="W216" s="2"/>
      <c r="X216" s="289">
        <v>6400.0</v>
      </c>
      <c r="Y216" s="139"/>
      <c r="Z216" s="2"/>
      <c r="AA216" s="2" t="s">
        <v>6666</v>
      </c>
      <c r="AB216" s="2" t="s">
        <v>6666</v>
      </c>
      <c r="AC216" s="2"/>
      <c r="AD216" s="2" t="s">
        <v>6666</v>
      </c>
      <c r="AE216" s="3" t="s">
        <v>6665</v>
      </c>
      <c r="AF216" s="2"/>
      <c r="AG216" s="1" t="s">
        <v>1582</v>
      </c>
      <c r="AH216" s="1" t="s">
        <v>6069</v>
      </c>
      <c r="AI216" s="2">
        <v>90.0</v>
      </c>
      <c r="AJ216" s="1" t="s">
        <v>1589</v>
      </c>
      <c r="AK216" s="1" t="s">
        <v>5877</v>
      </c>
      <c r="AL216" s="1" t="s">
        <v>5878</v>
      </c>
      <c r="AM216" s="2"/>
      <c r="AN216" s="2"/>
      <c r="AO216" s="2"/>
      <c r="AP216" s="2"/>
      <c r="AQ216" s="2"/>
      <c r="AR216" s="2"/>
      <c r="AS216" s="2"/>
      <c r="AT216" s="2"/>
      <c r="AU216" s="126">
        <v>6400.0</v>
      </c>
      <c r="AV216" s="126">
        <v>8000.0</v>
      </c>
      <c r="AW216" s="2"/>
      <c r="AX216" s="2"/>
      <c r="AY216" s="2"/>
      <c r="AZ216" s="2"/>
      <c r="BA216" s="2"/>
      <c r="BB216" s="2"/>
      <c r="BC216" s="2"/>
      <c r="BD216" s="2"/>
      <c r="BE216" s="2"/>
    </row>
    <row r="217" hidden="1">
      <c r="A217" s="2"/>
      <c r="B217" s="312" t="s">
        <v>6669</v>
      </c>
      <c r="C217" s="220" t="s">
        <v>6670</v>
      </c>
      <c r="D217" s="11">
        <v>90.0</v>
      </c>
      <c r="E217" s="11" t="s">
        <v>236</v>
      </c>
      <c r="F217" s="11" t="s">
        <v>6423</v>
      </c>
      <c r="G217" s="295" t="s">
        <v>6671</v>
      </c>
      <c r="H217" s="296"/>
      <c r="I217" s="156">
        <v>6400.0</v>
      </c>
      <c r="J217" s="301"/>
      <c r="K217" s="296"/>
      <c r="L217" s="139"/>
      <c r="M217" s="301">
        <v>6400.0</v>
      </c>
      <c r="N217" s="284">
        <v>0.2</v>
      </c>
      <c r="O217" s="296">
        <v>7700.0</v>
      </c>
      <c r="P217" s="314">
        <f t="shared" ref="P217:Q217" si="192">O217</f>
        <v>7700</v>
      </c>
      <c r="Q217" s="303">
        <f t="shared" si="192"/>
        <v>7700</v>
      </c>
      <c r="R217" s="299" t="s">
        <v>6672</v>
      </c>
      <c r="S217" s="300">
        <v>46140.55920820602</v>
      </c>
      <c r="T217" s="2"/>
      <c r="U217" s="289">
        <f t="shared" si="4"/>
        <v>1300</v>
      </c>
      <c r="V217" s="304" t="str">
        <f t="shared" si="191"/>
        <v>нет з/ч</v>
      </c>
      <c r="W217" s="2"/>
      <c r="X217" s="289">
        <v>6400.0</v>
      </c>
      <c r="Y217" s="139"/>
      <c r="Z217" s="2"/>
      <c r="AA217" s="2" t="s">
        <v>6670</v>
      </c>
      <c r="AB217" s="2" t="s">
        <v>6670</v>
      </c>
      <c r="AC217" s="2"/>
      <c r="AD217" s="2" t="s">
        <v>6670</v>
      </c>
      <c r="AE217" s="3" t="s">
        <v>6669</v>
      </c>
      <c r="AF217" s="2"/>
      <c r="AG217" s="1" t="s">
        <v>1582</v>
      </c>
      <c r="AH217" s="1" t="s">
        <v>6069</v>
      </c>
      <c r="AI217" s="2">
        <v>90.0</v>
      </c>
      <c r="AJ217" s="1" t="s">
        <v>1589</v>
      </c>
      <c r="AK217" s="1" t="s">
        <v>5877</v>
      </c>
      <c r="AL217" s="1" t="s">
        <v>5878</v>
      </c>
      <c r="AM217" s="2"/>
      <c r="AN217" s="2"/>
      <c r="AO217" s="2"/>
      <c r="AP217" s="2"/>
      <c r="AQ217" s="2"/>
      <c r="AR217" s="2"/>
      <c r="AS217" s="2"/>
      <c r="AT217" s="2"/>
      <c r="AU217" s="126">
        <v>6400.0</v>
      </c>
      <c r="AV217" s="126">
        <v>7700.0</v>
      </c>
      <c r="AW217" s="2"/>
      <c r="AX217" s="2"/>
      <c r="AY217" s="2"/>
      <c r="AZ217" s="2"/>
      <c r="BA217" s="2"/>
      <c r="BB217" s="2"/>
      <c r="BC217" s="2"/>
      <c r="BD217" s="2"/>
      <c r="BE217" s="2"/>
    </row>
    <row r="218" hidden="1">
      <c r="A218" s="2"/>
      <c r="B218" s="312" t="s">
        <v>6673</v>
      </c>
      <c r="C218" s="84"/>
      <c r="D218" s="11">
        <v>90.0</v>
      </c>
      <c r="E218" s="11" t="s">
        <v>236</v>
      </c>
      <c r="F218" s="11" t="s">
        <v>6423</v>
      </c>
      <c r="G218" s="295" t="s">
        <v>6674</v>
      </c>
      <c r="H218" s="296"/>
      <c r="I218" s="156">
        <v>6400.0</v>
      </c>
      <c r="J218" s="301"/>
      <c r="K218" s="296"/>
      <c r="L218" s="156">
        <v>6290.0</v>
      </c>
      <c r="M218" s="301">
        <v>6400.0</v>
      </c>
      <c r="N218" s="284">
        <v>0.125</v>
      </c>
      <c r="O218" s="296">
        <v>7200.0</v>
      </c>
      <c r="P218" s="314">
        <f t="shared" ref="P218:Q218" si="193">O218</f>
        <v>7200</v>
      </c>
      <c r="Q218" s="303">
        <f t="shared" si="193"/>
        <v>7200</v>
      </c>
      <c r="R218" s="299" t="s">
        <v>6675</v>
      </c>
      <c r="S218" s="300">
        <v>46140.559230451385</v>
      </c>
      <c r="T218" s="2"/>
      <c r="U218" s="289">
        <f t="shared" si="4"/>
        <v>800</v>
      </c>
      <c r="V218" s="290">
        <f t="shared" si="191"/>
        <v>-6290</v>
      </c>
      <c r="W218" s="2"/>
      <c r="X218" s="289">
        <v>6400.0</v>
      </c>
      <c r="Y218" s="139">
        <v>6290.0</v>
      </c>
      <c r="Z218" s="2"/>
      <c r="AA218" s="2"/>
      <c r="AB218" s="2"/>
      <c r="AC218" s="2"/>
      <c r="AD218" s="2"/>
      <c r="AE218" s="3" t="s">
        <v>6673</v>
      </c>
      <c r="AF218" s="2"/>
      <c r="AG218" s="1" t="s">
        <v>1582</v>
      </c>
      <c r="AH218" s="1" t="s">
        <v>6069</v>
      </c>
      <c r="AI218" s="2">
        <v>90.0</v>
      </c>
      <c r="AJ218" s="1" t="s">
        <v>1589</v>
      </c>
      <c r="AK218" s="1" t="s">
        <v>5877</v>
      </c>
      <c r="AL218" s="1" t="s">
        <v>5878</v>
      </c>
      <c r="AM218" s="2"/>
      <c r="AN218" s="2"/>
      <c r="AO218" s="2"/>
      <c r="AP218" s="2"/>
      <c r="AQ218" s="2"/>
      <c r="AR218" s="2"/>
      <c r="AS218" s="2"/>
      <c r="AT218" s="2"/>
      <c r="AU218" s="126">
        <v>6400.0</v>
      </c>
      <c r="AV218" s="126">
        <v>7200.0</v>
      </c>
      <c r="AW218" s="2"/>
      <c r="AX218" s="2"/>
      <c r="AY218" s="2"/>
      <c r="AZ218" s="2"/>
      <c r="BA218" s="2"/>
      <c r="BB218" s="2"/>
      <c r="BC218" s="2"/>
      <c r="BD218" s="2"/>
      <c r="BE218" s="2"/>
    </row>
    <row r="219" hidden="1">
      <c r="A219" s="2"/>
      <c r="B219" s="312" t="s">
        <v>6676</v>
      </c>
      <c r="C219" s="220" t="s">
        <v>6677</v>
      </c>
      <c r="D219" s="11">
        <v>90.0</v>
      </c>
      <c r="E219" s="11" t="s">
        <v>236</v>
      </c>
      <c r="F219" s="11" t="s">
        <v>6423</v>
      </c>
      <c r="G219" s="295" t="s">
        <v>6678</v>
      </c>
      <c r="H219" s="296"/>
      <c r="I219" s="156">
        <v>5300.0</v>
      </c>
      <c r="J219" s="301"/>
      <c r="K219" s="296"/>
      <c r="L219" s="156">
        <v>5990.0</v>
      </c>
      <c r="M219" s="301">
        <v>5990.0</v>
      </c>
      <c r="N219" s="284">
        <v>0.12</v>
      </c>
      <c r="O219" s="296">
        <v>6700.0</v>
      </c>
      <c r="P219" s="314">
        <f t="shared" ref="P219:Q219" si="194">O219</f>
        <v>6700</v>
      </c>
      <c r="Q219" s="303">
        <f t="shared" si="194"/>
        <v>6700</v>
      </c>
      <c r="R219" s="299" t="s">
        <v>6679</v>
      </c>
      <c r="S219" s="300">
        <v>46140.55925251158</v>
      </c>
      <c r="T219" s="2"/>
      <c r="U219" s="289">
        <f t="shared" si="4"/>
        <v>1400</v>
      </c>
      <c r="V219" s="290">
        <f t="shared" si="191"/>
        <v>-5990</v>
      </c>
      <c r="W219" s="2"/>
      <c r="X219" s="289">
        <v>5300.0</v>
      </c>
      <c r="Y219" s="139">
        <v>5990.0</v>
      </c>
      <c r="Z219" s="2"/>
      <c r="AA219" s="2" t="s">
        <v>6677</v>
      </c>
      <c r="AB219" s="2" t="s">
        <v>6677</v>
      </c>
      <c r="AC219" s="2"/>
      <c r="AD219" s="2" t="s">
        <v>6677</v>
      </c>
      <c r="AE219" s="3" t="s">
        <v>6676</v>
      </c>
      <c r="AF219" s="2"/>
      <c r="AG219" s="1" t="s">
        <v>1582</v>
      </c>
      <c r="AH219" s="1" t="s">
        <v>6069</v>
      </c>
      <c r="AI219" s="2">
        <v>90.0</v>
      </c>
      <c r="AJ219" s="1" t="s">
        <v>1589</v>
      </c>
      <c r="AK219" s="1" t="s">
        <v>5877</v>
      </c>
      <c r="AL219" s="1" t="s">
        <v>5878</v>
      </c>
      <c r="AM219" s="2"/>
      <c r="AN219" s="2"/>
      <c r="AO219" s="2"/>
      <c r="AP219" s="2"/>
      <c r="AQ219" s="2"/>
      <c r="AR219" s="2"/>
      <c r="AS219" s="2"/>
      <c r="AT219" s="2"/>
      <c r="AU219" s="126">
        <v>5990.0</v>
      </c>
      <c r="AV219" s="126">
        <v>6700.0</v>
      </c>
      <c r="AW219" s="2"/>
      <c r="AX219" s="2"/>
      <c r="AY219" s="2"/>
      <c r="AZ219" s="2"/>
      <c r="BA219" s="2"/>
      <c r="BB219" s="2"/>
      <c r="BC219" s="2"/>
      <c r="BD219" s="2"/>
      <c r="BE219" s="2"/>
    </row>
    <row r="220" hidden="1">
      <c r="A220" s="2"/>
      <c r="B220" s="312" t="s">
        <v>6680</v>
      </c>
      <c r="C220" s="84"/>
      <c r="D220" s="11">
        <v>90.0</v>
      </c>
      <c r="E220" s="11" t="s">
        <v>238</v>
      </c>
      <c r="F220" s="11" t="s">
        <v>6423</v>
      </c>
      <c r="G220" s="306"/>
      <c r="H220" s="296"/>
      <c r="I220" s="139"/>
      <c r="J220" s="301"/>
      <c r="K220" s="296"/>
      <c r="L220" s="139"/>
      <c r="M220" s="301" t="s">
        <v>22</v>
      </c>
      <c r="N220" s="284">
        <v>0.12</v>
      </c>
      <c r="O220" s="296" t="s">
        <v>22</v>
      </c>
      <c r="P220" s="314" t="str">
        <f t="shared" ref="P220:Q220" si="195">O220</f>
        <v/>
      </c>
      <c r="Q220" s="303" t="str">
        <f t="shared" si="195"/>
        <v/>
      </c>
      <c r="R220" s="307"/>
      <c r="S220" s="308"/>
      <c r="T220" s="2"/>
      <c r="U220" s="59" t="str">
        <f t="shared" si="4"/>
        <v>нет з/ч</v>
      </c>
      <c r="V220" s="304" t="str">
        <f t="shared" ref="V220:V224" si="197">IF(L220&gt;0, Q1171 - L220, "нет з/ч")</f>
        <v>нет з/ч</v>
      </c>
      <c r="W220" s="2"/>
      <c r="X220" s="289"/>
      <c r="Y220" s="139"/>
      <c r="Z220" s="2"/>
      <c r="AA220" s="2"/>
      <c r="AB220" s="2"/>
      <c r="AC220" s="2"/>
      <c r="AD220" s="2"/>
      <c r="AE220" s="3" t="s">
        <v>6680</v>
      </c>
      <c r="AF220" s="2"/>
      <c r="AG220" s="1" t="s">
        <v>1582</v>
      </c>
      <c r="AH220" s="1" t="s">
        <v>6093</v>
      </c>
      <c r="AI220" s="2">
        <v>90.0</v>
      </c>
      <c r="AJ220" s="1" t="s">
        <v>1589</v>
      </c>
      <c r="AK220" s="1" t="s">
        <v>5877</v>
      </c>
      <c r="AL220" s="1" t="s">
        <v>5878</v>
      </c>
      <c r="AM220" s="2"/>
      <c r="AN220" s="2"/>
      <c r="AO220" s="2"/>
      <c r="AP220" s="2"/>
      <c r="AQ220" s="2"/>
      <c r="AR220" s="2"/>
      <c r="AS220" s="2"/>
      <c r="AT220" s="2"/>
      <c r="AU220" s="126" t="s">
        <v>22</v>
      </c>
      <c r="AV220" s="126" t="s">
        <v>22</v>
      </c>
      <c r="AW220" s="2"/>
      <c r="AX220" s="2"/>
      <c r="AY220" s="2"/>
      <c r="AZ220" s="2"/>
      <c r="BA220" s="2"/>
      <c r="BB220" s="2"/>
      <c r="BC220" s="2"/>
      <c r="BD220" s="2"/>
      <c r="BE220" s="2"/>
    </row>
    <row r="221" hidden="1">
      <c r="A221" s="2"/>
      <c r="B221" s="312" t="s">
        <v>6681</v>
      </c>
      <c r="C221" s="220" t="s">
        <v>6682</v>
      </c>
      <c r="D221" s="11">
        <v>90.0</v>
      </c>
      <c r="E221" s="11" t="s">
        <v>238</v>
      </c>
      <c r="F221" s="11" t="s">
        <v>6423</v>
      </c>
      <c r="G221" s="295" t="s">
        <v>6683</v>
      </c>
      <c r="H221" s="296"/>
      <c r="I221" s="156">
        <v>12750.0</v>
      </c>
      <c r="J221" s="301"/>
      <c r="K221" s="296"/>
      <c r="L221" s="139"/>
      <c r="M221" s="301">
        <v>12750.0</v>
      </c>
      <c r="N221" s="284">
        <v>0.15</v>
      </c>
      <c r="O221" s="296">
        <v>14650.0</v>
      </c>
      <c r="P221" s="314">
        <f t="shared" ref="P221:Q221" si="196">O221</f>
        <v>14650</v>
      </c>
      <c r="Q221" s="303">
        <f t="shared" si="196"/>
        <v>14650</v>
      </c>
      <c r="R221" s="299" t="s">
        <v>6684</v>
      </c>
      <c r="S221" s="300">
        <v>46140.55932108796</v>
      </c>
      <c r="T221" s="2"/>
      <c r="U221" s="289">
        <f t="shared" si="4"/>
        <v>1900</v>
      </c>
      <c r="V221" s="304" t="str">
        <f t="shared" si="197"/>
        <v>нет з/ч</v>
      </c>
      <c r="W221" s="2"/>
      <c r="X221" s="289">
        <v>12750.0</v>
      </c>
      <c r="Y221" s="139"/>
      <c r="Z221" s="2"/>
      <c r="AA221" s="2" t="s">
        <v>6682</v>
      </c>
      <c r="AB221" s="2" t="s">
        <v>6682</v>
      </c>
      <c r="AC221" s="2"/>
      <c r="AD221" s="2" t="s">
        <v>6682</v>
      </c>
      <c r="AE221" s="3" t="s">
        <v>6681</v>
      </c>
      <c r="AF221" s="2"/>
      <c r="AG221" s="1" t="s">
        <v>1582</v>
      </c>
      <c r="AH221" s="1" t="s">
        <v>6093</v>
      </c>
      <c r="AI221" s="2">
        <v>90.0</v>
      </c>
      <c r="AJ221" s="1" t="s">
        <v>1589</v>
      </c>
      <c r="AK221" s="1" t="s">
        <v>5877</v>
      </c>
      <c r="AL221" s="1" t="s">
        <v>5878</v>
      </c>
      <c r="AM221" s="2"/>
      <c r="AN221" s="2"/>
      <c r="AO221" s="2"/>
      <c r="AP221" s="2"/>
      <c r="AQ221" s="2"/>
      <c r="AR221" s="2"/>
      <c r="AS221" s="2"/>
      <c r="AT221" s="2"/>
      <c r="AU221" s="126">
        <v>12750.0</v>
      </c>
      <c r="AV221" s="126">
        <v>14650.0</v>
      </c>
      <c r="AW221" s="2"/>
      <c r="AX221" s="2"/>
      <c r="AY221" s="2"/>
      <c r="AZ221" s="2"/>
      <c r="BA221" s="2"/>
      <c r="BB221" s="2"/>
      <c r="BC221" s="2"/>
      <c r="BD221" s="2"/>
      <c r="BE221" s="2"/>
    </row>
    <row r="222" hidden="1">
      <c r="A222" s="2"/>
      <c r="B222" s="312" t="s">
        <v>6685</v>
      </c>
      <c r="C222" s="220" t="s">
        <v>6686</v>
      </c>
      <c r="D222" s="11">
        <v>90.0</v>
      </c>
      <c r="E222" s="11" t="s">
        <v>238</v>
      </c>
      <c r="F222" s="11" t="s">
        <v>6423</v>
      </c>
      <c r="G222" s="295" t="s">
        <v>6687</v>
      </c>
      <c r="H222" s="296"/>
      <c r="I222" s="156">
        <v>10200.0</v>
      </c>
      <c r="J222" s="301"/>
      <c r="K222" s="296"/>
      <c r="L222" s="139"/>
      <c r="M222" s="301">
        <v>10200.0</v>
      </c>
      <c r="N222" s="284">
        <v>0.175</v>
      </c>
      <c r="O222" s="296">
        <v>12000.0</v>
      </c>
      <c r="P222" s="314">
        <f t="shared" ref="P222:Q222" si="198">O222</f>
        <v>12000</v>
      </c>
      <c r="Q222" s="303">
        <f t="shared" si="198"/>
        <v>12000</v>
      </c>
      <c r="R222" s="299" t="s">
        <v>6688</v>
      </c>
      <c r="S222" s="300">
        <v>46140.55934400463</v>
      </c>
      <c r="T222" s="2"/>
      <c r="U222" s="289">
        <f t="shared" si="4"/>
        <v>1800</v>
      </c>
      <c r="V222" s="304" t="str">
        <f t="shared" si="197"/>
        <v>нет з/ч</v>
      </c>
      <c r="W222" s="2"/>
      <c r="X222" s="289">
        <v>10200.0</v>
      </c>
      <c r="Y222" s="139"/>
      <c r="Z222" s="2"/>
      <c r="AA222" s="2" t="s">
        <v>6686</v>
      </c>
      <c r="AB222" s="2" t="s">
        <v>6686</v>
      </c>
      <c r="AC222" s="2"/>
      <c r="AD222" s="2" t="s">
        <v>6686</v>
      </c>
      <c r="AE222" s="3" t="s">
        <v>6685</v>
      </c>
      <c r="AF222" s="2"/>
      <c r="AG222" s="1" t="s">
        <v>1582</v>
      </c>
      <c r="AH222" s="1" t="s">
        <v>6093</v>
      </c>
      <c r="AI222" s="2">
        <v>90.0</v>
      </c>
      <c r="AJ222" s="1" t="s">
        <v>1589</v>
      </c>
      <c r="AK222" s="1" t="s">
        <v>5877</v>
      </c>
      <c r="AL222" s="1" t="s">
        <v>5878</v>
      </c>
      <c r="AM222" s="2"/>
      <c r="AN222" s="2"/>
      <c r="AO222" s="2"/>
      <c r="AP222" s="2"/>
      <c r="AQ222" s="2"/>
      <c r="AR222" s="2"/>
      <c r="AS222" s="2"/>
      <c r="AT222" s="2"/>
      <c r="AU222" s="126">
        <v>10200.0</v>
      </c>
      <c r="AV222" s="126">
        <v>12000.0</v>
      </c>
      <c r="AW222" s="2"/>
      <c r="AX222" s="2"/>
      <c r="AY222" s="2"/>
      <c r="AZ222" s="2"/>
      <c r="BA222" s="2"/>
      <c r="BB222" s="2"/>
      <c r="BC222" s="2"/>
      <c r="BD222" s="2"/>
      <c r="BE222" s="2"/>
    </row>
    <row r="223" hidden="1">
      <c r="A223" s="2"/>
      <c r="B223" s="312" t="s">
        <v>6689</v>
      </c>
      <c r="C223" s="84"/>
      <c r="D223" s="11">
        <v>90.0</v>
      </c>
      <c r="E223" s="11" t="s">
        <v>238</v>
      </c>
      <c r="F223" s="11" t="s">
        <v>6423</v>
      </c>
      <c r="G223" s="306"/>
      <c r="H223" s="296"/>
      <c r="I223" s="139"/>
      <c r="J223" s="301"/>
      <c r="K223" s="296"/>
      <c r="L223" s="139"/>
      <c r="M223" s="301" t="s">
        <v>22</v>
      </c>
      <c r="N223" s="284">
        <v>0.12</v>
      </c>
      <c r="O223" s="296" t="s">
        <v>22</v>
      </c>
      <c r="P223" s="314" t="str">
        <f t="shared" ref="P223:Q223" si="199">O223</f>
        <v/>
      </c>
      <c r="Q223" s="303" t="str">
        <f t="shared" si="199"/>
        <v/>
      </c>
      <c r="R223" s="307"/>
      <c r="S223" s="300">
        <v>46111.542778159725</v>
      </c>
      <c r="T223" s="2"/>
      <c r="U223" s="59" t="str">
        <f t="shared" si="4"/>
        <v>нет з/ч</v>
      </c>
      <c r="V223" s="304" t="str">
        <f t="shared" si="197"/>
        <v>нет з/ч</v>
      </c>
      <c r="W223" s="2"/>
      <c r="X223" s="289"/>
      <c r="Y223" s="139"/>
      <c r="Z223" s="2"/>
      <c r="AA223" s="2"/>
      <c r="AB223" s="2"/>
      <c r="AC223" s="2"/>
      <c r="AD223" s="2"/>
      <c r="AE223" s="3" t="s">
        <v>6689</v>
      </c>
      <c r="AF223" s="2"/>
      <c r="AG223" s="1" t="s">
        <v>1582</v>
      </c>
      <c r="AH223" s="1" t="s">
        <v>6093</v>
      </c>
      <c r="AI223" s="2">
        <v>90.0</v>
      </c>
      <c r="AJ223" s="1" t="s">
        <v>1589</v>
      </c>
      <c r="AK223" s="1" t="s">
        <v>5877</v>
      </c>
      <c r="AL223" s="1" t="s">
        <v>5878</v>
      </c>
      <c r="AM223" s="2"/>
      <c r="AN223" s="2"/>
      <c r="AO223" s="2"/>
      <c r="AP223" s="2"/>
      <c r="AQ223" s="2"/>
      <c r="AR223" s="2"/>
      <c r="AS223" s="2"/>
      <c r="AT223" s="2"/>
      <c r="AU223" s="126" t="s">
        <v>22</v>
      </c>
      <c r="AV223" s="126" t="s">
        <v>22</v>
      </c>
      <c r="AW223" s="2"/>
      <c r="AX223" s="2"/>
      <c r="AY223" s="2"/>
      <c r="AZ223" s="2"/>
      <c r="BA223" s="2"/>
      <c r="BB223" s="2"/>
      <c r="BC223" s="2"/>
      <c r="BD223" s="2"/>
      <c r="BE223" s="2"/>
    </row>
    <row r="224" hidden="1">
      <c r="A224" s="2"/>
      <c r="B224" s="312" t="s">
        <v>6690</v>
      </c>
      <c r="C224" s="220" t="s">
        <v>6691</v>
      </c>
      <c r="D224" s="11">
        <v>90.0</v>
      </c>
      <c r="E224" s="11" t="s">
        <v>238</v>
      </c>
      <c r="F224" s="11" t="s">
        <v>6423</v>
      </c>
      <c r="G224" s="295" t="s">
        <v>6692</v>
      </c>
      <c r="H224" s="296"/>
      <c r="I224" s="156">
        <v>9500.0</v>
      </c>
      <c r="J224" s="301"/>
      <c r="K224" s="296"/>
      <c r="L224" s="156">
        <v>10390.0</v>
      </c>
      <c r="M224" s="301">
        <v>10390.0</v>
      </c>
      <c r="N224" s="284">
        <v>0.12</v>
      </c>
      <c r="O224" s="296">
        <v>11650.0</v>
      </c>
      <c r="P224" s="314">
        <f t="shared" ref="P224:Q224" si="200">O224</f>
        <v>11650</v>
      </c>
      <c r="Q224" s="303">
        <f t="shared" si="200"/>
        <v>11650</v>
      </c>
      <c r="R224" s="299" t="s">
        <v>6693</v>
      </c>
      <c r="S224" s="300">
        <v>46140.559372083335</v>
      </c>
      <c r="T224" s="2"/>
      <c r="U224" s="289">
        <f t="shared" si="4"/>
        <v>2150</v>
      </c>
      <c r="V224" s="290">
        <f t="shared" si="197"/>
        <v>-10390</v>
      </c>
      <c r="W224" s="2"/>
      <c r="X224" s="289">
        <v>9500.0</v>
      </c>
      <c r="Y224" s="139">
        <v>10390.0</v>
      </c>
      <c r="Z224" s="2"/>
      <c r="AA224" s="2" t="s">
        <v>6691</v>
      </c>
      <c r="AB224" s="2" t="s">
        <v>6691</v>
      </c>
      <c r="AC224" s="2"/>
      <c r="AD224" s="2" t="s">
        <v>6691</v>
      </c>
      <c r="AE224" s="3" t="s">
        <v>6690</v>
      </c>
      <c r="AF224" s="2"/>
      <c r="AG224" s="1" t="s">
        <v>1582</v>
      </c>
      <c r="AH224" s="1" t="s">
        <v>6093</v>
      </c>
      <c r="AI224" s="2">
        <v>90.0</v>
      </c>
      <c r="AJ224" s="1" t="s">
        <v>1589</v>
      </c>
      <c r="AK224" s="1" t="s">
        <v>5877</v>
      </c>
      <c r="AL224" s="1" t="s">
        <v>5878</v>
      </c>
      <c r="AM224" s="2"/>
      <c r="AN224" s="2"/>
      <c r="AO224" s="2"/>
      <c r="AP224" s="2"/>
      <c r="AQ224" s="2"/>
      <c r="AR224" s="2"/>
      <c r="AS224" s="2"/>
      <c r="AT224" s="2"/>
      <c r="AU224" s="126">
        <v>10390.0</v>
      </c>
      <c r="AV224" s="126">
        <v>11650.0</v>
      </c>
      <c r="AW224" s="2"/>
      <c r="AX224" s="2"/>
      <c r="AY224" s="2"/>
      <c r="AZ224" s="2"/>
      <c r="BA224" s="2"/>
      <c r="BB224" s="2"/>
      <c r="BC224" s="2"/>
      <c r="BD224" s="2"/>
      <c r="BE224" s="2"/>
    </row>
    <row r="225" hidden="1">
      <c r="A225" s="2"/>
      <c r="B225" s="312" t="s">
        <v>6694</v>
      </c>
      <c r="C225" s="220" t="s">
        <v>6695</v>
      </c>
      <c r="D225" s="11">
        <v>90.0</v>
      </c>
      <c r="E225" s="11" t="s">
        <v>246</v>
      </c>
      <c r="F225" s="11" t="s">
        <v>6423</v>
      </c>
      <c r="G225" s="295" t="s">
        <v>6696</v>
      </c>
      <c r="H225" s="296"/>
      <c r="I225" s="156">
        <v>18500.0</v>
      </c>
      <c r="J225" s="301"/>
      <c r="K225" s="296"/>
      <c r="L225" s="139"/>
      <c r="M225" s="301">
        <v>18500.0</v>
      </c>
      <c r="N225" s="284">
        <v>0.178</v>
      </c>
      <c r="O225" s="296">
        <v>21800.0</v>
      </c>
      <c r="P225" s="314">
        <f t="shared" ref="P225:Q225" si="201">O225</f>
        <v>21800</v>
      </c>
      <c r="Q225" s="303">
        <f t="shared" si="201"/>
        <v>21800</v>
      </c>
      <c r="R225" s="299" t="s">
        <v>6697</v>
      </c>
      <c r="S225" s="300">
        <v>46140.55940041666</v>
      </c>
      <c r="T225" s="2"/>
      <c r="U225" s="289">
        <f t="shared" si="4"/>
        <v>3300</v>
      </c>
      <c r="V225" s="304" t="str">
        <f t="shared" ref="V225:V229" si="203">IF(L225&gt;0, Q1179 - L225, "нет з/ч")</f>
        <v>нет з/ч</v>
      </c>
      <c r="W225" s="2"/>
      <c r="X225" s="289">
        <v>18500.0</v>
      </c>
      <c r="Y225" s="139"/>
      <c r="Z225" s="2"/>
      <c r="AA225" s="2" t="s">
        <v>6695</v>
      </c>
      <c r="AB225" s="2" t="s">
        <v>6695</v>
      </c>
      <c r="AC225" s="2"/>
      <c r="AD225" s="2" t="s">
        <v>6695</v>
      </c>
      <c r="AE225" s="3" t="s">
        <v>6694</v>
      </c>
      <c r="AF225" s="2"/>
      <c r="AG225" s="1" t="s">
        <v>1582</v>
      </c>
      <c r="AH225" s="1" t="s">
        <v>6113</v>
      </c>
      <c r="AI225" s="2">
        <v>90.0</v>
      </c>
      <c r="AJ225" s="1" t="s">
        <v>1589</v>
      </c>
      <c r="AK225" s="1" t="s">
        <v>5877</v>
      </c>
      <c r="AL225" s="1" t="s">
        <v>5878</v>
      </c>
      <c r="AM225" s="2"/>
      <c r="AN225" s="2"/>
      <c r="AO225" s="2"/>
      <c r="AP225" s="2"/>
      <c r="AQ225" s="2"/>
      <c r="AR225" s="2"/>
      <c r="AS225" s="2"/>
      <c r="AT225" s="2"/>
      <c r="AU225" s="126">
        <v>18500.0</v>
      </c>
      <c r="AV225" s="126">
        <v>21800.0</v>
      </c>
      <c r="AW225" s="2"/>
      <c r="AX225" s="2"/>
      <c r="AY225" s="2"/>
      <c r="AZ225" s="2"/>
      <c r="BA225" s="2"/>
      <c r="BB225" s="2"/>
      <c r="BC225" s="2"/>
      <c r="BD225" s="2"/>
      <c r="BE225" s="2"/>
    </row>
    <row r="226" hidden="1">
      <c r="A226" s="2"/>
      <c r="B226" s="312" t="s">
        <v>6698</v>
      </c>
      <c r="C226" s="220" t="s">
        <v>6699</v>
      </c>
      <c r="D226" s="11">
        <v>90.0</v>
      </c>
      <c r="E226" s="11" t="s">
        <v>246</v>
      </c>
      <c r="F226" s="11" t="s">
        <v>6423</v>
      </c>
      <c r="G226" s="295" t="s">
        <v>6700</v>
      </c>
      <c r="H226" s="296"/>
      <c r="I226" s="156">
        <v>9700.0</v>
      </c>
      <c r="J226" s="301"/>
      <c r="K226" s="296"/>
      <c r="L226" s="139"/>
      <c r="M226" s="301">
        <v>9700.0</v>
      </c>
      <c r="N226" s="284">
        <v>0.34</v>
      </c>
      <c r="O226" s="296">
        <v>13000.0</v>
      </c>
      <c r="P226" s="314">
        <f t="shared" ref="P226:Q226" si="202">O226</f>
        <v>13000</v>
      </c>
      <c r="Q226" s="303">
        <f t="shared" si="202"/>
        <v>13000</v>
      </c>
      <c r="R226" s="299" t="s">
        <v>6701</v>
      </c>
      <c r="S226" s="300">
        <v>46140.55942327547</v>
      </c>
      <c r="T226" s="2"/>
      <c r="U226" s="289">
        <f t="shared" si="4"/>
        <v>3300</v>
      </c>
      <c r="V226" s="304" t="str">
        <f t="shared" si="203"/>
        <v>нет з/ч</v>
      </c>
      <c r="W226" s="2"/>
      <c r="X226" s="289">
        <v>9700.0</v>
      </c>
      <c r="Y226" s="139"/>
      <c r="Z226" s="2"/>
      <c r="AA226" s="2" t="s">
        <v>6699</v>
      </c>
      <c r="AB226" s="2" t="s">
        <v>6699</v>
      </c>
      <c r="AC226" s="2"/>
      <c r="AD226" s="2" t="s">
        <v>6699</v>
      </c>
      <c r="AE226" s="3" t="s">
        <v>6698</v>
      </c>
      <c r="AF226" s="2"/>
      <c r="AG226" s="1" t="s">
        <v>1582</v>
      </c>
      <c r="AH226" s="1" t="s">
        <v>6113</v>
      </c>
      <c r="AI226" s="2">
        <v>90.0</v>
      </c>
      <c r="AJ226" s="1" t="s">
        <v>1589</v>
      </c>
      <c r="AK226" s="1" t="s">
        <v>5877</v>
      </c>
      <c r="AL226" s="1" t="s">
        <v>5878</v>
      </c>
      <c r="AM226" s="2"/>
      <c r="AN226" s="2"/>
      <c r="AO226" s="2"/>
      <c r="AP226" s="2"/>
      <c r="AQ226" s="2"/>
      <c r="AR226" s="2"/>
      <c r="AS226" s="2"/>
      <c r="AT226" s="2"/>
      <c r="AU226" s="126">
        <v>9700.0</v>
      </c>
      <c r="AV226" s="126">
        <v>13000.0</v>
      </c>
      <c r="AW226" s="2"/>
      <c r="AX226" s="2"/>
      <c r="AY226" s="2"/>
      <c r="AZ226" s="2"/>
      <c r="BA226" s="2"/>
      <c r="BB226" s="2"/>
      <c r="BC226" s="2"/>
      <c r="BD226" s="2"/>
      <c r="BE226" s="2"/>
    </row>
    <row r="227" hidden="1">
      <c r="A227" s="2"/>
      <c r="B227" s="312" t="s">
        <v>6702</v>
      </c>
      <c r="C227" s="220" t="s">
        <v>6703</v>
      </c>
      <c r="D227" s="11">
        <v>90.0</v>
      </c>
      <c r="E227" s="11" t="s">
        <v>246</v>
      </c>
      <c r="F227" s="11" t="s">
        <v>6423</v>
      </c>
      <c r="G227" s="295" t="s">
        <v>6704</v>
      </c>
      <c r="H227" s="296"/>
      <c r="I227" s="156">
        <v>8300.0</v>
      </c>
      <c r="J227" s="301"/>
      <c r="K227" s="296"/>
      <c r="L227" s="139"/>
      <c r="M227" s="301">
        <v>8300.0</v>
      </c>
      <c r="N227" s="284">
        <v>0.4</v>
      </c>
      <c r="O227" s="296">
        <v>11600.0</v>
      </c>
      <c r="P227" s="314">
        <f t="shared" ref="P227:Q227" si="204">O227</f>
        <v>11600</v>
      </c>
      <c r="Q227" s="303">
        <f t="shared" si="204"/>
        <v>11600</v>
      </c>
      <c r="R227" s="299" t="s">
        <v>6705</v>
      </c>
      <c r="S227" s="300">
        <v>46140.55944538194</v>
      </c>
      <c r="T227" s="2"/>
      <c r="U227" s="289">
        <f t="shared" si="4"/>
        <v>3300</v>
      </c>
      <c r="V227" s="304" t="str">
        <f t="shared" si="203"/>
        <v>нет з/ч</v>
      </c>
      <c r="W227" s="2"/>
      <c r="X227" s="289">
        <v>8300.0</v>
      </c>
      <c r="Y227" s="139"/>
      <c r="Z227" s="2"/>
      <c r="AA227" s="2" t="s">
        <v>6703</v>
      </c>
      <c r="AB227" s="2" t="s">
        <v>6703</v>
      </c>
      <c r="AC227" s="2"/>
      <c r="AD227" s="2" t="s">
        <v>6703</v>
      </c>
      <c r="AE227" s="3" t="s">
        <v>6702</v>
      </c>
      <c r="AF227" s="2"/>
      <c r="AG227" s="1" t="s">
        <v>1582</v>
      </c>
      <c r="AH227" s="1" t="s">
        <v>6113</v>
      </c>
      <c r="AI227" s="2">
        <v>90.0</v>
      </c>
      <c r="AJ227" s="1" t="s">
        <v>1589</v>
      </c>
      <c r="AK227" s="1" t="s">
        <v>5877</v>
      </c>
      <c r="AL227" s="1" t="s">
        <v>5878</v>
      </c>
      <c r="AM227" s="2"/>
      <c r="AN227" s="2"/>
      <c r="AO227" s="2"/>
      <c r="AP227" s="2"/>
      <c r="AQ227" s="2"/>
      <c r="AR227" s="2"/>
      <c r="AS227" s="2"/>
      <c r="AT227" s="2"/>
      <c r="AU227" s="126">
        <v>8300.0</v>
      </c>
      <c r="AV227" s="126">
        <v>11600.0</v>
      </c>
      <c r="AW227" s="2"/>
      <c r="AX227" s="2"/>
      <c r="AY227" s="2"/>
      <c r="AZ227" s="2"/>
      <c r="BA227" s="2"/>
      <c r="BB227" s="2"/>
      <c r="BC227" s="2"/>
      <c r="BD227" s="2"/>
      <c r="BE227" s="2"/>
    </row>
    <row r="228" hidden="1">
      <c r="A228" s="2"/>
      <c r="B228" s="312" t="s">
        <v>6706</v>
      </c>
      <c r="C228" s="84"/>
      <c r="D228" s="11">
        <v>90.0</v>
      </c>
      <c r="E228" s="11" t="s">
        <v>246</v>
      </c>
      <c r="F228" s="11" t="s">
        <v>6423</v>
      </c>
      <c r="G228" s="295" t="s">
        <v>6707</v>
      </c>
      <c r="H228" s="296"/>
      <c r="I228" s="156">
        <v>8000.0</v>
      </c>
      <c r="J228" s="301"/>
      <c r="K228" s="296"/>
      <c r="L228" s="156">
        <v>7990.0</v>
      </c>
      <c r="M228" s="301">
        <v>8000.0</v>
      </c>
      <c r="N228" s="284">
        <v>0.4</v>
      </c>
      <c r="O228" s="296">
        <v>11200.0</v>
      </c>
      <c r="P228" s="314">
        <f t="shared" ref="P228:Q228" si="205">O228</f>
        <v>11200</v>
      </c>
      <c r="Q228" s="303">
        <f t="shared" si="205"/>
        <v>11200</v>
      </c>
      <c r="R228" s="299" t="s">
        <v>6708</v>
      </c>
      <c r="S228" s="300">
        <v>46140.559468472224</v>
      </c>
      <c r="T228" s="2"/>
      <c r="U228" s="289">
        <f t="shared" si="4"/>
        <v>3200</v>
      </c>
      <c r="V228" s="290">
        <f t="shared" si="203"/>
        <v>-7990</v>
      </c>
      <c r="W228" s="2"/>
      <c r="X228" s="289">
        <v>8000.0</v>
      </c>
      <c r="Y228" s="139">
        <v>7990.0</v>
      </c>
      <c r="Z228" s="2"/>
      <c r="AA228" s="2"/>
      <c r="AB228" s="2"/>
      <c r="AC228" s="2"/>
      <c r="AD228" s="2"/>
      <c r="AE228" s="3" t="s">
        <v>6706</v>
      </c>
      <c r="AF228" s="2"/>
      <c r="AG228" s="1" t="s">
        <v>1582</v>
      </c>
      <c r="AH228" s="1" t="s">
        <v>6113</v>
      </c>
      <c r="AI228" s="2">
        <v>90.0</v>
      </c>
      <c r="AJ228" s="1" t="s">
        <v>1589</v>
      </c>
      <c r="AK228" s="1" t="s">
        <v>5877</v>
      </c>
      <c r="AL228" s="1" t="s">
        <v>5878</v>
      </c>
      <c r="AM228" s="2"/>
      <c r="AN228" s="2"/>
      <c r="AO228" s="2"/>
      <c r="AP228" s="2"/>
      <c r="AQ228" s="2"/>
      <c r="AR228" s="2"/>
      <c r="AS228" s="2"/>
      <c r="AT228" s="2"/>
      <c r="AU228" s="126">
        <v>8000.0</v>
      </c>
      <c r="AV228" s="126">
        <v>11200.0</v>
      </c>
      <c r="AW228" s="2"/>
      <c r="AX228" s="2"/>
      <c r="AY228" s="2"/>
      <c r="AZ228" s="2"/>
      <c r="BA228" s="2"/>
      <c r="BB228" s="2"/>
      <c r="BC228" s="2"/>
      <c r="BD228" s="2"/>
      <c r="BE228" s="2"/>
    </row>
    <row r="229" hidden="1">
      <c r="A229" s="2"/>
      <c r="B229" s="312" t="s">
        <v>6709</v>
      </c>
      <c r="C229" s="220" t="s">
        <v>6710</v>
      </c>
      <c r="D229" s="11">
        <v>90.0</v>
      </c>
      <c r="E229" s="11" t="s">
        <v>246</v>
      </c>
      <c r="F229" s="11" t="s">
        <v>6423</v>
      </c>
      <c r="G229" s="295" t="s">
        <v>6707</v>
      </c>
      <c r="H229" s="296"/>
      <c r="I229" s="156">
        <v>8000.0</v>
      </c>
      <c r="J229" s="301"/>
      <c r="K229" s="296"/>
      <c r="L229" s="156">
        <v>6990.0</v>
      </c>
      <c r="M229" s="301">
        <v>8000.0</v>
      </c>
      <c r="N229" s="284">
        <v>0.335</v>
      </c>
      <c r="O229" s="296">
        <v>10700.0</v>
      </c>
      <c r="P229" s="314">
        <f t="shared" ref="P229:Q229" si="206">O229</f>
        <v>10700</v>
      </c>
      <c r="Q229" s="303">
        <f t="shared" si="206"/>
        <v>10700</v>
      </c>
      <c r="R229" s="299" t="s">
        <v>6708</v>
      </c>
      <c r="S229" s="300">
        <v>46140.559491712964</v>
      </c>
      <c r="T229" s="2"/>
      <c r="U229" s="289">
        <f t="shared" si="4"/>
        <v>2700</v>
      </c>
      <c r="V229" s="290">
        <f t="shared" si="203"/>
        <v>-6990</v>
      </c>
      <c r="W229" s="2"/>
      <c r="X229" s="289">
        <v>8000.0</v>
      </c>
      <c r="Y229" s="139">
        <v>6990.0</v>
      </c>
      <c r="Z229" s="2"/>
      <c r="AA229" s="2" t="s">
        <v>6710</v>
      </c>
      <c r="AB229" s="2" t="s">
        <v>6710</v>
      </c>
      <c r="AC229" s="2"/>
      <c r="AD229" s="2" t="s">
        <v>6710</v>
      </c>
      <c r="AE229" s="3" t="s">
        <v>6709</v>
      </c>
      <c r="AF229" s="2"/>
      <c r="AG229" s="1" t="s">
        <v>1582</v>
      </c>
      <c r="AH229" s="1" t="s">
        <v>6113</v>
      </c>
      <c r="AI229" s="2">
        <v>90.0</v>
      </c>
      <c r="AJ229" s="1" t="s">
        <v>1589</v>
      </c>
      <c r="AK229" s="1" t="s">
        <v>5877</v>
      </c>
      <c r="AL229" s="1" t="s">
        <v>5878</v>
      </c>
      <c r="AM229" s="2"/>
      <c r="AN229" s="2"/>
      <c r="AO229" s="2"/>
      <c r="AP229" s="2"/>
      <c r="AQ229" s="2"/>
      <c r="AR229" s="2"/>
      <c r="AS229" s="2"/>
      <c r="AT229" s="2"/>
      <c r="AU229" s="126">
        <v>8000.0</v>
      </c>
      <c r="AV229" s="126">
        <v>10700.0</v>
      </c>
      <c r="AW229" s="2"/>
      <c r="AX229" s="2"/>
      <c r="AY229" s="2"/>
      <c r="AZ229" s="2"/>
      <c r="BA229" s="2"/>
      <c r="BB229" s="2"/>
      <c r="BC229" s="2"/>
      <c r="BD229" s="2"/>
      <c r="BE229" s="2"/>
    </row>
    <row r="230" hidden="1">
      <c r="A230" s="2"/>
      <c r="B230" s="312" t="s">
        <v>6711</v>
      </c>
      <c r="C230" s="220" t="s">
        <v>6712</v>
      </c>
      <c r="D230" s="11">
        <v>90.0</v>
      </c>
      <c r="E230" s="11" t="s">
        <v>254</v>
      </c>
      <c r="F230" s="11" t="s">
        <v>6423</v>
      </c>
      <c r="G230" s="295" t="s">
        <v>6713</v>
      </c>
      <c r="H230" s="296"/>
      <c r="I230" s="156">
        <v>20500.0</v>
      </c>
      <c r="J230" s="301"/>
      <c r="K230" s="296"/>
      <c r="L230" s="139"/>
      <c r="M230" s="301">
        <v>20500.0</v>
      </c>
      <c r="N230" s="284">
        <v>0.135</v>
      </c>
      <c r="O230" s="296">
        <v>23250.0</v>
      </c>
      <c r="P230" s="314">
        <f t="shared" ref="P230:Q230" si="207">O230</f>
        <v>23250</v>
      </c>
      <c r="Q230" s="303">
        <f t="shared" si="207"/>
        <v>23250</v>
      </c>
      <c r="R230" s="299" t="s">
        <v>6714</v>
      </c>
      <c r="S230" s="300">
        <v>46140.559539131944</v>
      </c>
      <c r="T230" s="2"/>
      <c r="U230" s="289">
        <f t="shared" si="4"/>
        <v>2750</v>
      </c>
      <c r="V230" s="304" t="str">
        <f t="shared" ref="V230:V234" si="209">IF(L230&gt;0, Q1187 - L230, "нет з/ч")</f>
        <v>нет з/ч</v>
      </c>
      <c r="W230" s="2"/>
      <c r="X230" s="289">
        <v>20500.0</v>
      </c>
      <c r="Y230" s="139"/>
      <c r="Z230" s="2"/>
      <c r="AA230" s="2" t="s">
        <v>6712</v>
      </c>
      <c r="AB230" s="2" t="s">
        <v>6712</v>
      </c>
      <c r="AC230" s="2"/>
      <c r="AD230" s="2" t="s">
        <v>6712</v>
      </c>
      <c r="AE230" s="3" t="s">
        <v>6711</v>
      </c>
      <c r="AF230" s="2"/>
      <c r="AG230" s="1" t="s">
        <v>1582</v>
      </c>
      <c r="AH230" s="1" t="s">
        <v>6137</v>
      </c>
      <c r="AI230" s="2">
        <v>90.0</v>
      </c>
      <c r="AJ230" s="1" t="s">
        <v>1589</v>
      </c>
      <c r="AK230" s="1" t="s">
        <v>5877</v>
      </c>
      <c r="AL230" s="1" t="s">
        <v>5878</v>
      </c>
      <c r="AM230" s="2"/>
      <c r="AN230" s="2"/>
      <c r="AO230" s="2"/>
      <c r="AP230" s="2"/>
      <c r="AQ230" s="2"/>
      <c r="AR230" s="2"/>
      <c r="AS230" s="2"/>
      <c r="AT230" s="2"/>
      <c r="AU230" s="126">
        <v>20500.0</v>
      </c>
      <c r="AV230" s="126">
        <v>23250.0</v>
      </c>
      <c r="AW230" s="2"/>
      <c r="AX230" s="2"/>
      <c r="AY230" s="2"/>
      <c r="AZ230" s="2"/>
      <c r="BA230" s="2"/>
      <c r="BB230" s="2"/>
      <c r="BC230" s="2"/>
      <c r="BD230" s="2"/>
      <c r="BE230" s="2"/>
    </row>
    <row r="231" hidden="1">
      <c r="A231" s="2"/>
      <c r="B231" s="312" t="s">
        <v>6715</v>
      </c>
      <c r="C231" s="220" t="s">
        <v>6716</v>
      </c>
      <c r="D231" s="11">
        <v>90.0</v>
      </c>
      <c r="E231" s="11" t="s">
        <v>254</v>
      </c>
      <c r="F231" s="11" t="s">
        <v>6423</v>
      </c>
      <c r="G231" s="295" t="s">
        <v>6717</v>
      </c>
      <c r="H231" s="296"/>
      <c r="I231" s="156">
        <v>11900.0</v>
      </c>
      <c r="J231" s="301"/>
      <c r="K231" s="296"/>
      <c r="L231" s="139"/>
      <c r="M231" s="301">
        <v>11900.0</v>
      </c>
      <c r="N231" s="284">
        <v>0.23</v>
      </c>
      <c r="O231" s="296">
        <v>14650.0</v>
      </c>
      <c r="P231" s="314">
        <f t="shared" ref="P231:Q231" si="208">O231</f>
        <v>14650</v>
      </c>
      <c r="Q231" s="303">
        <f t="shared" si="208"/>
        <v>14650</v>
      </c>
      <c r="R231" s="299" t="s">
        <v>6718</v>
      </c>
      <c r="S231" s="300">
        <v>46140.559573969906</v>
      </c>
      <c r="T231" s="2"/>
      <c r="U231" s="289">
        <f t="shared" si="4"/>
        <v>2750</v>
      </c>
      <c r="V231" s="304" t="str">
        <f t="shared" si="209"/>
        <v>нет з/ч</v>
      </c>
      <c r="W231" s="2"/>
      <c r="X231" s="289">
        <v>11900.0</v>
      </c>
      <c r="Y231" s="139"/>
      <c r="Z231" s="2"/>
      <c r="AA231" s="2" t="s">
        <v>6716</v>
      </c>
      <c r="AB231" s="2" t="s">
        <v>6716</v>
      </c>
      <c r="AC231" s="2"/>
      <c r="AD231" s="2" t="s">
        <v>6716</v>
      </c>
      <c r="AE231" s="3" t="s">
        <v>6715</v>
      </c>
      <c r="AF231" s="2"/>
      <c r="AG231" s="1" t="s">
        <v>1582</v>
      </c>
      <c r="AH231" s="1" t="s">
        <v>6137</v>
      </c>
      <c r="AI231" s="2">
        <v>90.0</v>
      </c>
      <c r="AJ231" s="1" t="s">
        <v>1589</v>
      </c>
      <c r="AK231" s="1" t="s">
        <v>5877</v>
      </c>
      <c r="AL231" s="1" t="s">
        <v>5878</v>
      </c>
      <c r="AM231" s="2"/>
      <c r="AN231" s="2"/>
      <c r="AO231" s="2"/>
      <c r="AP231" s="2"/>
      <c r="AQ231" s="2"/>
      <c r="AR231" s="2"/>
      <c r="AS231" s="2"/>
      <c r="AT231" s="2"/>
      <c r="AU231" s="126">
        <v>11900.0</v>
      </c>
      <c r="AV231" s="126">
        <v>14650.0</v>
      </c>
      <c r="AW231" s="2"/>
      <c r="AX231" s="2"/>
      <c r="AY231" s="2"/>
      <c r="AZ231" s="2"/>
      <c r="BA231" s="2"/>
      <c r="BB231" s="2"/>
      <c r="BC231" s="2"/>
      <c r="BD231" s="2"/>
      <c r="BE231" s="2"/>
    </row>
    <row r="232" hidden="1">
      <c r="A232" s="2"/>
      <c r="B232" s="312" t="s">
        <v>6719</v>
      </c>
      <c r="C232" s="220" t="s">
        <v>6720</v>
      </c>
      <c r="D232" s="11">
        <v>90.0</v>
      </c>
      <c r="E232" s="11" t="s">
        <v>254</v>
      </c>
      <c r="F232" s="11" t="s">
        <v>6423</v>
      </c>
      <c r="G232" s="295" t="s">
        <v>6721</v>
      </c>
      <c r="H232" s="296"/>
      <c r="I232" s="156">
        <v>10750.0</v>
      </c>
      <c r="J232" s="301"/>
      <c r="K232" s="296"/>
      <c r="L232" s="139"/>
      <c r="M232" s="301">
        <v>10750.0</v>
      </c>
      <c r="N232" s="284">
        <v>0.255</v>
      </c>
      <c r="O232" s="296">
        <v>13500.0</v>
      </c>
      <c r="P232" s="314">
        <f t="shared" ref="P232:Q232" si="210">O232</f>
        <v>13500</v>
      </c>
      <c r="Q232" s="303">
        <f t="shared" si="210"/>
        <v>13500</v>
      </c>
      <c r="R232" s="299" t="s">
        <v>6722</v>
      </c>
      <c r="S232" s="300">
        <v>46140.55960137732</v>
      </c>
      <c r="T232" s="2"/>
      <c r="U232" s="289">
        <f t="shared" si="4"/>
        <v>2750</v>
      </c>
      <c r="V232" s="304" t="str">
        <f t="shared" si="209"/>
        <v>нет з/ч</v>
      </c>
      <c r="W232" s="2"/>
      <c r="X232" s="289">
        <v>10750.0</v>
      </c>
      <c r="Y232" s="139"/>
      <c r="Z232" s="2"/>
      <c r="AA232" s="2" t="s">
        <v>6720</v>
      </c>
      <c r="AB232" s="2" t="s">
        <v>6720</v>
      </c>
      <c r="AC232" s="2"/>
      <c r="AD232" s="2" t="s">
        <v>6720</v>
      </c>
      <c r="AE232" s="3" t="s">
        <v>6719</v>
      </c>
      <c r="AF232" s="2"/>
      <c r="AG232" s="1" t="s">
        <v>1582</v>
      </c>
      <c r="AH232" s="1" t="s">
        <v>6137</v>
      </c>
      <c r="AI232" s="2">
        <v>90.0</v>
      </c>
      <c r="AJ232" s="1" t="s">
        <v>1589</v>
      </c>
      <c r="AK232" s="1" t="s">
        <v>5877</v>
      </c>
      <c r="AL232" s="1" t="s">
        <v>5878</v>
      </c>
      <c r="AM232" s="2"/>
      <c r="AN232" s="2"/>
      <c r="AO232" s="2"/>
      <c r="AP232" s="2"/>
      <c r="AQ232" s="2"/>
      <c r="AR232" s="2"/>
      <c r="AS232" s="2"/>
      <c r="AT232" s="2"/>
      <c r="AU232" s="126">
        <v>10750.0</v>
      </c>
      <c r="AV232" s="126">
        <v>13500.0</v>
      </c>
      <c r="AW232" s="2"/>
      <c r="AX232" s="2"/>
      <c r="AY232" s="2"/>
      <c r="AZ232" s="2"/>
      <c r="BA232" s="2"/>
      <c r="BB232" s="2"/>
      <c r="BC232" s="2"/>
      <c r="BD232" s="2"/>
      <c r="BE232" s="2"/>
    </row>
    <row r="233" hidden="1">
      <c r="A233" s="2"/>
      <c r="B233" s="312" t="s">
        <v>6723</v>
      </c>
      <c r="C233" s="84"/>
      <c r="D233" s="11">
        <v>90.0</v>
      </c>
      <c r="E233" s="11" t="s">
        <v>254</v>
      </c>
      <c r="F233" s="11" t="s">
        <v>6423</v>
      </c>
      <c r="G233" s="295" t="s">
        <v>6724</v>
      </c>
      <c r="H233" s="296"/>
      <c r="I233" s="156">
        <v>10300.0</v>
      </c>
      <c r="J233" s="301"/>
      <c r="K233" s="296"/>
      <c r="L233" s="156">
        <v>10390.0</v>
      </c>
      <c r="M233" s="301">
        <v>10390.0</v>
      </c>
      <c r="N233" s="284">
        <v>0.26</v>
      </c>
      <c r="O233" s="296">
        <v>13100.0</v>
      </c>
      <c r="P233" s="314">
        <f t="shared" ref="P233:Q233" si="211">O233</f>
        <v>13100</v>
      </c>
      <c r="Q233" s="303">
        <f t="shared" si="211"/>
        <v>13100</v>
      </c>
      <c r="R233" s="299" t="s">
        <v>6725</v>
      </c>
      <c r="S233" s="300">
        <v>46140.55962570602</v>
      </c>
      <c r="T233" s="2"/>
      <c r="U233" s="289">
        <f t="shared" si="4"/>
        <v>2800</v>
      </c>
      <c r="V233" s="290">
        <f t="shared" si="209"/>
        <v>-10390</v>
      </c>
      <c r="W233" s="2"/>
      <c r="X233" s="289">
        <v>10300.0</v>
      </c>
      <c r="Y233" s="139">
        <v>10390.0</v>
      </c>
      <c r="Z233" s="2"/>
      <c r="AA233" s="2"/>
      <c r="AB233" s="2"/>
      <c r="AC233" s="2"/>
      <c r="AD233" s="2"/>
      <c r="AE233" s="3" t="s">
        <v>6723</v>
      </c>
      <c r="AF233" s="2"/>
      <c r="AG233" s="1" t="s">
        <v>1582</v>
      </c>
      <c r="AH233" s="1" t="s">
        <v>6137</v>
      </c>
      <c r="AI233" s="2">
        <v>90.0</v>
      </c>
      <c r="AJ233" s="1" t="s">
        <v>1589</v>
      </c>
      <c r="AK233" s="1" t="s">
        <v>5877</v>
      </c>
      <c r="AL233" s="1" t="s">
        <v>5878</v>
      </c>
      <c r="AM233" s="2"/>
      <c r="AN233" s="2"/>
      <c r="AO233" s="2"/>
      <c r="AP233" s="2"/>
      <c r="AQ233" s="2"/>
      <c r="AR233" s="2"/>
      <c r="AS233" s="2"/>
      <c r="AT233" s="2"/>
      <c r="AU233" s="126">
        <v>10390.0</v>
      </c>
      <c r="AV233" s="126">
        <v>13100.0</v>
      </c>
      <c r="AW233" s="2"/>
      <c r="AX233" s="2"/>
      <c r="AY233" s="2"/>
      <c r="AZ233" s="2"/>
      <c r="BA233" s="2"/>
      <c r="BB233" s="2"/>
      <c r="BC233" s="2"/>
      <c r="BD233" s="2"/>
      <c r="BE233" s="2"/>
    </row>
    <row r="234" hidden="1">
      <c r="A234" s="2"/>
      <c r="B234" s="312" t="s">
        <v>6726</v>
      </c>
      <c r="C234" s="220" t="s">
        <v>6727</v>
      </c>
      <c r="D234" s="11">
        <v>90.0</v>
      </c>
      <c r="E234" s="11" t="s">
        <v>254</v>
      </c>
      <c r="F234" s="11" t="s">
        <v>6423</v>
      </c>
      <c r="G234" s="295" t="s">
        <v>6728</v>
      </c>
      <c r="H234" s="296"/>
      <c r="I234" s="156">
        <v>8000.0</v>
      </c>
      <c r="J234" s="301"/>
      <c r="K234" s="296"/>
      <c r="L234" s="139"/>
      <c r="M234" s="301">
        <v>8000.0</v>
      </c>
      <c r="N234" s="284">
        <v>0.34</v>
      </c>
      <c r="O234" s="296">
        <v>10700.0</v>
      </c>
      <c r="P234" s="314">
        <f t="shared" ref="P234:Q234" si="212">O234</f>
        <v>10700</v>
      </c>
      <c r="Q234" s="303">
        <f t="shared" si="212"/>
        <v>10700</v>
      </c>
      <c r="R234" s="299" t="s">
        <v>6729</v>
      </c>
      <c r="S234" s="300">
        <v>46140.5596472801</v>
      </c>
      <c r="T234" s="2"/>
      <c r="U234" s="289">
        <f t="shared" si="4"/>
        <v>2700</v>
      </c>
      <c r="V234" s="304" t="str">
        <f t="shared" si="209"/>
        <v>нет з/ч</v>
      </c>
      <c r="W234" s="2"/>
      <c r="X234" s="289">
        <v>8000.0</v>
      </c>
      <c r="Y234" s="139"/>
      <c r="Z234" s="2"/>
      <c r="AA234" s="2" t="s">
        <v>6727</v>
      </c>
      <c r="AB234" s="2" t="s">
        <v>6727</v>
      </c>
      <c r="AC234" s="2"/>
      <c r="AD234" s="2" t="s">
        <v>6727</v>
      </c>
      <c r="AE234" s="3" t="s">
        <v>6726</v>
      </c>
      <c r="AF234" s="2"/>
      <c r="AG234" s="1" t="s">
        <v>1582</v>
      </c>
      <c r="AH234" s="1" t="s">
        <v>6137</v>
      </c>
      <c r="AI234" s="2">
        <v>90.0</v>
      </c>
      <c r="AJ234" s="1" t="s">
        <v>1589</v>
      </c>
      <c r="AK234" s="1" t="s">
        <v>5877</v>
      </c>
      <c r="AL234" s="1" t="s">
        <v>5878</v>
      </c>
      <c r="AM234" s="2"/>
      <c r="AN234" s="2"/>
      <c r="AO234" s="2"/>
      <c r="AP234" s="2"/>
      <c r="AQ234" s="2"/>
      <c r="AR234" s="2"/>
      <c r="AS234" s="2"/>
      <c r="AT234" s="2"/>
      <c r="AU234" s="126">
        <v>8000.0</v>
      </c>
      <c r="AV234" s="126">
        <v>10700.0</v>
      </c>
      <c r="AW234" s="2"/>
      <c r="AX234" s="2"/>
      <c r="AY234" s="2"/>
      <c r="AZ234" s="2"/>
      <c r="BA234" s="2"/>
      <c r="BB234" s="2"/>
      <c r="BC234" s="2"/>
      <c r="BD234" s="2"/>
      <c r="BE234" s="2"/>
    </row>
    <row r="235" hidden="1">
      <c r="A235" s="2"/>
      <c r="B235" s="312" t="s">
        <v>6730</v>
      </c>
      <c r="C235" s="84"/>
      <c r="D235" s="11">
        <v>90.0</v>
      </c>
      <c r="E235" s="11" t="s">
        <v>262</v>
      </c>
      <c r="F235" s="11" t="s">
        <v>6423</v>
      </c>
      <c r="G235" s="306"/>
      <c r="H235" s="296"/>
      <c r="I235" s="139"/>
      <c r="J235" s="301"/>
      <c r="K235" s="296"/>
      <c r="L235" s="139"/>
      <c r="M235" s="301" t="s">
        <v>22</v>
      </c>
      <c r="N235" s="284">
        <v>0.12</v>
      </c>
      <c r="O235" s="296" t="s">
        <v>22</v>
      </c>
      <c r="P235" s="314" t="str">
        <f t="shared" ref="P235:Q235" si="213">O235</f>
        <v/>
      </c>
      <c r="Q235" s="303" t="str">
        <f t="shared" si="213"/>
        <v/>
      </c>
      <c r="R235" s="307"/>
      <c r="S235" s="308"/>
      <c r="T235" s="2"/>
      <c r="U235" s="59" t="str">
        <f t="shared" si="4"/>
        <v>нет з/ч</v>
      </c>
      <c r="V235" s="304" t="str">
        <f t="shared" ref="V235:V239" si="215">IF(L235&gt;0, Q1195 - L235, "нет з/ч")</f>
        <v>нет з/ч</v>
      </c>
      <c r="W235" s="2"/>
      <c r="X235" s="289"/>
      <c r="Y235" s="139"/>
      <c r="Z235" s="2"/>
      <c r="AA235" s="2"/>
      <c r="AB235" s="2"/>
      <c r="AC235" s="2"/>
      <c r="AD235" s="2"/>
      <c r="AE235" s="3" t="s">
        <v>6730</v>
      </c>
      <c r="AF235" s="2"/>
      <c r="AG235" s="1" t="s">
        <v>1582</v>
      </c>
      <c r="AH235" s="1" t="s">
        <v>6161</v>
      </c>
      <c r="AI235" s="2">
        <v>90.0</v>
      </c>
      <c r="AJ235" s="1" t="s">
        <v>1589</v>
      </c>
      <c r="AK235" s="1" t="s">
        <v>5877</v>
      </c>
      <c r="AL235" s="1" t="s">
        <v>5878</v>
      </c>
      <c r="AM235" s="2"/>
      <c r="AN235" s="2"/>
      <c r="AO235" s="2"/>
      <c r="AP235" s="2"/>
      <c r="AQ235" s="2"/>
      <c r="AR235" s="2"/>
      <c r="AS235" s="2"/>
      <c r="AT235" s="2"/>
      <c r="AU235" s="126" t="s">
        <v>22</v>
      </c>
      <c r="AV235" s="126" t="s">
        <v>22</v>
      </c>
      <c r="AW235" s="2"/>
      <c r="AX235" s="2"/>
      <c r="AY235" s="2"/>
      <c r="AZ235" s="2"/>
      <c r="BA235" s="2"/>
      <c r="BB235" s="2"/>
      <c r="BC235" s="2"/>
      <c r="BD235" s="2"/>
      <c r="BE235" s="2"/>
    </row>
    <row r="236" hidden="1">
      <c r="A236" s="2"/>
      <c r="B236" s="312" t="s">
        <v>6731</v>
      </c>
      <c r="C236" s="84"/>
      <c r="D236" s="11">
        <v>90.0</v>
      </c>
      <c r="E236" s="11" t="s">
        <v>262</v>
      </c>
      <c r="F236" s="11" t="s">
        <v>6423</v>
      </c>
      <c r="G236" s="295" t="s">
        <v>6732</v>
      </c>
      <c r="H236" s="296"/>
      <c r="I236" s="156">
        <v>7400.0</v>
      </c>
      <c r="J236" s="301"/>
      <c r="K236" s="296"/>
      <c r="L236" s="139"/>
      <c r="M236" s="301">
        <v>7400.0</v>
      </c>
      <c r="N236" s="284">
        <v>0.325</v>
      </c>
      <c r="O236" s="296">
        <v>9800.0</v>
      </c>
      <c r="P236" s="314">
        <f t="shared" ref="P236:Q236" si="214">O236</f>
        <v>9800</v>
      </c>
      <c r="Q236" s="303">
        <f t="shared" si="214"/>
        <v>9800</v>
      </c>
      <c r="R236" s="299" t="s">
        <v>6733</v>
      </c>
      <c r="S236" s="300">
        <v>46140.559704756946</v>
      </c>
      <c r="T236" s="2"/>
      <c r="U236" s="289">
        <f t="shared" si="4"/>
        <v>2400</v>
      </c>
      <c r="V236" s="304" t="str">
        <f t="shared" si="215"/>
        <v>нет з/ч</v>
      </c>
      <c r="W236" s="2"/>
      <c r="X236" s="289">
        <v>7400.0</v>
      </c>
      <c r="Y236" s="139"/>
      <c r="Z236" s="2"/>
      <c r="AA236" s="2"/>
      <c r="AB236" s="2"/>
      <c r="AC236" s="2"/>
      <c r="AD236" s="2"/>
      <c r="AE236" s="3" t="s">
        <v>6731</v>
      </c>
      <c r="AF236" s="2"/>
      <c r="AG236" s="1" t="s">
        <v>1582</v>
      </c>
      <c r="AH236" s="1" t="s">
        <v>6161</v>
      </c>
      <c r="AI236" s="2">
        <v>90.0</v>
      </c>
      <c r="AJ236" s="1" t="s">
        <v>1589</v>
      </c>
      <c r="AK236" s="1" t="s">
        <v>5877</v>
      </c>
      <c r="AL236" s="1" t="s">
        <v>5878</v>
      </c>
      <c r="AM236" s="2"/>
      <c r="AN236" s="2"/>
      <c r="AO236" s="2"/>
      <c r="AP236" s="2"/>
      <c r="AQ236" s="2"/>
      <c r="AR236" s="2"/>
      <c r="AS236" s="2"/>
      <c r="AT236" s="2"/>
      <c r="AU236" s="126">
        <v>7400.0</v>
      </c>
      <c r="AV236" s="126">
        <v>9800.0</v>
      </c>
      <c r="AW236" s="2"/>
      <c r="AX236" s="2"/>
      <c r="AY236" s="2"/>
      <c r="AZ236" s="2"/>
      <c r="BA236" s="2"/>
      <c r="BB236" s="2"/>
      <c r="BC236" s="2"/>
      <c r="BD236" s="2"/>
      <c r="BE236" s="2"/>
    </row>
    <row r="237" hidden="1">
      <c r="A237" s="2"/>
      <c r="B237" s="312" t="s">
        <v>6734</v>
      </c>
      <c r="C237" s="220" t="s">
        <v>6735</v>
      </c>
      <c r="D237" s="11">
        <v>90.0</v>
      </c>
      <c r="E237" s="11" t="s">
        <v>262</v>
      </c>
      <c r="F237" s="11" t="s">
        <v>6423</v>
      </c>
      <c r="G237" s="295" t="s">
        <v>6736</v>
      </c>
      <c r="H237" s="296"/>
      <c r="I237" s="156">
        <v>6500.0</v>
      </c>
      <c r="J237" s="301"/>
      <c r="K237" s="296"/>
      <c r="L237" s="139"/>
      <c r="M237" s="301">
        <v>6500.0</v>
      </c>
      <c r="N237" s="284">
        <v>0.37</v>
      </c>
      <c r="O237" s="296">
        <v>8900.0</v>
      </c>
      <c r="P237" s="314">
        <f t="shared" ref="P237:Q237" si="216">O237</f>
        <v>8900</v>
      </c>
      <c r="Q237" s="303">
        <f t="shared" si="216"/>
        <v>8900</v>
      </c>
      <c r="R237" s="299" t="s">
        <v>6737</v>
      </c>
      <c r="S237" s="300">
        <v>46140.55973555555</v>
      </c>
      <c r="T237" s="2"/>
      <c r="U237" s="289">
        <f t="shared" si="4"/>
        <v>2400</v>
      </c>
      <c r="V237" s="304" t="str">
        <f t="shared" si="215"/>
        <v>нет з/ч</v>
      </c>
      <c r="W237" s="2"/>
      <c r="X237" s="289">
        <v>6500.0</v>
      </c>
      <c r="Y237" s="139"/>
      <c r="Z237" s="2"/>
      <c r="AA237" s="2" t="s">
        <v>6735</v>
      </c>
      <c r="AB237" s="2" t="s">
        <v>6735</v>
      </c>
      <c r="AC237" s="2"/>
      <c r="AD237" s="2" t="s">
        <v>6735</v>
      </c>
      <c r="AE237" s="3" t="s">
        <v>6734</v>
      </c>
      <c r="AF237" s="2"/>
      <c r="AG237" s="1" t="s">
        <v>1582</v>
      </c>
      <c r="AH237" s="1" t="s">
        <v>6161</v>
      </c>
      <c r="AI237" s="2">
        <v>90.0</v>
      </c>
      <c r="AJ237" s="1" t="s">
        <v>1589</v>
      </c>
      <c r="AK237" s="1" t="s">
        <v>5877</v>
      </c>
      <c r="AL237" s="1" t="s">
        <v>5878</v>
      </c>
      <c r="AM237" s="2"/>
      <c r="AN237" s="2"/>
      <c r="AO237" s="2"/>
      <c r="AP237" s="2"/>
      <c r="AQ237" s="2"/>
      <c r="AR237" s="2"/>
      <c r="AS237" s="2"/>
      <c r="AT237" s="2"/>
      <c r="AU237" s="126">
        <v>6500.0</v>
      </c>
      <c r="AV237" s="126">
        <v>8900.0</v>
      </c>
      <c r="AW237" s="2"/>
      <c r="AX237" s="2"/>
      <c r="AY237" s="2"/>
      <c r="AZ237" s="2"/>
      <c r="BA237" s="2"/>
      <c r="BB237" s="2"/>
      <c r="BC237" s="2"/>
      <c r="BD237" s="2"/>
      <c r="BE237" s="2"/>
    </row>
    <row r="238" hidden="1">
      <c r="A238" s="2"/>
      <c r="B238" s="312" t="s">
        <v>6738</v>
      </c>
      <c r="C238" s="84"/>
      <c r="D238" s="11">
        <v>90.0</v>
      </c>
      <c r="E238" s="11" t="s">
        <v>262</v>
      </c>
      <c r="F238" s="11" t="s">
        <v>6423</v>
      </c>
      <c r="G238" s="295" t="s">
        <v>6739</v>
      </c>
      <c r="H238" s="296"/>
      <c r="I238" s="156">
        <v>6500.0</v>
      </c>
      <c r="J238" s="301"/>
      <c r="K238" s="296"/>
      <c r="L238" s="156">
        <v>6490.0</v>
      </c>
      <c r="M238" s="301">
        <v>6500.0</v>
      </c>
      <c r="N238" s="284">
        <v>0.37</v>
      </c>
      <c r="O238" s="296">
        <v>8900.0</v>
      </c>
      <c r="P238" s="314">
        <f t="shared" ref="P238:Q238" si="217">O238</f>
        <v>8900</v>
      </c>
      <c r="Q238" s="303">
        <f t="shared" si="217"/>
        <v>8900</v>
      </c>
      <c r="R238" s="299" t="s">
        <v>6740</v>
      </c>
      <c r="S238" s="300">
        <v>46140.5597618287</v>
      </c>
      <c r="T238" s="2"/>
      <c r="U238" s="289">
        <f t="shared" si="4"/>
        <v>2400</v>
      </c>
      <c r="V238" s="290">
        <f t="shared" si="215"/>
        <v>-6490</v>
      </c>
      <c r="W238" s="2"/>
      <c r="X238" s="289">
        <v>6500.0</v>
      </c>
      <c r="Y238" s="139">
        <v>6490.0</v>
      </c>
      <c r="Z238" s="2"/>
      <c r="AA238" s="2"/>
      <c r="AB238" s="2"/>
      <c r="AC238" s="2"/>
      <c r="AD238" s="2"/>
      <c r="AE238" s="3" t="s">
        <v>6738</v>
      </c>
      <c r="AF238" s="2"/>
      <c r="AG238" s="1" t="s">
        <v>1582</v>
      </c>
      <c r="AH238" s="1" t="s">
        <v>6161</v>
      </c>
      <c r="AI238" s="2">
        <v>90.0</v>
      </c>
      <c r="AJ238" s="1" t="s">
        <v>1589</v>
      </c>
      <c r="AK238" s="1" t="s">
        <v>5877</v>
      </c>
      <c r="AL238" s="1" t="s">
        <v>5878</v>
      </c>
      <c r="AM238" s="2"/>
      <c r="AN238" s="2"/>
      <c r="AO238" s="2"/>
      <c r="AP238" s="2"/>
      <c r="AQ238" s="2"/>
      <c r="AR238" s="2"/>
      <c r="AS238" s="2"/>
      <c r="AT238" s="2"/>
      <c r="AU238" s="126">
        <v>6500.0</v>
      </c>
      <c r="AV238" s="126">
        <v>8900.0</v>
      </c>
      <c r="AW238" s="2"/>
      <c r="AX238" s="2"/>
      <c r="AY238" s="2"/>
      <c r="AZ238" s="2"/>
      <c r="BA238" s="2"/>
      <c r="BB238" s="2"/>
      <c r="BC238" s="2"/>
      <c r="BD238" s="2"/>
      <c r="BE238" s="2"/>
    </row>
    <row r="239" hidden="1">
      <c r="A239" s="2"/>
      <c r="B239" s="312" t="s">
        <v>6741</v>
      </c>
      <c r="C239" s="220" t="s">
        <v>6742</v>
      </c>
      <c r="D239" s="11">
        <v>90.0</v>
      </c>
      <c r="E239" s="11" t="s">
        <v>262</v>
      </c>
      <c r="F239" s="11" t="s">
        <v>6423</v>
      </c>
      <c r="G239" s="295" t="s">
        <v>6743</v>
      </c>
      <c r="H239" s="296"/>
      <c r="I239" s="156">
        <v>5800.0</v>
      </c>
      <c r="J239" s="301"/>
      <c r="K239" s="296"/>
      <c r="L239" s="139"/>
      <c r="M239" s="301">
        <v>5800.0</v>
      </c>
      <c r="N239" s="284">
        <v>0.41</v>
      </c>
      <c r="O239" s="296">
        <v>8200.0</v>
      </c>
      <c r="P239" s="314">
        <f t="shared" ref="P239:Q239" si="218">O239</f>
        <v>8200</v>
      </c>
      <c r="Q239" s="303">
        <f t="shared" si="218"/>
        <v>8200</v>
      </c>
      <c r="R239" s="299" t="s">
        <v>6744</v>
      </c>
      <c r="S239" s="300">
        <v>46140.57089913194</v>
      </c>
      <c r="T239" s="2"/>
      <c r="U239" s="289">
        <f t="shared" si="4"/>
        <v>2400</v>
      </c>
      <c r="V239" s="304" t="str">
        <f t="shared" si="215"/>
        <v>нет з/ч</v>
      </c>
      <c r="W239" s="2"/>
      <c r="X239" s="289">
        <v>5800.0</v>
      </c>
      <c r="Y239" s="139"/>
      <c r="Z239" s="2"/>
      <c r="AA239" s="2" t="s">
        <v>6742</v>
      </c>
      <c r="AB239" s="2" t="s">
        <v>6742</v>
      </c>
      <c r="AC239" s="2"/>
      <c r="AD239" s="2" t="s">
        <v>6742</v>
      </c>
      <c r="AE239" s="3" t="s">
        <v>6741</v>
      </c>
      <c r="AF239" s="2"/>
      <c r="AG239" s="1" t="s">
        <v>1582</v>
      </c>
      <c r="AH239" s="1" t="s">
        <v>6161</v>
      </c>
      <c r="AI239" s="2">
        <v>90.0</v>
      </c>
      <c r="AJ239" s="1" t="s">
        <v>1589</v>
      </c>
      <c r="AK239" s="1" t="s">
        <v>5877</v>
      </c>
      <c r="AL239" s="1" t="s">
        <v>5878</v>
      </c>
      <c r="AM239" s="2"/>
      <c r="AN239" s="2"/>
      <c r="AO239" s="2"/>
      <c r="AP239" s="2"/>
      <c r="AQ239" s="2"/>
      <c r="AR239" s="2"/>
      <c r="AS239" s="2"/>
      <c r="AT239" s="2"/>
      <c r="AU239" s="126">
        <v>5800.0</v>
      </c>
      <c r="AV239" s="126">
        <v>8200.0</v>
      </c>
      <c r="AW239" s="2"/>
      <c r="AX239" s="2"/>
      <c r="AY239" s="2"/>
      <c r="AZ239" s="2"/>
      <c r="BA239" s="2"/>
      <c r="BB239" s="2"/>
      <c r="BC239" s="2"/>
      <c r="BD239" s="2"/>
      <c r="BE239" s="2"/>
    </row>
    <row r="240" hidden="1">
      <c r="A240" s="2"/>
      <c r="B240" s="312" t="s">
        <v>6745</v>
      </c>
      <c r="C240" s="84"/>
      <c r="D240" s="11">
        <v>90.0</v>
      </c>
      <c r="E240" s="11" t="s">
        <v>269</v>
      </c>
      <c r="F240" s="11" t="s">
        <v>6423</v>
      </c>
      <c r="G240" s="306"/>
      <c r="H240" s="296"/>
      <c r="I240" s="139"/>
      <c r="J240" s="301"/>
      <c r="K240" s="296"/>
      <c r="L240" s="139"/>
      <c r="M240" s="301" t="s">
        <v>22</v>
      </c>
      <c r="N240" s="284">
        <v>0.12</v>
      </c>
      <c r="O240" s="296" t="s">
        <v>22</v>
      </c>
      <c r="P240" s="314" t="str">
        <f t="shared" ref="P240:Q240" si="219">O240</f>
        <v/>
      </c>
      <c r="Q240" s="303" t="str">
        <f t="shared" si="219"/>
        <v/>
      </c>
      <c r="R240" s="307"/>
      <c r="S240" s="308"/>
      <c r="T240" s="2"/>
      <c r="U240" s="59" t="str">
        <f t="shared" si="4"/>
        <v>нет з/ч</v>
      </c>
      <c r="V240" s="304" t="str">
        <f t="shared" ref="V240:V244" si="221">IF(L240&gt;0, Q1203 - L240, "нет з/ч")</f>
        <v>нет з/ч</v>
      </c>
      <c r="W240" s="2"/>
      <c r="X240" s="289"/>
      <c r="Y240" s="139"/>
      <c r="Z240" s="2"/>
      <c r="AA240" s="2"/>
      <c r="AB240" s="2"/>
      <c r="AC240" s="2"/>
      <c r="AD240" s="2"/>
      <c r="AE240" s="3" t="s">
        <v>6745</v>
      </c>
      <c r="AF240" s="2"/>
      <c r="AG240" s="1" t="s">
        <v>1582</v>
      </c>
      <c r="AH240" s="1" t="s">
        <v>6185</v>
      </c>
      <c r="AI240" s="2">
        <v>90.0</v>
      </c>
      <c r="AJ240" s="1" t="s">
        <v>1589</v>
      </c>
      <c r="AK240" s="1" t="s">
        <v>5877</v>
      </c>
      <c r="AL240" s="1" t="s">
        <v>5878</v>
      </c>
      <c r="AM240" s="2"/>
      <c r="AN240" s="2"/>
      <c r="AO240" s="2"/>
      <c r="AP240" s="2"/>
      <c r="AQ240" s="2"/>
      <c r="AR240" s="2"/>
      <c r="AS240" s="2"/>
      <c r="AT240" s="2"/>
      <c r="AU240" s="126" t="s">
        <v>22</v>
      </c>
      <c r="AV240" s="126" t="s">
        <v>22</v>
      </c>
      <c r="AW240" s="2"/>
      <c r="AX240" s="2"/>
      <c r="AY240" s="2"/>
      <c r="AZ240" s="2"/>
      <c r="BA240" s="2"/>
      <c r="BB240" s="2"/>
      <c r="BC240" s="2"/>
      <c r="BD240" s="2"/>
      <c r="BE240" s="2"/>
    </row>
    <row r="241" hidden="1">
      <c r="A241" s="2"/>
      <c r="B241" s="312" t="s">
        <v>6746</v>
      </c>
      <c r="C241" s="84"/>
      <c r="D241" s="11">
        <v>90.0</v>
      </c>
      <c r="E241" s="11" t="s">
        <v>269</v>
      </c>
      <c r="F241" s="11" t="s">
        <v>6423</v>
      </c>
      <c r="G241" s="306"/>
      <c r="H241" s="296"/>
      <c r="I241" s="139"/>
      <c r="J241" s="301"/>
      <c r="K241" s="296"/>
      <c r="L241" s="139"/>
      <c r="M241" s="301" t="s">
        <v>22</v>
      </c>
      <c r="N241" s="284">
        <v>0.12</v>
      </c>
      <c r="O241" s="296" t="s">
        <v>22</v>
      </c>
      <c r="P241" s="314" t="str">
        <f t="shared" ref="P241:Q241" si="220">O241</f>
        <v/>
      </c>
      <c r="Q241" s="303" t="str">
        <f t="shared" si="220"/>
        <v/>
      </c>
      <c r="R241" s="307"/>
      <c r="S241" s="300">
        <v>46111.543599386576</v>
      </c>
      <c r="T241" s="2"/>
      <c r="U241" s="59" t="str">
        <f t="shared" si="4"/>
        <v>нет з/ч</v>
      </c>
      <c r="V241" s="304" t="str">
        <f t="shared" si="221"/>
        <v>нет з/ч</v>
      </c>
      <c r="W241" s="2"/>
      <c r="X241" s="289"/>
      <c r="Y241" s="139"/>
      <c r="Z241" s="2"/>
      <c r="AA241" s="2"/>
      <c r="AB241" s="2"/>
      <c r="AC241" s="2"/>
      <c r="AD241" s="2"/>
      <c r="AE241" s="3" t="s">
        <v>6746</v>
      </c>
      <c r="AF241" s="2"/>
      <c r="AG241" s="1" t="s">
        <v>1582</v>
      </c>
      <c r="AH241" s="1" t="s">
        <v>6185</v>
      </c>
      <c r="AI241" s="2">
        <v>90.0</v>
      </c>
      <c r="AJ241" s="1" t="s">
        <v>1589</v>
      </c>
      <c r="AK241" s="1" t="s">
        <v>5877</v>
      </c>
      <c r="AL241" s="1" t="s">
        <v>5878</v>
      </c>
      <c r="AM241" s="2"/>
      <c r="AN241" s="2"/>
      <c r="AO241" s="2"/>
      <c r="AP241" s="2"/>
      <c r="AQ241" s="2"/>
      <c r="AR241" s="2"/>
      <c r="AS241" s="2"/>
      <c r="AT241" s="2"/>
      <c r="AU241" s="126" t="s">
        <v>22</v>
      </c>
      <c r="AV241" s="126" t="s">
        <v>22</v>
      </c>
      <c r="AW241" s="2"/>
      <c r="AX241" s="2"/>
      <c r="AY241" s="2"/>
      <c r="AZ241" s="2"/>
      <c r="BA241" s="2"/>
      <c r="BB241" s="2"/>
      <c r="BC241" s="2"/>
      <c r="BD241" s="2"/>
      <c r="BE241" s="2"/>
    </row>
    <row r="242" hidden="1">
      <c r="A242" s="2"/>
      <c r="B242" s="312" t="s">
        <v>6747</v>
      </c>
      <c r="C242" s="220" t="s">
        <v>6748</v>
      </c>
      <c r="D242" s="11">
        <v>90.0</v>
      </c>
      <c r="E242" s="11" t="s">
        <v>269</v>
      </c>
      <c r="F242" s="11" t="s">
        <v>6423</v>
      </c>
      <c r="G242" s="295" t="s">
        <v>6749</v>
      </c>
      <c r="H242" s="296"/>
      <c r="I242" s="156">
        <v>12500.0</v>
      </c>
      <c r="J242" s="301"/>
      <c r="K242" s="296"/>
      <c r="L242" s="139"/>
      <c r="M242" s="301">
        <v>12500.0</v>
      </c>
      <c r="N242" s="284">
        <v>0.12</v>
      </c>
      <c r="O242" s="296">
        <v>14000.0</v>
      </c>
      <c r="P242" s="314">
        <f t="shared" ref="P242:Q242" si="222">O242</f>
        <v>14000</v>
      </c>
      <c r="Q242" s="303">
        <f t="shared" si="222"/>
        <v>14000</v>
      </c>
      <c r="R242" s="299" t="s">
        <v>6750</v>
      </c>
      <c r="S242" s="300">
        <v>46140.55982181713</v>
      </c>
      <c r="T242" s="2"/>
      <c r="U242" s="289">
        <f t="shared" si="4"/>
        <v>1500</v>
      </c>
      <c r="V242" s="304" t="str">
        <f t="shared" si="221"/>
        <v>нет з/ч</v>
      </c>
      <c r="W242" s="2"/>
      <c r="X242" s="289">
        <v>12500.0</v>
      </c>
      <c r="Y242" s="139"/>
      <c r="Z242" s="2"/>
      <c r="AA242" s="2" t="s">
        <v>6748</v>
      </c>
      <c r="AB242" s="2" t="s">
        <v>6748</v>
      </c>
      <c r="AC242" s="2"/>
      <c r="AD242" s="2" t="s">
        <v>6748</v>
      </c>
      <c r="AE242" s="3" t="s">
        <v>6747</v>
      </c>
      <c r="AF242" s="2"/>
      <c r="AG242" s="1" t="s">
        <v>1582</v>
      </c>
      <c r="AH242" s="1" t="s">
        <v>6185</v>
      </c>
      <c r="AI242" s="2">
        <v>90.0</v>
      </c>
      <c r="AJ242" s="1" t="s">
        <v>1589</v>
      </c>
      <c r="AK242" s="1" t="s">
        <v>5877</v>
      </c>
      <c r="AL242" s="1" t="s">
        <v>5878</v>
      </c>
      <c r="AM242" s="2"/>
      <c r="AN242" s="2"/>
      <c r="AO242" s="2"/>
      <c r="AP242" s="2"/>
      <c r="AQ242" s="2"/>
      <c r="AR242" s="2"/>
      <c r="AS242" s="2"/>
      <c r="AT242" s="2"/>
      <c r="AU242" s="126">
        <v>12500.0</v>
      </c>
      <c r="AV242" s="126">
        <v>14000.0</v>
      </c>
      <c r="AW242" s="2"/>
      <c r="AX242" s="2"/>
      <c r="AY242" s="2"/>
      <c r="AZ242" s="2"/>
      <c r="BA242" s="2"/>
      <c r="BB242" s="2"/>
      <c r="BC242" s="2"/>
      <c r="BD242" s="2"/>
      <c r="BE242" s="2"/>
    </row>
    <row r="243" hidden="1">
      <c r="A243" s="2"/>
      <c r="B243" s="312" t="s">
        <v>6751</v>
      </c>
      <c r="C243" s="84"/>
      <c r="D243" s="11">
        <v>90.0</v>
      </c>
      <c r="E243" s="11" t="s">
        <v>269</v>
      </c>
      <c r="F243" s="11" t="s">
        <v>6423</v>
      </c>
      <c r="G243" s="306"/>
      <c r="H243" s="296"/>
      <c r="I243" s="139"/>
      <c r="J243" s="301"/>
      <c r="K243" s="296"/>
      <c r="L243" s="139"/>
      <c r="M243" s="301" t="s">
        <v>22</v>
      </c>
      <c r="N243" s="284">
        <v>0.12</v>
      </c>
      <c r="O243" s="296" t="s">
        <v>22</v>
      </c>
      <c r="P243" s="314" t="str">
        <f t="shared" ref="P243:Q243" si="223">O243</f>
        <v/>
      </c>
      <c r="Q243" s="303" t="str">
        <f t="shared" si="223"/>
        <v/>
      </c>
      <c r="R243" s="307"/>
      <c r="S243" s="300">
        <v>46111.543673900465</v>
      </c>
      <c r="T243" s="2"/>
      <c r="U243" s="59" t="str">
        <f t="shared" si="4"/>
        <v>нет з/ч</v>
      </c>
      <c r="V243" s="304" t="str">
        <f t="shared" si="221"/>
        <v>нет з/ч</v>
      </c>
      <c r="W243" s="2"/>
      <c r="X243" s="289"/>
      <c r="Y243" s="139"/>
      <c r="Z243" s="2"/>
      <c r="AA243" s="2"/>
      <c r="AB243" s="2"/>
      <c r="AC243" s="2"/>
      <c r="AD243" s="2"/>
      <c r="AE243" s="3" t="s">
        <v>6751</v>
      </c>
      <c r="AF243" s="2"/>
      <c r="AG243" s="1" t="s">
        <v>1582</v>
      </c>
      <c r="AH243" s="1" t="s">
        <v>6185</v>
      </c>
      <c r="AI243" s="2">
        <v>90.0</v>
      </c>
      <c r="AJ243" s="1" t="s">
        <v>1589</v>
      </c>
      <c r="AK243" s="1" t="s">
        <v>5877</v>
      </c>
      <c r="AL243" s="1" t="s">
        <v>5878</v>
      </c>
      <c r="AM243" s="2"/>
      <c r="AN243" s="2"/>
      <c r="AO243" s="2"/>
      <c r="AP243" s="2"/>
      <c r="AQ243" s="2"/>
      <c r="AR243" s="2"/>
      <c r="AS243" s="2"/>
      <c r="AT243" s="2"/>
      <c r="AU243" s="126" t="s">
        <v>22</v>
      </c>
      <c r="AV243" s="126" t="s">
        <v>22</v>
      </c>
      <c r="AW243" s="2"/>
      <c r="AX243" s="2"/>
      <c r="AY243" s="2"/>
      <c r="AZ243" s="2"/>
      <c r="BA243" s="2"/>
      <c r="BB243" s="2"/>
      <c r="BC243" s="2"/>
      <c r="BD243" s="2"/>
      <c r="BE243" s="2"/>
    </row>
    <row r="244" hidden="1">
      <c r="A244" s="2"/>
      <c r="B244" s="312" t="s">
        <v>6752</v>
      </c>
      <c r="C244" s="220" t="s">
        <v>6753</v>
      </c>
      <c r="D244" s="11">
        <v>90.0</v>
      </c>
      <c r="E244" s="11" t="s">
        <v>269</v>
      </c>
      <c r="F244" s="11" t="s">
        <v>6423</v>
      </c>
      <c r="G244" s="306"/>
      <c r="H244" s="296"/>
      <c r="I244" s="139"/>
      <c r="J244" s="301"/>
      <c r="K244" s="296"/>
      <c r="L244" s="139"/>
      <c r="M244" s="301" t="s">
        <v>22</v>
      </c>
      <c r="N244" s="284">
        <v>0.12</v>
      </c>
      <c r="O244" s="296" t="s">
        <v>22</v>
      </c>
      <c r="P244" s="314" t="str">
        <f t="shared" ref="P244:Q244" si="224">O244</f>
        <v/>
      </c>
      <c r="Q244" s="303" t="str">
        <f t="shared" si="224"/>
        <v/>
      </c>
      <c r="R244" s="307"/>
      <c r="S244" s="300">
        <v>46111.54369398148</v>
      </c>
      <c r="T244" s="2"/>
      <c r="U244" s="59" t="str">
        <f t="shared" si="4"/>
        <v>нет з/ч</v>
      </c>
      <c r="V244" s="304" t="str">
        <f t="shared" si="221"/>
        <v>нет з/ч</v>
      </c>
      <c r="W244" s="2"/>
      <c r="X244" s="289"/>
      <c r="Y244" s="139"/>
      <c r="Z244" s="2"/>
      <c r="AA244" s="2" t="s">
        <v>6753</v>
      </c>
      <c r="AB244" s="2" t="s">
        <v>6753</v>
      </c>
      <c r="AC244" s="2"/>
      <c r="AD244" s="2" t="s">
        <v>6753</v>
      </c>
      <c r="AE244" s="3" t="s">
        <v>6752</v>
      </c>
      <c r="AF244" s="2"/>
      <c r="AG244" s="1" t="s">
        <v>1582</v>
      </c>
      <c r="AH244" s="1" t="s">
        <v>6185</v>
      </c>
      <c r="AI244" s="2">
        <v>90.0</v>
      </c>
      <c r="AJ244" s="1" t="s">
        <v>1589</v>
      </c>
      <c r="AK244" s="1" t="s">
        <v>5877</v>
      </c>
      <c r="AL244" s="1" t="s">
        <v>5878</v>
      </c>
      <c r="AM244" s="2"/>
      <c r="AN244" s="2"/>
      <c r="AO244" s="2"/>
      <c r="AP244" s="2"/>
      <c r="AQ244" s="2"/>
      <c r="AR244" s="2"/>
      <c r="AS244" s="2"/>
      <c r="AT244" s="2"/>
      <c r="AU244" s="126" t="s">
        <v>22</v>
      </c>
      <c r="AV244" s="126" t="s">
        <v>22</v>
      </c>
      <c r="AW244" s="2"/>
      <c r="AX244" s="2"/>
      <c r="AY244" s="2"/>
      <c r="AZ244" s="2"/>
      <c r="BA244" s="2"/>
      <c r="BB244" s="2"/>
      <c r="BC244" s="2"/>
      <c r="BD244" s="2"/>
      <c r="BE244" s="2"/>
    </row>
    <row r="245" hidden="1">
      <c r="A245" s="2"/>
      <c r="B245" s="312" t="s">
        <v>6754</v>
      </c>
      <c r="C245" s="220" t="s">
        <v>6755</v>
      </c>
      <c r="D245" s="11">
        <v>90.0</v>
      </c>
      <c r="E245" s="11" t="s">
        <v>276</v>
      </c>
      <c r="F245" s="11" t="s">
        <v>6423</v>
      </c>
      <c r="G245" s="295" t="s">
        <v>6756</v>
      </c>
      <c r="H245" s="296"/>
      <c r="I245" s="156">
        <v>21900.0</v>
      </c>
      <c r="J245" s="301"/>
      <c r="K245" s="296"/>
      <c r="L245" s="139"/>
      <c r="M245" s="301">
        <v>21900.0</v>
      </c>
      <c r="N245" s="284">
        <v>0.224</v>
      </c>
      <c r="O245" s="296">
        <v>26800.0</v>
      </c>
      <c r="P245" s="314">
        <f t="shared" ref="P245:Q245" si="225">O245</f>
        <v>26800</v>
      </c>
      <c r="Q245" s="303">
        <f t="shared" si="225"/>
        <v>26800</v>
      </c>
      <c r="R245" s="299" t="s">
        <v>6757</v>
      </c>
      <c r="S245" s="300">
        <v>46140.55986599537</v>
      </c>
      <c r="T245" s="2"/>
      <c r="U245" s="289">
        <f t="shared" si="4"/>
        <v>4900</v>
      </c>
      <c r="V245" s="304" t="str">
        <f t="shared" ref="V245:V249" si="227">IF(L245&gt;0, Q1211 - L245, "нет з/ч")</f>
        <v>нет з/ч</v>
      </c>
      <c r="W245" s="2"/>
      <c r="X245" s="289">
        <v>21900.0</v>
      </c>
      <c r="Y245" s="139"/>
      <c r="Z245" s="2"/>
      <c r="AA245" s="2" t="s">
        <v>6755</v>
      </c>
      <c r="AB245" s="2" t="s">
        <v>6755</v>
      </c>
      <c r="AC245" s="2"/>
      <c r="AD245" s="2" t="s">
        <v>6755</v>
      </c>
      <c r="AE245" s="3" t="s">
        <v>6754</v>
      </c>
      <c r="AF245" s="2"/>
      <c r="AG245" s="1" t="s">
        <v>1582</v>
      </c>
      <c r="AH245" s="1" t="s">
        <v>6205</v>
      </c>
      <c r="AI245" s="2">
        <v>90.0</v>
      </c>
      <c r="AJ245" s="1" t="s">
        <v>1589</v>
      </c>
      <c r="AK245" s="1" t="s">
        <v>5877</v>
      </c>
      <c r="AL245" s="1" t="s">
        <v>5878</v>
      </c>
      <c r="AM245" s="2"/>
      <c r="AN245" s="2"/>
      <c r="AO245" s="2"/>
      <c r="AP245" s="2"/>
      <c r="AQ245" s="2"/>
      <c r="AR245" s="2"/>
      <c r="AS245" s="2"/>
      <c r="AT245" s="2"/>
      <c r="AU245" s="126">
        <v>21900.0</v>
      </c>
      <c r="AV245" s="126">
        <v>26800.0</v>
      </c>
      <c r="AW245" s="2"/>
      <c r="AX245" s="2"/>
      <c r="AY245" s="2"/>
      <c r="AZ245" s="2"/>
      <c r="BA245" s="2"/>
      <c r="BB245" s="2"/>
      <c r="BC245" s="2"/>
      <c r="BD245" s="2"/>
      <c r="BE245" s="2"/>
    </row>
    <row r="246" hidden="1">
      <c r="A246" s="2"/>
      <c r="B246" s="312" t="s">
        <v>6758</v>
      </c>
      <c r="C246" s="220" t="s">
        <v>6759</v>
      </c>
      <c r="D246" s="11">
        <v>90.0</v>
      </c>
      <c r="E246" s="11" t="s">
        <v>276</v>
      </c>
      <c r="F246" s="11" t="s">
        <v>6423</v>
      </c>
      <c r="G246" s="295" t="s">
        <v>6760</v>
      </c>
      <c r="H246" s="296"/>
      <c r="I246" s="156">
        <v>13900.0</v>
      </c>
      <c r="J246" s="301"/>
      <c r="K246" s="296"/>
      <c r="L246" s="139"/>
      <c r="M246" s="301">
        <v>13900.0</v>
      </c>
      <c r="N246" s="284">
        <v>0.352</v>
      </c>
      <c r="O246" s="296">
        <v>18800.0</v>
      </c>
      <c r="P246" s="314">
        <f t="shared" ref="P246:Q246" si="226">O246</f>
        <v>18800</v>
      </c>
      <c r="Q246" s="303">
        <f t="shared" si="226"/>
        <v>18800</v>
      </c>
      <c r="R246" s="299" t="s">
        <v>6761</v>
      </c>
      <c r="S246" s="300">
        <v>46140.559890439814</v>
      </c>
      <c r="T246" s="2"/>
      <c r="U246" s="289">
        <f t="shared" si="4"/>
        <v>4900</v>
      </c>
      <c r="V246" s="304" t="str">
        <f t="shared" si="227"/>
        <v>нет з/ч</v>
      </c>
      <c r="W246" s="2"/>
      <c r="X246" s="289">
        <v>13900.0</v>
      </c>
      <c r="Y246" s="139"/>
      <c r="Z246" s="2"/>
      <c r="AA246" s="2" t="s">
        <v>6759</v>
      </c>
      <c r="AB246" s="2" t="s">
        <v>6759</v>
      </c>
      <c r="AC246" s="2"/>
      <c r="AD246" s="2" t="s">
        <v>6759</v>
      </c>
      <c r="AE246" s="3" t="s">
        <v>6758</v>
      </c>
      <c r="AF246" s="2"/>
      <c r="AG246" s="1" t="s">
        <v>1582</v>
      </c>
      <c r="AH246" s="1" t="s">
        <v>6205</v>
      </c>
      <c r="AI246" s="2">
        <v>90.0</v>
      </c>
      <c r="AJ246" s="1" t="s">
        <v>1589</v>
      </c>
      <c r="AK246" s="1" t="s">
        <v>5877</v>
      </c>
      <c r="AL246" s="1" t="s">
        <v>5878</v>
      </c>
      <c r="AM246" s="2"/>
      <c r="AN246" s="2"/>
      <c r="AO246" s="2"/>
      <c r="AP246" s="2"/>
      <c r="AQ246" s="2"/>
      <c r="AR246" s="2"/>
      <c r="AS246" s="2"/>
      <c r="AT246" s="2"/>
      <c r="AU246" s="126">
        <v>13900.0</v>
      </c>
      <c r="AV246" s="126">
        <v>18800.0</v>
      </c>
      <c r="AW246" s="2"/>
      <c r="AX246" s="2"/>
      <c r="AY246" s="2"/>
      <c r="AZ246" s="2"/>
      <c r="BA246" s="2"/>
      <c r="BB246" s="2"/>
      <c r="BC246" s="2"/>
      <c r="BD246" s="2"/>
      <c r="BE246" s="2"/>
    </row>
    <row r="247" hidden="1">
      <c r="A247" s="2"/>
      <c r="B247" s="312" t="s">
        <v>6762</v>
      </c>
      <c r="C247" s="220" t="s">
        <v>6763</v>
      </c>
      <c r="D247" s="11">
        <v>90.0</v>
      </c>
      <c r="E247" s="11" t="s">
        <v>276</v>
      </c>
      <c r="F247" s="11" t="s">
        <v>6423</v>
      </c>
      <c r="G247" s="295" t="s">
        <v>6764</v>
      </c>
      <c r="H247" s="296"/>
      <c r="I247" s="156">
        <v>13000.0</v>
      </c>
      <c r="J247" s="301"/>
      <c r="K247" s="296"/>
      <c r="L247" s="139"/>
      <c r="M247" s="301">
        <v>13000.0</v>
      </c>
      <c r="N247" s="284">
        <v>0.375</v>
      </c>
      <c r="O247" s="296">
        <v>17900.0</v>
      </c>
      <c r="P247" s="314">
        <f t="shared" ref="P247:Q247" si="228">O247</f>
        <v>17900</v>
      </c>
      <c r="Q247" s="303">
        <f t="shared" si="228"/>
        <v>17900</v>
      </c>
      <c r="R247" s="299" t="s">
        <v>6765</v>
      </c>
      <c r="S247" s="300">
        <v>46140.55991403935</v>
      </c>
      <c r="T247" s="2"/>
      <c r="U247" s="289">
        <f t="shared" si="4"/>
        <v>4900</v>
      </c>
      <c r="V247" s="304" t="str">
        <f t="shared" si="227"/>
        <v>нет з/ч</v>
      </c>
      <c r="W247" s="2"/>
      <c r="X247" s="289">
        <v>13000.0</v>
      </c>
      <c r="Y247" s="139"/>
      <c r="Z247" s="2"/>
      <c r="AA247" s="2" t="s">
        <v>6763</v>
      </c>
      <c r="AB247" s="2" t="s">
        <v>6763</v>
      </c>
      <c r="AC247" s="2"/>
      <c r="AD247" s="2" t="s">
        <v>6763</v>
      </c>
      <c r="AE247" s="3" t="s">
        <v>6762</v>
      </c>
      <c r="AF247" s="2"/>
      <c r="AG247" s="1" t="s">
        <v>1582</v>
      </c>
      <c r="AH247" s="1" t="s">
        <v>6205</v>
      </c>
      <c r="AI247" s="2">
        <v>90.0</v>
      </c>
      <c r="AJ247" s="1" t="s">
        <v>1589</v>
      </c>
      <c r="AK247" s="1" t="s">
        <v>5877</v>
      </c>
      <c r="AL247" s="1" t="s">
        <v>5878</v>
      </c>
      <c r="AM247" s="2"/>
      <c r="AN247" s="2"/>
      <c r="AO247" s="2"/>
      <c r="AP247" s="2"/>
      <c r="AQ247" s="2"/>
      <c r="AR247" s="2"/>
      <c r="AS247" s="2"/>
      <c r="AT247" s="2"/>
      <c r="AU247" s="126">
        <v>13000.0</v>
      </c>
      <c r="AV247" s="126">
        <v>17900.0</v>
      </c>
      <c r="AW247" s="2"/>
      <c r="AX247" s="2"/>
      <c r="AY247" s="2"/>
      <c r="AZ247" s="2"/>
      <c r="BA247" s="2"/>
      <c r="BB247" s="2"/>
      <c r="BC247" s="2"/>
      <c r="BD247" s="2"/>
      <c r="BE247" s="2"/>
    </row>
    <row r="248" hidden="1">
      <c r="A248" s="2"/>
      <c r="B248" s="312" t="s">
        <v>6766</v>
      </c>
      <c r="C248" s="84"/>
      <c r="D248" s="11">
        <v>90.0</v>
      </c>
      <c r="E248" s="11" t="s">
        <v>276</v>
      </c>
      <c r="F248" s="11" t="s">
        <v>6423</v>
      </c>
      <c r="G248" s="295" t="s">
        <v>6767</v>
      </c>
      <c r="H248" s="296"/>
      <c r="I248" s="156">
        <v>11600.0</v>
      </c>
      <c r="J248" s="301"/>
      <c r="K248" s="296"/>
      <c r="L248" s="156">
        <v>12090.0</v>
      </c>
      <c r="M248" s="301">
        <v>12090.0</v>
      </c>
      <c r="N248" s="284">
        <v>0.315</v>
      </c>
      <c r="O248" s="296">
        <v>15900.0</v>
      </c>
      <c r="P248" s="314">
        <f t="shared" ref="P248:Q248" si="229">O248</f>
        <v>15900</v>
      </c>
      <c r="Q248" s="303">
        <f t="shared" si="229"/>
        <v>15900</v>
      </c>
      <c r="R248" s="299" t="s">
        <v>6768</v>
      </c>
      <c r="S248" s="300">
        <v>46140.55993710648</v>
      </c>
      <c r="T248" s="2"/>
      <c r="U248" s="289">
        <f t="shared" si="4"/>
        <v>4300</v>
      </c>
      <c r="V248" s="290">
        <f t="shared" si="227"/>
        <v>-12090</v>
      </c>
      <c r="W248" s="2"/>
      <c r="X248" s="289">
        <v>11600.0</v>
      </c>
      <c r="Y248" s="139">
        <v>12090.0</v>
      </c>
      <c r="Z248" s="2"/>
      <c r="AA248" s="2"/>
      <c r="AB248" s="2"/>
      <c r="AC248" s="2"/>
      <c r="AD248" s="2"/>
      <c r="AE248" s="3" t="s">
        <v>6766</v>
      </c>
      <c r="AF248" s="2"/>
      <c r="AG248" s="1" t="s">
        <v>1582</v>
      </c>
      <c r="AH248" s="1" t="s">
        <v>6205</v>
      </c>
      <c r="AI248" s="2">
        <v>90.0</v>
      </c>
      <c r="AJ248" s="1" t="s">
        <v>1589</v>
      </c>
      <c r="AK248" s="1" t="s">
        <v>5877</v>
      </c>
      <c r="AL248" s="1" t="s">
        <v>5878</v>
      </c>
      <c r="AM248" s="2"/>
      <c r="AN248" s="2"/>
      <c r="AO248" s="2"/>
      <c r="AP248" s="2"/>
      <c r="AQ248" s="2"/>
      <c r="AR248" s="2"/>
      <c r="AS248" s="2"/>
      <c r="AT248" s="2"/>
      <c r="AU248" s="126">
        <v>12090.0</v>
      </c>
      <c r="AV248" s="126">
        <v>15900.0</v>
      </c>
      <c r="AW248" s="2"/>
      <c r="AX248" s="2"/>
      <c r="AY248" s="2"/>
      <c r="AZ248" s="2"/>
      <c r="BA248" s="2"/>
      <c r="BB248" s="2"/>
      <c r="BC248" s="2"/>
      <c r="BD248" s="2"/>
      <c r="BE248" s="2"/>
    </row>
    <row r="249" hidden="1">
      <c r="A249" s="2"/>
      <c r="B249" s="312" t="s">
        <v>6769</v>
      </c>
      <c r="C249" s="220" t="s">
        <v>6770</v>
      </c>
      <c r="D249" s="11">
        <v>90.0</v>
      </c>
      <c r="E249" s="11" t="s">
        <v>276</v>
      </c>
      <c r="F249" s="11" t="s">
        <v>6423</v>
      </c>
      <c r="G249" s="295" t="s">
        <v>6771</v>
      </c>
      <c r="H249" s="296"/>
      <c r="I249" s="156">
        <v>10400.0</v>
      </c>
      <c r="J249" s="301"/>
      <c r="K249" s="296"/>
      <c r="L249" s="156">
        <v>11090.0</v>
      </c>
      <c r="M249" s="301">
        <v>11090.0</v>
      </c>
      <c r="N249" s="284">
        <v>0.345</v>
      </c>
      <c r="O249" s="296">
        <v>14900.0</v>
      </c>
      <c r="P249" s="314">
        <f t="shared" ref="P249:Q249" si="230">O249</f>
        <v>14900</v>
      </c>
      <c r="Q249" s="303">
        <f t="shared" si="230"/>
        <v>14900</v>
      </c>
      <c r="R249" s="299" t="s">
        <v>6772</v>
      </c>
      <c r="S249" s="300">
        <v>46140.55996114583</v>
      </c>
      <c r="T249" s="2"/>
      <c r="U249" s="289">
        <f t="shared" si="4"/>
        <v>4500</v>
      </c>
      <c r="V249" s="290">
        <f t="shared" si="227"/>
        <v>-11090</v>
      </c>
      <c r="W249" s="2"/>
      <c r="X249" s="289">
        <v>10400.0</v>
      </c>
      <c r="Y249" s="139">
        <v>11090.0</v>
      </c>
      <c r="Z249" s="2"/>
      <c r="AA249" s="2" t="s">
        <v>6770</v>
      </c>
      <c r="AB249" s="2" t="s">
        <v>6770</v>
      </c>
      <c r="AC249" s="2"/>
      <c r="AD249" s="2" t="s">
        <v>6770</v>
      </c>
      <c r="AE249" s="3" t="s">
        <v>6769</v>
      </c>
      <c r="AF249" s="2"/>
      <c r="AG249" s="1" t="s">
        <v>1582</v>
      </c>
      <c r="AH249" s="1" t="s">
        <v>6205</v>
      </c>
      <c r="AI249" s="2">
        <v>90.0</v>
      </c>
      <c r="AJ249" s="1" t="s">
        <v>1589</v>
      </c>
      <c r="AK249" s="1" t="s">
        <v>5877</v>
      </c>
      <c r="AL249" s="1" t="s">
        <v>5878</v>
      </c>
      <c r="AM249" s="2"/>
      <c r="AN249" s="2"/>
      <c r="AO249" s="2"/>
      <c r="AP249" s="2"/>
      <c r="AQ249" s="2"/>
      <c r="AR249" s="2"/>
      <c r="AS249" s="2"/>
      <c r="AT249" s="2"/>
      <c r="AU249" s="126">
        <v>11090.0</v>
      </c>
      <c r="AV249" s="126">
        <v>14900.0</v>
      </c>
      <c r="AW249" s="2"/>
      <c r="AX249" s="2"/>
      <c r="AY249" s="2"/>
      <c r="AZ249" s="2"/>
      <c r="BA249" s="2"/>
      <c r="BB249" s="2"/>
      <c r="BC249" s="2"/>
      <c r="BD249" s="2"/>
      <c r="BE249" s="2"/>
    </row>
    <row r="250" hidden="1">
      <c r="A250" s="2"/>
      <c r="B250" s="312" t="s">
        <v>6773</v>
      </c>
      <c r="C250" s="220" t="s">
        <v>6774</v>
      </c>
      <c r="D250" s="11">
        <v>90.0</v>
      </c>
      <c r="E250" s="11" t="s">
        <v>283</v>
      </c>
      <c r="F250" s="11" t="s">
        <v>6423</v>
      </c>
      <c r="G250" s="295" t="s">
        <v>6775</v>
      </c>
      <c r="H250" s="296"/>
      <c r="I250" s="156">
        <v>26500.0</v>
      </c>
      <c r="J250" s="301"/>
      <c r="K250" s="296"/>
      <c r="L250" s="139"/>
      <c r="M250" s="301">
        <v>26500.0</v>
      </c>
      <c r="N250" s="284">
        <v>0.182</v>
      </c>
      <c r="O250" s="296">
        <v>31300.0</v>
      </c>
      <c r="P250" s="314">
        <f t="shared" ref="P250:Q250" si="231">O250</f>
        <v>31300</v>
      </c>
      <c r="Q250" s="303">
        <f t="shared" si="231"/>
        <v>31300</v>
      </c>
      <c r="R250" s="299" t="s">
        <v>6776</v>
      </c>
      <c r="S250" s="300">
        <v>46140.560021446756</v>
      </c>
      <c r="T250" s="2"/>
      <c r="U250" s="289">
        <f t="shared" si="4"/>
        <v>4800</v>
      </c>
      <c r="V250" s="304" t="str">
        <f t="shared" ref="V250:V254" si="233">IF(L250&gt;0, Q1219 - L250, "нет з/ч")</f>
        <v>нет з/ч</v>
      </c>
      <c r="W250" s="2"/>
      <c r="X250" s="289">
        <v>26500.0</v>
      </c>
      <c r="Y250" s="139"/>
      <c r="Z250" s="2"/>
      <c r="AA250" s="2" t="s">
        <v>6774</v>
      </c>
      <c r="AB250" s="2" t="s">
        <v>6774</v>
      </c>
      <c r="AC250" s="2"/>
      <c r="AD250" s="2" t="s">
        <v>6774</v>
      </c>
      <c r="AE250" s="3" t="s">
        <v>6773</v>
      </c>
      <c r="AF250" s="2"/>
      <c r="AG250" s="1" t="s">
        <v>1582</v>
      </c>
      <c r="AH250" s="1" t="s">
        <v>6229</v>
      </c>
      <c r="AI250" s="2">
        <v>90.0</v>
      </c>
      <c r="AJ250" s="1" t="s">
        <v>1589</v>
      </c>
      <c r="AK250" s="1" t="s">
        <v>5877</v>
      </c>
      <c r="AL250" s="1" t="s">
        <v>5878</v>
      </c>
      <c r="AM250" s="2"/>
      <c r="AN250" s="2"/>
      <c r="AO250" s="2"/>
      <c r="AP250" s="2"/>
      <c r="AQ250" s="2"/>
      <c r="AR250" s="2"/>
      <c r="AS250" s="2"/>
      <c r="AT250" s="2"/>
      <c r="AU250" s="126">
        <v>26500.0</v>
      </c>
      <c r="AV250" s="126">
        <v>31300.0</v>
      </c>
      <c r="AW250" s="2"/>
      <c r="AX250" s="2"/>
      <c r="AY250" s="2"/>
      <c r="AZ250" s="2"/>
      <c r="BA250" s="2"/>
      <c r="BB250" s="2"/>
      <c r="BC250" s="2"/>
      <c r="BD250" s="2"/>
      <c r="BE250" s="2"/>
    </row>
    <row r="251" hidden="1">
      <c r="A251" s="2"/>
      <c r="B251" s="312" t="s">
        <v>6777</v>
      </c>
      <c r="C251" s="220" t="s">
        <v>6778</v>
      </c>
      <c r="D251" s="11">
        <v>90.0</v>
      </c>
      <c r="E251" s="11" t="s">
        <v>283</v>
      </c>
      <c r="F251" s="11" t="s">
        <v>6423</v>
      </c>
      <c r="G251" s="295" t="s">
        <v>6779</v>
      </c>
      <c r="H251" s="296"/>
      <c r="I251" s="156">
        <v>16000.0</v>
      </c>
      <c r="J251" s="301"/>
      <c r="K251" s="296"/>
      <c r="L251" s="139"/>
      <c r="M251" s="301">
        <v>16000.0</v>
      </c>
      <c r="N251" s="284">
        <v>0.3</v>
      </c>
      <c r="O251" s="296">
        <v>20800.0</v>
      </c>
      <c r="P251" s="314">
        <f t="shared" ref="P251:Q251" si="232">O251</f>
        <v>20800</v>
      </c>
      <c r="Q251" s="303">
        <f t="shared" si="232"/>
        <v>20800</v>
      </c>
      <c r="R251" s="299" t="s">
        <v>6780</v>
      </c>
      <c r="S251" s="300">
        <v>46140.56004556713</v>
      </c>
      <c r="T251" s="2"/>
      <c r="U251" s="289">
        <f t="shared" si="4"/>
        <v>4800</v>
      </c>
      <c r="V251" s="304" t="str">
        <f t="shared" si="233"/>
        <v>нет з/ч</v>
      </c>
      <c r="W251" s="2"/>
      <c r="X251" s="289">
        <v>16000.0</v>
      </c>
      <c r="Y251" s="139"/>
      <c r="Z251" s="2"/>
      <c r="AA251" s="2" t="s">
        <v>6778</v>
      </c>
      <c r="AB251" s="2" t="s">
        <v>6778</v>
      </c>
      <c r="AC251" s="2"/>
      <c r="AD251" s="2" t="s">
        <v>6778</v>
      </c>
      <c r="AE251" s="3" t="s">
        <v>6777</v>
      </c>
      <c r="AF251" s="2"/>
      <c r="AG251" s="1" t="s">
        <v>1582</v>
      </c>
      <c r="AH251" s="1" t="s">
        <v>6229</v>
      </c>
      <c r="AI251" s="2">
        <v>90.0</v>
      </c>
      <c r="AJ251" s="1" t="s">
        <v>1589</v>
      </c>
      <c r="AK251" s="1" t="s">
        <v>5877</v>
      </c>
      <c r="AL251" s="1" t="s">
        <v>5878</v>
      </c>
      <c r="AM251" s="2"/>
      <c r="AN251" s="2"/>
      <c r="AO251" s="2"/>
      <c r="AP251" s="2"/>
      <c r="AQ251" s="2"/>
      <c r="AR251" s="2"/>
      <c r="AS251" s="2"/>
      <c r="AT251" s="2"/>
      <c r="AU251" s="126">
        <v>16000.0</v>
      </c>
      <c r="AV251" s="126">
        <v>20800.0</v>
      </c>
      <c r="AW251" s="2"/>
      <c r="AX251" s="2"/>
      <c r="AY251" s="2"/>
      <c r="AZ251" s="2"/>
      <c r="BA251" s="2"/>
      <c r="BB251" s="2"/>
      <c r="BC251" s="2"/>
      <c r="BD251" s="2"/>
      <c r="BE251" s="2"/>
    </row>
    <row r="252" hidden="1">
      <c r="A252" s="2"/>
      <c r="B252" s="312" t="s">
        <v>6781</v>
      </c>
      <c r="C252" s="220" t="s">
        <v>6782</v>
      </c>
      <c r="D252" s="11">
        <v>90.0</v>
      </c>
      <c r="E252" s="11" t="s">
        <v>283</v>
      </c>
      <c r="F252" s="11" t="s">
        <v>6423</v>
      </c>
      <c r="G252" s="295" t="s">
        <v>6783</v>
      </c>
      <c r="H252" s="296"/>
      <c r="I252" s="156">
        <v>14500.0</v>
      </c>
      <c r="J252" s="301"/>
      <c r="K252" s="296"/>
      <c r="L252" s="139"/>
      <c r="M252" s="301">
        <v>14500.0</v>
      </c>
      <c r="N252" s="284">
        <v>0.33</v>
      </c>
      <c r="O252" s="296">
        <v>19300.0</v>
      </c>
      <c r="P252" s="314">
        <f t="shared" ref="P252:Q252" si="234">O252</f>
        <v>19300</v>
      </c>
      <c r="Q252" s="303">
        <f t="shared" si="234"/>
        <v>19300</v>
      </c>
      <c r="R252" s="299" t="s">
        <v>6784</v>
      </c>
      <c r="S252" s="300">
        <v>46140.56007320602</v>
      </c>
      <c r="T252" s="2"/>
      <c r="U252" s="289">
        <f t="shared" si="4"/>
        <v>4800</v>
      </c>
      <c r="V252" s="304" t="str">
        <f t="shared" si="233"/>
        <v>нет з/ч</v>
      </c>
      <c r="W252" s="2"/>
      <c r="X252" s="289">
        <v>14500.0</v>
      </c>
      <c r="Y252" s="139"/>
      <c r="Z252" s="2"/>
      <c r="AA252" s="2" t="s">
        <v>6782</v>
      </c>
      <c r="AB252" s="2" t="s">
        <v>6782</v>
      </c>
      <c r="AC252" s="2"/>
      <c r="AD252" s="2" t="s">
        <v>6782</v>
      </c>
      <c r="AE252" s="3" t="s">
        <v>6781</v>
      </c>
      <c r="AF252" s="2"/>
      <c r="AG252" s="1" t="s">
        <v>1582</v>
      </c>
      <c r="AH252" s="1" t="s">
        <v>6229</v>
      </c>
      <c r="AI252" s="2">
        <v>90.0</v>
      </c>
      <c r="AJ252" s="1" t="s">
        <v>1589</v>
      </c>
      <c r="AK252" s="1" t="s">
        <v>5877</v>
      </c>
      <c r="AL252" s="1" t="s">
        <v>5878</v>
      </c>
      <c r="AM252" s="2"/>
      <c r="AN252" s="2"/>
      <c r="AO252" s="2"/>
      <c r="AP252" s="2"/>
      <c r="AQ252" s="2"/>
      <c r="AR252" s="2"/>
      <c r="AS252" s="2"/>
      <c r="AT252" s="2"/>
      <c r="AU252" s="126">
        <v>14500.0</v>
      </c>
      <c r="AV252" s="126">
        <v>19300.0</v>
      </c>
      <c r="AW252" s="2"/>
      <c r="AX252" s="2"/>
      <c r="AY252" s="2"/>
      <c r="AZ252" s="2"/>
      <c r="BA252" s="2"/>
      <c r="BB252" s="2"/>
      <c r="BC252" s="2"/>
      <c r="BD252" s="2"/>
      <c r="BE252" s="2"/>
    </row>
    <row r="253" hidden="1">
      <c r="A253" s="2"/>
      <c r="B253" s="312" t="s">
        <v>6785</v>
      </c>
      <c r="C253" s="84"/>
      <c r="D253" s="11">
        <v>90.0</v>
      </c>
      <c r="E253" s="11" t="s">
        <v>283</v>
      </c>
      <c r="F253" s="11" t="s">
        <v>6423</v>
      </c>
      <c r="G253" s="295" t="s">
        <v>6786</v>
      </c>
      <c r="H253" s="296"/>
      <c r="I253" s="156">
        <v>13000.0</v>
      </c>
      <c r="J253" s="301"/>
      <c r="K253" s="296"/>
      <c r="L253" s="156">
        <v>14690.0</v>
      </c>
      <c r="M253" s="301">
        <v>14690.0</v>
      </c>
      <c r="N253" s="284">
        <v>0.28</v>
      </c>
      <c r="O253" s="296">
        <v>18800.0</v>
      </c>
      <c r="P253" s="314">
        <f t="shared" ref="P253:Q253" si="235">O253</f>
        <v>18800</v>
      </c>
      <c r="Q253" s="303">
        <f t="shared" si="235"/>
        <v>18800</v>
      </c>
      <c r="R253" s="299" t="s">
        <v>6787</v>
      </c>
      <c r="S253" s="300">
        <v>46140.56009726852</v>
      </c>
      <c r="T253" s="2"/>
      <c r="U253" s="289">
        <f t="shared" si="4"/>
        <v>5800</v>
      </c>
      <c r="V253" s="290">
        <f t="shared" si="233"/>
        <v>-14690</v>
      </c>
      <c r="W253" s="2"/>
      <c r="X253" s="289">
        <v>13000.0</v>
      </c>
      <c r="Y253" s="139">
        <v>14690.0</v>
      </c>
      <c r="Z253" s="2"/>
      <c r="AA253" s="2"/>
      <c r="AB253" s="2"/>
      <c r="AC253" s="2"/>
      <c r="AD253" s="2"/>
      <c r="AE253" s="3" t="s">
        <v>6785</v>
      </c>
      <c r="AF253" s="2"/>
      <c r="AG253" s="1" t="s">
        <v>1582</v>
      </c>
      <c r="AH253" s="1" t="s">
        <v>6229</v>
      </c>
      <c r="AI253" s="2">
        <v>90.0</v>
      </c>
      <c r="AJ253" s="1" t="s">
        <v>1589</v>
      </c>
      <c r="AK253" s="1" t="s">
        <v>5877</v>
      </c>
      <c r="AL253" s="1" t="s">
        <v>5878</v>
      </c>
      <c r="AM253" s="2"/>
      <c r="AN253" s="2"/>
      <c r="AO253" s="2"/>
      <c r="AP253" s="2"/>
      <c r="AQ253" s="2"/>
      <c r="AR253" s="2"/>
      <c r="AS253" s="2"/>
      <c r="AT253" s="2"/>
      <c r="AU253" s="126">
        <v>14690.0</v>
      </c>
      <c r="AV253" s="126">
        <v>18800.0</v>
      </c>
      <c r="AW253" s="2"/>
      <c r="AX253" s="2"/>
      <c r="AY253" s="2"/>
      <c r="AZ253" s="2"/>
      <c r="BA253" s="2"/>
      <c r="BB253" s="2"/>
      <c r="BC253" s="2"/>
      <c r="BD253" s="2"/>
      <c r="BE253" s="2"/>
    </row>
    <row r="254" hidden="1">
      <c r="A254" s="2"/>
      <c r="B254" s="312" t="s">
        <v>6788</v>
      </c>
      <c r="C254" s="220" t="s">
        <v>6789</v>
      </c>
      <c r="D254" s="11">
        <v>90.0</v>
      </c>
      <c r="E254" s="11" t="s">
        <v>283</v>
      </c>
      <c r="F254" s="11" t="s">
        <v>6423</v>
      </c>
      <c r="G254" s="295" t="s">
        <v>6790</v>
      </c>
      <c r="H254" s="296"/>
      <c r="I254" s="156">
        <v>10800.0</v>
      </c>
      <c r="J254" s="301"/>
      <c r="K254" s="296"/>
      <c r="L254" s="139"/>
      <c r="M254" s="301">
        <v>10800.0</v>
      </c>
      <c r="N254" s="284">
        <v>0.38</v>
      </c>
      <c r="O254" s="296">
        <v>14900.0</v>
      </c>
      <c r="P254" s="314">
        <f t="shared" ref="P254:Q254" si="236">O254</f>
        <v>14900</v>
      </c>
      <c r="Q254" s="303">
        <f t="shared" si="236"/>
        <v>14900</v>
      </c>
      <c r="R254" s="299" t="s">
        <v>6791</v>
      </c>
      <c r="S254" s="300">
        <v>46140.56011903935</v>
      </c>
      <c r="T254" s="2"/>
      <c r="U254" s="289">
        <f t="shared" si="4"/>
        <v>4100</v>
      </c>
      <c r="V254" s="304" t="str">
        <f t="shared" si="233"/>
        <v>нет з/ч</v>
      </c>
      <c r="W254" s="2"/>
      <c r="X254" s="289">
        <v>10800.0</v>
      </c>
      <c r="Y254" s="139"/>
      <c r="Z254" s="2"/>
      <c r="AA254" s="2" t="s">
        <v>6789</v>
      </c>
      <c r="AB254" s="2" t="s">
        <v>6789</v>
      </c>
      <c r="AC254" s="2"/>
      <c r="AD254" s="2" t="s">
        <v>6789</v>
      </c>
      <c r="AE254" s="3" t="s">
        <v>6788</v>
      </c>
      <c r="AF254" s="2"/>
      <c r="AG254" s="1" t="s">
        <v>1582</v>
      </c>
      <c r="AH254" s="1" t="s">
        <v>6229</v>
      </c>
      <c r="AI254" s="2">
        <v>90.0</v>
      </c>
      <c r="AJ254" s="1" t="s">
        <v>1589</v>
      </c>
      <c r="AK254" s="1" t="s">
        <v>5877</v>
      </c>
      <c r="AL254" s="1" t="s">
        <v>5878</v>
      </c>
      <c r="AM254" s="2"/>
      <c r="AN254" s="2"/>
      <c r="AO254" s="2"/>
      <c r="AP254" s="2"/>
      <c r="AQ254" s="2"/>
      <c r="AR254" s="2"/>
      <c r="AS254" s="2"/>
      <c r="AT254" s="2"/>
      <c r="AU254" s="126">
        <v>10800.0</v>
      </c>
      <c r="AV254" s="126">
        <v>14900.0</v>
      </c>
      <c r="AW254" s="2"/>
      <c r="AX254" s="2"/>
      <c r="AY254" s="2"/>
      <c r="AZ254" s="2"/>
      <c r="BA254" s="2"/>
      <c r="BB254" s="2"/>
      <c r="BC254" s="2"/>
      <c r="BD254" s="2"/>
      <c r="BE254" s="2"/>
    </row>
    <row r="255" hidden="1">
      <c r="A255" s="2"/>
      <c r="B255" s="312" t="s">
        <v>6792</v>
      </c>
      <c r="C255" s="84"/>
      <c r="D255" s="11">
        <v>90.0</v>
      </c>
      <c r="E255" s="11" t="s">
        <v>290</v>
      </c>
      <c r="F255" s="11" t="s">
        <v>6423</v>
      </c>
      <c r="G255" s="306"/>
      <c r="H255" s="296"/>
      <c r="I255" s="139"/>
      <c r="J255" s="301"/>
      <c r="K255" s="296"/>
      <c r="L255" s="139"/>
      <c r="M255" s="301" t="s">
        <v>22</v>
      </c>
      <c r="N255" s="284">
        <v>0.12</v>
      </c>
      <c r="O255" s="296" t="s">
        <v>22</v>
      </c>
      <c r="P255" s="314" t="str">
        <f t="shared" ref="P255:Q255" si="237">O255</f>
        <v/>
      </c>
      <c r="Q255" s="303" t="str">
        <f t="shared" si="237"/>
        <v/>
      </c>
      <c r="R255" s="307"/>
      <c r="S255" s="300">
        <v>46111.5443721412</v>
      </c>
      <c r="T255" s="2"/>
      <c r="U255" s="59" t="str">
        <f t="shared" si="4"/>
        <v>нет з/ч</v>
      </c>
      <c r="V255" s="304" t="str">
        <f t="shared" ref="V255:V259" si="239">IF(L255&gt;0, Q1227 - L255, "нет з/ч")</f>
        <v>нет з/ч</v>
      </c>
      <c r="W255" s="2"/>
      <c r="X255" s="289"/>
      <c r="Y255" s="139"/>
      <c r="Z255" s="2"/>
      <c r="AA255" s="2"/>
      <c r="AB255" s="2"/>
      <c r="AC255" s="2"/>
      <c r="AD255" s="2"/>
      <c r="AE255" s="3" t="s">
        <v>6792</v>
      </c>
      <c r="AF255" s="2"/>
      <c r="AG255" s="1" t="s">
        <v>1582</v>
      </c>
      <c r="AH255" s="1" t="s">
        <v>6253</v>
      </c>
      <c r="AI255" s="2">
        <v>90.0</v>
      </c>
      <c r="AJ255" s="1" t="s">
        <v>1589</v>
      </c>
      <c r="AK255" s="1" t="s">
        <v>5877</v>
      </c>
      <c r="AL255" s="1" t="s">
        <v>5878</v>
      </c>
      <c r="AM255" s="2"/>
      <c r="AN255" s="2"/>
      <c r="AO255" s="2"/>
      <c r="AP255" s="2"/>
      <c r="AQ255" s="2"/>
      <c r="AR255" s="2"/>
      <c r="AS255" s="2"/>
      <c r="AT255" s="2"/>
      <c r="AU255" s="126" t="s">
        <v>22</v>
      </c>
      <c r="AV255" s="126" t="s">
        <v>22</v>
      </c>
      <c r="AW255" s="2"/>
      <c r="AX255" s="2"/>
      <c r="AY255" s="2"/>
      <c r="AZ255" s="2"/>
      <c r="BA255" s="2"/>
      <c r="BB255" s="2"/>
      <c r="BC255" s="2"/>
      <c r="BD255" s="2"/>
      <c r="BE255" s="2"/>
    </row>
    <row r="256" hidden="1">
      <c r="A256" s="2"/>
      <c r="B256" s="312" t="s">
        <v>6793</v>
      </c>
      <c r="C256" s="220" t="s">
        <v>6794</v>
      </c>
      <c r="D256" s="11">
        <v>90.0</v>
      </c>
      <c r="E256" s="11" t="s">
        <v>290</v>
      </c>
      <c r="F256" s="11" t="s">
        <v>6423</v>
      </c>
      <c r="G256" s="295" t="s">
        <v>6795</v>
      </c>
      <c r="H256" s="296"/>
      <c r="I256" s="156">
        <v>13500.0</v>
      </c>
      <c r="J256" s="301"/>
      <c r="K256" s="296"/>
      <c r="L256" s="139"/>
      <c r="M256" s="301">
        <v>13500.0</v>
      </c>
      <c r="N256" s="284">
        <v>0.237</v>
      </c>
      <c r="O256" s="296">
        <v>16700.0</v>
      </c>
      <c r="P256" s="314">
        <f t="shared" ref="P256:Q256" si="238">O256</f>
        <v>16700</v>
      </c>
      <c r="Q256" s="303">
        <f t="shared" si="238"/>
        <v>16700</v>
      </c>
      <c r="R256" s="299" t="s">
        <v>6796</v>
      </c>
      <c r="S256" s="300">
        <v>46140.5601887963</v>
      </c>
      <c r="T256" s="2"/>
      <c r="U256" s="289">
        <f t="shared" si="4"/>
        <v>3200</v>
      </c>
      <c r="V256" s="304" t="str">
        <f t="shared" si="239"/>
        <v>нет з/ч</v>
      </c>
      <c r="W256" s="2"/>
      <c r="X256" s="289">
        <v>13500.0</v>
      </c>
      <c r="Y256" s="139"/>
      <c r="Z256" s="2"/>
      <c r="AA256" s="2" t="s">
        <v>6794</v>
      </c>
      <c r="AB256" s="2" t="s">
        <v>6794</v>
      </c>
      <c r="AC256" s="2"/>
      <c r="AD256" s="2" t="s">
        <v>6794</v>
      </c>
      <c r="AE256" s="3" t="s">
        <v>6793</v>
      </c>
      <c r="AF256" s="2"/>
      <c r="AG256" s="1" t="s">
        <v>1582</v>
      </c>
      <c r="AH256" s="1" t="s">
        <v>6253</v>
      </c>
      <c r="AI256" s="2">
        <v>90.0</v>
      </c>
      <c r="AJ256" s="1" t="s">
        <v>1589</v>
      </c>
      <c r="AK256" s="1" t="s">
        <v>5877</v>
      </c>
      <c r="AL256" s="1" t="s">
        <v>5878</v>
      </c>
      <c r="AM256" s="2"/>
      <c r="AN256" s="2"/>
      <c r="AO256" s="2"/>
      <c r="AP256" s="2"/>
      <c r="AQ256" s="2"/>
      <c r="AR256" s="2"/>
      <c r="AS256" s="2"/>
      <c r="AT256" s="2"/>
      <c r="AU256" s="126">
        <v>13500.0</v>
      </c>
      <c r="AV256" s="126">
        <v>16700.0</v>
      </c>
      <c r="AW256" s="2"/>
      <c r="AX256" s="2"/>
      <c r="AY256" s="2"/>
      <c r="AZ256" s="2"/>
      <c r="BA256" s="2"/>
      <c r="BB256" s="2"/>
      <c r="BC256" s="2"/>
      <c r="BD256" s="2"/>
      <c r="BE256" s="2"/>
    </row>
    <row r="257" hidden="1">
      <c r="A257" s="2"/>
      <c r="B257" s="312" t="s">
        <v>6797</v>
      </c>
      <c r="C257" s="220" t="s">
        <v>6798</v>
      </c>
      <c r="D257" s="11">
        <v>90.0</v>
      </c>
      <c r="E257" s="11" t="s">
        <v>290</v>
      </c>
      <c r="F257" s="11" t="s">
        <v>6423</v>
      </c>
      <c r="G257" s="295" t="s">
        <v>6799</v>
      </c>
      <c r="H257" s="296"/>
      <c r="I257" s="156">
        <v>12000.0</v>
      </c>
      <c r="J257" s="301"/>
      <c r="K257" s="296"/>
      <c r="L257" s="139"/>
      <c r="M257" s="301">
        <v>12000.0</v>
      </c>
      <c r="N257" s="284">
        <v>0.265</v>
      </c>
      <c r="O257" s="296">
        <v>15200.0</v>
      </c>
      <c r="P257" s="314">
        <f t="shared" ref="P257:Q257" si="240">O257</f>
        <v>15200</v>
      </c>
      <c r="Q257" s="303">
        <f t="shared" si="240"/>
        <v>15200</v>
      </c>
      <c r="R257" s="299" t="s">
        <v>6800</v>
      </c>
      <c r="S257" s="300">
        <v>46140.56021163195</v>
      </c>
      <c r="T257" s="2"/>
      <c r="U257" s="289">
        <f t="shared" si="4"/>
        <v>3200</v>
      </c>
      <c r="V257" s="304" t="str">
        <f t="shared" si="239"/>
        <v>нет з/ч</v>
      </c>
      <c r="W257" s="2"/>
      <c r="X257" s="289">
        <v>12000.0</v>
      </c>
      <c r="Y257" s="139"/>
      <c r="Z257" s="2"/>
      <c r="AA257" s="2" t="s">
        <v>6798</v>
      </c>
      <c r="AB257" s="2" t="s">
        <v>6798</v>
      </c>
      <c r="AC257" s="2"/>
      <c r="AD257" s="2" t="s">
        <v>6798</v>
      </c>
      <c r="AE257" s="3" t="s">
        <v>6797</v>
      </c>
      <c r="AF257" s="2"/>
      <c r="AG257" s="1" t="s">
        <v>1582</v>
      </c>
      <c r="AH257" s="1" t="s">
        <v>6253</v>
      </c>
      <c r="AI257" s="2">
        <v>90.0</v>
      </c>
      <c r="AJ257" s="1" t="s">
        <v>1589</v>
      </c>
      <c r="AK257" s="1" t="s">
        <v>5877</v>
      </c>
      <c r="AL257" s="1" t="s">
        <v>5878</v>
      </c>
      <c r="AM257" s="2"/>
      <c r="AN257" s="2"/>
      <c r="AO257" s="2"/>
      <c r="AP257" s="2"/>
      <c r="AQ257" s="2"/>
      <c r="AR257" s="2"/>
      <c r="AS257" s="2"/>
      <c r="AT257" s="2"/>
      <c r="AU257" s="126">
        <v>12000.0</v>
      </c>
      <c r="AV257" s="126">
        <v>15200.0</v>
      </c>
      <c r="AW257" s="2"/>
      <c r="AX257" s="2"/>
      <c r="AY257" s="2"/>
      <c r="AZ257" s="2"/>
      <c r="BA257" s="2"/>
      <c r="BB257" s="2"/>
      <c r="BC257" s="2"/>
      <c r="BD257" s="2"/>
      <c r="BE257" s="2"/>
    </row>
    <row r="258" hidden="1">
      <c r="A258" s="2"/>
      <c r="B258" s="312" t="s">
        <v>6801</v>
      </c>
      <c r="C258" s="84"/>
      <c r="D258" s="11">
        <v>90.0</v>
      </c>
      <c r="E258" s="11" t="s">
        <v>290</v>
      </c>
      <c r="F258" s="11" t="s">
        <v>6423</v>
      </c>
      <c r="G258" s="295" t="s">
        <v>6802</v>
      </c>
      <c r="H258" s="296"/>
      <c r="I258" s="156">
        <v>12500.0</v>
      </c>
      <c r="J258" s="301"/>
      <c r="K258" s="296"/>
      <c r="L258" s="156">
        <v>12590.0</v>
      </c>
      <c r="M258" s="301">
        <v>12590.0</v>
      </c>
      <c r="N258" s="284">
        <v>0.215</v>
      </c>
      <c r="O258" s="296">
        <v>15300.0</v>
      </c>
      <c r="P258" s="314">
        <f t="shared" ref="P258:Q258" si="241">O258</f>
        <v>15300</v>
      </c>
      <c r="Q258" s="303">
        <f t="shared" si="241"/>
        <v>15300</v>
      </c>
      <c r="R258" s="299" t="s">
        <v>6803</v>
      </c>
      <c r="S258" s="300">
        <v>46140.56024456018</v>
      </c>
      <c r="T258" s="2"/>
      <c r="U258" s="289">
        <f t="shared" si="4"/>
        <v>2800</v>
      </c>
      <c r="V258" s="290">
        <f t="shared" si="239"/>
        <v>-12590</v>
      </c>
      <c r="W258" s="2"/>
      <c r="X258" s="289">
        <v>12500.0</v>
      </c>
      <c r="Y258" s="139">
        <v>12590.0</v>
      </c>
      <c r="Z258" s="2"/>
      <c r="AA258" s="2"/>
      <c r="AB258" s="2"/>
      <c r="AC258" s="2"/>
      <c r="AD258" s="2"/>
      <c r="AE258" s="3" t="s">
        <v>6801</v>
      </c>
      <c r="AF258" s="2"/>
      <c r="AG258" s="1" t="s">
        <v>1582</v>
      </c>
      <c r="AH258" s="1" t="s">
        <v>6253</v>
      </c>
      <c r="AI258" s="2">
        <v>90.0</v>
      </c>
      <c r="AJ258" s="1" t="s">
        <v>1589</v>
      </c>
      <c r="AK258" s="1" t="s">
        <v>5877</v>
      </c>
      <c r="AL258" s="1" t="s">
        <v>5878</v>
      </c>
      <c r="AM258" s="2"/>
      <c r="AN258" s="2"/>
      <c r="AO258" s="2"/>
      <c r="AP258" s="2"/>
      <c r="AQ258" s="2"/>
      <c r="AR258" s="2"/>
      <c r="AS258" s="2"/>
      <c r="AT258" s="2"/>
      <c r="AU258" s="126">
        <v>12590.0</v>
      </c>
      <c r="AV258" s="126">
        <v>15300.0</v>
      </c>
      <c r="AW258" s="2"/>
      <c r="AX258" s="2"/>
      <c r="AY258" s="2"/>
      <c r="AZ258" s="2"/>
      <c r="BA258" s="2"/>
      <c r="BB258" s="2"/>
      <c r="BC258" s="2"/>
      <c r="BD258" s="2"/>
      <c r="BE258" s="2"/>
    </row>
    <row r="259" hidden="1">
      <c r="A259" s="2"/>
      <c r="B259" s="312" t="s">
        <v>6804</v>
      </c>
      <c r="C259" s="220" t="s">
        <v>6805</v>
      </c>
      <c r="D259" s="11">
        <v>90.0</v>
      </c>
      <c r="E259" s="11" t="s">
        <v>290</v>
      </c>
      <c r="F259" s="11" t="s">
        <v>6423</v>
      </c>
      <c r="G259" s="295" t="s">
        <v>6806</v>
      </c>
      <c r="H259" s="296"/>
      <c r="I259" s="156">
        <v>10500.0</v>
      </c>
      <c r="J259" s="301"/>
      <c r="K259" s="296"/>
      <c r="L259" s="156">
        <v>11490.0</v>
      </c>
      <c r="M259" s="301">
        <v>11490.0</v>
      </c>
      <c r="N259" s="284">
        <v>0.235</v>
      </c>
      <c r="O259" s="296">
        <v>14200.0</v>
      </c>
      <c r="P259" s="314">
        <f t="shared" ref="P259:Q259" si="242">O259</f>
        <v>14200</v>
      </c>
      <c r="Q259" s="303">
        <f t="shared" si="242"/>
        <v>14200</v>
      </c>
      <c r="R259" s="299" t="s">
        <v>6807</v>
      </c>
      <c r="S259" s="300">
        <v>46140.560267685185</v>
      </c>
      <c r="T259" s="2"/>
      <c r="U259" s="289">
        <f t="shared" si="4"/>
        <v>3700</v>
      </c>
      <c r="V259" s="290">
        <f t="shared" si="239"/>
        <v>-11490</v>
      </c>
      <c r="W259" s="2"/>
      <c r="X259" s="289">
        <v>10500.0</v>
      </c>
      <c r="Y259" s="139">
        <v>11490.0</v>
      </c>
      <c r="Z259" s="2"/>
      <c r="AA259" s="2" t="s">
        <v>6805</v>
      </c>
      <c r="AB259" s="2" t="s">
        <v>6805</v>
      </c>
      <c r="AC259" s="2"/>
      <c r="AD259" s="2" t="s">
        <v>6805</v>
      </c>
      <c r="AE259" s="3" t="s">
        <v>6804</v>
      </c>
      <c r="AF259" s="2"/>
      <c r="AG259" s="1" t="s">
        <v>1582</v>
      </c>
      <c r="AH259" s="1" t="s">
        <v>6253</v>
      </c>
      <c r="AI259" s="2">
        <v>90.0</v>
      </c>
      <c r="AJ259" s="1" t="s">
        <v>1589</v>
      </c>
      <c r="AK259" s="1" t="s">
        <v>5877</v>
      </c>
      <c r="AL259" s="1" t="s">
        <v>5878</v>
      </c>
      <c r="AM259" s="2"/>
      <c r="AN259" s="2"/>
      <c r="AO259" s="2"/>
      <c r="AP259" s="2"/>
      <c r="AQ259" s="2"/>
      <c r="AR259" s="2"/>
      <c r="AS259" s="2"/>
      <c r="AT259" s="2"/>
      <c r="AU259" s="126">
        <v>11490.0</v>
      </c>
      <c r="AV259" s="126">
        <v>14200.0</v>
      </c>
      <c r="AW259" s="2"/>
      <c r="AX259" s="2"/>
      <c r="AY259" s="2"/>
      <c r="AZ259" s="2"/>
      <c r="BA259" s="2"/>
      <c r="BB259" s="2"/>
      <c r="BC259" s="2"/>
      <c r="BD259" s="2"/>
      <c r="BE259" s="2"/>
    </row>
    <row r="260" hidden="1">
      <c r="A260" s="2"/>
      <c r="B260" s="312" t="s">
        <v>6808</v>
      </c>
      <c r="C260" s="84"/>
      <c r="D260" s="11">
        <v>90.0</v>
      </c>
      <c r="E260" s="11" t="s">
        <v>297</v>
      </c>
      <c r="F260" s="11" t="s">
        <v>6423</v>
      </c>
      <c r="G260" s="306"/>
      <c r="H260" s="296"/>
      <c r="I260" s="139"/>
      <c r="J260" s="301"/>
      <c r="K260" s="296"/>
      <c r="L260" s="139"/>
      <c r="M260" s="301" t="s">
        <v>22</v>
      </c>
      <c r="N260" s="284">
        <v>0.12</v>
      </c>
      <c r="O260" s="296" t="s">
        <v>22</v>
      </c>
      <c r="P260" s="314" t="str">
        <f t="shared" ref="P260:Q260" si="243">O260</f>
        <v/>
      </c>
      <c r="Q260" s="303" t="str">
        <f t="shared" si="243"/>
        <v/>
      </c>
      <c r="R260" s="307"/>
      <c r="S260" s="300">
        <v>46111.544614872684</v>
      </c>
      <c r="T260" s="2"/>
      <c r="U260" s="59" t="str">
        <f t="shared" si="4"/>
        <v>нет з/ч</v>
      </c>
      <c r="V260" s="304" t="str">
        <f t="shared" ref="V260:V264" si="245">IF(L260&gt;0, Q1235 - L260, "нет з/ч")</f>
        <v>нет з/ч</v>
      </c>
      <c r="W260" s="2"/>
      <c r="X260" s="289"/>
      <c r="Y260" s="139"/>
      <c r="Z260" s="2"/>
      <c r="AA260" s="2"/>
      <c r="AB260" s="2"/>
      <c r="AC260" s="2"/>
      <c r="AD260" s="2"/>
      <c r="AE260" s="3" t="s">
        <v>6808</v>
      </c>
      <c r="AF260" s="2"/>
      <c r="AG260" s="1" t="s">
        <v>1582</v>
      </c>
      <c r="AH260" s="1" t="s">
        <v>6277</v>
      </c>
      <c r="AI260" s="2">
        <v>90.0</v>
      </c>
      <c r="AJ260" s="1" t="s">
        <v>1589</v>
      </c>
      <c r="AK260" s="1" t="s">
        <v>5877</v>
      </c>
      <c r="AL260" s="1" t="s">
        <v>5878</v>
      </c>
      <c r="AM260" s="2"/>
      <c r="AN260" s="2"/>
      <c r="AO260" s="2"/>
      <c r="AP260" s="2"/>
      <c r="AQ260" s="2"/>
      <c r="AR260" s="2"/>
      <c r="AS260" s="2"/>
      <c r="AT260" s="2"/>
      <c r="AU260" s="126" t="s">
        <v>22</v>
      </c>
      <c r="AV260" s="126" t="s">
        <v>22</v>
      </c>
      <c r="AW260" s="2"/>
      <c r="AX260" s="2"/>
      <c r="AY260" s="2"/>
      <c r="AZ260" s="2"/>
      <c r="BA260" s="2"/>
      <c r="BB260" s="2"/>
      <c r="BC260" s="2"/>
      <c r="BD260" s="2"/>
      <c r="BE260" s="2"/>
    </row>
    <row r="261" hidden="1">
      <c r="A261" s="2"/>
      <c r="B261" s="312" t="s">
        <v>6809</v>
      </c>
      <c r="C261" s="84"/>
      <c r="D261" s="11">
        <v>90.0</v>
      </c>
      <c r="E261" s="11" t="s">
        <v>297</v>
      </c>
      <c r="F261" s="11" t="s">
        <v>6423</v>
      </c>
      <c r="G261" s="306"/>
      <c r="H261" s="296"/>
      <c r="I261" s="139"/>
      <c r="J261" s="301"/>
      <c r="K261" s="296"/>
      <c r="L261" s="139"/>
      <c r="M261" s="301" t="s">
        <v>22</v>
      </c>
      <c r="N261" s="284">
        <v>0.12</v>
      </c>
      <c r="O261" s="296" t="s">
        <v>22</v>
      </c>
      <c r="P261" s="314" t="str">
        <f t="shared" ref="P261:Q261" si="244">O261</f>
        <v/>
      </c>
      <c r="Q261" s="303" t="str">
        <f t="shared" si="244"/>
        <v/>
      </c>
      <c r="R261" s="307"/>
      <c r="S261" s="300">
        <v>46111.54463505787</v>
      </c>
      <c r="T261" s="2"/>
      <c r="U261" s="59" t="str">
        <f t="shared" si="4"/>
        <v>нет з/ч</v>
      </c>
      <c r="V261" s="304" t="str">
        <f t="shared" si="245"/>
        <v>нет з/ч</v>
      </c>
      <c r="W261" s="2"/>
      <c r="X261" s="289"/>
      <c r="Y261" s="139"/>
      <c r="Z261" s="2"/>
      <c r="AA261" s="2"/>
      <c r="AB261" s="2"/>
      <c r="AC261" s="2"/>
      <c r="AD261" s="2"/>
      <c r="AE261" s="3" t="s">
        <v>6809</v>
      </c>
      <c r="AF261" s="2"/>
      <c r="AG261" s="1" t="s">
        <v>1582</v>
      </c>
      <c r="AH261" s="1" t="s">
        <v>6277</v>
      </c>
      <c r="AI261" s="2">
        <v>90.0</v>
      </c>
      <c r="AJ261" s="1" t="s">
        <v>1589</v>
      </c>
      <c r="AK261" s="1" t="s">
        <v>5877</v>
      </c>
      <c r="AL261" s="1" t="s">
        <v>5878</v>
      </c>
      <c r="AM261" s="2"/>
      <c r="AN261" s="2"/>
      <c r="AO261" s="2"/>
      <c r="AP261" s="2"/>
      <c r="AQ261" s="2"/>
      <c r="AR261" s="2"/>
      <c r="AS261" s="2"/>
      <c r="AT261" s="2"/>
      <c r="AU261" s="126" t="s">
        <v>22</v>
      </c>
      <c r="AV261" s="126" t="s">
        <v>22</v>
      </c>
      <c r="AW261" s="2"/>
      <c r="AX261" s="2"/>
      <c r="AY261" s="2"/>
      <c r="AZ261" s="2"/>
      <c r="BA261" s="2"/>
      <c r="BB261" s="2"/>
      <c r="BC261" s="2"/>
      <c r="BD261" s="2"/>
      <c r="BE261" s="2"/>
    </row>
    <row r="262" hidden="1">
      <c r="A262" s="2"/>
      <c r="B262" s="312" t="s">
        <v>6810</v>
      </c>
      <c r="C262" s="220" t="s">
        <v>6811</v>
      </c>
      <c r="D262" s="11">
        <v>90.0</v>
      </c>
      <c r="E262" s="11" t="s">
        <v>297</v>
      </c>
      <c r="F262" s="11" t="s">
        <v>6423</v>
      </c>
      <c r="G262" s="295" t="s">
        <v>6812</v>
      </c>
      <c r="H262" s="296"/>
      <c r="I262" s="156">
        <v>13200.0</v>
      </c>
      <c r="J262" s="301"/>
      <c r="K262" s="296"/>
      <c r="L262" s="139"/>
      <c r="M262" s="301">
        <v>13200.0</v>
      </c>
      <c r="N262" s="284">
        <v>0.12</v>
      </c>
      <c r="O262" s="296">
        <v>14800.0</v>
      </c>
      <c r="P262" s="314">
        <f t="shared" ref="P262:Q262" si="246">O262</f>
        <v>14800</v>
      </c>
      <c r="Q262" s="303">
        <f t="shared" si="246"/>
        <v>14800</v>
      </c>
      <c r="R262" s="299" t="s">
        <v>6813</v>
      </c>
      <c r="S262" s="300">
        <v>46140.56031369213</v>
      </c>
      <c r="T262" s="2"/>
      <c r="U262" s="289">
        <f t="shared" si="4"/>
        <v>1600</v>
      </c>
      <c r="V262" s="304" t="str">
        <f t="shared" si="245"/>
        <v>нет з/ч</v>
      </c>
      <c r="W262" s="2"/>
      <c r="X262" s="289">
        <v>13200.0</v>
      </c>
      <c r="Y262" s="139"/>
      <c r="Z262" s="2"/>
      <c r="AA262" s="2" t="s">
        <v>6811</v>
      </c>
      <c r="AB262" s="2" t="s">
        <v>6811</v>
      </c>
      <c r="AC262" s="2"/>
      <c r="AD262" s="2" t="s">
        <v>6811</v>
      </c>
      <c r="AE262" s="3" t="s">
        <v>6810</v>
      </c>
      <c r="AF262" s="2"/>
      <c r="AG262" s="1" t="s">
        <v>1582</v>
      </c>
      <c r="AH262" s="1" t="s">
        <v>6277</v>
      </c>
      <c r="AI262" s="2">
        <v>90.0</v>
      </c>
      <c r="AJ262" s="1" t="s">
        <v>1589</v>
      </c>
      <c r="AK262" s="1" t="s">
        <v>5877</v>
      </c>
      <c r="AL262" s="1" t="s">
        <v>5878</v>
      </c>
      <c r="AM262" s="2"/>
      <c r="AN262" s="2"/>
      <c r="AO262" s="2"/>
      <c r="AP262" s="2"/>
      <c r="AQ262" s="2"/>
      <c r="AR262" s="2"/>
      <c r="AS262" s="2"/>
      <c r="AT262" s="2"/>
      <c r="AU262" s="126">
        <v>13200.0</v>
      </c>
      <c r="AV262" s="126">
        <v>14800.0</v>
      </c>
      <c r="AW262" s="2"/>
      <c r="AX262" s="2"/>
      <c r="AY262" s="2"/>
      <c r="AZ262" s="2"/>
      <c r="BA262" s="2"/>
      <c r="BB262" s="2"/>
      <c r="BC262" s="2"/>
      <c r="BD262" s="2"/>
      <c r="BE262" s="2"/>
    </row>
    <row r="263" hidden="1">
      <c r="A263" s="2"/>
      <c r="B263" s="312" t="s">
        <v>6814</v>
      </c>
      <c r="C263" s="84"/>
      <c r="D263" s="11">
        <v>90.0</v>
      </c>
      <c r="E263" s="11" t="s">
        <v>297</v>
      </c>
      <c r="F263" s="11" t="s">
        <v>6423</v>
      </c>
      <c r="G263" s="306"/>
      <c r="H263" s="296"/>
      <c r="I263" s="139"/>
      <c r="J263" s="301"/>
      <c r="K263" s="296"/>
      <c r="L263" s="139"/>
      <c r="M263" s="301" t="s">
        <v>22</v>
      </c>
      <c r="N263" s="284">
        <v>0.12</v>
      </c>
      <c r="O263" s="296" t="s">
        <v>22</v>
      </c>
      <c r="P263" s="314" t="str">
        <f t="shared" ref="P263:Q263" si="247">O263</f>
        <v/>
      </c>
      <c r="Q263" s="303" t="str">
        <f t="shared" si="247"/>
        <v/>
      </c>
      <c r="R263" s="307"/>
      <c r="S263" s="300">
        <v>46111.54469326389</v>
      </c>
      <c r="T263" s="2"/>
      <c r="U263" s="59" t="str">
        <f t="shared" si="4"/>
        <v>нет з/ч</v>
      </c>
      <c r="V263" s="304" t="str">
        <f t="shared" si="245"/>
        <v>нет з/ч</v>
      </c>
      <c r="W263" s="2"/>
      <c r="X263" s="289"/>
      <c r="Y263" s="139"/>
      <c r="Z263" s="2"/>
      <c r="AA263" s="2"/>
      <c r="AB263" s="2"/>
      <c r="AC263" s="2"/>
      <c r="AD263" s="2"/>
      <c r="AE263" s="3" t="s">
        <v>6814</v>
      </c>
      <c r="AF263" s="2"/>
      <c r="AG263" s="1" t="s">
        <v>1582</v>
      </c>
      <c r="AH263" s="1" t="s">
        <v>6277</v>
      </c>
      <c r="AI263" s="2">
        <v>90.0</v>
      </c>
      <c r="AJ263" s="1" t="s">
        <v>1589</v>
      </c>
      <c r="AK263" s="1" t="s">
        <v>5877</v>
      </c>
      <c r="AL263" s="1" t="s">
        <v>5878</v>
      </c>
      <c r="AM263" s="2"/>
      <c r="AN263" s="2"/>
      <c r="AO263" s="2"/>
      <c r="AP263" s="2"/>
      <c r="AQ263" s="2"/>
      <c r="AR263" s="2"/>
      <c r="AS263" s="2"/>
      <c r="AT263" s="2"/>
      <c r="AU263" s="126" t="s">
        <v>22</v>
      </c>
      <c r="AV263" s="126" t="s">
        <v>22</v>
      </c>
      <c r="AW263" s="2"/>
      <c r="AX263" s="2"/>
      <c r="AY263" s="2"/>
      <c r="AZ263" s="2"/>
      <c r="BA263" s="2"/>
      <c r="BB263" s="2"/>
      <c r="BC263" s="2"/>
      <c r="BD263" s="2"/>
      <c r="BE263" s="2"/>
    </row>
    <row r="264" hidden="1">
      <c r="A264" s="2"/>
      <c r="B264" s="312" t="s">
        <v>6815</v>
      </c>
      <c r="C264" s="220" t="s">
        <v>6816</v>
      </c>
      <c r="D264" s="11">
        <v>90.0</v>
      </c>
      <c r="E264" s="11" t="s">
        <v>297</v>
      </c>
      <c r="F264" s="11" t="s">
        <v>6423</v>
      </c>
      <c r="G264" s="306"/>
      <c r="H264" s="296"/>
      <c r="I264" s="139"/>
      <c r="J264" s="301"/>
      <c r="K264" s="296"/>
      <c r="L264" s="139"/>
      <c r="M264" s="301" t="s">
        <v>22</v>
      </c>
      <c r="N264" s="284">
        <v>0.12</v>
      </c>
      <c r="O264" s="296" t="s">
        <v>22</v>
      </c>
      <c r="P264" s="314" t="str">
        <f t="shared" ref="P264:Q264" si="248">O264</f>
        <v/>
      </c>
      <c r="Q264" s="303" t="str">
        <f t="shared" si="248"/>
        <v/>
      </c>
      <c r="R264" s="307"/>
      <c r="S264" s="300">
        <v>46111.54470974537</v>
      </c>
      <c r="T264" s="2"/>
      <c r="U264" s="59" t="str">
        <f t="shared" si="4"/>
        <v>нет з/ч</v>
      </c>
      <c r="V264" s="304" t="str">
        <f t="shared" si="245"/>
        <v>нет з/ч</v>
      </c>
      <c r="W264" s="2"/>
      <c r="X264" s="289"/>
      <c r="Y264" s="139"/>
      <c r="Z264" s="2"/>
      <c r="AA264" s="2" t="s">
        <v>6816</v>
      </c>
      <c r="AB264" s="2" t="s">
        <v>6816</v>
      </c>
      <c r="AC264" s="2"/>
      <c r="AD264" s="2" t="s">
        <v>6816</v>
      </c>
      <c r="AE264" s="3" t="s">
        <v>6815</v>
      </c>
      <c r="AF264" s="2"/>
      <c r="AG264" s="1" t="s">
        <v>1582</v>
      </c>
      <c r="AH264" s="1" t="s">
        <v>6277</v>
      </c>
      <c r="AI264" s="2">
        <v>90.0</v>
      </c>
      <c r="AJ264" s="1" t="s">
        <v>1589</v>
      </c>
      <c r="AK264" s="1" t="s">
        <v>5877</v>
      </c>
      <c r="AL264" s="1" t="s">
        <v>5878</v>
      </c>
      <c r="AM264" s="2"/>
      <c r="AN264" s="2"/>
      <c r="AO264" s="2"/>
      <c r="AP264" s="2"/>
      <c r="AQ264" s="2"/>
      <c r="AR264" s="2"/>
      <c r="AS264" s="2"/>
      <c r="AT264" s="2"/>
      <c r="AU264" s="126" t="s">
        <v>22</v>
      </c>
      <c r="AV264" s="126" t="s">
        <v>22</v>
      </c>
      <c r="AW264" s="2"/>
      <c r="AX264" s="2"/>
      <c r="AY264" s="2"/>
      <c r="AZ264" s="2"/>
      <c r="BA264" s="2"/>
      <c r="BB264" s="2"/>
      <c r="BC264" s="2"/>
      <c r="BD264" s="2"/>
      <c r="BE264" s="2"/>
    </row>
    <row r="265" hidden="1">
      <c r="A265" s="2"/>
      <c r="B265" s="312" t="s">
        <v>6817</v>
      </c>
      <c r="C265" s="220" t="s">
        <v>6818</v>
      </c>
      <c r="D265" s="11">
        <v>90.0</v>
      </c>
      <c r="E265" s="11" t="s">
        <v>304</v>
      </c>
      <c r="F265" s="11" t="s">
        <v>6423</v>
      </c>
      <c r="G265" s="295" t="s">
        <v>6819</v>
      </c>
      <c r="H265" s="296"/>
      <c r="I265" s="156">
        <v>23750.0</v>
      </c>
      <c r="J265" s="301"/>
      <c r="K265" s="296"/>
      <c r="L265" s="139"/>
      <c r="M265" s="301">
        <v>23750.0</v>
      </c>
      <c r="N265" s="284">
        <v>0.12</v>
      </c>
      <c r="O265" s="296">
        <v>26600.0</v>
      </c>
      <c r="P265" s="314">
        <f t="shared" ref="P265:Q265" si="249">O265</f>
        <v>26600</v>
      </c>
      <c r="Q265" s="303">
        <f t="shared" si="249"/>
        <v>26600</v>
      </c>
      <c r="R265" s="299" t="s">
        <v>6820</v>
      </c>
      <c r="S265" s="300">
        <v>46140.56033782408</v>
      </c>
      <c r="T265" s="2"/>
      <c r="U265" s="289">
        <f t="shared" si="4"/>
        <v>2850</v>
      </c>
      <c r="V265" s="304" t="str">
        <f t="shared" ref="V265:V269" si="251">IF(L265&gt;0, Q1243 - L265, "нет з/ч")</f>
        <v>нет з/ч</v>
      </c>
      <c r="W265" s="2"/>
      <c r="X265" s="289">
        <v>23750.0</v>
      </c>
      <c r="Y265" s="139"/>
      <c r="Z265" s="2"/>
      <c r="AA265" s="2" t="s">
        <v>6818</v>
      </c>
      <c r="AB265" s="2" t="s">
        <v>6818</v>
      </c>
      <c r="AC265" s="2"/>
      <c r="AD265" s="2" t="s">
        <v>6818</v>
      </c>
      <c r="AE265" s="3" t="s">
        <v>6817</v>
      </c>
      <c r="AF265" s="2"/>
      <c r="AG265" s="1" t="s">
        <v>1582</v>
      </c>
      <c r="AH265" s="1" t="s">
        <v>6295</v>
      </c>
      <c r="AI265" s="2">
        <v>90.0</v>
      </c>
      <c r="AJ265" s="1" t="s">
        <v>1589</v>
      </c>
      <c r="AK265" s="1" t="s">
        <v>5877</v>
      </c>
      <c r="AL265" s="1" t="s">
        <v>5878</v>
      </c>
      <c r="AM265" s="2"/>
      <c r="AN265" s="2"/>
      <c r="AO265" s="2"/>
      <c r="AP265" s="2"/>
      <c r="AQ265" s="2"/>
      <c r="AR265" s="2"/>
      <c r="AS265" s="2"/>
      <c r="AT265" s="2"/>
      <c r="AU265" s="126">
        <v>23750.0</v>
      </c>
      <c r="AV265" s="126">
        <v>26600.0</v>
      </c>
      <c r="AW265" s="2"/>
      <c r="AX265" s="2"/>
      <c r="AY265" s="2"/>
      <c r="AZ265" s="2"/>
      <c r="BA265" s="2"/>
      <c r="BB265" s="2"/>
      <c r="BC265" s="2"/>
      <c r="BD265" s="2"/>
      <c r="BE265" s="2"/>
    </row>
    <row r="266" hidden="1">
      <c r="A266" s="2"/>
      <c r="B266" s="312" t="s">
        <v>6821</v>
      </c>
      <c r="C266" s="220" t="s">
        <v>6822</v>
      </c>
      <c r="D266" s="11">
        <v>90.0</v>
      </c>
      <c r="E266" s="11" t="s">
        <v>304</v>
      </c>
      <c r="F266" s="11" t="s">
        <v>6423</v>
      </c>
      <c r="G266" s="295" t="s">
        <v>6823</v>
      </c>
      <c r="H266" s="296"/>
      <c r="I266" s="156">
        <v>19500.0</v>
      </c>
      <c r="J266" s="301"/>
      <c r="K266" s="296"/>
      <c r="L266" s="139"/>
      <c r="M266" s="301">
        <v>19500.0</v>
      </c>
      <c r="N266" s="284">
        <v>0.12</v>
      </c>
      <c r="O266" s="296">
        <v>21850.0</v>
      </c>
      <c r="P266" s="314">
        <f t="shared" ref="P266:Q266" si="250">O266</f>
        <v>21850</v>
      </c>
      <c r="Q266" s="303">
        <f t="shared" si="250"/>
        <v>21850</v>
      </c>
      <c r="R266" s="299" t="s">
        <v>6824</v>
      </c>
      <c r="S266" s="300">
        <v>46140.560365578705</v>
      </c>
      <c r="T266" s="2"/>
      <c r="U266" s="289">
        <f t="shared" si="4"/>
        <v>2350</v>
      </c>
      <c r="V266" s="304" t="str">
        <f t="shared" si="251"/>
        <v>нет з/ч</v>
      </c>
      <c r="W266" s="2"/>
      <c r="X266" s="289">
        <v>19500.0</v>
      </c>
      <c r="Y266" s="139"/>
      <c r="Z266" s="2"/>
      <c r="AA266" s="2" t="s">
        <v>6822</v>
      </c>
      <c r="AB266" s="2" t="s">
        <v>6822</v>
      </c>
      <c r="AC266" s="2"/>
      <c r="AD266" s="2" t="s">
        <v>6822</v>
      </c>
      <c r="AE266" s="3" t="s">
        <v>6821</v>
      </c>
      <c r="AF266" s="2"/>
      <c r="AG266" s="1" t="s">
        <v>1582</v>
      </c>
      <c r="AH266" s="1" t="s">
        <v>6295</v>
      </c>
      <c r="AI266" s="2">
        <v>90.0</v>
      </c>
      <c r="AJ266" s="1" t="s">
        <v>1589</v>
      </c>
      <c r="AK266" s="1" t="s">
        <v>5877</v>
      </c>
      <c r="AL266" s="1" t="s">
        <v>5878</v>
      </c>
      <c r="AM266" s="2"/>
      <c r="AN266" s="2"/>
      <c r="AO266" s="2"/>
      <c r="AP266" s="2"/>
      <c r="AQ266" s="2"/>
      <c r="AR266" s="2"/>
      <c r="AS266" s="2"/>
      <c r="AT266" s="2"/>
      <c r="AU266" s="126">
        <v>19500.0</v>
      </c>
      <c r="AV266" s="126">
        <v>21850.0</v>
      </c>
      <c r="AW266" s="2"/>
      <c r="AX266" s="2"/>
      <c r="AY266" s="2"/>
      <c r="AZ266" s="2"/>
      <c r="BA266" s="2"/>
      <c r="BB266" s="2"/>
      <c r="BC266" s="2"/>
      <c r="BD266" s="2"/>
      <c r="BE266" s="2"/>
    </row>
    <row r="267" hidden="1">
      <c r="A267" s="2"/>
      <c r="B267" s="312" t="s">
        <v>6825</v>
      </c>
      <c r="C267" s="220" t="s">
        <v>6826</v>
      </c>
      <c r="D267" s="11">
        <v>90.0</v>
      </c>
      <c r="E267" s="11" t="s">
        <v>304</v>
      </c>
      <c r="F267" s="11" t="s">
        <v>6423</v>
      </c>
      <c r="G267" s="295" t="s">
        <v>6827</v>
      </c>
      <c r="H267" s="296"/>
      <c r="I267" s="156">
        <v>18000.0</v>
      </c>
      <c r="J267" s="301"/>
      <c r="K267" s="296"/>
      <c r="L267" s="139"/>
      <c r="M267" s="301">
        <v>18000.0</v>
      </c>
      <c r="N267" s="284">
        <v>0.12</v>
      </c>
      <c r="O267" s="296">
        <v>20150.0</v>
      </c>
      <c r="P267" s="314">
        <f t="shared" ref="P267:Q267" si="252">O267</f>
        <v>20150</v>
      </c>
      <c r="Q267" s="303">
        <f t="shared" si="252"/>
        <v>20150</v>
      </c>
      <c r="R267" s="299" t="s">
        <v>6828</v>
      </c>
      <c r="S267" s="300">
        <v>46140.560388530095</v>
      </c>
      <c r="T267" s="2"/>
      <c r="U267" s="289">
        <f t="shared" si="4"/>
        <v>2150</v>
      </c>
      <c r="V267" s="304" t="str">
        <f t="shared" si="251"/>
        <v>нет з/ч</v>
      </c>
      <c r="W267" s="2"/>
      <c r="X267" s="289">
        <v>18000.0</v>
      </c>
      <c r="Y267" s="139"/>
      <c r="Z267" s="2"/>
      <c r="AA267" s="2" t="s">
        <v>6826</v>
      </c>
      <c r="AB267" s="2" t="s">
        <v>6826</v>
      </c>
      <c r="AC267" s="2"/>
      <c r="AD267" s="2" t="s">
        <v>6826</v>
      </c>
      <c r="AE267" s="3" t="s">
        <v>6825</v>
      </c>
      <c r="AF267" s="2"/>
      <c r="AG267" s="1" t="s">
        <v>1582</v>
      </c>
      <c r="AH267" s="1" t="s">
        <v>6295</v>
      </c>
      <c r="AI267" s="2">
        <v>90.0</v>
      </c>
      <c r="AJ267" s="1" t="s">
        <v>1589</v>
      </c>
      <c r="AK267" s="1" t="s">
        <v>5877</v>
      </c>
      <c r="AL267" s="1" t="s">
        <v>5878</v>
      </c>
      <c r="AM267" s="2"/>
      <c r="AN267" s="2"/>
      <c r="AO267" s="2"/>
      <c r="AP267" s="2"/>
      <c r="AQ267" s="2"/>
      <c r="AR267" s="2"/>
      <c r="AS267" s="2"/>
      <c r="AT267" s="2"/>
      <c r="AU267" s="126">
        <v>18000.0</v>
      </c>
      <c r="AV267" s="126">
        <v>20150.0</v>
      </c>
      <c r="AW267" s="2"/>
      <c r="AX267" s="2"/>
      <c r="AY267" s="2"/>
      <c r="AZ267" s="2"/>
      <c r="BA267" s="2"/>
      <c r="BB267" s="2"/>
      <c r="BC267" s="2"/>
      <c r="BD267" s="2"/>
      <c r="BE267" s="2"/>
    </row>
    <row r="268" hidden="1">
      <c r="A268" s="2"/>
      <c r="B268" s="312" t="s">
        <v>6829</v>
      </c>
      <c r="C268" s="84"/>
      <c r="D268" s="11">
        <v>90.0</v>
      </c>
      <c r="E268" s="11" t="s">
        <v>304</v>
      </c>
      <c r="F268" s="11" t="s">
        <v>6423</v>
      </c>
      <c r="G268" s="295" t="s">
        <v>6830</v>
      </c>
      <c r="H268" s="296"/>
      <c r="I268" s="156">
        <v>16800.0</v>
      </c>
      <c r="J268" s="301"/>
      <c r="K268" s="296"/>
      <c r="L268" s="156">
        <v>17690.0</v>
      </c>
      <c r="M268" s="301">
        <v>17690.0</v>
      </c>
      <c r="N268" s="284">
        <v>0.12</v>
      </c>
      <c r="O268" s="296">
        <v>19800.0</v>
      </c>
      <c r="P268" s="314">
        <f t="shared" ref="P268:Q268" si="253">O268</f>
        <v>19800</v>
      </c>
      <c r="Q268" s="303">
        <f t="shared" si="253"/>
        <v>19800</v>
      </c>
      <c r="R268" s="299" t="s">
        <v>6831</v>
      </c>
      <c r="S268" s="300">
        <v>46140.5604125463</v>
      </c>
      <c r="T268" s="2"/>
      <c r="U268" s="289">
        <f t="shared" si="4"/>
        <v>3000</v>
      </c>
      <c r="V268" s="290">
        <f t="shared" si="251"/>
        <v>-17690</v>
      </c>
      <c r="W268" s="2"/>
      <c r="X268" s="289">
        <v>16800.0</v>
      </c>
      <c r="Y268" s="139">
        <v>17690.0</v>
      </c>
      <c r="Z268" s="2"/>
      <c r="AA268" s="2"/>
      <c r="AB268" s="2"/>
      <c r="AC268" s="2"/>
      <c r="AD268" s="2"/>
      <c r="AE268" s="3" t="s">
        <v>6829</v>
      </c>
      <c r="AF268" s="2"/>
      <c r="AG268" s="1" t="s">
        <v>1582</v>
      </c>
      <c r="AH268" s="1" t="s">
        <v>6295</v>
      </c>
      <c r="AI268" s="2">
        <v>90.0</v>
      </c>
      <c r="AJ268" s="1" t="s">
        <v>1589</v>
      </c>
      <c r="AK268" s="1" t="s">
        <v>5877</v>
      </c>
      <c r="AL268" s="1" t="s">
        <v>5878</v>
      </c>
      <c r="AM268" s="2"/>
      <c r="AN268" s="2"/>
      <c r="AO268" s="2"/>
      <c r="AP268" s="2"/>
      <c r="AQ268" s="2"/>
      <c r="AR268" s="2"/>
      <c r="AS268" s="2"/>
      <c r="AT268" s="2"/>
      <c r="AU268" s="126">
        <v>17690.0</v>
      </c>
      <c r="AV268" s="126">
        <v>19800.0</v>
      </c>
      <c r="AW268" s="2"/>
      <c r="AX268" s="2"/>
      <c r="AY268" s="2"/>
      <c r="AZ268" s="2"/>
      <c r="BA268" s="2"/>
      <c r="BB268" s="2"/>
      <c r="BC268" s="2"/>
      <c r="BD268" s="2"/>
      <c r="BE268" s="2"/>
    </row>
    <row r="269" hidden="1">
      <c r="A269" s="2"/>
      <c r="B269" s="312" t="s">
        <v>6832</v>
      </c>
      <c r="C269" s="220" t="s">
        <v>6833</v>
      </c>
      <c r="D269" s="11">
        <v>90.0</v>
      </c>
      <c r="E269" s="11" t="s">
        <v>304</v>
      </c>
      <c r="F269" s="11" t="s">
        <v>6423</v>
      </c>
      <c r="G269" s="295" t="s">
        <v>6834</v>
      </c>
      <c r="H269" s="296"/>
      <c r="I269" s="156">
        <v>15000.0</v>
      </c>
      <c r="J269" s="301"/>
      <c r="K269" s="296"/>
      <c r="L269" s="156">
        <v>16790.0</v>
      </c>
      <c r="M269" s="301">
        <v>16790.0</v>
      </c>
      <c r="N269" s="284">
        <v>0.125</v>
      </c>
      <c r="O269" s="296">
        <v>18900.0</v>
      </c>
      <c r="P269" s="314">
        <f t="shared" ref="P269:Q269" si="254">O269</f>
        <v>18900</v>
      </c>
      <c r="Q269" s="303">
        <f t="shared" si="254"/>
        <v>18900</v>
      </c>
      <c r="R269" s="299" t="s">
        <v>6835</v>
      </c>
      <c r="S269" s="300">
        <v>46140.56044197916</v>
      </c>
      <c r="T269" s="2"/>
      <c r="U269" s="289">
        <f t="shared" si="4"/>
        <v>3900</v>
      </c>
      <c r="V269" s="290">
        <f t="shared" si="251"/>
        <v>-16790</v>
      </c>
      <c r="W269" s="2"/>
      <c r="X269" s="289">
        <v>15000.0</v>
      </c>
      <c r="Y269" s="139">
        <v>16790.0</v>
      </c>
      <c r="Z269" s="2"/>
      <c r="AA269" s="2" t="s">
        <v>6833</v>
      </c>
      <c r="AB269" s="2" t="s">
        <v>6833</v>
      </c>
      <c r="AC269" s="2"/>
      <c r="AD269" s="2" t="s">
        <v>6833</v>
      </c>
      <c r="AE269" s="3" t="s">
        <v>6832</v>
      </c>
      <c r="AF269" s="2"/>
      <c r="AG269" s="1" t="s">
        <v>1582</v>
      </c>
      <c r="AH269" s="1" t="s">
        <v>6295</v>
      </c>
      <c r="AI269" s="2">
        <v>90.0</v>
      </c>
      <c r="AJ269" s="1" t="s">
        <v>1589</v>
      </c>
      <c r="AK269" s="1" t="s">
        <v>5877</v>
      </c>
      <c r="AL269" s="1" t="s">
        <v>5878</v>
      </c>
      <c r="AM269" s="2"/>
      <c r="AN269" s="2"/>
      <c r="AO269" s="2"/>
      <c r="AP269" s="2"/>
      <c r="AQ269" s="2"/>
      <c r="AR269" s="2"/>
      <c r="AS269" s="2"/>
      <c r="AT269" s="2"/>
      <c r="AU269" s="126">
        <v>16790.0</v>
      </c>
      <c r="AV269" s="126">
        <v>18900.0</v>
      </c>
      <c r="AW269" s="2"/>
      <c r="AX269" s="2"/>
      <c r="AY269" s="2"/>
      <c r="AZ269" s="2"/>
      <c r="BA269" s="2"/>
      <c r="BB269" s="2"/>
      <c r="BC269" s="2"/>
      <c r="BD269" s="2"/>
      <c r="BE269" s="2"/>
    </row>
    <row r="270" hidden="1">
      <c r="A270" s="2"/>
      <c r="B270" s="312" t="s">
        <v>6836</v>
      </c>
      <c r="C270" s="220" t="s">
        <v>6837</v>
      </c>
      <c r="D270" s="11">
        <v>90.0</v>
      </c>
      <c r="E270" s="11" t="s">
        <v>311</v>
      </c>
      <c r="F270" s="11" t="s">
        <v>6423</v>
      </c>
      <c r="G270" s="295" t="s">
        <v>6838</v>
      </c>
      <c r="H270" s="296"/>
      <c r="I270" s="156">
        <v>26500.0</v>
      </c>
      <c r="J270" s="301"/>
      <c r="K270" s="296"/>
      <c r="L270" s="139"/>
      <c r="M270" s="301">
        <v>26500.0</v>
      </c>
      <c r="N270" s="284">
        <v>0.147</v>
      </c>
      <c r="O270" s="296">
        <v>30400.0</v>
      </c>
      <c r="P270" s="314">
        <f t="shared" ref="P270:Q270" si="255">O270</f>
        <v>30400</v>
      </c>
      <c r="Q270" s="303">
        <f t="shared" si="255"/>
        <v>30400</v>
      </c>
      <c r="R270" s="299" t="s">
        <v>6839</v>
      </c>
      <c r="S270" s="300">
        <v>46140.56051472222</v>
      </c>
      <c r="T270" s="2"/>
      <c r="U270" s="289">
        <f t="shared" si="4"/>
        <v>3900</v>
      </c>
      <c r="V270" s="304" t="str">
        <f t="shared" ref="V270:V274" si="257">IF(L270&gt;0, Q1251 - L270, "нет з/ч")</f>
        <v>нет з/ч</v>
      </c>
      <c r="W270" s="2"/>
      <c r="X270" s="289">
        <v>26500.0</v>
      </c>
      <c r="Y270" s="139"/>
      <c r="Z270" s="2"/>
      <c r="AA270" s="2" t="s">
        <v>6837</v>
      </c>
      <c r="AB270" s="2" t="s">
        <v>6837</v>
      </c>
      <c r="AC270" s="2"/>
      <c r="AD270" s="2" t="s">
        <v>6837</v>
      </c>
      <c r="AE270" s="3" t="s">
        <v>6836</v>
      </c>
      <c r="AF270" s="2"/>
      <c r="AG270" s="1" t="s">
        <v>1582</v>
      </c>
      <c r="AH270" s="1" t="s">
        <v>6319</v>
      </c>
      <c r="AI270" s="2">
        <v>90.0</v>
      </c>
      <c r="AJ270" s="1" t="s">
        <v>1589</v>
      </c>
      <c r="AK270" s="1" t="s">
        <v>5877</v>
      </c>
      <c r="AL270" s="1" t="s">
        <v>5878</v>
      </c>
      <c r="AM270" s="2"/>
      <c r="AN270" s="2"/>
      <c r="AO270" s="2"/>
      <c r="AP270" s="2"/>
      <c r="AQ270" s="2"/>
      <c r="AR270" s="2"/>
      <c r="AS270" s="2"/>
      <c r="AT270" s="2"/>
      <c r="AU270" s="126">
        <v>26500.0</v>
      </c>
      <c r="AV270" s="126">
        <v>30400.0</v>
      </c>
      <c r="AW270" s="2"/>
      <c r="AX270" s="2"/>
      <c r="AY270" s="2"/>
      <c r="AZ270" s="2"/>
      <c r="BA270" s="2"/>
      <c r="BB270" s="2"/>
      <c r="BC270" s="2"/>
      <c r="BD270" s="2"/>
      <c r="BE270" s="2"/>
    </row>
    <row r="271" hidden="1">
      <c r="A271" s="2"/>
      <c r="B271" s="312" t="s">
        <v>6840</v>
      </c>
      <c r="C271" s="220" t="s">
        <v>6841</v>
      </c>
      <c r="D271" s="11">
        <v>90.0</v>
      </c>
      <c r="E271" s="11" t="s">
        <v>311</v>
      </c>
      <c r="F271" s="11" t="s">
        <v>6423</v>
      </c>
      <c r="G271" s="295" t="s">
        <v>6842</v>
      </c>
      <c r="H271" s="296"/>
      <c r="I271" s="156">
        <v>21000.0</v>
      </c>
      <c r="J271" s="301"/>
      <c r="K271" s="296"/>
      <c r="L271" s="139"/>
      <c r="M271" s="301">
        <v>21000.0</v>
      </c>
      <c r="N271" s="284">
        <v>0.185</v>
      </c>
      <c r="O271" s="296">
        <v>24900.0</v>
      </c>
      <c r="P271" s="314">
        <f t="shared" ref="P271:Q271" si="256">O271</f>
        <v>24900</v>
      </c>
      <c r="Q271" s="303">
        <f t="shared" si="256"/>
        <v>24900</v>
      </c>
      <c r="R271" s="299" t="s">
        <v>6843</v>
      </c>
      <c r="S271" s="300">
        <v>46140.560539479164</v>
      </c>
      <c r="T271" s="2"/>
      <c r="U271" s="289">
        <f t="shared" si="4"/>
        <v>3900</v>
      </c>
      <c r="V271" s="304" t="str">
        <f t="shared" si="257"/>
        <v>нет з/ч</v>
      </c>
      <c r="W271" s="2"/>
      <c r="X271" s="289">
        <v>21000.0</v>
      </c>
      <c r="Y271" s="139"/>
      <c r="Z271" s="2"/>
      <c r="AA271" s="2" t="s">
        <v>6841</v>
      </c>
      <c r="AB271" s="2" t="s">
        <v>6841</v>
      </c>
      <c r="AC271" s="2"/>
      <c r="AD271" s="2" t="s">
        <v>6841</v>
      </c>
      <c r="AE271" s="3" t="s">
        <v>6840</v>
      </c>
      <c r="AF271" s="2"/>
      <c r="AG271" s="1" t="s">
        <v>1582</v>
      </c>
      <c r="AH271" s="1" t="s">
        <v>6319</v>
      </c>
      <c r="AI271" s="2">
        <v>90.0</v>
      </c>
      <c r="AJ271" s="1" t="s">
        <v>1589</v>
      </c>
      <c r="AK271" s="1" t="s">
        <v>5877</v>
      </c>
      <c r="AL271" s="1" t="s">
        <v>5878</v>
      </c>
      <c r="AM271" s="2"/>
      <c r="AN271" s="2"/>
      <c r="AO271" s="2"/>
      <c r="AP271" s="2"/>
      <c r="AQ271" s="2"/>
      <c r="AR271" s="2"/>
      <c r="AS271" s="2"/>
      <c r="AT271" s="2"/>
      <c r="AU271" s="126">
        <v>21000.0</v>
      </c>
      <c r="AV271" s="126">
        <v>24900.0</v>
      </c>
      <c r="AW271" s="2"/>
      <c r="AX271" s="2"/>
      <c r="AY271" s="2"/>
      <c r="AZ271" s="2"/>
      <c r="BA271" s="2"/>
      <c r="BB271" s="2"/>
      <c r="BC271" s="2"/>
      <c r="BD271" s="2"/>
      <c r="BE271" s="2"/>
    </row>
    <row r="272" hidden="1">
      <c r="A272" s="2"/>
      <c r="B272" s="312" t="s">
        <v>6844</v>
      </c>
      <c r="C272" s="220" t="s">
        <v>6845</v>
      </c>
      <c r="D272" s="11">
        <v>90.0</v>
      </c>
      <c r="E272" s="11" t="s">
        <v>311</v>
      </c>
      <c r="F272" s="11" t="s">
        <v>6423</v>
      </c>
      <c r="G272" s="295" t="s">
        <v>6846</v>
      </c>
      <c r="H272" s="296"/>
      <c r="I272" s="156">
        <v>19500.0</v>
      </c>
      <c r="J272" s="301"/>
      <c r="K272" s="296"/>
      <c r="L272" s="139"/>
      <c r="M272" s="301">
        <v>19500.0</v>
      </c>
      <c r="N272" s="284">
        <v>0.2</v>
      </c>
      <c r="O272" s="296">
        <v>23400.0</v>
      </c>
      <c r="P272" s="314">
        <f t="shared" ref="P272:Q272" si="258">O272</f>
        <v>23400</v>
      </c>
      <c r="Q272" s="303">
        <f t="shared" si="258"/>
        <v>23400</v>
      </c>
      <c r="R272" s="299" t="s">
        <v>6847</v>
      </c>
      <c r="S272" s="300">
        <v>46140.56057234954</v>
      </c>
      <c r="T272" s="2"/>
      <c r="U272" s="289">
        <f t="shared" si="4"/>
        <v>3900</v>
      </c>
      <c r="V272" s="304" t="str">
        <f t="shared" si="257"/>
        <v>нет з/ч</v>
      </c>
      <c r="W272" s="2"/>
      <c r="X272" s="289">
        <v>19500.0</v>
      </c>
      <c r="Y272" s="139"/>
      <c r="Z272" s="2"/>
      <c r="AA272" s="2" t="s">
        <v>6845</v>
      </c>
      <c r="AB272" s="2" t="s">
        <v>6845</v>
      </c>
      <c r="AC272" s="2"/>
      <c r="AD272" s="2" t="s">
        <v>6845</v>
      </c>
      <c r="AE272" s="3" t="s">
        <v>6844</v>
      </c>
      <c r="AF272" s="2"/>
      <c r="AG272" s="1" t="s">
        <v>1582</v>
      </c>
      <c r="AH272" s="1" t="s">
        <v>6319</v>
      </c>
      <c r="AI272" s="2">
        <v>90.0</v>
      </c>
      <c r="AJ272" s="1" t="s">
        <v>1589</v>
      </c>
      <c r="AK272" s="1" t="s">
        <v>5877</v>
      </c>
      <c r="AL272" s="1" t="s">
        <v>5878</v>
      </c>
      <c r="AM272" s="2"/>
      <c r="AN272" s="2"/>
      <c r="AO272" s="2"/>
      <c r="AP272" s="2"/>
      <c r="AQ272" s="2"/>
      <c r="AR272" s="2"/>
      <c r="AS272" s="2"/>
      <c r="AT272" s="2"/>
      <c r="AU272" s="126">
        <v>19500.0</v>
      </c>
      <c r="AV272" s="126">
        <v>23400.0</v>
      </c>
      <c r="AW272" s="2"/>
      <c r="AX272" s="2"/>
      <c r="AY272" s="2"/>
      <c r="AZ272" s="2"/>
      <c r="BA272" s="2"/>
      <c r="BB272" s="2"/>
      <c r="BC272" s="2"/>
      <c r="BD272" s="2"/>
      <c r="BE272" s="2"/>
    </row>
    <row r="273" hidden="1">
      <c r="A273" s="2"/>
      <c r="B273" s="312" t="s">
        <v>6848</v>
      </c>
      <c r="C273" s="84"/>
      <c r="D273" s="11">
        <v>90.0</v>
      </c>
      <c r="E273" s="11" t="s">
        <v>311</v>
      </c>
      <c r="F273" s="11" t="s">
        <v>6423</v>
      </c>
      <c r="G273" s="295" t="s">
        <v>6849</v>
      </c>
      <c r="H273" s="296"/>
      <c r="I273" s="156">
        <v>17000.0</v>
      </c>
      <c r="J273" s="301"/>
      <c r="K273" s="296"/>
      <c r="L273" s="156">
        <v>18590.0</v>
      </c>
      <c r="M273" s="301">
        <v>18590.0</v>
      </c>
      <c r="N273" s="284">
        <v>0.21</v>
      </c>
      <c r="O273" s="296">
        <v>22500.0</v>
      </c>
      <c r="P273" s="314">
        <f t="shared" ref="P273:Q273" si="259">O273</f>
        <v>22500</v>
      </c>
      <c r="Q273" s="303">
        <f t="shared" si="259"/>
        <v>22500</v>
      </c>
      <c r="R273" s="299" t="s">
        <v>6850</v>
      </c>
      <c r="S273" s="300">
        <v>46140.56059809028</v>
      </c>
      <c r="T273" s="2"/>
      <c r="U273" s="289">
        <f t="shared" si="4"/>
        <v>5500</v>
      </c>
      <c r="V273" s="290">
        <f t="shared" si="257"/>
        <v>-18590</v>
      </c>
      <c r="W273" s="2"/>
      <c r="X273" s="289">
        <v>17000.0</v>
      </c>
      <c r="Y273" s="139">
        <v>18590.0</v>
      </c>
      <c r="Z273" s="2"/>
      <c r="AA273" s="2"/>
      <c r="AB273" s="2"/>
      <c r="AC273" s="2"/>
      <c r="AD273" s="2"/>
      <c r="AE273" s="3" t="s">
        <v>6848</v>
      </c>
      <c r="AF273" s="2"/>
      <c r="AG273" s="1" t="s">
        <v>1582</v>
      </c>
      <c r="AH273" s="1" t="s">
        <v>6319</v>
      </c>
      <c r="AI273" s="2">
        <v>90.0</v>
      </c>
      <c r="AJ273" s="1" t="s">
        <v>1589</v>
      </c>
      <c r="AK273" s="1" t="s">
        <v>5877</v>
      </c>
      <c r="AL273" s="1" t="s">
        <v>5878</v>
      </c>
      <c r="AM273" s="2"/>
      <c r="AN273" s="2"/>
      <c r="AO273" s="2"/>
      <c r="AP273" s="2"/>
      <c r="AQ273" s="2"/>
      <c r="AR273" s="2"/>
      <c r="AS273" s="2"/>
      <c r="AT273" s="2"/>
      <c r="AU273" s="126">
        <v>18590.0</v>
      </c>
      <c r="AV273" s="126">
        <v>22500.0</v>
      </c>
      <c r="AW273" s="2"/>
      <c r="AX273" s="2"/>
      <c r="AY273" s="2"/>
      <c r="AZ273" s="2"/>
      <c r="BA273" s="2"/>
      <c r="BB273" s="2"/>
      <c r="BC273" s="2"/>
      <c r="BD273" s="2"/>
      <c r="BE273" s="2"/>
    </row>
    <row r="274" hidden="1">
      <c r="A274" s="2"/>
      <c r="B274" s="312" t="s">
        <v>6851</v>
      </c>
      <c r="C274" s="220" t="s">
        <v>6852</v>
      </c>
      <c r="D274" s="11">
        <v>90.0</v>
      </c>
      <c r="E274" s="11" t="s">
        <v>311</v>
      </c>
      <c r="F274" s="11" t="s">
        <v>6423</v>
      </c>
      <c r="G274" s="295" t="s">
        <v>6853</v>
      </c>
      <c r="H274" s="296"/>
      <c r="I274" s="156">
        <v>15000.0</v>
      </c>
      <c r="J274" s="301"/>
      <c r="K274" s="296"/>
      <c r="L274" s="139"/>
      <c r="M274" s="301">
        <v>15000.0</v>
      </c>
      <c r="N274" s="284">
        <v>0.26</v>
      </c>
      <c r="O274" s="296">
        <v>18900.0</v>
      </c>
      <c r="P274" s="314">
        <f t="shared" ref="P274:Q274" si="260">O274</f>
        <v>18900</v>
      </c>
      <c r="Q274" s="303">
        <f t="shared" si="260"/>
        <v>18900</v>
      </c>
      <c r="R274" s="299" t="s">
        <v>6854</v>
      </c>
      <c r="S274" s="300">
        <v>46140.56062173611</v>
      </c>
      <c r="T274" s="2"/>
      <c r="U274" s="289">
        <f t="shared" si="4"/>
        <v>3900</v>
      </c>
      <c r="V274" s="304" t="str">
        <f t="shared" si="257"/>
        <v>нет з/ч</v>
      </c>
      <c r="W274" s="2"/>
      <c r="X274" s="289">
        <v>15000.0</v>
      </c>
      <c r="Y274" s="139"/>
      <c r="Z274" s="2"/>
      <c r="AA274" s="2" t="s">
        <v>6852</v>
      </c>
      <c r="AB274" s="2" t="s">
        <v>6852</v>
      </c>
      <c r="AC274" s="2"/>
      <c r="AD274" s="2" t="s">
        <v>6852</v>
      </c>
      <c r="AE274" s="3" t="s">
        <v>6851</v>
      </c>
      <c r="AF274" s="2"/>
      <c r="AG274" s="1" t="s">
        <v>1582</v>
      </c>
      <c r="AH274" s="1" t="s">
        <v>6319</v>
      </c>
      <c r="AI274" s="2">
        <v>90.0</v>
      </c>
      <c r="AJ274" s="1" t="s">
        <v>1589</v>
      </c>
      <c r="AK274" s="1" t="s">
        <v>5877</v>
      </c>
      <c r="AL274" s="1" t="s">
        <v>5878</v>
      </c>
      <c r="AM274" s="2"/>
      <c r="AN274" s="2"/>
      <c r="AO274" s="2"/>
      <c r="AP274" s="2"/>
      <c r="AQ274" s="2"/>
      <c r="AR274" s="2"/>
      <c r="AS274" s="2"/>
      <c r="AT274" s="2"/>
      <c r="AU274" s="126">
        <v>15000.0</v>
      </c>
      <c r="AV274" s="126">
        <v>18900.0</v>
      </c>
      <c r="AW274" s="2"/>
      <c r="AX274" s="2"/>
      <c r="AY274" s="2"/>
      <c r="AZ274" s="2"/>
      <c r="BA274" s="2"/>
      <c r="BB274" s="2"/>
      <c r="BC274" s="2"/>
      <c r="BD274" s="2"/>
      <c r="BE274" s="2"/>
    </row>
    <row r="275">
      <c r="A275" s="2"/>
      <c r="B275" s="312" t="s">
        <v>6855</v>
      </c>
      <c r="C275" s="84"/>
      <c r="D275" s="11">
        <v>90.0</v>
      </c>
      <c r="E275" s="11" t="s">
        <v>318</v>
      </c>
      <c r="F275" s="11" t="s">
        <v>6423</v>
      </c>
      <c r="G275" s="306"/>
      <c r="H275" s="296"/>
      <c r="I275" s="139"/>
      <c r="J275" s="301"/>
      <c r="K275" s="296"/>
      <c r="L275" s="139"/>
      <c r="M275" s="301" t="s">
        <v>22</v>
      </c>
      <c r="N275" s="284">
        <v>0.12</v>
      </c>
      <c r="O275" s="296" t="s">
        <v>22</v>
      </c>
      <c r="P275" s="314" t="str">
        <f t="shared" ref="P275:Q275" si="261">O275</f>
        <v/>
      </c>
      <c r="Q275" s="303" t="str">
        <f t="shared" si="261"/>
        <v/>
      </c>
      <c r="R275" s="307"/>
      <c r="S275" s="300">
        <v>46111.5458453125</v>
      </c>
      <c r="T275" s="2"/>
      <c r="U275" s="59" t="str">
        <f t="shared" si="4"/>
        <v>нет з/ч</v>
      </c>
      <c r="V275" s="304" t="str">
        <f t="shared" ref="V275:V279" si="263">IF(L275&gt;0, Q1259 - L275, "нет з/ч")</f>
        <v>нет з/ч</v>
      </c>
      <c r="W275" s="2"/>
      <c r="X275" s="289"/>
      <c r="Y275" s="139"/>
      <c r="Z275" s="2"/>
      <c r="AA275" s="2"/>
      <c r="AB275" s="2"/>
      <c r="AC275" s="2"/>
      <c r="AD275" s="2"/>
      <c r="AE275" s="3" t="s">
        <v>6855</v>
      </c>
      <c r="AF275" s="2"/>
      <c r="AG275" s="1" t="s">
        <v>1582</v>
      </c>
      <c r="AH275" s="1" t="s">
        <v>6343</v>
      </c>
      <c r="AI275" s="2">
        <v>90.0</v>
      </c>
      <c r="AJ275" s="1" t="s">
        <v>1589</v>
      </c>
      <c r="AK275" s="1" t="s">
        <v>5877</v>
      </c>
      <c r="AL275" s="1" t="s">
        <v>5878</v>
      </c>
      <c r="AM275" s="2"/>
      <c r="AN275" s="2"/>
      <c r="AO275" s="2"/>
      <c r="AP275" s="2"/>
      <c r="AQ275" s="2"/>
      <c r="AR275" s="2"/>
      <c r="AS275" s="2"/>
      <c r="AT275" s="2"/>
      <c r="AU275" s="126" t="s">
        <v>22</v>
      </c>
      <c r="AV275" s="126" t="s">
        <v>22</v>
      </c>
      <c r="AW275" s="2"/>
      <c r="AX275" s="2"/>
      <c r="AY275" s="2"/>
      <c r="AZ275" s="2"/>
      <c r="BA275" s="2"/>
      <c r="BB275" s="2"/>
      <c r="BC275" s="2"/>
      <c r="BD275" s="2"/>
      <c r="BE275" s="2"/>
    </row>
    <row r="276">
      <c r="A276" s="2"/>
      <c r="B276" s="312" t="s">
        <v>6856</v>
      </c>
      <c r="C276" s="84"/>
      <c r="D276" s="11">
        <v>90.0</v>
      </c>
      <c r="E276" s="11" t="s">
        <v>318</v>
      </c>
      <c r="F276" s="11" t="s">
        <v>6423</v>
      </c>
      <c r="G276" s="295" t="s">
        <v>6857</v>
      </c>
      <c r="H276" s="296"/>
      <c r="I276" s="156">
        <v>13900.0</v>
      </c>
      <c r="J276" s="301"/>
      <c r="K276" s="296"/>
      <c r="L276" s="139"/>
      <c r="M276" s="301">
        <v>13900.0</v>
      </c>
      <c r="N276" s="284">
        <v>0.173</v>
      </c>
      <c r="O276" s="296">
        <v>16300.0</v>
      </c>
      <c r="P276" s="314">
        <f t="shared" ref="P276:Q276" si="262">O276</f>
        <v>16300</v>
      </c>
      <c r="Q276" s="303">
        <f t="shared" si="262"/>
        <v>16300</v>
      </c>
      <c r="R276" s="299" t="s">
        <v>6858</v>
      </c>
      <c r="S276" s="300">
        <v>46140.571228518515</v>
      </c>
      <c r="T276" s="2"/>
      <c r="U276" s="289">
        <f t="shared" si="4"/>
        <v>2400</v>
      </c>
      <c r="V276" s="304" t="str">
        <f t="shared" si="263"/>
        <v>нет з/ч</v>
      </c>
      <c r="W276" s="2"/>
      <c r="X276" s="289">
        <v>13900.0</v>
      </c>
      <c r="Y276" s="139"/>
      <c r="Z276" s="2"/>
      <c r="AA276" s="2"/>
      <c r="AB276" s="2"/>
      <c r="AC276" s="2"/>
      <c r="AD276" s="2"/>
      <c r="AE276" s="3" t="s">
        <v>6856</v>
      </c>
      <c r="AF276" s="2"/>
      <c r="AG276" s="1" t="s">
        <v>1582</v>
      </c>
      <c r="AH276" s="1" t="s">
        <v>6343</v>
      </c>
      <c r="AI276" s="2">
        <v>90.0</v>
      </c>
      <c r="AJ276" s="1" t="s">
        <v>1589</v>
      </c>
      <c r="AK276" s="1" t="s">
        <v>5877</v>
      </c>
      <c r="AL276" s="1" t="s">
        <v>5878</v>
      </c>
      <c r="AM276" s="2"/>
      <c r="AN276" s="2"/>
      <c r="AO276" s="2"/>
      <c r="AP276" s="2"/>
      <c r="AQ276" s="2"/>
      <c r="AR276" s="2"/>
      <c r="AS276" s="2"/>
      <c r="AT276" s="2"/>
      <c r="AU276" s="126">
        <v>13900.0</v>
      </c>
      <c r="AV276" s="126">
        <v>16300.0</v>
      </c>
      <c r="AW276" s="2"/>
      <c r="AX276" s="2"/>
      <c r="AY276" s="2"/>
      <c r="AZ276" s="2"/>
      <c r="BA276" s="2"/>
      <c r="BB276" s="2"/>
      <c r="BC276" s="2"/>
      <c r="BD276" s="2"/>
      <c r="BE276" s="2"/>
    </row>
    <row r="277">
      <c r="A277" s="2"/>
      <c r="B277" s="312" t="s">
        <v>6859</v>
      </c>
      <c r="C277" s="220" t="s">
        <v>6860</v>
      </c>
      <c r="D277" s="11">
        <v>90.0</v>
      </c>
      <c r="E277" s="11" t="s">
        <v>318</v>
      </c>
      <c r="F277" s="11" t="s">
        <v>6423</v>
      </c>
      <c r="G277" s="295" t="s">
        <v>6861</v>
      </c>
      <c r="H277" s="296"/>
      <c r="I277" s="156">
        <v>13200.0</v>
      </c>
      <c r="J277" s="301"/>
      <c r="K277" s="296"/>
      <c r="L277" s="139"/>
      <c r="M277" s="301">
        <v>13200.0</v>
      </c>
      <c r="N277" s="284">
        <v>0.18</v>
      </c>
      <c r="O277" s="296">
        <v>15600.0</v>
      </c>
      <c r="P277" s="314">
        <f t="shared" ref="P277:Q277" si="264">O277</f>
        <v>15600</v>
      </c>
      <c r="Q277" s="303">
        <f t="shared" si="264"/>
        <v>15600</v>
      </c>
      <c r="R277" s="299" t="s">
        <v>6862</v>
      </c>
      <c r="S277" s="300">
        <v>46140.560705497686</v>
      </c>
      <c r="T277" s="2"/>
      <c r="U277" s="289">
        <f t="shared" si="4"/>
        <v>2400</v>
      </c>
      <c r="V277" s="304" t="str">
        <f t="shared" si="263"/>
        <v>нет з/ч</v>
      </c>
      <c r="W277" s="2"/>
      <c r="X277" s="289">
        <v>13200.0</v>
      </c>
      <c r="Y277" s="139"/>
      <c r="Z277" s="2"/>
      <c r="AA277" s="2" t="s">
        <v>6860</v>
      </c>
      <c r="AB277" s="2" t="s">
        <v>6860</v>
      </c>
      <c r="AC277" s="2"/>
      <c r="AD277" s="2" t="s">
        <v>6860</v>
      </c>
      <c r="AE277" s="3" t="s">
        <v>6859</v>
      </c>
      <c r="AF277" s="2"/>
      <c r="AG277" s="1" t="s">
        <v>1582</v>
      </c>
      <c r="AH277" s="1" t="s">
        <v>6343</v>
      </c>
      <c r="AI277" s="2">
        <v>90.0</v>
      </c>
      <c r="AJ277" s="1" t="s">
        <v>1589</v>
      </c>
      <c r="AK277" s="1" t="s">
        <v>5877</v>
      </c>
      <c r="AL277" s="1" t="s">
        <v>5878</v>
      </c>
      <c r="AM277" s="2"/>
      <c r="AN277" s="2"/>
      <c r="AO277" s="2"/>
      <c r="AP277" s="2"/>
      <c r="AQ277" s="2"/>
      <c r="AR277" s="2"/>
      <c r="AS277" s="2"/>
      <c r="AT277" s="2"/>
      <c r="AU277" s="126">
        <v>13200.0</v>
      </c>
      <c r="AV277" s="126">
        <v>15600.0</v>
      </c>
      <c r="AW277" s="2"/>
      <c r="AX277" s="2"/>
      <c r="AY277" s="2"/>
      <c r="AZ277" s="2"/>
      <c r="BA277" s="2"/>
      <c r="BB277" s="2"/>
      <c r="BC277" s="2"/>
      <c r="BD277" s="2"/>
      <c r="BE277" s="2"/>
    </row>
    <row r="278">
      <c r="A278" s="2"/>
      <c r="B278" s="312" t="s">
        <v>6863</v>
      </c>
      <c r="C278" s="84"/>
      <c r="D278" s="11">
        <v>90.0</v>
      </c>
      <c r="E278" s="11" t="s">
        <v>318</v>
      </c>
      <c r="F278" s="11" t="s">
        <v>6423</v>
      </c>
      <c r="G278" s="295" t="s">
        <v>6864</v>
      </c>
      <c r="H278" s="296"/>
      <c r="I278" s="156">
        <v>13400.0</v>
      </c>
      <c r="J278" s="301"/>
      <c r="K278" s="296"/>
      <c r="L278" s="156">
        <v>13990.0</v>
      </c>
      <c r="M278" s="301">
        <v>13990.0</v>
      </c>
      <c r="N278" s="284">
        <v>0.13</v>
      </c>
      <c r="O278" s="296">
        <v>15800.0</v>
      </c>
      <c r="P278" s="314">
        <f t="shared" ref="P278:Q278" si="265">O278</f>
        <v>15800</v>
      </c>
      <c r="Q278" s="303">
        <f t="shared" si="265"/>
        <v>15800</v>
      </c>
      <c r="R278" s="299" t="s">
        <v>6865</v>
      </c>
      <c r="S278" s="300">
        <v>46140.56072869213</v>
      </c>
      <c r="T278" s="2"/>
      <c r="U278" s="289">
        <f t="shared" si="4"/>
        <v>2400</v>
      </c>
      <c r="V278" s="290">
        <f t="shared" si="263"/>
        <v>-13990</v>
      </c>
      <c r="W278" s="2"/>
      <c r="X278" s="289">
        <v>13400.0</v>
      </c>
      <c r="Y278" s="139">
        <v>13990.0</v>
      </c>
      <c r="Z278" s="2"/>
      <c r="AA278" s="2"/>
      <c r="AB278" s="2"/>
      <c r="AC278" s="2"/>
      <c r="AD278" s="2"/>
      <c r="AE278" s="3" t="s">
        <v>6863</v>
      </c>
      <c r="AF278" s="2"/>
      <c r="AG278" s="1" t="s">
        <v>1582</v>
      </c>
      <c r="AH278" s="1" t="s">
        <v>6343</v>
      </c>
      <c r="AI278" s="2">
        <v>90.0</v>
      </c>
      <c r="AJ278" s="1" t="s">
        <v>1589</v>
      </c>
      <c r="AK278" s="1" t="s">
        <v>5877</v>
      </c>
      <c r="AL278" s="1" t="s">
        <v>5878</v>
      </c>
      <c r="AM278" s="2"/>
      <c r="AN278" s="2"/>
      <c r="AO278" s="2"/>
      <c r="AP278" s="2"/>
      <c r="AQ278" s="2"/>
      <c r="AR278" s="2"/>
      <c r="AS278" s="2"/>
      <c r="AT278" s="2"/>
      <c r="AU278" s="126">
        <v>13990.0</v>
      </c>
      <c r="AV278" s="126">
        <v>15800.0</v>
      </c>
      <c r="AW278" s="2"/>
      <c r="AX278" s="2"/>
      <c r="AY278" s="2"/>
      <c r="AZ278" s="2"/>
      <c r="BA278" s="2"/>
      <c r="BB278" s="2"/>
      <c r="BC278" s="2"/>
      <c r="BD278" s="2"/>
      <c r="BE278" s="2"/>
    </row>
    <row r="279">
      <c r="A279" s="2"/>
      <c r="B279" s="312" t="s">
        <v>6866</v>
      </c>
      <c r="C279" s="84"/>
      <c r="D279" s="11">
        <v>90.0</v>
      </c>
      <c r="E279" s="11" t="s">
        <v>318</v>
      </c>
      <c r="F279" s="11" t="s">
        <v>6423</v>
      </c>
      <c r="G279" s="306"/>
      <c r="H279" s="296"/>
      <c r="I279" s="139"/>
      <c r="J279" s="301"/>
      <c r="K279" s="296"/>
      <c r="L279" s="156">
        <v>13690.0</v>
      </c>
      <c r="M279" s="301">
        <v>13690.0</v>
      </c>
      <c r="N279" s="284">
        <v>0.12</v>
      </c>
      <c r="O279" s="296">
        <v>15350.0</v>
      </c>
      <c r="P279" s="314">
        <f t="shared" ref="P279:Q279" si="266">O279</f>
        <v>15350</v>
      </c>
      <c r="Q279" s="303">
        <f t="shared" si="266"/>
        <v>15350</v>
      </c>
      <c r="R279" s="307"/>
      <c r="S279" s="300">
        <v>46111.54597662037</v>
      </c>
      <c r="T279" s="2"/>
      <c r="U279" s="59" t="str">
        <f t="shared" si="4"/>
        <v>нет з/ч</v>
      </c>
      <c r="V279" s="290">
        <f t="shared" si="263"/>
        <v>-13690</v>
      </c>
      <c r="W279" s="2"/>
      <c r="X279" s="289"/>
      <c r="Y279" s="139">
        <v>13690.0</v>
      </c>
      <c r="Z279" s="2"/>
      <c r="AA279" s="2"/>
      <c r="AB279" s="2"/>
      <c r="AC279" s="2"/>
      <c r="AD279" s="2"/>
      <c r="AE279" s="3" t="s">
        <v>6866</v>
      </c>
      <c r="AF279" s="2"/>
      <c r="AG279" s="1" t="s">
        <v>1582</v>
      </c>
      <c r="AH279" s="1" t="s">
        <v>6343</v>
      </c>
      <c r="AI279" s="2">
        <v>90.0</v>
      </c>
      <c r="AJ279" s="1" t="s">
        <v>1589</v>
      </c>
      <c r="AK279" s="1" t="s">
        <v>5877</v>
      </c>
      <c r="AL279" s="1" t="s">
        <v>5878</v>
      </c>
      <c r="AM279" s="2"/>
      <c r="AN279" s="2"/>
      <c r="AO279" s="2"/>
      <c r="AP279" s="2"/>
      <c r="AQ279" s="2"/>
      <c r="AR279" s="2"/>
      <c r="AS279" s="2"/>
      <c r="AT279" s="2"/>
      <c r="AU279" s="126">
        <v>13690.0</v>
      </c>
      <c r="AV279" s="126">
        <v>15350.0</v>
      </c>
      <c r="AW279" s="2"/>
      <c r="AX279" s="2"/>
      <c r="AY279" s="2"/>
      <c r="AZ279" s="2"/>
      <c r="BA279" s="2"/>
      <c r="BB279" s="2"/>
      <c r="BC279" s="2"/>
      <c r="BD279" s="2"/>
      <c r="BE279" s="2"/>
    </row>
    <row r="280" hidden="1">
      <c r="A280" s="2"/>
      <c r="B280" s="312" t="s">
        <v>6867</v>
      </c>
      <c r="C280" s="84"/>
      <c r="D280" s="11">
        <v>90.0</v>
      </c>
      <c r="E280" s="11" t="s">
        <v>325</v>
      </c>
      <c r="F280" s="11" t="s">
        <v>6423</v>
      </c>
      <c r="G280" s="306"/>
      <c r="H280" s="296"/>
      <c r="I280" s="139"/>
      <c r="J280" s="301"/>
      <c r="K280" s="296"/>
      <c r="L280" s="139"/>
      <c r="M280" s="301" t="s">
        <v>22</v>
      </c>
      <c r="N280" s="284">
        <v>0.12</v>
      </c>
      <c r="O280" s="296" t="s">
        <v>22</v>
      </c>
      <c r="P280" s="314" t="str">
        <f t="shared" ref="P280:Q280" si="267">O280</f>
        <v/>
      </c>
      <c r="Q280" s="303" t="str">
        <f t="shared" si="267"/>
        <v/>
      </c>
      <c r="R280" s="307"/>
      <c r="S280" s="308"/>
      <c r="T280" s="2"/>
      <c r="U280" s="59" t="str">
        <f t="shared" si="4"/>
        <v>нет з/ч</v>
      </c>
      <c r="V280" s="304" t="str">
        <f t="shared" ref="V280:V284" si="269">IF(L280&gt;0, Q1267 - L280, "нет з/ч")</f>
        <v>нет з/ч</v>
      </c>
      <c r="W280" s="2"/>
      <c r="X280" s="289"/>
      <c r="Y280" s="139"/>
      <c r="Z280" s="2"/>
      <c r="AA280" s="2"/>
      <c r="AB280" s="2"/>
      <c r="AC280" s="2"/>
      <c r="AD280" s="2"/>
      <c r="AE280" s="3" t="s">
        <v>6867</v>
      </c>
      <c r="AF280" s="2"/>
      <c r="AG280" s="1" t="s">
        <v>1582</v>
      </c>
      <c r="AH280" s="1" t="s">
        <v>6359</v>
      </c>
      <c r="AI280" s="2">
        <v>90.0</v>
      </c>
      <c r="AJ280" s="1" t="s">
        <v>1589</v>
      </c>
      <c r="AK280" s="1" t="s">
        <v>5877</v>
      </c>
      <c r="AL280" s="1" t="s">
        <v>5878</v>
      </c>
      <c r="AM280" s="2"/>
      <c r="AN280" s="2"/>
      <c r="AO280" s="2"/>
      <c r="AP280" s="2"/>
      <c r="AQ280" s="2"/>
      <c r="AR280" s="2"/>
      <c r="AS280" s="2"/>
      <c r="AT280" s="2"/>
      <c r="AU280" s="126" t="s">
        <v>22</v>
      </c>
      <c r="AV280" s="126" t="s">
        <v>22</v>
      </c>
      <c r="AW280" s="2"/>
      <c r="AX280" s="2"/>
      <c r="AY280" s="2"/>
      <c r="AZ280" s="2"/>
      <c r="BA280" s="2"/>
      <c r="BB280" s="2"/>
      <c r="BC280" s="2"/>
      <c r="BD280" s="2"/>
      <c r="BE280" s="2"/>
    </row>
    <row r="281" hidden="1">
      <c r="A281" s="2"/>
      <c r="B281" s="312" t="s">
        <v>6868</v>
      </c>
      <c r="C281" s="220"/>
      <c r="D281" s="11">
        <v>90.0</v>
      </c>
      <c r="E281" s="11" t="s">
        <v>325</v>
      </c>
      <c r="F281" s="11" t="s">
        <v>6423</v>
      </c>
      <c r="G281" s="306"/>
      <c r="H281" s="296"/>
      <c r="I281" s="139"/>
      <c r="J281" s="301"/>
      <c r="K281" s="296"/>
      <c r="L281" s="139"/>
      <c r="M281" s="301" t="s">
        <v>22</v>
      </c>
      <c r="N281" s="284">
        <v>0.12</v>
      </c>
      <c r="O281" s="296" t="s">
        <v>22</v>
      </c>
      <c r="P281" s="314" t="str">
        <f t="shared" ref="P281:Q281" si="268">O281</f>
        <v/>
      </c>
      <c r="Q281" s="303" t="str">
        <f t="shared" si="268"/>
        <v/>
      </c>
      <c r="R281" s="307"/>
      <c r="S281" s="300">
        <v>46111.54599738426</v>
      </c>
      <c r="T281" s="2"/>
      <c r="U281" s="59" t="str">
        <f t="shared" si="4"/>
        <v>нет з/ч</v>
      </c>
      <c r="V281" s="304" t="str">
        <f t="shared" si="269"/>
        <v>нет з/ч</v>
      </c>
      <c r="W281" s="2"/>
      <c r="X281" s="289"/>
      <c r="Y281" s="139"/>
      <c r="Z281" s="2"/>
      <c r="AA281" s="2"/>
      <c r="AB281" s="2"/>
      <c r="AC281" s="2"/>
      <c r="AD281" s="2"/>
      <c r="AE281" s="3" t="s">
        <v>6868</v>
      </c>
      <c r="AF281" s="2"/>
      <c r="AG281" s="1" t="s">
        <v>1582</v>
      </c>
      <c r="AH281" s="1" t="s">
        <v>6359</v>
      </c>
      <c r="AI281" s="2">
        <v>90.0</v>
      </c>
      <c r="AJ281" s="1" t="s">
        <v>1589</v>
      </c>
      <c r="AK281" s="1" t="s">
        <v>5877</v>
      </c>
      <c r="AL281" s="1" t="s">
        <v>5878</v>
      </c>
      <c r="AM281" s="2"/>
      <c r="AN281" s="2"/>
      <c r="AO281" s="2"/>
      <c r="AP281" s="2"/>
      <c r="AQ281" s="2"/>
      <c r="AR281" s="2"/>
      <c r="AS281" s="2"/>
      <c r="AT281" s="2"/>
      <c r="AU281" s="126" t="s">
        <v>22</v>
      </c>
      <c r="AV281" s="126" t="s">
        <v>22</v>
      </c>
      <c r="AW281" s="2"/>
      <c r="AX281" s="2"/>
      <c r="AY281" s="2"/>
      <c r="AZ281" s="2"/>
      <c r="BA281" s="2"/>
      <c r="BB281" s="2"/>
      <c r="BC281" s="2"/>
      <c r="BD281" s="2"/>
      <c r="BE281" s="2"/>
    </row>
    <row r="282" hidden="1">
      <c r="A282" s="2"/>
      <c r="B282" s="312" t="s">
        <v>6869</v>
      </c>
      <c r="C282" s="220" t="s">
        <v>6870</v>
      </c>
      <c r="D282" s="11">
        <v>90.0</v>
      </c>
      <c r="E282" s="11" t="s">
        <v>325</v>
      </c>
      <c r="F282" s="11" t="s">
        <v>6423</v>
      </c>
      <c r="G282" s="295" t="s">
        <v>6871</v>
      </c>
      <c r="H282" s="296"/>
      <c r="I282" s="156">
        <v>7500.0</v>
      </c>
      <c r="J282" s="301"/>
      <c r="K282" s="296"/>
      <c r="L282" s="139"/>
      <c r="M282" s="301">
        <v>7500.0</v>
      </c>
      <c r="N282" s="284">
        <v>0.33</v>
      </c>
      <c r="O282" s="296">
        <v>10000.0</v>
      </c>
      <c r="P282" s="314">
        <f t="shared" ref="P282:Q282" si="270">O282</f>
        <v>10000</v>
      </c>
      <c r="Q282" s="303">
        <f t="shared" si="270"/>
        <v>10000</v>
      </c>
      <c r="R282" s="299" t="s">
        <v>6872</v>
      </c>
      <c r="S282" s="300">
        <v>46140.56075275463</v>
      </c>
      <c r="T282" s="2"/>
      <c r="U282" s="289">
        <f t="shared" si="4"/>
        <v>2500</v>
      </c>
      <c r="V282" s="304" t="str">
        <f t="shared" si="269"/>
        <v>нет з/ч</v>
      </c>
      <c r="W282" s="2"/>
      <c r="X282" s="289">
        <v>7500.0</v>
      </c>
      <c r="Y282" s="139"/>
      <c r="Z282" s="2"/>
      <c r="AA282" s="2" t="s">
        <v>6870</v>
      </c>
      <c r="AB282" s="2" t="s">
        <v>6870</v>
      </c>
      <c r="AC282" s="2"/>
      <c r="AD282" s="2" t="s">
        <v>6870</v>
      </c>
      <c r="AE282" s="3" t="s">
        <v>6869</v>
      </c>
      <c r="AF282" s="2"/>
      <c r="AG282" s="1" t="s">
        <v>1582</v>
      </c>
      <c r="AH282" s="1" t="s">
        <v>6359</v>
      </c>
      <c r="AI282" s="2">
        <v>90.0</v>
      </c>
      <c r="AJ282" s="1" t="s">
        <v>1589</v>
      </c>
      <c r="AK282" s="1" t="s">
        <v>5877</v>
      </c>
      <c r="AL282" s="1" t="s">
        <v>5878</v>
      </c>
      <c r="AM282" s="2"/>
      <c r="AN282" s="2"/>
      <c r="AO282" s="2"/>
      <c r="AP282" s="2"/>
      <c r="AQ282" s="2"/>
      <c r="AR282" s="2"/>
      <c r="AS282" s="2"/>
      <c r="AT282" s="2"/>
      <c r="AU282" s="126">
        <v>7500.0</v>
      </c>
      <c r="AV282" s="126">
        <v>10000.0</v>
      </c>
      <c r="AW282" s="2"/>
      <c r="AX282" s="2"/>
      <c r="AY282" s="2"/>
      <c r="AZ282" s="2"/>
      <c r="BA282" s="2"/>
      <c r="BB282" s="2"/>
      <c r="BC282" s="2"/>
      <c r="BD282" s="2"/>
      <c r="BE282" s="2"/>
    </row>
    <row r="283" hidden="1">
      <c r="A283" s="2"/>
      <c r="B283" s="312" t="s">
        <v>6873</v>
      </c>
      <c r="C283" s="84"/>
      <c r="D283" s="11">
        <v>90.0</v>
      </c>
      <c r="E283" s="11" t="s">
        <v>325</v>
      </c>
      <c r="F283" s="11" t="s">
        <v>6423</v>
      </c>
      <c r="G283" s="306"/>
      <c r="H283" s="296"/>
      <c r="I283" s="139"/>
      <c r="J283" s="301"/>
      <c r="K283" s="296"/>
      <c r="L283" s="139"/>
      <c r="M283" s="301" t="s">
        <v>22</v>
      </c>
      <c r="N283" s="284">
        <v>0.12</v>
      </c>
      <c r="O283" s="296" t="s">
        <v>22</v>
      </c>
      <c r="P283" s="314" t="str">
        <f t="shared" ref="P283:Q283" si="271">O283</f>
        <v/>
      </c>
      <c r="Q283" s="303" t="str">
        <f t="shared" si="271"/>
        <v/>
      </c>
      <c r="R283" s="307"/>
      <c r="S283" s="300">
        <v>46111.546053819446</v>
      </c>
      <c r="T283" s="2"/>
      <c r="U283" s="59" t="str">
        <f t="shared" si="4"/>
        <v>нет з/ч</v>
      </c>
      <c r="V283" s="304" t="str">
        <f t="shared" si="269"/>
        <v>нет з/ч</v>
      </c>
      <c r="W283" s="2"/>
      <c r="X283" s="289"/>
      <c r="Y283" s="139"/>
      <c r="Z283" s="2"/>
      <c r="AA283" s="2"/>
      <c r="AB283" s="2"/>
      <c r="AC283" s="2"/>
      <c r="AD283" s="2"/>
      <c r="AE283" s="3" t="s">
        <v>6873</v>
      </c>
      <c r="AF283" s="2"/>
      <c r="AG283" s="1" t="s">
        <v>1582</v>
      </c>
      <c r="AH283" s="1" t="s">
        <v>6359</v>
      </c>
      <c r="AI283" s="2">
        <v>90.0</v>
      </c>
      <c r="AJ283" s="1" t="s">
        <v>1589</v>
      </c>
      <c r="AK283" s="1" t="s">
        <v>5877</v>
      </c>
      <c r="AL283" s="1" t="s">
        <v>5878</v>
      </c>
      <c r="AM283" s="2"/>
      <c r="AN283" s="2"/>
      <c r="AO283" s="2"/>
      <c r="AP283" s="2"/>
      <c r="AQ283" s="2"/>
      <c r="AR283" s="2"/>
      <c r="AS283" s="2"/>
      <c r="AT283" s="2"/>
      <c r="AU283" s="126" t="s">
        <v>22</v>
      </c>
      <c r="AV283" s="126" t="s">
        <v>22</v>
      </c>
      <c r="AW283" s="2"/>
      <c r="AX283" s="2"/>
      <c r="AY283" s="2"/>
      <c r="AZ283" s="2"/>
      <c r="BA283" s="2"/>
      <c r="BB283" s="2"/>
      <c r="BC283" s="2"/>
      <c r="BD283" s="2"/>
      <c r="BE283" s="2"/>
    </row>
    <row r="284" hidden="1">
      <c r="A284" s="2"/>
      <c r="B284" s="312" t="s">
        <v>6874</v>
      </c>
      <c r="C284" s="84"/>
      <c r="D284" s="11">
        <v>90.0</v>
      </c>
      <c r="E284" s="11" t="s">
        <v>325</v>
      </c>
      <c r="F284" s="11" t="s">
        <v>6423</v>
      </c>
      <c r="G284" s="306"/>
      <c r="H284" s="296"/>
      <c r="I284" s="139"/>
      <c r="J284" s="301"/>
      <c r="K284" s="296"/>
      <c r="L284" s="139"/>
      <c r="M284" s="301" t="s">
        <v>22</v>
      </c>
      <c r="N284" s="284">
        <v>0.12</v>
      </c>
      <c r="O284" s="296" t="s">
        <v>22</v>
      </c>
      <c r="P284" s="314" t="str">
        <f t="shared" ref="P284:Q284" si="272">O284</f>
        <v/>
      </c>
      <c r="Q284" s="303" t="str">
        <f t="shared" si="272"/>
        <v/>
      </c>
      <c r="R284" s="307"/>
      <c r="S284" s="300">
        <v>46111.54607524305</v>
      </c>
      <c r="T284" s="2"/>
      <c r="U284" s="59" t="str">
        <f t="shared" si="4"/>
        <v>нет з/ч</v>
      </c>
      <c r="V284" s="304" t="str">
        <f t="shared" si="269"/>
        <v>нет з/ч</v>
      </c>
      <c r="W284" s="2"/>
      <c r="X284" s="289"/>
      <c r="Y284" s="139"/>
      <c r="Z284" s="2"/>
      <c r="AA284" s="2"/>
      <c r="AB284" s="2"/>
      <c r="AC284" s="2"/>
      <c r="AD284" s="2"/>
      <c r="AE284" s="3" t="s">
        <v>6874</v>
      </c>
      <c r="AF284" s="2"/>
      <c r="AG284" s="1" t="s">
        <v>1582</v>
      </c>
      <c r="AH284" s="1" t="s">
        <v>6359</v>
      </c>
      <c r="AI284" s="2">
        <v>90.0</v>
      </c>
      <c r="AJ284" s="1" t="s">
        <v>1589</v>
      </c>
      <c r="AK284" s="1" t="s">
        <v>5877</v>
      </c>
      <c r="AL284" s="1" t="s">
        <v>5878</v>
      </c>
      <c r="AM284" s="2"/>
      <c r="AN284" s="2"/>
      <c r="AO284" s="2"/>
      <c r="AP284" s="2"/>
      <c r="AQ284" s="2"/>
      <c r="AR284" s="2"/>
      <c r="AS284" s="2"/>
      <c r="AT284" s="2"/>
      <c r="AU284" s="126" t="s">
        <v>22</v>
      </c>
      <c r="AV284" s="126" t="s">
        <v>22</v>
      </c>
      <c r="AW284" s="2"/>
      <c r="AX284" s="2"/>
      <c r="AY284" s="2"/>
      <c r="AZ284" s="2"/>
      <c r="BA284" s="2"/>
      <c r="BB284" s="2"/>
      <c r="BC284" s="2"/>
      <c r="BD284" s="2"/>
      <c r="BE284" s="2"/>
    </row>
    <row r="285" hidden="1">
      <c r="A285" s="2"/>
      <c r="B285" s="312" t="s">
        <v>6875</v>
      </c>
      <c r="C285" s="84"/>
      <c r="D285" s="11">
        <v>90.0</v>
      </c>
      <c r="E285" s="11" t="s">
        <v>332</v>
      </c>
      <c r="F285" s="11" t="s">
        <v>6423</v>
      </c>
      <c r="G285" s="306"/>
      <c r="H285" s="296"/>
      <c r="I285" s="139"/>
      <c r="J285" s="301"/>
      <c r="K285" s="296"/>
      <c r="L285" s="139"/>
      <c r="M285" s="301" t="s">
        <v>22</v>
      </c>
      <c r="N285" s="284">
        <v>0.12</v>
      </c>
      <c r="O285" s="296" t="s">
        <v>22</v>
      </c>
      <c r="P285" s="314" t="str">
        <f t="shared" ref="P285:Q285" si="273">O285</f>
        <v/>
      </c>
      <c r="Q285" s="303" t="str">
        <f t="shared" si="273"/>
        <v/>
      </c>
      <c r="R285" s="307"/>
      <c r="S285" s="300">
        <v>46111.54609217592</v>
      </c>
      <c r="T285" s="2"/>
      <c r="U285" s="59" t="str">
        <f t="shared" si="4"/>
        <v>нет з/ч</v>
      </c>
      <c r="V285" s="304" t="str">
        <f t="shared" ref="V285:V289" si="275">IF(L285&gt;0, Q1275 - L285, "нет з/ч")</f>
        <v>нет з/ч</v>
      </c>
      <c r="W285" s="2"/>
      <c r="X285" s="289"/>
      <c r="Y285" s="139"/>
      <c r="Z285" s="2"/>
      <c r="AA285" s="2"/>
      <c r="AB285" s="2"/>
      <c r="AC285" s="2"/>
      <c r="AD285" s="2"/>
      <c r="AE285" s="3" t="s">
        <v>6875</v>
      </c>
      <c r="AF285" s="2"/>
      <c r="AG285" s="1" t="s">
        <v>1582</v>
      </c>
      <c r="AH285" s="1" t="s">
        <v>6373</v>
      </c>
      <c r="AI285" s="2">
        <v>90.0</v>
      </c>
      <c r="AJ285" s="1" t="s">
        <v>1589</v>
      </c>
      <c r="AK285" s="1" t="s">
        <v>5877</v>
      </c>
      <c r="AL285" s="1" t="s">
        <v>5878</v>
      </c>
      <c r="AM285" s="2"/>
      <c r="AN285" s="2"/>
      <c r="AO285" s="2"/>
      <c r="AP285" s="2"/>
      <c r="AQ285" s="2"/>
      <c r="AR285" s="2"/>
      <c r="AS285" s="2"/>
      <c r="AT285" s="2"/>
      <c r="AU285" s="126" t="s">
        <v>22</v>
      </c>
      <c r="AV285" s="126" t="s">
        <v>22</v>
      </c>
      <c r="AW285" s="2"/>
      <c r="AX285" s="2"/>
      <c r="AY285" s="2"/>
      <c r="AZ285" s="2"/>
      <c r="BA285" s="2"/>
      <c r="BB285" s="2"/>
      <c r="BC285" s="2"/>
      <c r="BD285" s="2"/>
      <c r="BE285" s="2"/>
    </row>
    <row r="286" hidden="1">
      <c r="A286" s="2"/>
      <c r="B286" s="312" t="s">
        <v>6876</v>
      </c>
      <c r="C286" s="84"/>
      <c r="D286" s="11">
        <v>90.0</v>
      </c>
      <c r="E286" s="11" t="s">
        <v>332</v>
      </c>
      <c r="F286" s="11" t="s">
        <v>6423</v>
      </c>
      <c r="G286" s="306"/>
      <c r="H286" s="296"/>
      <c r="I286" s="139"/>
      <c r="J286" s="301"/>
      <c r="K286" s="296"/>
      <c r="L286" s="139"/>
      <c r="M286" s="301" t="s">
        <v>22</v>
      </c>
      <c r="N286" s="284">
        <v>0.12</v>
      </c>
      <c r="O286" s="296" t="s">
        <v>22</v>
      </c>
      <c r="P286" s="314" t="str">
        <f t="shared" ref="P286:Q286" si="274">O286</f>
        <v/>
      </c>
      <c r="Q286" s="303" t="str">
        <f t="shared" si="274"/>
        <v/>
      </c>
      <c r="R286" s="307"/>
      <c r="S286" s="300">
        <v>46111.54611596065</v>
      </c>
      <c r="T286" s="2"/>
      <c r="U286" s="59" t="str">
        <f t="shared" si="4"/>
        <v>нет з/ч</v>
      </c>
      <c r="V286" s="304" t="str">
        <f t="shared" si="275"/>
        <v>нет з/ч</v>
      </c>
      <c r="W286" s="2"/>
      <c r="X286" s="289"/>
      <c r="Y286" s="139"/>
      <c r="Z286" s="2"/>
      <c r="AA286" s="2"/>
      <c r="AB286" s="2"/>
      <c r="AC286" s="2"/>
      <c r="AD286" s="2"/>
      <c r="AE286" s="3" t="s">
        <v>6876</v>
      </c>
      <c r="AF286" s="2"/>
      <c r="AG286" s="1" t="s">
        <v>1582</v>
      </c>
      <c r="AH286" s="1" t="s">
        <v>6373</v>
      </c>
      <c r="AI286" s="2">
        <v>90.0</v>
      </c>
      <c r="AJ286" s="1" t="s">
        <v>1589</v>
      </c>
      <c r="AK286" s="1" t="s">
        <v>5877</v>
      </c>
      <c r="AL286" s="1" t="s">
        <v>5878</v>
      </c>
      <c r="AM286" s="2"/>
      <c r="AN286" s="2"/>
      <c r="AO286" s="2"/>
      <c r="AP286" s="2"/>
      <c r="AQ286" s="2"/>
      <c r="AR286" s="2"/>
      <c r="AS286" s="2"/>
      <c r="AT286" s="2"/>
      <c r="AU286" s="126" t="s">
        <v>22</v>
      </c>
      <c r="AV286" s="126" t="s">
        <v>22</v>
      </c>
      <c r="AW286" s="2"/>
      <c r="AX286" s="2"/>
      <c r="AY286" s="2"/>
      <c r="AZ286" s="2"/>
      <c r="BA286" s="2"/>
      <c r="BB286" s="2"/>
      <c r="BC286" s="2"/>
      <c r="BD286" s="2"/>
      <c r="BE286" s="2"/>
    </row>
    <row r="287" hidden="1">
      <c r="A287" s="2"/>
      <c r="B287" s="312" t="s">
        <v>6877</v>
      </c>
      <c r="C287" s="220" t="s">
        <v>6878</v>
      </c>
      <c r="D287" s="11">
        <v>90.0</v>
      </c>
      <c r="E287" s="11" t="s">
        <v>332</v>
      </c>
      <c r="F287" s="11" t="s">
        <v>6423</v>
      </c>
      <c r="G287" s="295" t="s">
        <v>6879</v>
      </c>
      <c r="H287" s="296"/>
      <c r="I287" s="156">
        <v>17500.0</v>
      </c>
      <c r="J287" s="301"/>
      <c r="K287" s="296"/>
      <c r="L287" s="139"/>
      <c r="M287" s="301">
        <v>17500.0</v>
      </c>
      <c r="N287" s="284">
        <v>0.12</v>
      </c>
      <c r="O287" s="296">
        <v>19600.0</v>
      </c>
      <c r="P287" s="314">
        <f t="shared" ref="P287:Q287" si="276">O287</f>
        <v>19600</v>
      </c>
      <c r="Q287" s="303">
        <f t="shared" si="276"/>
        <v>19600</v>
      </c>
      <c r="R287" s="299" t="s">
        <v>6880</v>
      </c>
      <c r="S287" s="300">
        <v>46140.56078354167</v>
      </c>
      <c r="T287" s="2"/>
      <c r="U287" s="289">
        <f t="shared" si="4"/>
        <v>2100</v>
      </c>
      <c r="V287" s="304" t="str">
        <f t="shared" si="275"/>
        <v>нет з/ч</v>
      </c>
      <c r="W287" s="2"/>
      <c r="X287" s="289">
        <v>17500.0</v>
      </c>
      <c r="Y287" s="139"/>
      <c r="Z287" s="2"/>
      <c r="AA287" s="2" t="s">
        <v>6878</v>
      </c>
      <c r="AB287" s="2" t="s">
        <v>6878</v>
      </c>
      <c r="AC287" s="2"/>
      <c r="AD287" s="2" t="s">
        <v>6878</v>
      </c>
      <c r="AE287" s="3" t="s">
        <v>6877</v>
      </c>
      <c r="AF287" s="2"/>
      <c r="AG287" s="1" t="s">
        <v>1582</v>
      </c>
      <c r="AH287" s="1" t="s">
        <v>6373</v>
      </c>
      <c r="AI287" s="2">
        <v>90.0</v>
      </c>
      <c r="AJ287" s="1" t="s">
        <v>1589</v>
      </c>
      <c r="AK287" s="1" t="s">
        <v>5877</v>
      </c>
      <c r="AL287" s="1" t="s">
        <v>5878</v>
      </c>
      <c r="AM287" s="2"/>
      <c r="AN287" s="2"/>
      <c r="AO287" s="2"/>
      <c r="AP287" s="2"/>
      <c r="AQ287" s="2"/>
      <c r="AR287" s="2"/>
      <c r="AS287" s="2"/>
      <c r="AT287" s="2"/>
      <c r="AU287" s="126">
        <v>17500.0</v>
      </c>
      <c r="AV287" s="126">
        <v>19600.0</v>
      </c>
      <c r="AW287" s="2"/>
      <c r="AX287" s="2"/>
      <c r="AY287" s="2"/>
      <c r="AZ287" s="2"/>
      <c r="BA287" s="2"/>
      <c r="BB287" s="2"/>
      <c r="BC287" s="2"/>
      <c r="BD287" s="2"/>
      <c r="BE287" s="2"/>
    </row>
    <row r="288" hidden="1">
      <c r="A288" s="2"/>
      <c r="B288" s="312" t="s">
        <v>6881</v>
      </c>
      <c r="C288" s="84"/>
      <c r="D288" s="11">
        <v>90.0</v>
      </c>
      <c r="E288" s="11" t="s">
        <v>332</v>
      </c>
      <c r="F288" s="11" t="s">
        <v>6423</v>
      </c>
      <c r="G288" s="306"/>
      <c r="H288" s="296"/>
      <c r="I288" s="139"/>
      <c r="J288" s="301"/>
      <c r="K288" s="296"/>
      <c r="L288" s="139"/>
      <c r="M288" s="301" t="s">
        <v>22</v>
      </c>
      <c r="N288" s="284">
        <v>0.12</v>
      </c>
      <c r="O288" s="296" t="s">
        <v>22</v>
      </c>
      <c r="P288" s="314" t="str">
        <f t="shared" ref="P288:Q288" si="277">O288</f>
        <v/>
      </c>
      <c r="Q288" s="303" t="str">
        <f t="shared" si="277"/>
        <v/>
      </c>
      <c r="R288" s="307"/>
      <c r="S288" s="300">
        <v>46111.546166851855</v>
      </c>
      <c r="T288" s="2"/>
      <c r="U288" s="59" t="str">
        <f t="shared" si="4"/>
        <v>нет з/ч</v>
      </c>
      <c r="V288" s="304" t="str">
        <f t="shared" si="275"/>
        <v>нет з/ч</v>
      </c>
      <c r="W288" s="2"/>
      <c r="X288" s="289"/>
      <c r="Y288" s="139"/>
      <c r="Z288" s="2"/>
      <c r="AA288" s="2"/>
      <c r="AB288" s="2"/>
      <c r="AC288" s="2"/>
      <c r="AD288" s="2"/>
      <c r="AE288" s="3" t="s">
        <v>6881</v>
      </c>
      <c r="AF288" s="2"/>
      <c r="AG288" s="1" t="s">
        <v>1582</v>
      </c>
      <c r="AH288" s="1" t="s">
        <v>6373</v>
      </c>
      <c r="AI288" s="2">
        <v>90.0</v>
      </c>
      <c r="AJ288" s="1" t="s">
        <v>1589</v>
      </c>
      <c r="AK288" s="1" t="s">
        <v>5877</v>
      </c>
      <c r="AL288" s="1" t="s">
        <v>5878</v>
      </c>
      <c r="AM288" s="2"/>
      <c r="AN288" s="2"/>
      <c r="AO288" s="2"/>
      <c r="AP288" s="2"/>
      <c r="AQ288" s="2"/>
      <c r="AR288" s="2"/>
      <c r="AS288" s="2"/>
      <c r="AT288" s="2"/>
      <c r="AU288" s="126" t="s">
        <v>22</v>
      </c>
      <c r="AV288" s="126" t="s">
        <v>22</v>
      </c>
      <c r="AW288" s="2"/>
      <c r="AX288" s="2"/>
      <c r="AY288" s="2"/>
      <c r="AZ288" s="2"/>
      <c r="BA288" s="2"/>
      <c r="BB288" s="2"/>
      <c r="BC288" s="2"/>
      <c r="BD288" s="2"/>
      <c r="BE288" s="2"/>
    </row>
    <row r="289" hidden="1">
      <c r="A289" s="2"/>
      <c r="B289" s="312" t="s">
        <v>6882</v>
      </c>
      <c r="C289" s="84"/>
      <c r="D289" s="11">
        <v>90.0</v>
      </c>
      <c r="E289" s="11" t="s">
        <v>332</v>
      </c>
      <c r="F289" s="11" t="s">
        <v>6423</v>
      </c>
      <c r="G289" s="306"/>
      <c r="H289" s="296"/>
      <c r="I289" s="139"/>
      <c r="J289" s="301"/>
      <c r="K289" s="296"/>
      <c r="L289" s="139"/>
      <c r="M289" s="301" t="s">
        <v>22</v>
      </c>
      <c r="N289" s="284">
        <v>0.12</v>
      </c>
      <c r="O289" s="296" t="s">
        <v>22</v>
      </c>
      <c r="P289" s="314" t="str">
        <f t="shared" ref="P289:Q289" si="278">O289</f>
        <v/>
      </c>
      <c r="Q289" s="303" t="str">
        <f t="shared" si="278"/>
        <v/>
      </c>
      <c r="R289" s="307"/>
      <c r="S289" s="300">
        <v>46111.54618309028</v>
      </c>
      <c r="T289" s="2"/>
      <c r="U289" s="59" t="str">
        <f t="shared" si="4"/>
        <v>нет з/ч</v>
      </c>
      <c r="V289" s="304" t="str">
        <f t="shared" si="275"/>
        <v>нет з/ч</v>
      </c>
      <c r="W289" s="2"/>
      <c r="X289" s="289"/>
      <c r="Y289" s="139"/>
      <c r="Z289" s="2"/>
      <c r="AA289" s="2"/>
      <c r="AB289" s="2"/>
      <c r="AC289" s="2"/>
      <c r="AD289" s="2"/>
      <c r="AE289" s="3" t="s">
        <v>6882</v>
      </c>
      <c r="AF289" s="2"/>
      <c r="AG289" s="1" t="s">
        <v>1582</v>
      </c>
      <c r="AH289" s="1" t="s">
        <v>6373</v>
      </c>
      <c r="AI289" s="2">
        <v>90.0</v>
      </c>
      <c r="AJ289" s="1" t="s">
        <v>1589</v>
      </c>
      <c r="AK289" s="1" t="s">
        <v>5877</v>
      </c>
      <c r="AL289" s="1" t="s">
        <v>5878</v>
      </c>
      <c r="AM289" s="2"/>
      <c r="AN289" s="2"/>
      <c r="AO289" s="2"/>
      <c r="AP289" s="2"/>
      <c r="AQ289" s="2"/>
      <c r="AR289" s="2"/>
      <c r="AS289" s="2"/>
      <c r="AT289" s="2"/>
      <c r="AU289" s="126" t="s">
        <v>22</v>
      </c>
      <c r="AV289" s="126" t="s">
        <v>22</v>
      </c>
      <c r="AW289" s="2"/>
      <c r="AX289" s="2"/>
      <c r="AY289" s="2"/>
      <c r="AZ289" s="2"/>
      <c r="BA289" s="2"/>
      <c r="BB289" s="2"/>
      <c r="BC289" s="2"/>
      <c r="BD289" s="2"/>
      <c r="BE289" s="2"/>
    </row>
    <row r="290" hidden="1">
      <c r="A290" s="2"/>
      <c r="B290" s="312" t="s">
        <v>6883</v>
      </c>
      <c r="C290" s="220" t="s">
        <v>6884</v>
      </c>
      <c r="D290" s="11">
        <v>90.0</v>
      </c>
      <c r="E290" s="11" t="s">
        <v>339</v>
      </c>
      <c r="F290" s="11" t="s">
        <v>6423</v>
      </c>
      <c r="G290" s="295" t="s">
        <v>6885</v>
      </c>
      <c r="H290" s="296"/>
      <c r="I290" s="156">
        <v>24400.0</v>
      </c>
      <c r="J290" s="301"/>
      <c r="K290" s="296"/>
      <c r="L290" s="139"/>
      <c r="M290" s="301">
        <v>24400.0</v>
      </c>
      <c r="N290" s="284">
        <v>0.12</v>
      </c>
      <c r="O290" s="296">
        <v>27350.0</v>
      </c>
      <c r="P290" s="314">
        <f t="shared" ref="P290:Q290" si="279">O290</f>
        <v>27350</v>
      </c>
      <c r="Q290" s="303">
        <f t="shared" si="279"/>
        <v>27350</v>
      </c>
      <c r="R290" s="299" t="s">
        <v>6886</v>
      </c>
      <c r="S290" s="300">
        <v>46140.56080744213</v>
      </c>
      <c r="T290" s="2"/>
      <c r="U290" s="289">
        <f t="shared" si="4"/>
        <v>2950</v>
      </c>
      <c r="V290" s="304" t="str">
        <f t="shared" ref="V290:V294" si="281">IF(L290&gt;0, Q1283 - L290, "нет з/ч")</f>
        <v>нет з/ч</v>
      </c>
      <c r="W290" s="2"/>
      <c r="X290" s="289">
        <v>24400.0</v>
      </c>
      <c r="Y290" s="139"/>
      <c r="Z290" s="2"/>
      <c r="AA290" s="2" t="s">
        <v>6884</v>
      </c>
      <c r="AB290" s="2" t="s">
        <v>6884</v>
      </c>
      <c r="AC290" s="2"/>
      <c r="AD290" s="2" t="s">
        <v>6884</v>
      </c>
      <c r="AE290" s="3" t="s">
        <v>6883</v>
      </c>
      <c r="AF290" s="2"/>
      <c r="AG290" s="1" t="s">
        <v>1582</v>
      </c>
      <c r="AH290" s="1" t="s">
        <v>6389</v>
      </c>
      <c r="AI290" s="2">
        <v>90.0</v>
      </c>
      <c r="AJ290" s="1" t="s">
        <v>1589</v>
      </c>
      <c r="AK290" s="1" t="s">
        <v>5877</v>
      </c>
      <c r="AL290" s="1" t="s">
        <v>5878</v>
      </c>
      <c r="AM290" s="2"/>
      <c r="AN290" s="2"/>
      <c r="AO290" s="2"/>
      <c r="AP290" s="2"/>
      <c r="AQ290" s="2"/>
      <c r="AR290" s="2"/>
      <c r="AS290" s="2"/>
      <c r="AT290" s="2"/>
      <c r="AU290" s="126">
        <v>24400.0</v>
      </c>
      <c r="AV290" s="126">
        <v>27350.0</v>
      </c>
      <c r="AW290" s="2"/>
      <c r="AX290" s="2"/>
      <c r="AY290" s="2"/>
      <c r="AZ290" s="2"/>
      <c r="BA290" s="2"/>
      <c r="BB290" s="2"/>
      <c r="BC290" s="2"/>
      <c r="BD290" s="2"/>
      <c r="BE290" s="2"/>
    </row>
    <row r="291" hidden="1">
      <c r="A291" s="2"/>
      <c r="B291" s="312" t="s">
        <v>6887</v>
      </c>
      <c r="C291" s="220" t="s">
        <v>6888</v>
      </c>
      <c r="D291" s="11">
        <v>90.0</v>
      </c>
      <c r="E291" s="11" t="s">
        <v>339</v>
      </c>
      <c r="F291" s="11" t="s">
        <v>6423</v>
      </c>
      <c r="G291" s="295" t="s">
        <v>6889</v>
      </c>
      <c r="H291" s="296"/>
      <c r="I291" s="156">
        <v>20700.0</v>
      </c>
      <c r="J291" s="301"/>
      <c r="K291" s="296"/>
      <c r="L291" s="139"/>
      <c r="M291" s="301">
        <v>20700.0</v>
      </c>
      <c r="N291" s="284">
        <v>0.175</v>
      </c>
      <c r="O291" s="296">
        <v>24300.0</v>
      </c>
      <c r="P291" s="314">
        <f t="shared" ref="P291:Q291" si="280">O291</f>
        <v>24300</v>
      </c>
      <c r="Q291" s="303">
        <f t="shared" si="280"/>
        <v>24300</v>
      </c>
      <c r="R291" s="299" t="s">
        <v>6890</v>
      </c>
      <c r="S291" s="300">
        <v>46140.560830567134</v>
      </c>
      <c r="T291" s="2"/>
      <c r="U291" s="289">
        <f t="shared" si="4"/>
        <v>3600</v>
      </c>
      <c r="V291" s="304" t="str">
        <f t="shared" si="281"/>
        <v>нет з/ч</v>
      </c>
      <c r="W291" s="2"/>
      <c r="X291" s="289">
        <v>20700.0</v>
      </c>
      <c r="Y291" s="139"/>
      <c r="Z291" s="2"/>
      <c r="AA291" s="2" t="s">
        <v>6888</v>
      </c>
      <c r="AB291" s="2" t="s">
        <v>6888</v>
      </c>
      <c r="AC291" s="2"/>
      <c r="AD291" s="2" t="s">
        <v>6888</v>
      </c>
      <c r="AE291" s="3" t="s">
        <v>6887</v>
      </c>
      <c r="AF291" s="2"/>
      <c r="AG291" s="1" t="s">
        <v>1582</v>
      </c>
      <c r="AH291" s="1" t="s">
        <v>6389</v>
      </c>
      <c r="AI291" s="2">
        <v>90.0</v>
      </c>
      <c r="AJ291" s="1" t="s">
        <v>1589</v>
      </c>
      <c r="AK291" s="1" t="s">
        <v>5877</v>
      </c>
      <c r="AL291" s="1" t="s">
        <v>5878</v>
      </c>
      <c r="AM291" s="2"/>
      <c r="AN291" s="2"/>
      <c r="AO291" s="2"/>
      <c r="AP291" s="2"/>
      <c r="AQ291" s="2"/>
      <c r="AR291" s="2"/>
      <c r="AS291" s="2"/>
      <c r="AT291" s="2"/>
      <c r="AU291" s="126">
        <v>20700.0</v>
      </c>
      <c r="AV291" s="126">
        <v>24300.0</v>
      </c>
      <c r="AW291" s="2"/>
      <c r="AX291" s="2"/>
      <c r="AY291" s="2"/>
      <c r="AZ291" s="2"/>
      <c r="BA291" s="2"/>
      <c r="BB291" s="2"/>
      <c r="BC291" s="2"/>
      <c r="BD291" s="2"/>
      <c r="BE291" s="2"/>
    </row>
    <row r="292" hidden="1">
      <c r="A292" s="2"/>
      <c r="B292" s="312" t="s">
        <v>6891</v>
      </c>
      <c r="C292" s="220" t="s">
        <v>6892</v>
      </c>
      <c r="D292" s="11">
        <v>90.0</v>
      </c>
      <c r="E292" s="11" t="s">
        <v>339</v>
      </c>
      <c r="F292" s="11" t="s">
        <v>6423</v>
      </c>
      <c r="G292" s="295" t="s">
        <v>6893</v>
      </c>
      <c r="H292" s="296"/>
      <c r="I292" s="156">
        <v>19500.0</v>
      </c>
      <c r="J292" s="301"/>
      <c r="K292" s="296"/>
      <c r="L292" s="139"/>
      <c r="M292" s="301">
        <v>19500.0</v>
      </c>
      <c r="N292" s="284">
        <v>0.19</v>
      </c>
      <c r="O292" s="296">
        <v>23200.0</v>
      </c>
      <c r="P292" s="314">
        <f t="shared" ref="P292:Q292" si="282">O292</f>
        <v>23200</v>
      </c>
      <c r="Q292" s="303">
        <f t="shared" si="282"/>
        <v>23200</v>
      </c>
      <c r="R292" s="299" t="s">
        <v>6894</v>
      </c>
      <c r="S292" s="300">
        <v>46140.560853310184</v>
      </c>
      <c r="T292" s="2"/>
      <c r="U292" s="289">
        <f t="shared" si="4"/>
        <v>3700</v>
      </c>
      <c r="V292" s="304" t="str">
        <f t="shared" si="281"/>
        <v>нет з/ч</v>
      </c>
      <c r="W292" s="2"/>
      <c r="X292" s="289">
        <v>19500.0</v>
      </c>
      <c r="Y292" s="139"/>
      <c r="Z292" s="2"/>
      <c r="AA292" s="2" t="s">
        <v>6892</v>
      </c>
      <c r="AB292" s="2" t="s">
        <v>6892</v>
      </c>
      <c r="AC292" s="2"/>
      <c r="AD292" s="2" t="s">
        <v>6892</v>
      </c>
      <c r="AE292" s="3" t="s">
        <v>6891</v>
      </c>
      <c r="AF292" s="2"/>
      <c r="AG292" s="1" t="s">
        <v>1582</v>
      </c>
      <c r="AH292" s="1" t="s">
        <v>6389</v>
      </c>
      <c r="AI292" s="2">
        <v>90.0</v>
      </c>
      <c r="AJ292" s="1" t="s">
        <v>1589</v>
      </c>
      <c r="AK292" s="1" t="s">
        <v>5877</v>
      </c>
      <c r="AL292" s="1" t="s">
        <v>5878</v>
      </c>
      <c r="AM292" s="2"/>
      <c r="AN292" s="2"/>
      <c r="AO292" s="2"/>
      <c r="AP292" s="2"/>
      <c r="AQ292" s="2"/>
      <c r="AR292" s="2"/>
      <c r="AS292" s="2"/>
      <c r="AT292" s="2"/>
      <c r="AU292" s="126">
        <v>19500.0</v>
      </c>
      <c r="AV292" s="126">
        <v>23200.0</v>
      </c>
      <c r="AW292" s="2"/>
      <c r="AX292" s="2"/>
      <c r="AY292" s="2"/>
      <c r="AZ292" s="2"/>
      <c r="BA292" s="2"/>
      <c r="BB292" s="2"/>
      <c r="BC292" s="2"/>
      <c r="BD292" s="2"/>
      <c r="BE292" s="2"/>
    </row>
    <row r="293" hidden="1">
      <c r="A293" s="2"/>
      <c r="B293" s="312" t="s">
        <v>6895</v>
      </c>
      <c r="C293" s="84"/>
      <c r="D293" s="11">
        <v>90.0</v>
      </c>
      <c r="E293" s="11" t="s">
        <v>339</v>
      </c>
      <c r="F293" s="11" t="s">
        <v>6423</v>
      </c>
      <c r="G293" s="295" t="s">
        <v>6896</v>
      </c>
      <c r="H293" s="296"/>
      <c r="I293" s="156">
        <v>19800.0</v>
      </c>
      <c r="J293" s="301"/>
      <c r="K293" s="296"/>
      <c r="L293" s="156">
        <v>20990.0</v>
      </c>
      <c r="M293" s="301">
        <v>20990.0</v>
      </c>
      <c r="N293" s="284">
        <v>0.12</v>
      </c>
      <c r="O293" s="296">
        <v>23500.0</v>
      </c>
      <c r="P293" s="314">
        <f t="shared" ref="P293:Q293" si="283">O293</f>
        <v>23500</v>
      </c>
      <c r="Q293" s="303">
        <f t="shared" si="283"/>
        <v>23500</v>
      </c>
      <c r="R293" s="299" t="s">
        <v>6897</v>
      </c>
      <c r="S293" s="300">
        <v>46140.56087635417</v>
      </c>
      <c r="T293" s="2"/>
      <c r="U293" s="289">
        <f t="shared" si="4"/>
        <v>3700</v>
      </c>
      <c r="V293" s="290">
        <f t="shared" si="281"/>
        <v>-20990</v>
      </c>
      <c r="W293" s="2"/>
      <c r="X293" s="289">
        <v>19800.0</v>
      </c>
      <c r="Y293" s="139">
        <v>20990.0</v>
      </c>
      <c r="Z293" s="2"/>
      <c r="AA293" s="2"/>
      <c r="AB293" s="2"/>
      <c r="AC293" s="2"/>
      <c r="AD293" s="2"/>
      <c r="AE293" s="3" t="s">
        <v>6895</v>
      </c>
      <c r="AF293" s="2"/>
      <c r="AG293" s="1" t="s">
        <v>1582</v>
      </c>
      <c r="AH293" s="1" t="s">
        <v>6389</v>
      </c>
      <c r="AI293" s="2">
        <v>90.0</v>
      </c>
      <c r="AJ293" s="1" t="s">
        <v>1589</v>
      </c>
      <c r="AK293" s="1" t="s">
        <v>5877</v>
      </c>
      <c r="AL293" s="1" t="s">
        <v>5878</v>
      </c>
      <c r="AM293" s="2"/>
      <c r="AN293" s="2"/>
      <c r="AO293" s="2"/>
      <c r="AP293" s="2"/>
      <c r="AQ293" s="2"/>
      <c r="AR293" s="2"/>
      <c r="AS293" s="2"/>
      <c r="AT293" s="2"/>
      <c r="AU293" s="126">
        <v>20990.0</v>
      </c>
      <c r="AV293" s="126">
        <v>23500.0</v>
      </c>
      <c r="AW293" s="2"/>
      <c r="AX293" s="2"/>
      <c r="AY293" s="2"/>
      <c r="AZ293" s="2"/>
      <c r="BA293" s="2"/>
      <c r="BB293" s="2"/>
      <c r="BC293" s="2"/>
      <c r="BD293" s="2"/>
      <c r="BE293" s="2"/>
    </row>
    <row r="294" hidden="1">
      <c r="A294" s="2"/>
      <c r="B294" s="312" t="s">
        <v>6898</v>
      </c>
      <c r="C294" s="84"/>
      <c r="D294" s="11">
        <v>90.0</v>
      </c>
      <c r="E294" s="11" t="s">
        <v>339</v>
      </c>
      <c r="F294" s="11" t="s">
        <v>6423</v>
      </c>
      <c r="G294" s="295" t="s">
        <v>6899</v>
      </c>
      <c r="H294" s="296"/>
      <c r="I294" s="156">
        <v>18700.0</v>
      </c>
      <c r="J294" s="301"/>
      <c r="K294" s="296"/>
      <c r="L294" s="139"/>
      <c r="M294" s="301">
        <v>18700.0</v>
      </c>
      <c r="N294" s="284">
        <v>0.215</v>
      </c>
      <c r="O294" s="296">
        <v>22700.0</v>
      </c>
      <c r="P294" s="314">
        <f t="shared" ref="P294:Q294" si="284">O294</f>
        <v>22700</v>
      </c>
      <c r="Q294" s="303">
        <f t="shared" si="284"/>
        <v>22700</v>
      </c>
      <c r="R294" s="299" t="s">
        <v>6900</v>
      </c>
      <c r="S294" s="300">
        <v>46140.70531402778</v>
      </c>
      <c r="T294" s="2"/>
      <c r="U294" s="289">
        <f t="shared" si="4"/>
        <v>4000</v>
      </c>
      <c r="V294" s="304" t="str">
        <f t="shared" si="281"/>
        <v>нет з/ч</v>
      </c>
      <c r="W294" s="2"/>
      <c r="X294" s="289">
        <v>18700.0</v>
      </c>
      <c r="Y294" s="139"/>
      <c r="Z294" s="2"/>
      <c r="AA294" s="2"/>
      <c r="AB294" s="2"/>
      <c r="AC294" s="2"/>
      <c r="AD294" s="2"/>
      <c r="AE294" s="3" t="s">
        <v>6898</v>
      </c>
      <c r="AF294" s="2"/>
      <c r="AG294" s="1" t="s">
        <v>1582</v>
      </c>
      <c r="AH294" s="1" t="s">
        <v>6389</v>
      </c>
      <c r="AI294" s="2">
        <v>90.0</v>
      </c>
      <c r="AJ294" s="1" t="s">
        <v>1589</v>
      </c>
      <c r="AK294" s="1" t="s">
        <v>5877</v>
      </c>
      <c r="AL294" s="1" t="s">
        <v>5878</v>
      </c>
      <c r="AM294" s="2"/>
      <c r="AN294" s="2"/>
      <c r="AO294" s="2"/>
      <c r="AP294" s="2"/>
      <c r="AQ294" s="2"/>
      <c r="AR294" s="2"/>
      <c r="AS294" s="2"/>
      <c r="AT294" s="2"/>
      <c r="AU294" s="126">
        <v>18700.0</v>
      </c>
      <c r="AV294" s="126">
        <v>22700.0</v>
      </c>
      <c r="AW294" s="2"/>
      <c r="AX294" s="2"/>
      <c r="AY294" s="2"/>
      <c r="AZ294" s="2"/>
      <c r="BA294" s="2"/>
      <c r="BB294" s="2"/>
      <c r="BC294" s="2"/>
      <c r="BD294" s="2"/>
      <c r="BE294" s="2"/>
    </row>
    <row r="295" hidden="1">
      <c r="A295" s="2"/>
      <c r="B295" s="312" t="s">
        <v>6901</v>
      </c>
      <c r="C295" s="220" t="s">
        <v>6902</v>
      </c>
      <c r="D295" s="11">
        <v>90.0</v>
      </c>
      <c r="E295" s="11" t="s">
        <v>346</v>
      </c>
      <c r="F295" s="11" t="s">
        <v>6423</v>
      </c>
      <c r="G295" s="295" t="s">
        <v>6903</v>
      </c>
      <c r="H295" s="296"/>
      <c r="I295" s="156">
        <v>26900.0</v>
      </c>
      <c r="J295" s="301"/>
      <c r="K295" s="296"/>
      <c r="L295" s="139"/>
      <c r="M295" s="301">
        <v>26900.0</v>
      </c>
      <c r="N295" s="284">
        <v>0.286</v>
      </c>
      <c r="O295" s="296">
        <v>34600.0</v>
      </c>
      <c r="P295" s="314">
        <f t="shared" ref="P295:Q295" si="285">O295</f>
        <v>34600</v>
      </c>
      <c r="Q295" s="303">
        <f t="shared" si="285"/>
        <v>34600</v>
      </c>
      <c r="R295" s="299" t="s">
        <v>6904</v>
      </c>
      <c r="S295" s="300">
        <v>46140.56092253472</v>
      </c>
      <c r="T295" s="2"/>
      <c r="U295" s="289">
        <f t="shared" si="4"/>
        <v>7700</v>
      </c>
      <c r="V295" s="304" t="str">
        <f t="shared" ref="V295:V299" si="287">IF(L295&gt;0, Q1291 - L295, "нет з/ч")</f>
        <v>нет з/ч</v>
      </c>
      <c r="W295" s="2"/>
      <c r="X295" s="289">
        <v>26900.0</v>
      </c>
      <c r="Y295" s="139"/>
      <c r="Z295" s="2"/>
      <c r="AA295" s="2" t="s">
        <v>6902</v>
      </c>
      <c r="AB295" s="2" t="s">
        <v>6902</v>
      </c>
      <c r="AC295" s="2"/>
      <c r="AD295" s="2" t="s">
        <v>6902</v>
      </c>
      <c r="AE295" s="3" t="s">
        <v>6901</v>
      </c>
      <c r="AF295" s="2"/>
      <c r="AG295" s="1" t="s">
        <v>1582</v>
      </c>
      <c r="AH295" s="1" t="s">
        <v>6407</v>
      </c>
      <c r="AI295" s="2">
        <v>90.0</v>
      </c>
      <c r="AJ295" s="1" t="s">
        <v>1589</v>
      </c>
      <c r="AK295" s="1" t="s">
        <v>5877</v>
      </c>
      <c r="AL295" s="1" t="s">
        <v>5878</v>
      </c>
      <c r="AM295" s="2"/>
      <c r="AN295" s="2"/>
      <c r="AO295" s="2"/>
      <c r="AP295" s="2"/>
      <c r="AQ295" s="2"/>
      <c r="AR295" s="2"/>
      <c r="AS295" s="2"/>
      <c r="AT295" s="2"/>
      <c r="AU295" s="126">
        <v>26900.0</v>
      </c>
      <c r="AV295" s="126">
        <v>34600.0</v>
      </c>
      <c r="AW295" s="2"/>
      <c r="AX295" s="2"/>
      <c r="AY295" s="2"/>
      <c r="AZ295" s="2"/>
      <c r="BA295" s="2"/>
      <c r="BB295" s="2"/>
      <c r="BC295" s="2"/>
      <c r="BD295" s="2"/>
      <c r="BE295" s="2"/>
    </row>
    <row r="296" hidden="1">
      <c r="A296" s="2"/>
      <c r="B296" s="312" t="s">
        <v>6905</v>
      </c>
      <c r="C296" s="220" t="s">
        <v>6906</v>
      </c>
      <c r="D296" s="11">
        <v>90.0</v>
      </c>
      <c r="E296" s="11" t="s">
        <v>346</v>
      </c>
      <c r="F296" s="11" t="s">
        <v>6423</v>
      </c>
      <c r="G296" s="295" t="s">
        <v>6907</v>
      </c>
      <c r="H296" s="296"/>
      <c r="I296" s="156">
        <v>24500.0</v>
      </c>
      <c r="J296" s="301"/>
      <c r="K296" s="296"/>
      <c r="L296" s="139"/>
      <c r="M296" s="301">
        <v>24500.0</v>
      </c>
      <c r="N296" s="284">
        <v>0.315</v>
      </c>
      <c r="O296" s="296">
        <v>32200.0</v>
      </c>
      <c r="P296" s="314">
        <f t="shared" ref="P296:Q296" si="286">O296</f>
        <v>32200</v>
      </c>
      <c r="Q296" s="303">
        <f t="shared" si="286"/>
        <v>32200</v>
      </c>
      <c r="R296" s="299" t="s">
        <v>6908</v>
      </c>
      <c r="S296" s="300">
        <v>46140.56094737268</v>
      </c>
      <c r="T296" s="2"/>
      <c r="U296" s="289">
        <f t="shared" si="4"/>
        <v>7700</v>
      </c>
      <c r="V296" s="304" t="str">
        <f t="shared" si="287"/>
        <v>нет з/ч</v>
      </c>
      <c r="W296" s="2"/>
      <c r="X296" s="289">
        <v>24500.0</v>
      </c>
      <c r="Y296" s="139"/>
      <c r="Z296" s="2"/>
      <c r="AA296" s="2" t="s">
        <v>6906</v>
      </c>
      <c r="AB296" s="2" t="s">
        <v>6906</v>
      </c>
      <c r="AC296" s="2"/>
      <c r="AD296" s="2" t="s">
        <v>6906</v>
      </c>
      <c r="AE296" s="3" t="s">
        <v>6905</v>
      </c>
      <c r="AF296" s="2"/>
      <c r="AG296" s="1" t="s">
        <v>1582</v>
      </c>
      <c r="AH296" s="1" t="s">
        <v>6407</v>
      </c>
      <c r="AI296" s="2">
        <v>90.0</v>
      </c>
      <c r="AJ296" s="1" t="s">
        <v>1589</v>
      </c>
      <c r="AK296" s="1" t="s">
        <v>5877</v>
      </c>
      <c r="AL296" s="1" t="s">
        <v>5878</v>
      </c>
      <c r="AM296" s="2"/>
      <c r="AN296" s="2"/>
      <c r="AO296" s="2"/>
      <c r="AP296" s="2"/>
      <c r="AQ296" s="2"/>
      <c r="AR296" s="2"/>
      <c r="AS296" s="2"/>
      <c r="AT296" s="2"/>
      <c r="AU296" s="126">
        <v>24500.0</v>
      </c>
      <c r="AV296" s="126">
        <v>32200.0</v>
      </c>
      <c r="AW296" s="2"/>
      <c r="AX296" s="2"/>
      <c r="AY296" s="2"/>
      <c r="AZ296" s="2"/>
      <c r="BA296" s="2"/>
      <c r="BB296" s="2"/>
      <c r="BC296" s="2"/>
      <c r="BD296" s="2"/>
      <c r="BE296" s="2"/>
    </row>
    <row r="297" hidden="1">
      <c r="A297" s="2"/>
      <c r="B297" s="312" t="s">
        <v>6909</v>
      </c>
      <c r="C297" s="220" t="s">
        <v>6910</v>
      </c>
      <c r="D297" s="11">
        <v>90.0</v>
      </c>
      <c r="E297" s="11" t="s">
        <v>346</v>
      </c>
      <c r="F297" s="11" t="s">
        <v>6423</v>
      </c>
      <c r="G297" s="295" t="s">
        <v>6911</v>
      </c>
      <c r="H297" s="296"/>
      <c r="I297" s="156">
        <v>21500.0</v>
      </c>
      <c r="J297" s="301"/>
      <c r="K297" s="296"/>
      <c r="L297" s="139"/>
      <c r="M297" s="301">
        <v>21500.0</v>
      </c>
      <c r="N297" s="284">
        <v>0.357</v>
      </c>
      <c r="O297" s="296">
        <v>29200.0</v>
      </c>
      <c r="P297" s="314">
        <f t="shared" ref="P297:Q297" si="288">O297</f>
        <v>29200</v>
      </c>
      <c r="Q297" s="303">
        <f t="shared" si="288"/>
        <v>29200</v>
      </c>
      <c r="R297" s="299" t="s">
        <v>6912</v>
      </c>
      <c r="S297" s="300">
        <v>46140.57138247685</v>
      </c>
      <c r="T297" s="2"/>
      <c r="U297" s="289">
        <f t="shared" si="4"/>
        <v>7700</v>
      </c>
      <c r="V297" s="304" t="str">
        <f t="shared" si="287"/>
        <v>нет з/ч</v>
      </c>
      <c r="W297" s="2"/>
      <c r="X297" s="289">
        <v>21500.0</v>
      </c>
      <c r="Y297" s="139"/>
      <c r="Z297" s="2"/>
      <c r="AA297" s="2" t="s">
        <v>6910</v>
      </c>
      <c r="AB297" s="2" t="s">
        <v>6910</v>
      </c>
      <c r="AC297" s="2"/>
      <c r="AD297" s="2" t="s">
        <v>6910</v>
      </c>
      <c r="AE297" s="3" t="s">
        <v>6909</v>
      </c>
      <c r="AF297" s="2"/>
      <c r="AG297" s="1" t="s">
        <v>1582</v>
      </c>
      <c r="AH297" s="1" t="s">
        <v>6407</v>
      </c>
      <c r="AI297" s="2">
        <v>90.0</v>
      </c>
      <c r="AJ297" s="1" t="s">
        <v>1589</v>
      </c>
      <c r="AK297" s="1" t="s">
        <v>5877</v>
      </c>
      <c r="AL297" s="1" t="s">
        <v>5878</v>
      </c>
      <c r="AM297" s="2"/>
      <c r="AN297" s="2"/>
      <c r="AO297" s="2"/>
      <c r="AP297" s="2"/>
      <c r="AQ297" s="2"/>
      <c r="AR297" s="2"/>
      <c r="AS297" s="2"/>
      <c r="AT297" s="2"/>
      <c r="AU297" s="126">
        <v>21500.0</v>
      </c>
      <c r="AV297" s="126">
        <v>29200.0</v>
      </c>
      <c r="AW297" s="2"/>
      <c r="AX297" s="2"/>
      <c r="AY297" s="2"/>
      <c r="AZ297" s="2"/>
      <c r="BA297" s="2"/>
      <c r="BB297" s="2"/>
      <c r="BC297" s="2"/>
      <c r="BD297" s="2"/>
      <c r="BE297" s="2"/>
    </row>
    <row r="298" hidden="1">
      <c r="A298" s="2"/>
      <c r="B298" s="312" t="s">
        <v>6913</v>
      </c>
      <c r="C298" s="84"/>
      <c r="D298" s="11">
        <v>90.0</v>
      </c>
      <c r="E298" s="11" t="s">
        <v>346</v>
      </c>
      <c r="F298" s="11" t="s">
        <v>6423</v>
      </c>
      <c r="G298" s="295" t="s">
        <v>6914</v>
      </c>
      <c r="H298" s="296"/>
      <c r="I298" s="156">
        <v>20300.0</v>
      </c>
      <c r="J298" s="301"/>
      <c r="K298" s="296"/>
      <c r="L298" s="156">
        <v>22590.0</v>
      </c>
      <c r="M298" s="301">
        <v>22590.0</v>
      </c>
      <c r="N298" s="284">
        <v>0.24</v>
      </c>
      <c r="O298" s="296">
        <v>28000.0</v>
      </c>
      <c r="P298" s="314">
        <f t="shared" ref="P298:Q298" si="289">O298</f>
        <v>28000</v>
      </c>
      <c r="Q298" s="303">
        <f t="shared" si="289"/>
        <v>28000</v>
      </c>
      <c r="R298" s="299" t="s">
        <v>6915</v>
      </c>
      <c r="S298" s="300">
        <v>46140.560984675925</v>
      </c>
      <c r="T298" s="2"/>
      <c r="U298" s="289">
        <f t="shared" si="4"/>
        <v>7700</v>
      </c>
      <c r="V298" s="290">
        <f t="shared" si="287"/>
        <v>-22590</v>
      </c>
      <c r="W298" s="2"/>
      <c r="X298" s="289">
        <v>20300.0</v>
      </c>
      <c r="Y298" s="139">
        <v>22590.0</v>
      </c>
      <c r="Z298" s="2"/>
      <c r="AA298" s="2"/>
      <c r="AB298" s="2"/>
      <c r="AC298" s="2"/>
      <c r="AD298" s="2"/>
      <c r="AE298" s="3" t="s">
        <v>6913</v>
      </c>
      <c r="AF298" s="2"/>
      <c r="AG298" s="1" t="s">
        <v>1582</v>
      </c>
      <c r="AH298" s="1" t="s">
        <v>6407</v>
      </c>
      <c r="AI298" s="2">
        <v>90.0</v>
      </c>
      <c r="AJ298" s="1" t="s">
        <v>1589</v>
      </c>
      <c r="AK298" s="1" t="s">
        <v>5877</v>
      </c>
      <c r="AL298" s="1" t="s">
        <v>5878</v>
      </c>
      <c r="AM298" s="2"/>
      <c r="AN298" s="2"/>
      <c r="AO298" s="2"/>
      <c r="AP298" s="2"/>
      <c r="AQ298" s="2"/>
      <c r="AR298" s="2"/>
      <c r="AS298" s="2"/>
      <c r="AT298" s="2"/>
      <c r="AU298" s="126">
        <v>22590.0</v>
      </c>
      <c r="AV298" s="126">
        <v>28000.0</v>
      </c>
      <c r="AW298" s="2"/>
      <c r="AX298" s="2"/>
      <c r="AY298" s="2"/>
      <c r="AZ298" s="2"/>
      <c r="BA298" s="2"/>
      <c r="BB298" s="2"/>
      <c r="BC298" s="2"/>
      <c r="BD298" s="2"/>
      <c r="BE298" s="2"/>
    </row>
    <row r="299" hidden="1">
      <c r="A299" s="2"/>
      <c r="B299" s="312" t="s">
        <v>6916</v>
      </c>
      <c r="C299" s="84"/>
      <c r="D299" s="11">
        <v>90.0</v>
      </c>
      <c r="E299" s="11" t="s">
        <v>346</v>
      </c>
      <c r="F299" s="11" t="s">
        <v>6423</v>
      </c>
      <c r="G299" s="295" t="s">
        <v>6917</v>
      </c>
      <c r="H299" s="296"/>
      <c r="I299" s="156">
        <v>20000.0</v>
      </c>
      <c r="J299" s="301"/>
      <c r="K299" s="296"/>
      <c r="L299" s="139"/>
      <c r="M299" s="301">
        <v>20000.0</v>
      </c>
      <c r="N299" s="284">
        <v>0.385</v>
      </c>
      <c r="O299" s="296">
        <v>27700.0</v>
      </c>
      <c r="P299" s="314">
        <f t="shared" ref="P299:Q299" si="290">O299</f>
        <v>27700</v>
      </c>
      <c r="Q299" s="303">
        <f t="shared" si="290"/>
        <v>27700</v>
      </c>
      <c r="R299" s="299" t="s">
        <v>6918</v>
      </c>
      <c r="S299" s="300">
        <v>46140.71032796297</v>
      </c>
      <c r="T299" s="2"/>
      <c r="U299" s="289">
        <f t="shared" si="4"/>
        <v>7700</v>
      </c>
      <c r="V299" s="304" t="str">
        <f t="shared" si="287"/>
        <v>нет з/ч</v>
      </c>
      <c r="W299" s="2"/>
      <c r="X299" s="289">
        <v>20000.0</v>
      </c>
      <c r="Y299" s="139"/>
      <c r="Z299" s="2"/>
      <c r="AA299" s="2"/>
      <c r="AB299" s="2"/>
      <c r="AC299" s="2"/>
      <c r="AD299" s="2"/>
      <c r="AE299" s="3" t="s">
        <v>6916</v>
      </c>
      <c r="AF299" s="2"/>
      <c r="AG299" s="1" t="s">
        <v>1582</v>
      </c>
      <c r="AH299" s="1" t="s">
        <v>6407</v>
      </c>
      <c r="AI299" s="2">
        <v>90.0</v>
      </c>
      <c r="AJ299" s="1" t="s">
        <v>1589</v>
      </c>
      <c r="AK299" s="1" t="s">
        <v>5877</v>
      </c>
      <c r="AL299" s="1" t="s">
        <v>5878</v>
      </c>
      <c r="AM299" s="2"/>
      <c r="AN299" s="2"/>
      <c r="AO299" s="2"/>
      <c r="AP299" s="2"/>
      <c r="AQ299" s="2"/>
      <c r="AR299" s="2"/>
      <c r="AS299" s="2"/>
      <c r="AT299" s="2"/>
      <c r="AU299" s="126">
        <v>20000.0</v>
      </c>
      <c r="AV299" s="126">
        <v>27700.0</v>
      </c>
      <c r="AW299" s="2"/>
      <c r="AX299" s="2"/>
      <c r="AY299" s="2"/>
      <c r="AZ299" s="2"/>
      <c r="BA299" s="2"/>
      <c r="BB299" s="2"/>
      <c r="BC299" s="2"/>
      <c r="BD299" s="2"/>
      <c r="BE299" s="2"/>
    </row>
    <row r="300" hidden="1">
      <c r="A300" s="2"/>
      <c r="B300" s="312" t="s">
        <v>6919</v>
      </c>
      <c r="C300" s="84"/>
      <c r="D300" s="11">
        <v>90.0</v>
      </c>
      <c r="E300" s="11" t="s">
        <v>353</v>
      </c>
      <c r="F300" s="11" t="s">
        <v>6423</v>
      </c>
      <c r="G300" s="295" t="s">
        <v>6920</v>
      </c>
      <c r="H300" s="296"/>
      <c r="I300" s="156">
        <v>28000.0</v>
      </c>
      <c r="J300" s="301"/>
      <c r="K300" s="296"/>
      <c r="L300" s="156">
        <v>28990.0</v>
      </c>
      <c r="M300" s="301">
        <v>28990.0</v>
      </c>
      <c r="N300" s="284">
        <v>0.2</v>
      </c>
      <c r="O300" s="296">
        <v>34800.0</v>
      </c>
      <c r="P300" s="314">
        <f t="shared" ref="P300:Q300" si="291">O300</f>
        <v>34800</v>
      </c>
      <c r="Q300" s="303">
        <f t="shared" si="291"/>
        <v>34800</v>
      </c>
      <c r="R300" s="299" t="s">
        <v>6921</v>
      </c>
      <c r="S300" s="300">
        <v>46140.568887326386</v>
      </c>
      <c r="T300" s="2"/>
      <c r="U300" s="289">
        <f t="shared" si="4"/>
        <v>6800</v>
      </c>
      <c r="V300" s="290">
        <f t="shared" ref="V300:V314" si="293">IF(L300&gt;0, Q1299 - L300, "нет з/ч")</f>
        <v>-28990</v>
      </c>
      <c r="W300" s="2"/>
      <c r="X300" s="289">
        <v>28000.0</v>
      </c>
      <c r="Y300" s="139">
        <v>28990.0</v>
      </c>
      <c r="Z300" s="2"/>
      <c r="AA300" s="2"/>
      <c r="AB300" s="2"/>
      <c r="AC300" s="2"/>
      <c r="AD300" s="2"/>
      <c r="AE300" s="3" t="s">
        <v>6919</v>
      </c>
      <c r="AF300" s="2"/>
      <c r="AG300" s="1" t="s">
        <v>1582</v>
      </c>
      <c r="AH300" s="1" t="s">
        <v>6922</v>
      </c>
      <c r="AI300" s="2">
        <v>90.0</v>
      </c>
      <c r="AJ300" s="1" t="s">
        <v>1589</v>
      </c>
      <c r="AK300" s="1" t="s">
        <v>5877</v>
      </c>
      <c r="AL300" s="1" t="s">
        <v>5878</v>
      </c>
      <c r="AM300" s="2"/>
      <c r="AN300" s="2"/>
      <c r="AO300" s="2"/>
      <c r="AP300" s="2"/>
      <c r="AQ300" s="2"/>
      <c r="AR300" s="2"/>
      <c r="AS300" s="2"/>
      <c r="AT300" s="2"/>
      <c r="AU300" s="126">
        <v>28990.0</v>
      </c>
      <c r="AV300" s="126">
        <v>34800.0</v>
      </c>
      <c r="AW300" s="2"/>
      <c r="AX300" s="2"/>
      <c r="AY300" s="2"/>
      <c r="AZ300" s="2"/>
      <c r="BA300" s="2"/>
      <c r="BB300" s="2"/>
      <c r="BC300" s="2"/>
      <c r="BD300" s="2"/>
      <c r="BE300" s="2"/>
    </row>
    <row r="301" hidden="1">
      <c r="A301" s="2"/>
      <c r="B301" s="312" t="s">
        <v>6923</v>
      </c>
      <c r="C301" s="84"/>
      <c r="D301" s="11">
        <v>90.0</v>
      </c>
      <c r="E301" s="11" t="s">
        <v>353</v>
      </c>
      <c r="F301" s="11" t="s">
        <v>6423</v>
      </c>
      <c r="G301" s="295" t="s">
        <v>6924</v>
      </c>
      <c r="H301" s="296"/>
      <c r="I301" s="156">
        <v>27000.0</v>
      </c>
      <c r="J301" s="301"/>
      <c r="K301" s="296"/>
      <c r="L301" s="139"/>
      <c r="M301" s="301">
        <v>27000.0</v>
      </c>
      <c r="N301" s="284">
        <v>0.2</v>
      </c>
      <c r="O301" s="296">
        <v>32400.0</v>
      </c>
      <c r="P301" s="314">
        <f t="shared" ref="P301:Q301" si="292">O301</f>
        <v>32400</v>
      </c>
      <c r="Q301" s="303">
        <f t="shared" si="292"/>
        <v>32400</v>
      </c>
      <c r="R301" s="299" t="s">
        <v>6925</v>
      </c>
      <c r="S301" s="300">
        <v>46140.568909525464</v>
      </c>
      <c r="T301" s="2"/>
      <c r="U301" s="289">
        <f t="shared" si="4"/>
        <v>5400</v>
      </c>
      <c r="V301" s="304" t="str">
        <f t="shared" si="293"/>
        <v>нет з/ч</v>
      </c>
      <c r="W301" s="2"/>
      <c r="X301" s="289">
        <v>27000.0</v>
      </c>
      <c r="Y301" s="139"/>
      <c r="Z301" s="2"/>
      <c r="AA301" s="2"/>
      <c r="AB301" s="2"/>
      <c r="AC301" s="2"/>
      <c r="AD301" s="2"/>
      <c r="AE301" s="3" t="s">
        <v>6923</v>
      </c>
      <c r="AF301" s="2"/>
      <c r="AG301" s="1" t="s">
        <v>1582</v>
      </c>
      <c r="AH301" s="1" t="s">
        <v>6922</v>
      </c>
      <c r="AI301" s="2">
        <v>90.0</v>
      </c>
      <c r="AJ301" s="1" t="s">
        <v>1589</v>
      </c>
      <c r="AK301" s="1" t="s">
        <v>5877</v>
      </c>
      <c r="AL301" s="1" t="s">
        <v>5878</v>
      </c>
      <c r="AM301" s="2"/>
      <c r="AN301" s="2"/>
      <c r="AO301" s="2"/>
      <c r="AP301" s="2"/>
      <c r="AQ301" s="2"/>
      <c r="AR301" s="2"/>
      <c r="AS301" s="2"/>
      <c r="AT301" s="2"/>
      <c r="AU301" s="126">
        <v>27000.0</v>
      </c>
      <c r="AV301" s="126">
        <v>32400.0</v>
      </c>
      <c r="AW301" s="2"/>
      <c r="AX301" s="2"/>
      <c r="AY301" s="2"/>
      <c r="AZ301" s="2"/>
      <c r="BA301" s="2"/>
      <c r="BB301" s="2"/>
      <c r="BC301" s="2"/>
      <c r="BD301" s="2"/>
      <c r="BE301" s="2"/>
    </row>
    <row r="302" hidden="1">
      <c r="A302" s="2"/>
      <c r="B302" s="312" t="s">
        <v>6926</v>
      </c>
      <c r="C302" s="84"/>
      <c r="D302" s="11">
        <v>90.0</v>
      </c>
      <c r="E302" s="11" t="s">
        <v>353</v>
      </c>
      <c r="F302" s="11" t="s">
        <v>6423</v>
      </c>
      <c r="G302" s="295" t="s">
        <v>6927</v>
      </c>
      <c r="H302" s="296"/>
      <c r="I302" s="156">
        <v>25500.0</v>
      </c>
      <c r="J302" s="301"/>
      <c r="K302" s="296"/>
      <c r="L302" s="139"/>
      <c r="M302" s="301">
        <v>25500.0</v>
      </c>
      <c r="N302" s="284">
        <v>0.2</v>
      </c>
      <c r="O302" s="296">
        <v>30600.0</v>
      </c>
      <c r="P302" s="314">
        <f t="shared" ref="P302:Q302" si="294">O302</f>
        <v>30600</v>
      </c>
      <c r="Q302" s="303">
        <f t="shared" si="294"/>
        <v>30600</v>
      </c>
      <c r="R302" s="299" t="s">
        <v>6928</v>
      </c>
      <c r="S302" s="300">
        <v>46140.568930208334</v>
      </c>
      <c r="T302" s="2"/>
      <c r="U302" s="289">
        <f t="shared" si="4"/>
        <v>5100</v>
      </c>
      <c r="V302" s="304" t="str">
        <f t="shared" si="293"/>
        <v>нет з/ч</v>
      </c>
      <c r="W302" s="2"/>
      <c r="X302" s="289">
        <v>25500.0</v>
      </c>
      <c r="Y302" s="139"/>
      <c r="Z302" s="2"/>
      <c r="AA302" s="2"/>
      <c r="AB302" s="2"/>
      <c r="AC302" s="2"/>
      <c r="AD302" s="2"/>
      <c r="AE302" s="3" t="s">
        <v>6926</v>
      </c>
      <c r="AF302" s="2"/>
      <c r="AG302" s="1" t="s">
        <v>1582</v>
      </c>
      <c r="AH302" s="1" t="s">
        <v>6922</v>
      </c>
      <c r="AI302" s="2">
        <v>90.0</v>
      </c>
      <c r="AJ302" s="1" t="s">
        <v>1589</v>
      </c>
      <c r="AK302" s="1" t="s">
        <v>5877</v>
      </c>
      <c r="AL302" s="1" t="s">
        <v>5878</v>
      </c>
      <c r="AM302" s="2"/>
      <c r="AN302" s="2"/>
      <c r="AO302" s="2"/>
      <c r="AP302" s="2"/>
      <c r="AQ302" s="2"/>
      <c r="AR302" s="2"/>
      <c r="AS302" s="2"/>
      <c r="AT302" s="2"/>
      <c r="AU302" s="126">
        <v>25500.0</v>
      </c>
      <c r="AV302" s="126">
        <v>30600.0</v>
      </c>
      <c r="AW302" s="2"/>
      <c r="AX302" s="2"/>
      <c r="AY302" s="2"/>
      <c r="AZ302" s="2"/>
      <c r="BA302" s="2"/>
      <c r="BB302" s="2"/>
      <c r="BC302" s="2"/>
      <c r="BD302" s="2"/>
      <c r="BE302" s="2"/>
    </row>
    <row r="303" hidden="1">
      <c r="A303" s="2"/>
      <c r="B303" s="312" t="s">
        <v>6929</v>
      </c>
      <c r="C303" s="84"/>
      <c r="D303" s="11">
        <v>90.0</v>
      </c>
      <c r="E303" s="11" t="s">
        <v>353</v>
      </c>
      <c r="F303" s="11" t="s">
        <v>6423</v>
      </c>
      <c r="G303" s="306"/>
      <c r="H303" s="296"/>
      <c r="I303" s="139"/>
      <c r="J303" s="301"/>
      <c r="K303" s="296"/>
      <c r="L303" s="139"/>
      <c r="M303" s="301" t="s">
        <v>22</v>
      </c>
      <c r="N303" s="284">
        <v>0.12</v>
      </c>
      <c r="O303" s="296" t="s">
        <v>22</v>
      </c>
      <c r="P303" s="314" t="str">
        <f t="shared" ref="P303:Q303" si="295">O303</f>
        <v/>
      </c>
      <c r="Q303" s="303" t="str">
        <f t="shared" si="295"/>
        <v/>
      </c>
      <c r="R303" s="307"/>
      <c r="S303" s="308"/>
      <c r="T303" s="2"/>
      <c r="U303" s="59" t="str">
        <f t="shared" si="4"/>
        <v>нет з/ч</v>
      </c>
      <c r="V303" s="304" t="str">
        <f t="shared" si="293"/>
        <v>нет з/ч</v>
      </c>
      <c r="W303" s="2"/>
      <c r="X303" s="289"/>
      <c r="Y303" s="139"/>
      <c r="Z303" s="2"/>
      <c r="AA303" s="2"/>
      <c r="AB303" s="2"/>
      <c r="AC303" s="2"/>
      <c r="AD303" s="2"/>
      <c r="AE303" s="3" t="s">
        <v>6929</v>
      </c>
      <c r="AF303" s="2"/>
      <c r="AG303" s="1" t="s">
        <v>1582</v>
      </c>
      <c r="AH303" s="1" t="s">
        <v>6922</v>
      </c>
      <c r="AI303" s="2">
        <v>90.0</v>
      </c>
      <c r="AJ303" s="1" t="s">
        <v>1589</v>
      </c>
      <c r="AK303" s="1" t="s">
        <v>5877</v>
      </c>
      <c r="AL303" s="1" t="s">
        <v>5878</v>
      </c>
      <c r="AM303" s="2"/>
      <c r="AN303" s="2"/>
      <c r="AO303" s="2"/>
      <c r="AP303" s="2"/>
      <c r="AQ303" s="2"/>
      <c r="AR303" s="2"/>
      <c r="AS303" s="2"/>
      <c r="AT303" s="2"/>
      <c r="AU303" s="126" t="s">
        <v>22</v>
      </c>
      <c r="AV303" s="126" t="s">
        <v>22</v>
      </c>
      <c r="AW303" s="2"/>
      <c r="AX303" s="2"/>
      <c r="AY303" s="2"/>
      <c r="AZ303" s="2"/>
      <c r="BA303" s="2"/>
      <c r="BB303" s="2"/>
      <c r="BC303" s="2"/>
      <c r="BD303" s="2"/>
      <c r="BE303" s="2"/>
    </row>
    <row r="304" hidden="1">
      <c r="A304" s="2"/>
      <c r="B304" s="312" t="s">
        <v>6930</v>
      </c>
      <c r="C304" s="84"/>
      <c r="D304" s="11">
        <v>90.0</v>
      </c>
      <c r="E304" s="11" t="s">
        <v>353</v>
      </c>
      <c r="F304" s="11" t="s">
        <v>6423</v>
      </c>
      <c r="G304" s="306"/>
      <c r="H304" s="296"/>
      <c r="I304" s="139"/>
      <c r="J304" s="301"/>
      <c r="K304" s="296"/>
      <c r="L304" s="139"/>
      <c r="M304" s="301" t="s">
        <v>22</v>
      </c>
      <c r="N304" s="284">
        <v>0.12</v>
      </c>
      <c r="O304" s="296" t="s">
        <v>22</v>
      </c>
      <c r="P304" s="314" t="str">
        <f t="shared" ref="P304:Q304" si="296">O304</f>
        <v/>
      </c>
      <c r="Q304" s="303" t="str">
        <f t="shared" si="296"/>
        <v/>
      </c>
      <c r="R304" s="307"/>
      <c r="S304" s="308"/>
      <c r="T304" s="2"/>
      <c r="U304" s="59" t="str">
        <f t="shared" si="4"/>
        <v>нет з/ч</v>
      </c>
      <c r="V304" s="304" t="str">
        <f t="shared" si="293"/>
        <v>нет з/ч</v>
      </c>
      <c r="W304" s="2"/>
      <c r="X304" s="289"/>
      <c r="Y304" s="139"/>
      <c r="Z304" s="2"/>
      <c r="AA304" s="2"/>
      <c r="AB304" s="2"/>
      <c r="AC304" s="2"/>
      <c r="AD304" s="2"/>
      <c r="AE304" s="3" t="s">
        <v>6930</v>
      </c>
      <c r="AF304" s="2"/>
      <c r="AG304" s="1" t="s">
        <v>1582</v>
      </c>
      <c r="AH304" s="1" t="s">
        <v>6922</v>
      </c>
      <c r="AI304" s="2">
        <v>90.0</v>
      </c>
      <c r="AJ304" s="1" t="s">
        <v>1589</v>
      </c>
      <c r="AK304" s="1" t="s">
        <v>5877</v>
      </c>
      <c r="AL304" s="1" t="s">
        <v>5878</v>
      </c>
      <c r="AM304" s="2"/>
      <c r="AN304" s="2"/>
      <c r="AO304" s="2"/>
      <c r="AP304" s="2"/>
      <c r="AQ304" s="2"/>
      <c r="AR304" s="2"/>
      <c r="AS304" s="2"/>
      <c r="AT304" s="2"/>
      <c r="AU304" s="126" t="s">
        <v>22</v>
      </c>
      <c r="AV304" s="126" t="s">
        <v>22</v>
      </c>
      <c r="AW304" s="2"/>
      <c r="AX304" s="2"/>
      <c r="AY304" s="2"/>
      <c r="AZ304" s="2"/>
      <c r="BA304" s="2"/>
      <c r="BB304" s="2"/>
      <c r="BC304" s="2"/>
      <c r="BD304" s="2"/>
      <c r="BE304" s="2"/>
    </row>
    <row r="305" hidden="1">
      <c r="A305" s="2"/>
      <c r="B305" s="312" t="s">
        <v>6931</v>
      </c>
      <c r="C305" s="84"/>
      <c r="D305" s="11">
        <v>90.0</v>
      </c>
      <c r="E305" s="11" t="s">
        <v>360</v>
      </c>
      <c r="F305" s="153" t="s">
        <v>6423</v>
      </c>
      <c r="G305" s="295" t="s">
        <v>6932</v>
      </c>
      <c r="H305" s="296"/>
      <c r="I305" s="156">
        <v>28000.0</v>
      </c>
      <c r="J305" s="301"/>
      <c r="K305" s="296"/>
      <c r="L305" s="139"/>
      <c r="M305" s="301">
        <v>28000.0</v>
      </c>
      <c r="N305" s="284">
        <v>0.2</v>
      </c>
      <c r="O305" s="296">
        <v>33600.0</v>
      </c>
      <c r="P305" s="314">
        <f t="shared" ref="P305:Q305" si="297">O305</f>
        <v>33600</v>
      </c>
      <c r="Q305" s="303">
        <f t="shared" si="297"/>
        <v>33600</v>
      </c>
      <c r="R305" s="299" t="s">
        <v>6933</v>
      </c>
      <c r="S305" s="300">
        <v>46140.57022349537</v>
      </c>
      <c r="T305" s="2"/>
      <c r="U305" s="289">
        <f t="shared" si="4"/>
        <v>5600</v>
      </c>
      <c r="V305" s="304" t="str">
        <f t="shared" si="293"/>
        <v>нет з/ч</v>
      </c>
      <c r="W305" s="2"/>
      <c r="X305" s="289">
        <v>28000.0</v>
      </c>
      <c r="Y305" s="139"/>
      <c r="Z305" s="2"/>
      <c r="AA305" s="2"/>
      <c r="AB305" s="2"/>
      <c r="AC305" s="2"/>
      <c r="AD305" s="2"/>
      <c r="AE305" s="3" t="s">
        <v>6931</v>
      </c>
      <c r="AF305" s="2"/>
      <c r="AG305" s="1" t="s">
        <v>1582</v>
      </c>
      <c r="AH305" s="1" t="s">
        <v>6934</v>
      </c>
      <c r="AI305" s="2">
        <v>90.0</v>
      </c>
      <c r="AJ305" s="1" t="s">
        <v>1589</v>
      </c>
      <c r="AK305" s="1" t="s">
        <v>5877</v>
      </c>
      <c r="AL305" s="1" t="s">
        <v>5878</v>
      </c>
      <c r="AM305" s="2"/>
      <c r="AN305" s="2"/>
      <c r="AO305" s="2"/>
      <c r="AP305" s="2"/>
      <c r="AQ305" s="2"/>
      <c r="AR305" s="2"/>
      <c r="AS305" s="2"/>
      <c r="AT305" s="2"/>
      <c r="AU305" s="126">
        <v>28000.0</v>
      </c>
      <c r="AV305" s="126">
        <v>33600.0</v>
      </c>
      <c r="AW305" s="2"/>
      <c r="AX305" s="2"/>
      <c r="AY305" s="2"/>
      <c r="AZ305" s="2"/>
      <c r="BA305" s="2"/>
      <c r="BB305" s="2"/>
      <c r="BC305" s="2"/>
      <c r="BD305" s="2"/>
      <c r="BE305" s="2"/>
    </row>
    <row r="306" hidden="1">
      <c r="A306" s="2"/>
      <c r="B306" s="312" t="s">
        <v>6935</v>
      </c>
      <c r="C306" s="84"/>
      <c r="D306" s="11">
        <v>90.0</v>
      </c>
      <c r="E306" s="11" t="s">
        <v>360</v>
      </c>
      <c r="F306" s="153" t="s">
        <v>6423</v>
      </c>
      <c r="G306" s="295" t="s">
        <v>6936</v>
      </c>
      <c r="H306" s="296"/>
      <c r="I306" s="156">
        <v>27900.0</v>
      </c>
      <c r="J306" s="301"/>
      <c r="K306" s="296"/>
      <c r="L306" s="139"/>
      <c r="M306" s="301">
        <v>27900.0</v>
      </c>
      <c r="N306" s="284">
        <v>0.2</v>
      </c>
      <c r="O306" s="296">
        <v>33500.0</v>
      </c>
      <c r="P306" s="314">
        <f t="shared" ref="P306:Q306" si="298">O306</f>
        <v>33500</v>
      </c>
      <c r="Q306" s="303">
        <f t="shared" si="298"/>
        <v>33500</v>
      </c>
      <c r="R306" s="299" t="s">
        <v>6937</v>
      </c>
      <c r="S306" s="300">
        <v>46140.57024793982</v>
      </c>
      <c r="T306" s="2"/>
      <c r="U306" s="289">
        <f t="shared" si="4"/>
        <v>5600</v>
      </c>
      <c r="V306" s="304" t="str">
        <f t="shared" si="293"/>
        <v>нет з/ч</v>
      </c>
      <c r="W306" s="2"/>
      <c r="X306" s="289">
        <v>27900.0</v>
      </c>
      <c r="Y306" s="139"/>
      <c r="Z306" s="2"/>
      <c r="AA306" s="2"/>
      <c r="AB306" s="2"/>
      <c r="AC306" s="2"/>
      <c r="AD306" s="2"/>
      <c r="AE306" s="3" t="s">
        <v>6935</v>
      </c>
      <c r="AF306" s="2"/>
      <c r="AG306" s="1" t="s">
        <v>1582</v>
      </c>
      <c r="AH306" s="1" t="s">
        <v>6934</v>
      </c>
      <c r="AI306" s="2">
        <v>90.0</v>
      </c>
      <c r="AJ306" s="1" t="s">
        <v>1589</v>
      </c>
      <c r="AK306" s="1" t="s">
        <v>5877</v>
      </c>
      <c r="AL306" s="1" t="s">
        <v>5878</v>
      </c>
      <c r="AM306" s="2"/>
      <c r="AN306" s="2"/>
      <c r="AO306" s="2"/>
      <c r="AP306" s="2"/>
      <c r="AQ306" s="2"/>
      <c r="AR306" s="2"/>
      <c r="AS306" s="2"/>
      <c r="AT306" s="2"/>
      <c r="AU306" s="126">
        <v>27900.0</v>
      </c>
      <c r="AV306" s="126">
        <v>33500.0</v>
      </c>
      <c r="AW306" s="2"/>
      <c r="AX306" s="2"/>
      <c r="AY306" s="2"/>
      <c r="AZ306" s="2"/>
      <c r="BA306" s="2"/>
      <c r="BB306" s="2"/>
      <c r="BC306" s="2"/>
      <c r="BD306" s="2"/>
      <c r="BE306" s="2"/>
    </row>
    <row r="307" hidden="1">
      <c r="A307" s="2"/>
      <c r="B307" s="312" t="s">
        <v>6938</v>
      </c>
      <c r="C307" s="84"/>
      <c r="D307" s="11">
        <v>90.0</v>
      </c>
      <c r="E307" s="11" t="s">
        <v>360</v>
      </c>
      <c r="F307" s="153" t="s">
        <v>6423</v>
      </c>
      <c r="G307" s="295" t="s">
        <v>6939</v>
      </c>
      <c r="H307" s="296"/>
      <c r="I307" s="156">
        <v>25900.0</v>
      </c>
      <c r="J307" s="301"/>
      <c r="K307" s="296"/>
      <c r="L307" s="139"/>
      <c r="M307" s="301">
        <v>25900.0</v>
      </c>
      <c r="N307" s="284">
        <v>0.2</v>
      </c>
      <c r="O307" s="296">
        <v>31100.0</v>
      </c>
      <c r="P307" s="314">
        <f t="shared" ref="P307:Q307" si="299">O307</f>
        <v>31100</v>
      </c>
      <c r="Q307" s="303">
        <f t="shared" si="299"/>
        <v>31100</v>
      </c>
      <c r="R307" s="299" t="s">
        <v>6940</v>
      </c>
      <c r="S307" s="300">
        <v>46140.57027247685</v>
      </c>
      <c r="T307" s="2"/>
      <c r="U307" s="289">
        <f t="shared" si="4"/>
        <v>5200</v>
      </c>
      <c r="V307" s="304" t="str">
        <f t="shared" si="293"/>
        <v>нет з/ч</v>
      </c>
      <c r="W307" s="2"/>
      <c r="X307" s="289">
        <v>25900.0</v>
      </c>
      <c r="Y307" s="139"/>
      <c r="Z307" s="2"/>
      <c r="AA307" s="2"/>
      <c r="AB307" s="2"/>
      <c r="AC307" s="2"/>
      <c r="AD307" s="2"/>
      <c r="AE307" s="3" t="s">
        <v>6938</v>
      </c>
      <c r="AF307" s="2"/>
      <c r="AG307" s="1" t="s">
        <v>1582</v>
      </c>
      <c r="AH307" s="1" t="s">
        <v>6934</v>
      </c>
      <c r="AI307" s="2">
        <v>90.0</v>
      </c>
      <c r="AJ307" s="1" t="s">
        <v>1589</v>
      </c>
      <c r="AK307" s="1" t="s">
        <v>5877</v>
      </c>
      <c r="AL307" s="1" t="s">
        <v>5878</v>
      </c>
      <c r="AM307" s="2"/>
      <c r="AN307" s="2"/>
      <c r="AO307" s="2"/>
      <c r="AP307" s="2"/>
      <c r="AQ307" s="2"/>
      <c r="AR307" s="2"/>
      <c r="AS307" s="2"/>
      <c r="AT307" s="2"/>
      <c r="AU307" s="126">
        <v>25900.0</v>
      </c>
      <c r="AV307" s="126">
        <v>31100.0</v>
      </c>
      <c r="AW307" s="2"/>
      <c r="AX307" s="2"/>
      <c r="AY307" s="2"/>
      <c r="AZ307" s="2"/>
      <c r="BA307" s="2"/>
      <c r="BB307" s="2"/>
      <c r="BC307" s="2"/>
      <c r="BD307" s="2"/>
      <c r="BE307" s="2"/>
    </row>
    <row r="308" hidden="1">
      <c r="A308" s="2"/>
      <c r="B308" s="312" t="s">
        <v>6941</v>
      </c>
      <c r="C308" s="84"/>
      <c r="D308" s="11">
        <v>90.0</v>
      </c>
      <c r="E308" s="11" t="s">
        <v>360</v>
      </c>
      <c r="F308" s="153" t="s">
        <v>6423</v>
      </c>
      <c r="G308" s="306"/>
      <c r="H308" s="296"/>
      <c r="I308" s="139"/>
      <c r="J308" s="301"/>
      <c r="K308" s="296"/>
      <c r="L308" s="139"/>
      <c r="M308" s="301" t="s">
        <v>22</v>
      </c>
      <c r="N308" s="284">
        <v>0.12</v>
      </c>
      <c r="O308" s="296" t="s">
        <v>22</v>
      </c>
      <c r="P308" s="314" t="str">
        <f t="shared" ref="P308:Q308" si="300">O308</f>
        <v/>
      </c>
      <c r="Q308" s="303" t="str">
        <f t="shared" si="300"/>
        <v/>
      </c>
      <c r="R308" s="307"/>
      <c r="S308" s="308"/>
      <c r="T308" s="2"/>
      <c r="U308" s="59" t="str">
        <f t="shared" si="4"/>
        <v>нет з/ч</v>
      </c>
      <c r="V308" s="304" t="str">
        <f t="shared" si="293"/>
        <v>нет з/ч</v>
      </c>
      <c r="W308" s="2"/>
      <c r="X308" s="289"/>
      <c r="Y308" s="139"/>
      <c r="Z308" s="2"/>
      <c r="AA308" s="2"/>
      <c r="AB308" s="2"/>
      <c r="AC308" s="2"/>
      <c r="AD308" s="2"/>
      <c r="AE308" s="3" t="s">
        <v>6941</v>
      </c>
      <c r="AF308" s="2"/>
      <c r="AG308" s="1" t="s">
        <v>1582</v>
      </c>
      <c r="AH308" s="1" t="s">
        <v>6934</v>
      </c>
      <c r="AI308" s="2">
        <v>90.0</v>
      </c>
      <c r="AJ308" s="1" t="s">
        <v>1589</v>
      </c>
      <c r="AK308" s="1" t="s">
        <v>5877</v>
      </c>
      <c r="AL308" s="1" t="s">
        <v>5878</v>
      </c>
      <c r="AM308" s="2"/>
      <c r="AN308" s="2"/>
      <c r="AO308" s="2"/>
      <c r="AP308" s="2"/>
      <c r="AQ308" s="2"/>
      <c r="AR308" s="2"/>
      <c r="AS308" s="2"/>
      <c r="AT308" s="2"/>
      <c r="AU308" s="126" t="s">
        <v>22</v>
      </c>
      <c r="AV308" s="126" t="s">
        <v>22</v>
      </c>
      <c r="AW308" s="2"/>
      <c r="AX308" s="2"/>
      <c r="AY308" s="2"/>
      <c r="AZ308" s="2"/>
      <c r="BA308" s="2"/>
      <c r="BB308" s="2"/>
      <c r="BC308" s="2"/>
      <c r="BD308" s="2"/>
      <c r="BE308" s="2"/>
    </row>
    <row r="309" hidden="1">
      <c r="A309" s="2"/>
      <c r="B309" s="312" t="s">
        <v>6942</v>
      </c>
      <c r="C309" s="84"/>
      <c r="D309" s="11">
        <v>90.0</v>
      </c>
      <c r="E309" s="11" t="s">
        <v>360</v>
      </c>
      <c r="F309" s="153" t="s">
        <v>6423</v>
      </c>
      <c r="G309" s="306"/>
      <c r="H309" s="296"/>
      <c r="I309" s="139"/>
      <c r="J309" s="301"/>
      <c r="K309" s="296"/>
      <c r="L309" s="139"/>
      <c r="M309" s="301" t="s">
        <v>22</v>
      </c>
      <c r="N309" s="284">
        <v>0.12</v>
      </c>
      <c r="O309" s="296" t="s">
        <v>22</v>
      </c>
      <c r="P309" s="314" t="str">
        <f t="shared" ref="P309:Q309" si="301">O309</f>
        <v/>
      </c>
      <c r="Q309" s="303" t="str">
        <f t="shared" si="301"/>
        <v/>
      </c>
      <c r="R309" s="307"/>
      <c r="S309" s="308"/>
      <c r="T309" s="2"/>
      <c r="U309" s="59" t="str">
        <f t="shared" si="4"/>
        <v>нет з/ч</v>
      </c>
      <c r="V309" s="304" t="str">
        <f t="shared" si="293"/>
        <v>нет з/ч</v>
      </c>
      <c r="W309" s="2"/>
      <c r="X309" s="289"/>
      <c r="Y309" s="139"/>
      <c r="Z309" s="2"/>
      <c r="AA309" s="2"/>
      <c r="AB309" s="2"/>
      <c r="AC309" s="2"/>
      <c r="AD309" s="2"/>
      <c r="AE309" s="3" t="s">
        <v>6942</v>
      </c>
      <c r="AF309" s="2"/>
      <c r="AG309" s="1" t="s">
        <v>1582</v>
      </c>
      <c r="AH309" s="1" t="s">
        <v>6934</v>
      </c>
      <c r="AI309" s="2">
        <v>90.0</v>
      </c>
      <c r="AJ309" s="1" t="s">
        <v>1589</v>
      </c>
      <c r="AK309" s="1" t="s">
        <v>5877</v>
      </c>
      <c r="AL309" s="1" t="s">
        <v>5878</v>
      </c>
      <c r="AM309" s="2"/>
      <c r="AN309" s="2"/>
      <c r="AO309" s="2"/>
      <c r="AP309" s="2"/>
      <c r="AQ309" s="2"/>
      <c r="AR309" s="2"/>
      <c r="AS309" s="2"/>
      <c r="AT309" s="2"/>
      <c r="AU309" s="126" t="s">
        <v>22</v>
      </c>
      <c r="AV309" s="126" t="s">
        <v>22</v>
      </c>
      <c r="AW309" s="2"/>
      <c r="AX309" s="2"/>
      <c r="AY309" s="2"/>
      <c r="AZ309" s="2"/>
      <c r="BA309" s="2"/>
      <c r="BB309" s="2"/>
      <c r="BC309" s="2"/>
      <c r="BD309" s="2"/>
      <c r="BE309" s="2"/>
    </row>
    <row r="310" hidden="1">
      <c r="A310" s="2"/>
      <c r="B310" s="312" t="s">
        <v>6943</v>
      </c>
      <c r="C310" s="84"/>
      <c r="D310" s="11">
        <v>90.0</v>
      </c>
      <c r="E310" s="11" t="s">
        <v>367</v>
      </c>
      <c r="F310" s="11" t="s">
        <v>6423</v>
      </c>
      <c r="G310" s="295" t="s">
        <v>6944</v>
      </c>
      <c r="H310" s="296"/>
      <c r="I310" s="156">
        <v>28000.0</v>
      </c>
      <c r="J310" s="301"/>
      <c r="K310" s="296"/>
      <c r="L310" s="156">
        <v>28990.0</v>
      </c>
      <c r="M310" s="301">
        <v>28990.0</v>
      </c>
      <c r="N310" s="284">
        <v>0.2</v>
      </c>
      <c r="O310" s="296">
        <v>34800.0</v>
      </c>
      <c r="P310" s="314">
        <f t="shared" ref="P310:Q310" si="302">O310</f>
        <v>34800</v>
      </c>
      <c r="Q310" s="303">
        <f t="shared" si="302"/>
        <v>34800</v>
      </c>
      <c r="R310" s="299" t="s">
        <v>6945</v>
      </c>
      <c r="S310" s="300">
        <v>46140.569024386576</v>
      </c>
      <c r="T310" s="2"/>
      <c r="U310" s="289">
        <f t="shared" si="4"/>
        <v>6800</v>
      </c>
      <c r="V310" s="290">
        <f t="shared" si="293"/>
        <v>-28990</v>
      </c>
      <c r="W310" s="2"/>
      <c r="X310" s="289">
        <v>28000.0</v>
      </c>
      <c r="Y310" s="139">
        <v>28990.0</v>
      </c>
      <c r="Z310" s="2"/>
      <c r="AA310" s="2"/>
      <c r="AB310" s="2"/>
      <c r="AC310" s="2"/>
      <c r="AD310" s="2"/>
      <c r="AE310" s="3" t="s">
        <v>6943</v>
      </c>
      <c r="AF310" s="2"/>
      <c r="AG310" s="1" t="s">
        <v>1582</v>
      </c>
      <c r="AH310" s="1" t="s">
        <v>6946</v>
      </c>
      <c r="AI310" s="2">
        <v>90.0</v>
      </c>
      <c r="AJ310" s="1" t="s">
        <v>1589</v>
      </c>
      <c r="AK310" s="1" t="s">
        <v>5877</v>
      </c>
      <c r="AL310" s="1" t="s">
        <v>5878</v>
      </c>
      <c r="AM310" s="2"/>
      <c r="AN310" s="2"/>
      <c r="AO310" s="2"/>
      <c r="AP310" s="2"/>
      <c r="AQ310" s="2"/>
      <c r="AR310" s="2"/>
      <c r="AS310" s="2"/>
      <c r="AT310" s="2"/>
      <c r="AU310" s="126">
        <v>28990.0</v>
      </c>
      <c r="AV310" s="126">
        <v>34800.0</v>
      </c>
      <c r="AW310" s="2"/>
      <c r="AX310" s="2"/>
      <c r="AY310" s="2"/>
      <c r="AZ310" s="2"/>
      <c r="BA310" s="2"/>
      <c r="BB310" s="2"/>
      <c r="BC310" s="2"/>
      <c r="BD310" s="2"/>
      <c r="BE310" s="2"/>
    </row>
    <row r="311" hidden="1">
      <c r="A311" s="2"/>
      <c r="B311" s="312" t="s">
        <v>6947</v>
      </c>
      <c r="C311" s="84"/>
      <c r="D311" s="11">
        <v>90.0</v>
      </c>
      <c r="E311" s="11" t="s">
        <v>367</v>
      </c>
      <c r="F311" s="11" t="s">
        <v>6423</v>
      </c>
      <c r="G311" s="295" t="s">
        <v>6948</v>
      </c>
      <c r="H311" s="296"/>
      <c r="I311" s="156">
        <v>25700.0</v>
      </c>
      <c r="J311" s="301"/>
      <c r="K311" s="296"/>
      <c r="L311" s="139"/>
      <c r="M311" s="301">
        <v>25700.0</v>
      </c>
      <c r="N311" s="284">
        <v>0.25</v>
      </c>
      <c r="O311" s="296">
        <v>32150.0</v>
      </c>
      <c r="P311" s="314">
        <f t="shared" ref="P311:Q311" si="303">O311</f>
        <v>32150</v>
      </c>
      <c r="Q311" s="303">
        <f t="shared" si="303"/>
        <v>32150</v>
      </c>
      <c r="R311" s="299" t="s">
        <v>6949</v>
      </c>
      <c r="S311" s="300">
        <v>46140.56904443287</v>
      </c>
      <c r="T311" s="2"/>
      <c r="U311" s="289">
        <f t="shared" si="4"/>
        <v>6450</v>
      </c>
      <c r="V311" s="304" t="str">
        <f t="shared" si="293"/>
        <v>нет з/ч</v>
      </c>
      <c r="W311" s="2"/>
      <c r="X311" s="289">
        <v>25700.0</v>
      </c>
      <c r="Y311" s="139"/>
      <c r="Z311" s="2"/>
      <c r="AA311" s="2"/>
      <c r="AB311" s="2"/>
      <c r="AC311" s="2"/>
      <c r="AD311" s="2"/>
      <c r="AE311" s="3" t="s">
        <v>6947</v>
      </c>
      <c r="AF311" s="2"/>
      <c r="AG311" s="1" t="s">
        <v>1582</v>
      </c>
      <c r="AH311" s="1" t="s">
        <v>6946</v>
      </c>
      <c r="AI311" s="2">
        <v>90.0</v>
      </c>
      <c r="AJ311" s="1" t="s">
        <v>1589</v>
      </c>
      <c r="AK311" s="1" t="s">
        <v>5877</v>
      </c>
      <c r="AL311" s="1" t="s">
        <v>5878</v>
      </c>
      <c r="AM311" s="2"/>
      <c r="AN311" s="2"/>
      <c r="AO311" s="2"/>
      <c r="AP311" s="2"/>
      <c r="AQ311" s="2"/>
      <c r="AR311" s="2"/>
      <c r="AS311" s="2"/>
      <c r="AT311" s="2"/>
      <c r="AU311" s="126">
        <v>25700.0</v>
      </c>
      <c r="AV311" s="126">
        <v>32150.0</v>
      </c>
      <c r="AW311" s="2"/>
      <c r="AX311" s="2"/>
      <c r="AY311" s="2"/>
      <c r="AZ311" s="2"/>
      <c r="BA311" s="2"/>
      <c r="BB311" s="2"/>
      <c r="BC311" s="2"/>
      <c r="BD311" s="2"/>
      <c r="BE311" s="2"/>
    </row>
    <row r="312" hidden="1">
      <c r="A312" s="2"/>
      <c r="B312" s="312" t="s">
        <v>6950</v>
      </c>
      <c r="C312" s="84"/>
      <c r="D312" s="11">
        <v>90.0</v>
      </c>
      <c r="E312" s="11" t="s">
        <v>367</v>
      </c>
      <c r="F312" s="11" t="s">
        <v>6423</v>
      </c>
      <c r="G312" s="295" t="s">
        <v>6951</v>
      </c>
      <c r="H312" s="296"/>
      <c r="I312" s="156">
        <v>24200.0</v>
      </c>
      <c r="J312" s="301"/>
      <c r="K312" s="296"/>
      <c r="L312" s="139"/>
      <c r="M312" s="301">
        <v>24200.0</v>
      </c>
      <c r="N312" s="284">
        <v>0.25</v>
      </c>
      <c r="O312" s="296">
        <v>30250.0</v>
      </c>
      <c r="P312" s="314">
        <f t="shared" ref="P312:Q312" si="304">O312</f>
        <v>30250</v>
      </c>
      <c r="Q312" s="303">
        <f t="shared" si="304"/>
        <v>30250</v>
      </c>
      <c r="R312" s="299" t="s">
        <v>6952</v>
      </c>
      <c r="S312" s="300">
        <v>46140.569070729165</v>
      </c>
      <c r="T312" s="2"/>
      <c r="U312" s="289">
        <f t="shared" si="4"/>
        <v>6050</v>
      </c>
      <c r="V312" s="304" t="str">
        <f t="shared" si="293"/>
        <v>нет з/ч</v>
      </c>
      <c r="W312" s="2"/>
      <c r="X312" s="289">
        <v>24200.0</v>
      </c>
      <c r="Y312" s="139"/>
      <c r="Z312" s="2"/>
      <c r="AA312" s="2"/>
      <c r="AB312" s="2"/>
      <c r="AC312" s="2"/>
      <c r="AD312" s="2"/>
      <c r="AE312" s="3" t="s">
        <v>6950</v>
      </c>
      <c r="AF312" s="2"/>
      <c r="AG312" s="1" t="s">
        <v>1582</v>
      </c>
      <c r="AH312" s="1" t="s">
        <v>6946</v>
      </c>
      <c r="AI312" s="2">
        <v>90.0</v>
      </c>
      <c r="AJ312" s="1" t="s">
        <v>1589</v>
      </c>
      <c r="AK312" s="1" t="s">
        <v>5877</v>
      </c>
      <c r="AL312" s="1" t="s">
        <v>5878</v>
      </c>
      <c r="AM312" s="2"/>
      <c r="AN312" s="2"/>
      <c r="AO312" s="2"/>
      <c r="AP312" s="2"/>
      <c r="AQ312" s="2"/>
      <c r="AR312" s="2"/>
      <c r="AS312" s="2"/>
      <c r="AT312" s="2"/>
      <c r="AU312" s="126">
        <v>24200.0</v>
      </c>
      <c r="AV312" s="126">
        <v>30250.0</v>
      </c>
      <c r="AW312" s="2"/>
      <c r="AX312" s="2"/>
      <c r="AY312" s="2"/>
      <c r="AZ312" s="2"/>
      <c r="BA312" s="2"/>
      <c r="BB312" s="2"/>
      <c r="BC312" s="2"/>
      <c r="BD312" s="2"/>
      <c r="BE312" s="2"/>
    </row>
    <row r="313" hidden="1">
      <c r="A313" s="2"/>
      <c r="B313" s="312" t="s">
        <v>6953</v>
      </c>
      <c r="C313" s="84"/>
      <c r="D313" s="11">
        <v>90.0</v>
      </c>
      <c r="E313" s="11" t="s">
        <v>367</v>
      </c>
      <c r="F313" s="153" t="s">
        <v>6423</v>
      </c>
      <c r="G313" s="306"/>
      <c r="H313" s="296"/>
      <c r="I313" s="139"/>
      <c r="J313" s="301"/>
      <c r="K313" s="296"/>
      <c r="L313" s="139"/>
      <c r="M313" s="301" t="s">
        <v>22</v>
      </c>
      <c r="N313" s="284">
        <v>0.12</v>
      </c>
      <c r="O313" s="296" t="s">
        <v>22</v>
      </c>
      <c r="P313" s="314" t="str">
        <f t="shared" ref="P313:Q313" si="305">O313</f>
        <v/>
      </c>
      <c r="Q313" s="303" t="str">
        <f t="shared" si="305"/>
        <v/>
      </c>
      <c r="R313" s="307"/>
      <c r="S313" s="308"/>
      <c r="T313" s="2"/>
      <c r="U313" s="59" t="str">
        <f t="shared" si="4"/>
        <v>нет з/ч</v>
      </c>
      <c r="V313" s="304" t="str">
        <f t="shared" si="293"/>
        <v>нет з/ч</v>
      </c>
      <c r="W313" s="2"/>
      <c r="X313" s="289"/>
      <c r="Y313" s="139"/>
      <c r="Z313" s="2"/>
      <c r="AA313" s="2"/>
      <c r="AB313" s="2"/>
      <c r="AC313" s="2"/>
      <c r="AD313" s="2"/>
      <c r="AE313" s="3" t="s">
        <v>6953</v>
      </c>
      <c r="AF313" s="2"/>
      <c r="AG313" s="1" t="s">
        <v>1582</v>
      </c>
      <c r="AH313" s="1" t="s">
        <v>6946</v>
      </c>
      <c r="AI313" s="2">
        <v>90.0</v>
      </c>
      <c r="AJ313" s="1" t="s">
        <v>1589</v>
      </c>
      <c r="AK313" s="1" t="s">
        <v>5877</v>
      </c>
      <c r="AL313" s="1" t="s">
        <v>5878</v>
      </c>
      <c r="AM313" s="2"/>
      <c r="AN313" s="2"/>
      <c r="AO313" s="2"/>
      <c r="AP313" s="2"/>
      <c r="AQ313" s="2"/>
      <c r="AR313" s="2"/>
      <c r="AS313" s="2"/>
      <c r="AT313" s="2"/>
      <c r="AU313" s="126" t="s">
        <v>22</v>
      </c>
      <c r="AV313" s="126" t="s">
        <v>22</v>
      </c>
      <c r="AW313" s="2"/>
      <c r="AX313" s="2"/>
      <c r="AY313" s="2"/>
      <c r="AZ313" s="2"/>
      <c r="BA313" s="2"/>
      <c r="BB313" s="2"/>
      <c r="BC313" s="2"/>
      <c r="BD313" s="2"/>
      <c r="BE313" s="2"/>
    </row>
    <row r="314" hidden="1">
      <c r="A314" s="2"/>
      <c r="B314" s="312" t="s">
        <v>6954</v>
      </c>
      <c r="C314" s="84"/>
      <c r="D314" s="11">
        <v>90.0</v>
      </c>
      <c r="E314" s="11" t="s">
        <v>367</v>
      </c>
      <c r="F314" s="153" t="s">
        <v>6423</v>
      </c>
      <c r="G314" s="306"/>
      <c r="H314" s="296"/>
      <c r="I314" s="139"/>
      <c r="J314" s="301"/>
      <c r="K314" s="296"/>
      <c r="L314" s="139"/>
      <c r="M314" s="301" t="s">
        <v>22</v>
      </c>
      <c r="N314" s="284">
        <v>0.12</v>
      </c>
      <c r="O314" s="296" t="s">
        <v>22</v>
      </c>
      <c r="P314" s="314" t="str">
        <f t="shared" ref="P314:Q314" si="306">O314</f>
        <v/>
      </c>
      <c r="Q314" s="303" t="str">
        <f t="shared" si="306"/>
        <v/>
      </c>
      <c r="R314" s="307"/>
      <c r="S314" s="308"/>
      <c r="T314" s="2"/>
      <c r="U314" s="59" t="str">
        <f t="shared" si="4"/>
        <v>нет з/ч</v>
      </c>
      <c r="V314" s="304" t="str">
        <f t="shared" si="293"/>
        <v>нет з/ч</v>
      </c>
      <c r="W314" s="2"/>
      <c r="X314" s="289"/>
      <c r="Y314" s="139"/>
      <c r="Z314" s="2"/>
      <c r="AA314" s="2"/>
      <c r="AB314" s="2"/>
      <c r="AC314" s="2"/>
      <c r="AD314" s="2"/>
      <c r="AE314" s="3" t="s">
        <v>6954</v>
      </c>
      <c r="AF314" s="2"/>
      <c r="AG314" s="1" t="s">
        <v>1582</v>
      </c>
      <c r="AH314" s="1" t="s">
        <v>6946</v>
      </c>
      <c r="AI314" s="2">
        <v>90.0</v>
      </c>
      <c r="AJ314" s="1" t="s">
        <v>1589</v>
      </c>
      <c r="AK314" s="1" t="s">
        <v>5877</v>
      </c>
      <c r="AL314" s="1" t="s">
        <v>5878</v>
      </c>
      <c r="AM314" s="2"/>
      <c r="AN314" s="2"/>
      <c r="AO314" s="2"/>
      <c r="AP314" s="2"/>
      <c r="AQ314" s="2"/>
      <c r="AR314" s="2"/>
      <c r="AS314" s="2"/>
      <c r="AT314" s="2"/>
      <c r="AU314" s="126" t="s">
        <v>22</v>
      </c>
      <c r="AV314" s="126" t="s">
        <v>22</v>
      </c>
      <c r="AW314" s="2"/>
      <c r="AX314" s="2"/>
      <c r="AY314" s="2"/>
      <c r="AZ314" s="2"/>
      <c r="BA314" s="2"/>
      <c r="BB314" s="2"/>
      <c r="BC314" s="2"/>
      <c r="BD314" s="2"/>
      <c r="BE314" s="2"/>
    </row>
    <row r="315" hidden="1">
      <c r="A315" s="2"/>
      <c r="B315" s="312" t="s">
        <v>6955</v>
      </c>
      <c r="C315" s="220"/>
      <c r="D315" s="11">
        <v>90.0</v>
      </c>
      <c r="E315" s="11" t="s">
        <v>374</v>
      </c>
      <c r="F315" s="11" t="s">
        <v>6423</v>
      </c>
      <c r="G315" s="295" t="s">
        <v>6956</v>
      </c>
      <c r="H315" s="296"/>
      <c r="I315" s="156">
        <v>31000.0</v>
      </c>
      <c r="J315" s="301"/>
      <c r="K315" s="296"/>
      <c r="L315" s="156">
        <v>30990.0</v>
      </c>
      <c r="M315" s="301">
        <v>31000.0</v>
      </c>
      <c r="N315" s="284">
        <v>0.25</v>
      </c>
      <c r="O315" s="296">
        <v>38750.0</v>
      </c>
      <c r="P315" s="314">
        <f t="shared" ref="P315:Q315" si="307">O315</f>
        <v>38750</v>
      </c>
      <c r="Q315" s="303">
        <f t="shared" si="307"/>
        <v>38750</v>
      </c>
      <c r="R315" s="299" t="s">
        <v>6957</v>
      </c>
      <c r="S315" s="300">
        <v>46140.56911254629</v>
      </c>
      <c r="T315" s="2"/>
      <c r="U315" s="289">
        <f t="shared" si="4"/>
        <v>7750</v>
      </c>
      <c r="V315" s="290">
        <f t="shared" ref="V315:V319" si="309">IF(L315&gt;0, Q1315 - L315, "нет з/ч")</f>
        <v>-30990</v>
      </c>
      <c r="W315" s="2"/>
      <c r="X315" s="289">
        <v>31000.0</v>
      </c>
      <c r="Y315" s="139">
        <v>30990.0</v>
      </c>
      <c r="Z315" s="2"/>
      <c r="AA315" s="2"/>
      <c r="AB315" s="2"/>
      <c r="AC315" s="2"/>
      <c r="AD315" s="2"/>
      <c r="AE315" s="3" t="s">
        <v>6955</v>
      </c>
      <c r="AF315" s="2"/>
      <c r="AG315" s="1" t="s">
        <v>1582</v>
      </c>
      <c r="AH315" s="1" t="s">
        <v>6958</v>
      </c>
      <c r="AI315" s="2">
        <v>90.0</v>
      </c>
      <c r="AJ315" s="1" t="s">
        <v>1589</v>
      </c>
      <c r="AK315" s="1" t="s">
        <v>5877</v>
      </c>
      <c r="AL315" s="1" t="s">
        <v>5878</v>
      </c>
      <c r="AM315" s="2"/>
      <c r="AN315" s="2"/>
      <c r="AO315" s="2"/>
      <c r="AP315" s="2"/>
      <c r="AQ315" s="2"/>
      <c r="AR315" s="2"/>
      <c r="AS315" s="2"/>
      <c r="AT315" s="2"/>
      <c r="AU315" s="126">
        <v>31000.0</v>
      </c>
      <c r="AV315" s="126">
        <v>38750.0</v>
      </c>
      <c r="AW315" s="2"/>
      <c r="AX315" s="2"/>
      <c r="AY315" s="2"/>
      <c r="AZ315" s="2"/>
      <c r="BA315" s="2"/>
      <c r="BB315" s="2"/>
      <c r="BC315" s="2"/>
      <c r="BD315" s="2"/>
      <c r="BE315" s="2"/>
    </row>
    <row r="316" hidden="1">
      <c r="A316" s="2"/>
      <c r="B316" s="312" t="s">
        <v>6959</v>
      </c>
      <c r="C316" s="84"/>
      <c r="D316" s="11">
        <v>90.0</v>
      </c>
      <c r="E316" s="11" t="s">
        <v>374</v>
      </c>
      <c r="F316" s="11" t="s">
        <v>6423</v>
      </c>
      <c r="G316" s="295" t="s">
        <v>6960</v>
      </c>
      <c r="H316" s="296"/>
      <c r="I316" s="156">
        <v>27500.0</v>
      </c>
      <c r="J316" s="301"/>
      <c r="K316" s="296"/>
      <c r="L316" s="139"/>
      <c r="M316" s="301">
        <v>27500.0</v>
      </c>
      <c r="N316" s="284">
        <v>0.25</v>
      </c>
      <c r="O316" s="296">
        <v>34400.0</v>
      </c>
      <c r="P316" s="314">
        <f t="shared" ref="P316:Q316" si="308">O316</f>
        <v>34400</v>
      </c>
      <c r="Q316" s="303">
        <f t="shared" si="308"/>
        <v>34400</v>
      </c>
      <c r="R316" s="299" t="s">
        <v>6961</v>
      </c>
      <c r="S316" s="300">
        <v>46140.56913251158</v>
      </c>
      <c r="T316" s="2"/>
      <c r="U316" s="289">
        <f t="shared" si="4"/>
        <v>6900</v>
      </c>
      <c r="V316" s="304" t="str">
        <f t="shared" si="309"/>
        <v>нет з/ч</v>
      </c>
      <c r="W316" s="2"/>
      <c r="X316" s="289">
        <v>27500.0</v>
      </c>
      <c r="Y316" s="139"/>
      <c r="Z316" s="2"/>
      <c r="AA316" s="2"/>
      <c r="AB316" s="2"/>
      <c r="AC316" s="2"/>
      <c r="AD316" s="2"/>
      <c r="AE316" s="3" t="s">
        <v>6959</v>
      </c>
      <c r="AF316" s="2"/>
      <c r="AG316" s="1" t="s">
        <v>1582</v>
      </c>
      <c r="AH316" s="1" t="s">
        <v>6958</v>
      </c>
      <c r="AI316" s="2">
        <v>90.0</v>
      </c>
      <c r="AJ316" s="1" t="s">
        <v>1589</v>
      </c>
      <c r="AK316" s="1" t="s">
        <v>5877</v>
      </c>
      <c r="AL316" s="1" t="s">
        <v>5878</v>
      </c>
      <c r="AM316" s="2"/>
      <c r="AN316" s="2"/>
      <c r="AO316" s="2"/>
      <c r="AP316" s="2"/>
      <c r="AQ316" s="2"/>
      <c r="AR316" s="2"/>
      <c r="AS316" s="2"/>
      <c r="AT316" s="2"/>
      <c r="AU316" s="126">
        <v>27500.0</v>
      </c>
      <c r="AV316" s="126">
        <v>34400.0</v>
      </c>
      <c r="AW316" s="2"/>
      <c r="AX316" s="2"/>
      <c r="AY316" s="2"/>
      <c r="AZ316" s="2"/>
      <c r="BA316" s="2"/>
      <c r="BB316" s="2"/>
      <c r="BC316" s="2"/>
      <c r="BD316" s="2"/>
      <c r="BE316" s="2"/>
    </row>
    <row r="317" hidden="1">
      <c r="A317" s="2"/>
      <c r="B317" s="312" t="s">
        <v>6962</v>
      </c>
      <c r="C317" s="84"/>
      <c r="D317" s="11">
        <v>90.0</v>
      </c>
      <c r="E317" s="11" t="s">
        <v>374</v>
      </c>
      <c r="F317" s="11" t="s">
        <v>6423</v>
      </c>
      <c r="G317" s="295" t="s">
        <v>6963</v>
      </c>
      <c r="H317" s="296"/>
      <c r="I317" s="156">
        <v>26900.0</v>
      </c>
      <c r="J317" s="301"/>
      <c r="K317" s="296"/>
      <c r="L317" s="139"/>
      <c r="M317" s="301">
        <v>26900.0</v>
      </c>
      <c r="N317" s="284">
        <v>0.25</v>
      </c>
      <c r="O317" s="296">
        <v>33650.0</v>
      </c>
      <c r="P317" s="314">
        <f t="shared" ref="P317:Q317" si="310">O317</f>
        <v>33650</v>
      </c>
      <c r="Q317" s="303">
        <f t="shared" si="310"/>
        <v>33650</v>
      </c>
      <c r="R317" s="299" t="s">
        <v>6964</v>
      </c>
      <c r="S317" s="300">
        <v>46140.56915229167</v>
      </c>
      <c r="T317" s="2"/>
      <c r="U317" s="289">
        <f t="shared" si="4"/>
        <v>6750</v>
      </c>
      <c r="V317" s="304" t="str">
        <f t="shared" si="309"/>
        <v>нет з/ч</v>
      </c>
      <c r="W317" s="2"/>
      <c r="X317" s="289">
        <v>26900.0</v>
      </c>
      <c r="Y317" s="139"/>
      <c r="Z317" s="2"/>
      <c r="AA317" s="2"/>
      <c r="AB317" s="2"/>
      <c r="AC317" s="2"/>
      <c r="AD317" s="2"/>
      <c r="AE317" s="3" t="s">
        <v>6962</v>
      </c>
      <c r="AF317" s="2"/>
      <c r="AG317" s="1" t="s">
        <v>1582</v>
      </c>
      <c r="AH317" s="1" t="s">
        <v>6958</v>
      </c>
      <c r="AI317" s="2">
        <v>90.0</v>
      </c>
      <c r="AJ317" s="1" t="s">
        <v>1589</v>
      </c>
      <c r="AK317" s="1" t="s">
        <v>5877</v>
      </c>
      <c r="AL317" s="1" t="s">
        <v>5878</v>
      </c>
      <c r="AM317" s="2"/>
      <c r="AN317" s="2"/>
      <c r="AO317" s="2"/>
      <c r="AP317" s="2"/>
      <c r="AQ317" s="2"/>
      <c r="AR317" s="2"/>
      <c r="AS317" s="2"/>
      <c r="AT317" s="2"/>
      <c r="AU317" s="126">
        <v>26900.0</v>
      </c>
      <c r="AV317" s="126">
        <v>33650.0</v>
      </c>
      <c r="AW317" s="2"/>
      <c r="AX317" s="2"/>
      <c r="AY317" s="2"/>
      <c r="AZ317" s="2"/>
      <c r="BA317" s="2"/>
      <c r="BB317" s="2"/>
      <c r="BC317" s="2"/>
      <c r="BD317" s="2"/>
      <c r="BE317" s="2"/>
    </row>
    <row r="318" hidden="1">
      <c r="A318" s="2"/>
      <c r="B318" s="312" t="s">
        <v>6965</v>
      </c>
      <c r="C318" s="84"/>
      <c r="D318" s="11">
        <v>90.0</v>
      </c>
      <c r="E318" s="11" t="s">
        <v>374</v>
      </c>
      <c r="F318" s="153" t="s">
        <v>6423</v>
      </c>
      <c r="G318" s="306"/>
      <c r="H318" s="296"/>
      <c r="I318" s="139"/>
      <c r="J318" s="301"/>
      <c r="K318" s="296"/>
      <c r="L318" s="139"/>
      <c r="M318" s="301" t="s">
        <v>22</v>
      </c>
      <c r="N318" s="284">
        <v>0.12</v>
      </c>
      <c r="O318" s="296" t="s">
        <v>22</v>
      </c>
      <c r="P318" s="314" t="str">
        <f t="shared" ref="P318:Q318" si="311">O318</f>
        <v/>
      </c>
      <c r="Q318" s="303" t="str">
        <f t="shared" si="311"/>
        <v/>
      </c>
      <c r="R318" s="307"/>
      <c r="S318" s="308"/>
      <c r="T318" s="2"/>
      <c r="U318" s="59" t="str">
        <f t="shared" si="4"/>
        <v>нет з/ч</v>
      </c>
      <c r="V318" s="304" t="str">
        <f t="shared" si="309"/>
        <v>нет з/ч</v>
      </c>
      <c r="W318" s="2"/>
      <c r="X318" s="289"/>
      <c r="Y318" s="139"/>
      <c r="Z318" s="2"/>
      <c r="AA318" s="2"/>
      <c r="AB318" s="2"/>
      <c r="AC318" s="2"/>
      <c r="AD318" s="2"/>
      <c r="AE318" s="3" t="s">
        <v>6965</v>
      </c>
      <c r="AF318" s="2"/>
      <c r="AG318" s="1" t="s">
        <v>1582</v>
      </c>
      <c r="AH318" s="1" t="s">
        <v>6958</v>
      </c>
      <c r="AI318" s="2">
        <v>90.0</v>
      </c>
      <c r="AJ318" s="1" t="s">
        <v>1589</v>
      </c>
      <c r="AK318" s="1" t="s">
        <v>5877</v>
      </c>
      <c r="AL318" s="1" t="s">
        <v>5878</v>
      </c>
      <c r="AM318" s="2"/>
      <c r="AN318" s="2"/>
      <c r="AO318" s="2"/>
      <c r="AP318" s="2"/>
      <c r="AQ318" s="2"/>
      <c r="AR318" s="2"/>
      <c r="AS318" s="2"/>
      <c r="AT318" s="2"/>
      <c r="AU318" s="126" t="s">
        <v>22</v>
      </c>
      <c r="AV318" s="126" t="s">
        <v>22</v>
      </c>
      <c r="AW318" s="2"/>
      <c r="AX318" s="2"/>
      <c r="AY318" s="2"/>
      <c r="AZ318" s="2"/>
      <c r="BA318" s="2"/>
      <c r="BB318" s="2"/>
      <c r="BC318" s="2"/>
      <c r="BD318" s="2"/>
      <c r="BE318" s="2"/>
    </row>
    <row r="319" hidden="1">
      <c r="A319" s="2"/>
      <c r="B319" s="312" t="s">
        <v>6966</v>
      </c>
      <c r="C319" s="84"/>
      <c r="D319" s="11">
        <v>90.0</v>
      </c>
      <c r="E319" s="11" t="s">
        <v>374</v>
      </c>
      <c r="F319" s="153" t="s">
        <v>6423</v>
      </c>
      <c r="G319" s="306"/>
      <c r="H319" s="296"/>
      <c r="I319" s="139"/>
      <c r="J319" s="301"/>
      <c r="K319" s="296"/>
      <c r="L319" s="139"/>
      <c r="M319" s="301" t="s">
        <v>22</v>
      </c>
      <c r="N319" s="284">
        <v>0.12</v>
      </c>
      <c r="O319" s="296" t="s">
        <v>22</v>
      </c>
      <c r="P319" s="314" t="str">
        <f t="shared" ref="P319:Q319" si="312">O319</f>
        <v/>
      </c>
      <c r="Q319" s="303" t="str">
        <f t="shared" si="312"/>
        <v/>
      </c>
      <c r="R319" s="307"/>
      <c r="S319" s="308"/>
      <c r="T319" s="2"/>
      <c r="U319" s="59" t="str">
        <f t="shared" si="4"/>
        <v>нет з/ч</v>
      </c>
      <c r="V319" s="304" t="str">
        <f t="shared" si="309"/>
        <v>нет з/ч</v>
      </c>
      <c r="W319" s="2"/>
      <c r="X319" s="289"/>
      <c r="Y319" s="139"/>
      <c r="Z319" s="2"/>
      <c r="AA319" s="2"/>
      <c r="AB319" s="2"/>
      <c r="AC319" s="2"/>
      <c r="AD319" s="2"/>
      <c r="AE319" s="3" t="s">
        <v>6966</v>
      </c>
      <c r="AF319" s="2"/>
      <c r="AG319" s="1" t="s">
        <v>1582</v>
      </c>
      <c r="AH319" s="1" t="s">
        <v>6958</v>
      </c>
      <c r="AI319" s="2">
        <v>90.0</v>
      </c>
      <c r="AJ319" s="1" t="s">
        <v>1589</v>
      </c>
      <c r="AK319" s="1" t="s">
        <v>5877</v>
      </c>
      <c r="AL319" s="1" t="s">
        <v>5878</v>
      </c>
      <c r="AM319" s="2"/>
      <c r="AN319" s="2"/>
      <c r="AO319" s="2"/>
      <c r="AP319" s="2"/>
      <c r="AQ319" s="2"/>
      <c r="AR319" s="2"/>
      <c r="AS319" s="2"/>
      <c r="AT319" s="2"/>
      <c r="AU319" s="126" t="s">
        <v>22</v>
      </c>
      <c r="AV319" s="126" t="s">
        <v>22</v>
      </c>
      <c r="AW319" s="2"/>
      <c r="AX319" s="2"/>
      <c r="AY319" s="2"/>
      <c r="AZ319" s="2"/>
      <c r="BA319" s="2"/>
      <c r="BB319" s="2"/>
      <c r="BC319" s="2"/>
      <c r="BD319" s="2"/>
      <c r="BE319" s="2"/>
    </row>
    <row r="320" hidden="1">
      <c r="A320" s="2"/>
      <c r="B320" s="312" t="s">
        <v>6967</v>
      </c>
      <c r="C320" s="220" t="s">
        <v>6968</v>
      </c>
      <c r="D320" s="11">
        <v>180.0</v>
      </c>
      <c r="E320" s="11" t="s">
        <v>125</v>
      </c>
      <c r="F320" s="11" t="s">
        <v>6969</v>
      </c>
      <c r="G320" s="295" t="s">
        <v>6970</v>
      </c>
      <c r="H320" s="296"/>
      <c r="I320" s="156">
        <v>200.0</v>
      </c>
      <c r="J320" s="301"/>
      <c r="K320" s="296"/>
      <c r="L320" s="156">
        <v>120.0</v>
      </c>
      <c r="M320" s="301">
        <v>200.0</v>
      </c>
      <c r="N320" s="284">
        <v>1.0</v>
      </c>
      <c r="O320" s="296">
        <v>400.0</v>
      </c>
      <c r="P320" s="313">
        <f>MAX(O320:O323)</f>
        <v>400</v>
      </c>
      <c r="Q320" s="303">
        <f>P320</f>
        <v>400</v>
      </c>
      <c r="R320" s="299" t="s">
        <v>6971</v>
      </c>
      <c r="S320" s="300">
        <v>46141.373806504635</v>
      </c>
      <c r="T320" s="2"/>
      <c r="U320" s="289">
        <f t="shared" si="4"/>
        <v>200</v>
      </c>
      <c r="V320" s="290">
        <f t="shared" ref="V320:V323" si="313">IF(L320&gt;0, Q1325 - L320, "нет з/ч")</f>
        <v>-120</v>
      </c>
      <c r="W320" s="2"/>
      <c r="X320" s="289">
        <v>200.0</v>
      </c>
      <c r="Y320" s="139">
        <v>120.0</v>
      </c>
      <c r="Z320" s="2"/>
      <c r="AA320" s="2" t="s">
        <v>6968</v>
      </c>
      <c r="AB320" s="2" t="s">
        <v>6968</v>
      </c>
      <c r="AC320" s="2"/>
      <c r="AD320" s="2" t="s">
        <v>6968</v>
      </c>
      <c r="AE320" s="3" t="s">
        <v>6967</v>
      </c>
      <c r="AF320" s="2"/>
      <c r="AG320" s="1" t="s">
        <v>1582</v>
      </c>
      <c r="AH320" s="1" t="s">
        <v>5923</v>
      </c>
      <c r="AI320" s="2">
        <v>180.0</v>
      </c>
      <c r="AJ320" s="1" t="s">
        <v>1589</v>
      </c>
      <c r="AK320" s="1" t="s">
        <v>5878</v>
      </c>
      <c r="AL320" s="1" t="s">
        <v>5878</v>
      </c>
      <c r="AM320" s="2"/>
      <c r="AN320" s="2"/>
      <c r="AO320" s="2"/>
      <c r="AP320" s="2"/>
      <c r="AQ320" s="2"/>
      <c r="AR320" s="2"/>
      <c r="AS320" s="2"/>
      <c r="AT320" s="2"/>
      <c r="AU320" s="126">
        <v>200.0</v>
      </c>
      <c r="AV320" s="126">
        <v>400.0</v>
      </c>
      <c r="AW320" s="2"/>
      <c r="AX320" s="2"/>
      <c r="AY320" s="2"/>
      <c r="AZ320" s="2"/>
      <c r="BA320" s="2"/>
      <c r="BB320" s="2"/>
      <c r="BC320" s="2"/>
      <c r="BD320" s="2"/>
      <c r="BE320" s="2"/>
    </row>
    <row r="321" hidden="1">
      <c r="A321" s="2"/>
      <c r="B321" s="312" t="s">
        <v>6972</v>
      </c>
      <c r="C321" s="220" t="s">
        <v>6973</v>
      </c>
      <c r="D321" s="11">
        <v>180.0</v>
      </c>
      <c r="E321" s="11" t="s">
        <v>125</v>
      </c>
      <c r="F321" s="11" t="s">
        <v>6969</v>
      </c>
      <c r="G321" s="295" t="s">
        <v>6974</v>
      </c>
      <c r="H321" s="296"/>
      <c r="I321" s="156">
        <v>200.0</v>
      </c>
      <c r="J321" s="301"/>
      <c r="K321" s="296"/>
      <c r="L321" s="156">
        <v>120.0</v>
      </c>
      <c r="M321" s="301">
        <v>200.0</v>
      </c>
      <c r="N321" s="284">
        <v>1.0</v>
      </c>
      <c r="O321" s="296">
        <v>400.0</v>
      </c>
      <c r="P321" s="104"/>
      <c r="Q321" s="303">
        <f>P320</f>
        <v>400</v>
      </c>
      <c r="R321" s="299" t="s">
        <v>6975</v>
      </c>
      <c r="S321" s="300">
        <v>46141.37386320602</v>
      </c>
      <c r="T321" s="2"/>
      <c r="U321" s="289">
        <f t="shared" si="4"/>
        <v>200</v>
      </c>
      <c r="V321" s="290">
        <f t="shared" si="313"/>
        <v>-120</v>
      </c>
      <c r="W321" s="2"/>
      <c r="X321" s="289">
        <v>200.0</v>
      </c>
      <c r="Y321" s="139">
        <v>120.0</v>
      </c>
      <c r="Z321" s="2"/>
      <c r="AA321" s="2" t="s">
        <v>6973</v>
      </c>
      <c r="AB321" s="2" t="s">
        <v>6973</v>
      </c>
      <c r="AC321" s="2"/>
      <c r="AD321" s="2" t="s">
        <v>6973</v>
      </c>
      <c r="AE321" s="3" t="s">
        <v>6972</v>
      </c>
      <c r="AF321" s="2"/>
      <c r="AG321" s="1" t="s">
        <v>1582</v>
      </c>
      <c r="AH321" s="1" t="s">
        <v>5923</v>
      </c>
      <c r="AI321" s="2">
        <v>180.0</v>
      </c>
      <c r="AJ321" s="1" t="s">
        <v>1589</v>
      </c>
      <c r="AK321" s="1" t="s">
        <v>5878</v>
      </c>
      <c r="AL321" s="1" t="s">
        <v>5878</v>
      </c>
      <c r="AM321" s="2"/>
      <c r="AN321" s="2"/>
      <c r="AO321" s="2"/>
      <c r="AP321" s="2"/>
      <c r="AQ321" s="2"/>
      <c r="AR321" s="2"/>
      <c r="AS321" s="2"/>
      <c r="AT321" s="2"/>
      <c r="AU321" s="126">
        <v>200.0</v>
      </c>
      <c r="AV321" s="126">
        <v>400.0</v>
      </c>
      <c r="AW321" s="2"/>
      <c r="AX321" s="2"/>
      <c r="AY321" s="2"/>
      <c r="AZ321" s="2"/>
      <c r="BA321" s="2"/>
      <c r="BB321" s="2"/>
      <c r="BC321" s="2"/>
      <c r="BD321" s="2"/>
      <c r="BE321" s="2"/>
    </row>
    <row r="322" hidden="1">
      <c r="A322" s="2"/>
      <c r="B322" s="312" t="s">
        <v>6976</v>
      </c>
      <c r="C322" s="220" t="s">
        <v>6977</v>
      </c>
      <c r="D322" s="11">
        <v>180.0</v>
      </c>
      <c r="E322" s="11" t="s">
        <v>125</v>
      </c>
      <c r="F322" s="11" t="s">
        <v>6969</v>
      </c>
      <c r="G322" s="295" t="s">
        <v>6978</v>
      </c>
      <c r="H322" s="296"/>
      <c r="I322" s="156">
        <v>200.0</v>
      </c>
      <c r="J322" s="301"/>
      <c r="K322" s="296"/>
      <c r="L322" s="156">
        <v>120.0</v>
      </c>
      <c r="M322" s="301">
        <v>200.0</v>
      </c>
      <c r="N322" s="284">
        <v>1.0</v>
      </c>
      <c r="O322" s="296">
        <v>400.0</v>
      </c>
      <c r="P322" s="104"/>
      <c r="Q322" s="303">
        <f>P320</f>
        <v>400</v>
      </c>
      <c r="R322" s="299" t="s">
        <v>6979</v>
      </c>
      <c r="S322" s="300">
        <v>46141.37391333333</v>
      </c>
      <c r="T322" s="2"/>
      <c r="U322" s="289">
        <f t="shared" si="4"/>
        <v>200</v>
      </c>
      <c r="V322" s="290">
        <f t="shared" si="313"/>
        <v>-120</v>
      </c>
      <c r="W322" s="2"/>
      <c r="X322" s="289">
        <v>200.0</v>
      </c>
      <c r="Y322" s="139">
        <v>120.0</v>
      </c>
      <c r="Z322" s="2"/>
      <c r="AA322" s="2" t="s">
        <v>6977</v>
      </c>
      <c r="AB322" s="2" t="s">
        <v>6977</v>
      </c>
      <c r="AC322" s="2"/>
      <c r="AD322" s="2" t="s">
        <v>6977</v>
      </c>
      <c r="AE322" s="3" t="s">
        <v>6976</v>
      </c>
      <c r="AF322" s="2"/>
      <c r="AG322" s="1" t="s">
        <v>1582</v>
      </c>
      <c r="AH322" s="1" t="s">
        <v>5923</v>
      </c>
      <c r="AI322" s="2">
        <v>180.0</v>
      </c>
      <c r="AJ322" s="1" t="s">
        <v>1589</v>
      </c>
      <c r="AK322" s="1" t="s">
        <v>5878</v>
      </c>
      <c r="AL322" s="1" t="s">
        <v>5878</v>
      </c>
      <c r="AM322" s="2"/>
      <c r="AN322" s="2"/>
      <c r="AO322" s="2"/>
      <c r="AP322" s="2"/>
      <c r="AQ322" s="2"/>
      <c r="AR322" s="2"/>
      <c r="AS322" s="2"/>
      <c r="AT322" s="2"/>
      <c r="AU322" s="126">
        <v>200.0</v>
      </c>
      <c r="AV322" s="126">
        <v>400.0</v>
      </c>
      <c r="AW322" s="2"/>
      <c r="AX322" s="2"/>
      <c r="AY322" s="2"/>
      <c r="AZ322" s="2"/>
      <c r="BA322" s="2"/>
      <c r="BB322" s="2"/>
      <c r="BC322" s="2"/>
      <c r="BD322" s="2"/>
      <c r="BE322" s="2"/>
    </row>
    <row r="323" hidden="1">
      <c r="A323" s="2"/>
      <c r="B323" s="312" t="s">
        <v>6980</v>
      </c>
      <c r="C323" s="84"/>
      <c r="D323" s="11">
        <v>180.0</v>
      </c>
      <c r="E323" s="11" t="s">
        <v>125</v>
      </c>
      <c r="F323" s="11" t="s">
        <v>6969</v>
      </c>
      <c r="G323" s="295" t="s">
        <v>6981</v>
      </c>
      <c r="H323" s="296"/>
      <c r="I323" s="156">
        <v>200.0</v>
      </c>
      <c r="J323" s="301"/>
      <c r="K323" s="296"/>
      <c r="L323" s="156">
        <v>120.0</v>
      </c>
      <c r="M323" s="301">
        <v>200.0</v>
      </c>
      <c r="N323" s="284">
        <v>1.0</v>
      </c>
      <c r="O323" s="296">
        <v>400.0</v>
      </c>
      <c r="P323" s="67"/>
      <c r="Q323" s="303">
        <f>P320</f>
        <v>400</v>
      </c>
      <c r="R323" s="299" t="s">
        <v>6982</v>
      </c>
      <c r="S323" s="300">
        <v>46141.37396268519</v>
      </c>
      <c r="T323" s="2"/>
      <c r="U323" s="289">
        <f t="shared" si="4"/>
        <v>200</v>
      </c>
      <c r="V323" s="290">
        <f t="shared" si="313"/>
        <v>-120</v>
      </c>
      <c r="W323" s="2"/>
      <c r="X323" s="289">
        <v>200.0</v>
      </c>
      <c r="Y323" s="139">
        <v>120.0</v>
      </c>
      <c r="Z323" s="2"/>
      <c r="AA323" s="2"/>
      <c r="AB323" s="2"/>
      <c r="AC323" s="2"/>
      <c r="AD323" s="2"/>
      <c r="AE323" s="3" t="s">
        <v>6980</v>
      </c>
      <c r="AF323" s="2"/>
      <c r="AG323" s="1" t="s">
        <v>1582</v>
      </c>
      <c r="AH323" s="1" t="s">
        <v>5923</v>
      </c>
      <c r="AI323" s="2">
        <v>180.0</v>
      </c>
      <c r="AJ323" s="1" t="s">
        <v>1589</v>
      </c>
      <c r="AK323" s="1" t="s">
        <v>5878</v>
      </c>
      <c r="AL323" s="1" t="s">
        <v>5878</v>
      </c>
      <c r="AM323" s="2"/>
      <c r="AN323" s="2"/>
      <c r="AO323" s="2"/>
      <c r="AP323" s="2"/>
      <c r="AQ323" s="2"/>
      <c r="AR323" s="2"/>
      <c r="AS323" s="2"/>
      <c r="AT323" s="2"/>
      <c r="AU323" s="126">
        <v>200.0</v>
      </c>
      <c r="AV323" s="126">
        <v>400.0</v>
      </c>
      <c r="AW323" s="2"/>
      <c r="AX323" s="2"/>
      <c r="AY323" s="2"/>
      <c r="AZ323" s="2"/>
      <c r="BA323" s="2"/>
      <c r="BB323" s="2"/>
      <c r="BC323" s="2"/>
      <c r="BD323" s="2"/>
      <c r="BE323" s="2"/>
    </row>
    <row r="324" hidden="1">
      <c r="A324" s="2"/>
      <c r="B324" s="312" t="s">
        <v>6983</v>
      </c>
      <c r="C324" s="220" t="s">
        <v>6984</v>
      </c>
      <c r="D324" s="11">
        <v>180.0</v>
      </c>
      <c r="E324" s="11" t="s">
        <v>132</v>
      </c>
      <c r="F324" s="11" t="s">
        <v>6969</v>
      </c>
      <c r="G324" s="295" t="s">
        <v>6985</v>
      </c>
      <c r="H324" s="296"/>
      <c r="I324" s="156">
        <v>200.0</v>
      </c>
      <c r="J324" s="301"/>
      <c r="K324" s="296"/>
      <c r="L324" s="156">
        <v>120.0</v>
      </c>
      <c r="M324" s="301">
        <v>200.0</v>
      </c>
      <c r="N324" s="284">
        <v>3.5</v>
      </c>
      <c r="O324" s="296">
        <v>900.0</v>
      </c>
      <c r="P324" s="313">
        <f>MAX(O324:O327)</f>
        <v>900</v>
      </c>
      <c r="Q324" s="303">
        <f>P324</f>
        <v>900</v>
      </c>
      <c r="R324" s="299" t="s">
        <v>6986</v>
      </c>
      <c r="S324" s="300">
        <v>46141.37401584491</v>
      </c>
      <c r="T324" s="2"/>
      <c r="U324" s="289">
        <f t="shared" si="4"/>
        <v>700</v>
      </c>
      <c r="V324" s="290">
        <f t="shared" ref="V324:V327" si="314">IF(L324&gt;0, Q1333 - L324, "нет з/ч")</f>
        <v>-120</v>
      </c>
      <c r="W324" s="2"/>
      <c r="X324" s="289">
        <v>200.0</v>
      </c>
      <c r="Y324" s="139">
        <v>120.0</v>
      </c>
      <c r="Z324" s="2"/>
      <c r="AA324" s="2" t="s">
        <v>6984</v>
      </c>
      <c r="AB324" s="2" t="s">
        <v>6984</v>
      </c>
      <c r="AC324" s="2"/>
      <c r="AD324" s="2" t="s">
        <v>6984</v>
      </c>
      <c r="AE324" s="3" t="s">
        <v>6983</v>
      </c>
      <c r="AF324" s="2"/>
      <c r="AG324" s="1" t="s">
        <v>1582</v>
      </c>
      <c r="AH324" s="1" t="s">
        <v>5928</v>
      </c>
      <c r="AI324" s="2">
        <v>180.0</v>
      </c>
      <c r="AJ324" s="1" t="s">
        <v>1589</v>
      </c>
      <c r="AK324" s="1" t="s">
        <v>5878</v>
      </c>
      <c r="AL324" s="1" t="s">
        <v>5878</v>
      </c>
      <c r="AM324" s="2"/>
      <c r="AN324" s="2"/>
      <c r="AO324" s="2"/>
      <c r="AP324" s="2"/>
      <c r="AQ324" s="2"/>
      <c r="AR324" s="2"/>
      <c r="AS324" s="2"/>
      <c r="AT324" s="2"/>
      <c r="AU324" s="126">
        <v>200.0</v>
      </c>
      <c r="AV324" s="126">
        <v>900.0</v>
      </c>
      <c r="AW324" s="2"/>
      <c r="AX324" s="2"/>
      <c r="AY324" s="2"/>
      <c r="AZ324" s="2"/>
      <c r="BA324" s="2"/>
      <c r="BB324" s="2"/>
      <c r="BC324" s="2"/>
      <c r="BD324" s="2"/>
      <c r="BE324" s="2"/>
    </row>
    <row r="325" hidden="1">
      <c r="A325" s="2"/>
      <c r="B325" s="312" t="s">
        <v>6987</v>
      </c>
      <c r="C325" s="220" t="s">
        <v>6988</v>
      </c>
      <c r="D325" s="11">
        <v>180.0</v>
      </c>
      <c r="E325" s="11" t="s">
        <v>132</v>
      </c>
      <c r="F325" s="11" t="s">
        <v>6969</v>
      </c>
      <c r="G325" s="295" t="s">
        <v>6989</v>
      </c>
      <c r="H325" s="296"/>
      <c r="I325" s="156">
        <v>200.0</v>
      </c>
      <c r="J325" s="301"/>
      <c r="K325" s="296"/>
      <c r="L325" s="156">
        <v>120.0</v>
      </c>
      <c r="M325" s="301">
        <v>200.0</v>
      </c>
      <c r="N325" s="284">
        <v>3.5</v>
      </c>
      <c r="O325" s="296">
        <v>900.0</v>
      </c>
      <c r="P325" s="104"/>
      <c r="Q325" s="303">
        <f>P324</f>
        <v>900</v>
      </c>
      <c r="R325" s="299" t="s">
        <v>6990</v>
      </c>
      <c r="S325" s="300">
        <v>46141.374066979166</v>
      </c>
      <c r="T325" s="2"/>
      <c r="U325" s="289">
        <f t="shared" si="4"/>
        <v>700</v>
      </c>
      <c r="V325" s="290">
        <f t="shared" si="314"/>
        <v>-120</v>
      </c>
      <c r="W325" s="2"/>
      <c r="X325" s="289">
        <v>200.0</v>
      </c>
      <c r="Y325" s="139">
        <v>120.0</v>
      </c>
      <c r="Z325" s="2"/>
      <c r="AA325" s="2" t="s">
        <v>6988</v>
      </c>
      <c r="AB325" s="2" t="s">
        <v>6988</v>
      </c>
      <c r="AC325" s="2"/>
      <c r="AD325" s="2" t="s">
        <v>6988</v>
      </c>
      <c r="AE325" s="3" t="s">
        <v>6987</v>
      </c>
      <c r="AF325" s="2"/>
      <c r="AG325" s="1" t="s">
        <v>1582</v>
      </c>
      <c r="AH325" s="1" t="s">
        <v>5928</v>
      </c>
      <c r="AI325" s="2">
        <v>180.0</v>
      </c>
      <c r="AJ325" s="1" t="s">
        <v>1589</v>
      </c>
      <c r="AK325" s="1" t="s">
        <v>5878</v>
      </c>
      <c r="AL325" s="1" t="s">
        <v>5878</v>
      </c>
      <c r="AM325" s="2"/>
      <c r="AN325" s="2"/>
      <c r="AO325" s="2"/>
      <c r="AP325" s="2"/>
      <c r="AQ325" s="2"/>
      <c r="AR325" s="2"/>
      <c r="AS325" s="2"/>
      <c r="AT325" s="2"/>
      <c r="AU325" s="126">
        <v>200.0</v>
      </c>
      <c r="AV325" s="126">
        <v>900.0</v>
      </c>
      <c r="AW325" s="2"/>
      <c r="AX325" s="2"/>
      <c r="AY325" s="2"/>
      <c r="AZ325" s="2"/>
      <c r="BA325" s="2"/>
      <c r="BB325" s="2"/>
      <c r="BC325" s="2"/>
      <c r="BD325" s="2"/>
      <c r="BE325" s="2"/>
    </row>
    <row r="326" hidden="1">
      <c r="A326" s="2"/>
      <c r="B326" s="312" t="s">
        <v>6991</v>
      </c>
      <c r="C326" s="220" t="s">
        <v>6992</v>
      </c>
      <c r="D326" s="11">
        <v>180.0</v>
      </c>
      <c r="E326" s="11" t="s">
        <v>132</v>
      </c>
      <c r="F326" s="11" t="s">
        <v>6969</v>
      </c>
      <c r="G326" s="295" t="s">
        <v>6993</v>
      </c>
      <c r="H326" s="296"/>
      <c r="I326" s="156">
        <v>200.0</v>
      </c>
      <c r="J326" s="301"/>
      <c r="K326" s="296"/>
      <c r="L326" s="156">
        <v>120.0</v>
      </c>
      <c r="M326" s="301">
        <v>200.0</v>
      </c>
      <c r="N326" s="284">
        <v>3.5</v>
      </c>
      <c r="O326" s="296">
        <v>900.0</v>
      </c>
      <c r="P326" s="104"/>
      <c r="Q326" s="303">
        <f>P324</f>
        <v>900</v>
      </c>
      <c r="R326" s="299" t="s">
        <v>6994</v>
      </c>
      <c r="S326" s="300">
        <v>46141.37411766204</v>
      </c>
      <c r="T326" s="2"/>
      <c r="U326" s="289">
        <f t="shared" si="4"/>
        <v>700</v>
      </c>
      <c r="V326" s="290">
        <f t="shared" si="314"/>
        <v>-120</v>
      </c>
      <c r="W326" s="2"/>
      <c r="X326" s="289">
        <v>200.0</v>
      </c>
      <c r="Y326" s="139">
        <v>120.0</v>
      </c>
      <c r="Z326" s="2"/>
      <c r="AA326" s="2" t="s">
        <v>6992</v>
      </c>
      <c r="AB326" s="2" t="s">
        <v>6992</v>
      </c>
      <c r="AC326" s="2"/>
      <c r="AD326" s="2" t="s">
        <v>6992</v>
      </c>
      <c r="AE326" s="3" t="s">
        <v>6991</v>
      </c>
      <c r="AF326" s="2"/>
      <c r="AG326" s="1" t="s">
        <v>1582</v>
      </c>
      <c r="AH326" s="1" t="s">
        <v>5928</v>
      </c>
      <c r="AI326" s="2">
        <v>180.0</v>
      </c>
      <c r="AJ326" s="1" t="s">
        <v>1589</v>
      </c>
      <c r="AK326" s="1" t="s">
        <v>5878</v>
      </c>
      <c r="AL326" s="1" t="s">
        <v>5878</v>
      </c>
      <c r="AM326" s="2"/>
      <c r="AN326" s="2"/>
      <c r="AO326" s="2"/>
      <c r="AP326" s="2"/>
      <c r="AQ326" s="2"/>
      <c r="AR326" s="2"/>
      <c r="AS326" s="2"/>
      <c r="AT326" s="2"/>
      <c r="AU326" s="126">
        <v>200.0</v>
      </c>
      <c r="AV326" s="126">
        <v>900.0</v>
      </c>
      <c r="AW326" s="2"/>
      <c r="AX326" s="2"/>
      <c r="AY326" s="2"/>
      <c r="AZ326" s="2"/>
      <c r="BA326" s="2"/>
      <c r="BB326" s="2"/>
      <c r="BC326" s="2"/>
      <c r="BD326" s="2"/>
      <c r="BE326" s="2"/>
    </row>
    <row r="327" hidden="1">
      <c r="A327" s="2"/>
      <c r="B327" s="312" t="s">
        <v>6995</v>
      </c>
      <c r="C327" s="220" t="s">
        <v>6996</v>
      </c>
      <c r="D327" s="11">
        <v>180.0</v>
      </c>
      <c r="E327" s="11" t="s">
        <v>132</v>
      </c>
      <c r="F327" s="11" t="s">
        <v>6969</v>
      </c>
      <c r="G327" s="295" t="s">
        <v>6997</v>
      </c>
      <c r="H327" s="296"/>
      <c r="I327" s="156">
        <v>200.0</v>
      </c>
      <c r="J327" s="301"/>
      <c r="K327" s="296"/>
      <c r="L327" s="156">
        <v>120.0</v>
      </c>
      <c r="M327" s="301">
        <v>200.0</v>
      </c>
      <c r="N327" s="284">
        <v>3.5</v>
      </c>
      <c r="O327" s="296">
        <v>900.0</v>
      </c>
      <c r="P327" s="67"/>
      <c r="Q327" s="303">
        <f>P324</f>
        <v>900</v>
      </c>
      <c r="R327" s="299" t="s">
        <v>6998</v>
      </c>
      <c r="S327" s="300">
        <v>46141.37417027778</v>
      </c>
      <c r="T327" s="2"/>
      <c r="U327" s="289">
        <f t="shared" si="4"/>
        <v>700</v>
      </c>
      <c r="V327" s="290">
        <f t="shared" si="314"/>
        <v>-120</v>
      </c>
      <c r="W327" s="2"/>
      <c r="X327" s="289">
        <v>200.0</v>
      </c>
      <c r="Y327" s="139">
        <v>120.0</v>
      </c>
      <c r="Z327" s="2"/>
      <c r="AA327" s="2" t="s">
        <v>6996</v>
      </c>
      <c r="AB327" s="2" t="s">
        <v>6996</v>
      </c>
      <c r="AC327" s="2"/>
      <c r="AD327" s="2" t="s">
        <v>6996</v>
      </c>
      <c r="AE327" s="3" t="s">
        <v>6995</v>
      </c>
      <c r="AF327" s="2"/>
      <c r="AG327" s="1" t="s">
        <v>1582</v>
      </c>
      <c r="AH327" s="1" t="s">
        <v>5928</v>
      </c>
      <c r="AI327" s="2">
        <v>180.0</v>
      </c>
      <c r="AJ327" s="1" t="s">
        <v>1589</v>
      </c>
      <c r="AK327" s="1" t="s">
        <v>5878</v>
      </c>
      <c r="AL327" s="1" t="s">
        <v>5878</v>
      </c>
      <c r="AM327" s="2"/>
      <c r="AN327" s="2"/>
      <c r="AO327" s="2"/>
      <c r="AP327" s="2"/>
      <c r="AQ327" s="2"/>
      <c r="AR327" s="2"/>
      <c r="AS327" s="2"/>
      <c r="AT327" s="2"/>
      <c r="AU327" s="126">
        <v>200.0</v>
      </c>
      <c r="AV327" s="126">
        <v>900.0</v>
      </c>
      <c r="AW327" s="2"/>
      <c r="AX327" s="2"/>
      <c r="AY327" s="2"/>
      <c r="AZ327" s="2"/>
      <c r="BA327" s="2"/>
      <c r="BB327" s="2"/>
      <c r="BC327" s="2"/>
      <c r="BD327" s="2"/>
      <c r="BE327" s="2"/>
    </row>
    <row r="328" hidden="1">
      <c r="A328" s="2"/>
      <c r="B328" s="312" t="s">
        <v>6999</v>
      </c>
      <c r="C328" s="84"/>
      <c r="D328" s="11">
        <v>180.0</v>
      </c>
      <c r="E328" s="11" t="s">
        <v>139</v>
      </c>
      <c r="F328" s="11" t="s">
        <v>6969</v>
      </c>
      <c r="G328" s="295" t="s">
        <v>7000</v>
      </c>
      <c r="H328" s="296"/>
      <c r="I328" s="156">
        <v>200.0</v>
      </c>
      <c r="J328" s="301"/>
      <c r="K328" s="296"/>
      <c r="L328" s="156">
        <v>120.0</v>
      </c>
      <c r="M328" s="301">
        <v>200.0</v>
      </c>
      <c r="N328" s="284">
        <v>6.0</v>
      </c>
      <c r="O328" s="296">
        <v>1400.0</v>
      </c>
      <c r="P328" s="313">
        <f>MAX(O328:O330)</f>
        <v>1400</v>
      </c>
      <c r="Q328" s="303">
        <f>P328</f>
        <v>1400</v>
      </c>
      <c r="R328" s="299" t="s">
        <v>7001</v>
      </c>
      <c r="S328" s="300">
        <v>46141.37421952546</v>
      </c>
      <c r="T328" s="2"/>
      <c r="U328" s="289">
        <f t="shared" si="4"/>
        <v>1200</v>
      </c>
      <c r="V328" s="290">
        <f t="shared" ref="V328:V330" si="315">IF(L328&gt;0, Q1340 - L328, "нет з/ч")</f>
        <v>-120</v>
      </c>
      <c r="W328" s="2"/>
      <c r="X328" s="289">
        <v>200.0</v>
      </c>
      <c r="Y328" s="139">
        <v>120.0</v>
      </c>
      <c r="Z328" s="2"/>
      <c r="AA328" s="2"/>
      <c r="AB328" s="2"/>
      <c r="AC328" s="2"/>
      <c r="AD328" s="2"/>
      <c r="AE328" s="3" t="s">
        <v>6999</v>
      </c>
      <c r="AF328" s="2"/>
      <c r="AG328" s="1" t="s">
        <v>1582</v>
      </c>
      <c r="AH328" s="1" t="s">
        <v>5933</v>
      </c>
      <c r="AI328" s="2">
        <v>180.0</v>
      </c>
      <c r="AJ328" s="1" t="s">
        <v>1589</v>
      </c>
      <c r="AK328" s="1" t="s">
        <v>5878</v>
      </c>
      <c r="AL328" s="1" t="s">
        <v>5878</v>
      </c>
      <c r="AM328" s="2"/>
      <c r="AN328" s="2"/>
      <c r="AO328" s="2"/>
      <c r="AP328" s="2"/>
      <c r="AQ328" s="2"/>
      <c r="AR328" s="2"/>
      <c r="AS328" s="2"/>
      <c r="AT328" s="2"/>
      <c r="AU328" s="126">
        <v>200.0</v>
      </c>
      <c r="AV328" s="126">
        <v>1400.0</v>
      </c>
      <c r="AW328" s="2"/>
      <c r="AX328" s="2"/>
      <c r="AY328" s="2"/>
      <c r="AZ328" s="2"/>
      <c r="BA328" s="2"/>
      <c r="BB328" s="2"/>
      <c r="BC328" s="2"/>
      <c r="BD328" s="2"/>
      <c r="BE328" s="2"/>
    </row>
    <row r="329" hidden="1">
      <c r="A329" s="2"/>
      <c r="B329" s="312" t="s">
        <v>7002</v>
      </c>
      <c r="C329" s="84"/>
      <c r="D329" s="11">
        <v>180.0</v>
      </c>
      <c r="E329" s="11" t="s">
        <v>139</v>
      </c>
      <c r="F329" s="11" t="s">
        <v>6969</v>
      </c>
      <c r="G329" s="295" t="s">
        <v>7003</v>
      </c>
      <c r="H329" s="296"/>
      <c r="I329" s="156">
        <v>200.0</v>
      </c>
      <c r="J329" s="301"/>
      <c r="K329" s="296"/>
      <c r="L329" s="156">
        <v>120.0</v>
      </c>
      <c r="M329" s="301">
        <v>200.0</v>
      </c>
      <c r="N329" s="284">
        <v>6.0</v>
      </c>
      <c r="O329" s="296">
        <v>1400.0</v>
      </c>
      <c r="P329" s="104"/>
      <c r="Q329" s="303">
        <f>P328</f>
        <v>1400</v>
      </c>
      <c r="R329" s="299" t="s">
        <v>7004</v>
      </c>
      <c r="S329" s="300">
        <v>46141.374277951385</v>
      </c>
      <c r="T329" s="2"/>
      <c r="U329" s="289">
        <f t="shared" si="4"/>
        <v>1200</v>
      </c>
      <c r="V329" s="290">
        <f t="shared" si="315"/>
        <v>-120</v>
      </c>
      <c r="W329" s="2"/>
      <c r="X329" s="289">
        <v>200.0</v>
      </c>
      <c r="Y329" s="139">
        <v>120.0</v>
      </c>
      <c r="Z329" s="2"/>
      <c r="AA329" s="2"/>
      <c r="AB329" s="2"/>
      <c r="AC329" s="2"/>
      <c r="AD329" s="2"/>
      <c r="AE329" s="3" t="s">
        <v>7002</v>
      </c>
      <c r="AF329" s="2"/>
      <c r="AG329" s="1" t="s">
        <v>1582</v>
      </c>
      <c r="AH329" s="1" t="s">
        <v>5933</v>
      </c>
      <c r="AI329" s="2">
        <v>180.0</v>
      </c>
      <c r="AJ329" s="1" t="s">
        <v>1589</v>
      </c>
      <c r="AK329" s="1" t="s">
        <v>5878</v>
      </c>
      <c r="AL329" s="1" t="s">
        <v>5878</v>
      </c>
      <c r="AM329" s="2"/>
      <c r="AN329" s="2"/>
      <c r="AO329" s="2"/>
      <c r="AP329" s="2"/>
      <c r="AQ329" s="2"/>
      <c r="AR329" s="2"/>
      <c r="AS329" s="2"/>
      <c r="AT329" s="2"/>
      <c r="AU329" s="126">
        <v>200.0</v>
      </c>
      <c r="AV329" s="126">
        <v>1400.0</v>
      </c>
      <c r="AW329" s="2"/>
      <c r="AX329" s="2"/>
      <c r="AY329" s="2"/>
      <c r="AZ329" s="2"/>
      <c r="BA329" s="2"/>
      <c r="BB329" s="2"/>
      <c r="BC329" s="2"/>
      <c r="BD329" s="2"/>
      <c r="BE329" s="2"/>
    </row>
    <row r="330" hidden="1">
      <c r="A330" s="2"/>
      <c r="B330" s="312" t="s">
        <v>7005</v>
      </c>
      <c r="C330" s="84"/>
      <c r="D330" s="11">
        <v>180.0</v>
      </c>
      <c r="E330" s="11" t="s">
        <v>139</v>
      </c>
      <c r="F330" s="11" t="s">
        <v>6969</v>
      </c>
      <c r="G330" s="295" t="s">
        <v>7006</v>
      </c>
      <c r="H330" s="296"/>
      <c r="I330" s="156">
        <v>200.0</v>
      </c>
      <c r="J330" s="301"/>
      <c r="K330" s="296"/>
      <c r="L330" s="156">
        <v>120.0</v>
      </c>
      <c r="M330" s="301">
        <v>200.0</v>
      </c>
      <c r="N330" s="284">
        <v>6.0</v>
      </c>
      <c r="O330" s="296">
        <v>1400.0</v>
      </c>
      <c r="P330" s="67"/>
      <c r="Q330" s="303">
        <f>P328</f>
        <v>1400</v>
      </c>
      <c r="R330" s="299" t="s">
        <v>7007</v>
      </c>
      <c r="S330" s="300">
        <v>46141.37433057871</v>
      </c>
      <c r="T330" s="2"/>
      <c r="U330" s="289">
        <f t="shared" si="4"/>
        <v>1200</v>
      </c>
      <c r="V330" s="290">
        <f t="shared" si="315"/>
        <v>-120</v>
      </c>
      <c r="W330" s="2"/>
      <c r="X330" s="289">
        <v>200.0</v>
      </c>
      <c r="Y330" s="139">
        <v>120.0</v>
      </c>
      <c r="Z330" s="2"/>
      <c r="AA330" s="2"/>
      <c r="AB330" s="2"/>
      <c r="AC330" s="2"/>
      <c r="AD330" s="2"/>
      <c r="AE330" s="3" t="s">
        <v>7005</v>
      </c>
      <c r="AF330" s="2"/>
      <c r="AG330" s="1" t="s">
        <v>1582</v>
      </c>
      <c r="AH330" s="1" t="s">
        <v>5933</v>
      </c>
      <c r="AI330" s="2">
        <v>180.0</v>
      </c>
      <c r="AJ330" s="1" t="s">
        <v>1589</v>
      </c>
      <c r="AK330" s="1" t="s">
        <v>5878</v>
      </c>
      <c r="AL330" s="1" t="s">
        <v>5878</v>
      </c>
      <c r="AM330" s="2"/>
      <c r="AN330" s="2"/>
      <c r="AO330" s="2"/>
      <c r="AP330" s="2"/>
      <c r="AQ330" s="2"/>
      <c r="AR330" s="2"/>
      <c r="AS330" s="2"/>
      <c r="AT330" s="2"/>
      <c r="AU330" s="126">
        <v>200.0</v>
      </c>
      <c r="AV330" s="126">
        <v>1400.0</v>
      </c>
      <c r="AW330" s="2"/>
      <c r="AX330" s="2"/>
      <c r="AY330" s="2"/>
      <c r="AZ330" s="2"/>
      <c r="BA330" s="2"/>
      <c r="BB330" s="2"/>
      <c r="BC330" s="2"/>
      <c r="BD330" s="2"/>
      <c r="BE330" s="2"/>
    </row>
    <row r="331" hidden="1">
      <c r="A331" s="2"/>
      <c r="B331" s="312" t="s">
        <v>7008</v>
      </c>
      <c r="C331" s="84"/>
      <c r="D331" s="11">
        <v>180.0</v>
      </c>
      <c r="E331" s="11" t="s">
        <v>146</v>
      </c>
      <c r="F331" s="11" t="s">
        <v>6969</v>
      </c>
      <c r="G331" s="306"/>
      <c r="H331" s="296"/>
      <c r="I331" s="139"/>
      <c r="J331" s="301"/>
      <c r="K331" s="296"/>
      <c r="L331" s="156">
        <v>120.0</v>
      </c>
      <c r="M331" s="301">
        <v>120.0</v>
      </c>
      <c r="N331" s="284">
        <v>10.5</v>
      </c>
      <c r="O331" s="296">
        <v>1400.0</v>
      </c>
      <c r="P331" s="313">
        <f>MAX(O331:O333)</f>
        <v>1400</v>
      </c>
      <c r="Q331" s="303">
        <f>P331</f>
        <v>1400</v>
      </c>
      <c r="R331" s="307"/>
      <c r="S331" s="308"/>
      <c r="T331" s="2"/>
      <c r="U331" s="59" t="str">
        <f t="shared" si="4"/>
        <v>нет з/ч</v>
      </c>
      <c r="V331" s="290">
        <f t="shared" ref="V331:V333" si="316">IF(L331&gt;0, Q1346 - L331, "нет з/ч")</f>
        <v>-120</v>
      </c>
      <c r="W331" s="2"/>
      <c r="X331" s="289"/>
      <c r="Y331" s="139">
        <v>120.0</v>
      </c>
      <c r="Z331" s="2"/>
      <c r="AA331" s="2"/>
      <c r="AB331" s="2"/>
      <c r="AC331" s="2"/>
      <c r="AD331" s="2"/>
      <c r="AE331" s="3" t="s">
        <v>7008</v>
      </c>
      <c r="AF331" s="2"/>
      <c r="AG331" s="1" t="s">
        <v>1582</v>
      </c>
      <c r="AH331" s="1" t="s">
        <v>5938</v>
      </c>
      <c r="AI331" s="2">
        <v>180.0</v>
      </c>
      <c r="AJ331" s="1" t="s">
        <v>1589</v>
      </c>
      <c r="AK331" s="1" t="s">
        <v>5878</v>
      </c>
      <c r="AL331" s="1" t="s">
        <v>5878</v>
      </c>
      <c r="AM331" s="2"/>
      <c r="AN331" s="2"/>
      <c r="AO331" s="2"/>
      <c r="AP331" s="2"/>
      <c r="AQ331" s="2"/>
      <c r="AR331" s="2"/>
      <c r="AS331" s="2"/>
      <c r="AT331" s="2"/>
      <c r="AU331" s="126">
        <v>120.0</v>
      </c>
      <c r="AV331" s="126">
        <v>1400.0</v>
      </c>
      <c r="AW331" s="2"/>
      <c r="AX331" s="2"/>
      <c r="AY331" s="2"/>
      <c r="AZ331" s="2"/>
      <c r="BA331" s="2"/>
      <c r="BB331" s="2"/>
      <c r="BC331" s="2"/>
      <c r="BD331" s="2"/>
      <c r="BE331" s="2"/>
    </row>
    <row r="332" hidden="1">
      <c r="A332" s="2"/>
      <c r="B332" s="312" t="s">
        <v>7009</v>
      </c>
      <c r="C332" s="84"/>
      <c r="D332" s="11">
        <v>180.0</v>
      </c>
      <c r="E332" s="11" t="s">
        <v>146</v>
      </c>
      <c r="F332" s="11" t="s">
        <v>6969</v>
      </c>
      <c r="G332" s="306"/>
      <c r="H332" s="296"/>
      <c r="I332" s="139"/>
      <c r="J332" s="301"/>
      <c r="K332" s="296"/>
      <c r="L332" s="156">
        <v>120.0</v>
      </c>
      <c r="M332" s="301">
        <v>120.0</v>
      </c>
      <c r="N332" s="284">
        <v>10.5</v>
      </c>
      <c r="O332" s="296">
        <v>1400.0</v>
      </c>
      <c r="P332" s="104"/>
      <c r="Q332" s="303">
        <f>P331</f>
        <v>1400</v>
      </c>
      <c r="R332" s="307"/>
      <c r="S332" s="308"/>
      <c r="T332" s="2"/>
      <c r="U332" s="59" t="str">
        <f t="shared" si="4"/>
        <v>нет з/ч</v>
      </c>
      <c r="V332" s="290">
        <f t="shared" si="316"/>
        <v>-120</v>
      </c>
      <c r="W332" s="2"/>
      <c r="X332" s="289"/>
      <c r="Y332" s="139">
        <v>120.0</v>
      </c>
      <c r="Z332" s="2"/>
      <c r="AA332" s="2"/>
      <c r="AB332" s="2"/>
      <c r="AC332" s="2"/>
      <c r="AD332" s="2"/>
      <c r="AE332" s="3" t="s">
        <v>7009</v>
      </c>
      <c r="AF332" s="2"/>
      <c r="AG332" s="1" t="s">
        <v>1582</v>
      </c>
      <c r="AH332" s="1" t="s">
        <v>5938</v>
      </c>
      <c r="AI332" s="2">
        <v>180.0</v>
      </c>
      <c r="AJ332" s="1" t="s">
        <v>1589</v>
      </c>
      <c r="AK332" s="1" t="s">
        <v>5878</v>
      </c>
      <c r="AL332" s="1" t="s">
        <v>5878</v>
      </c>
      <c r="AM332" s="2"/>
      <c r="AN332" s="2"/>
      <c r="AO332" s="2"/>
      <c r="AP332" s="2"/>
      <c r="AQ332" s="2"/>
      <c r="AR332" s="2"/>
      <c r="AS332" s="2"/>
      <c r="AT332" s="2"/>
      <c r="AU332" s="126">
        <v>120.0</v>
      </c>
      <c r="AV332" s="126">
        <v>1400.0</v>
      </c>
      <c r="AW332" s="2"/>
      <c r="AX332" s="2"/>
      <c r="AY332" s="2"/>
      <c r="AZ332" s="2"/>
      <c r="BA332" s="2"/>
      <c r="BB332" s="2"/>
      <c r="BC332" s="2"/>
      <c r="BD332" s="2"/>
      <c r="BE332" s="2"/>
    </row>
    <row r="333" hidden="1">
      <c r="A333" s="2"/>
      <c r="B333" s="312" t="s">
        <v>7010</v>
      </c>
      <c r="C333" s="84"/>
      <c r="D333" s="11">
        <v>180.0</v>
      </c>
      <c r="E333" s="11" t="s">
        <v>146</v>
      </c>
      <c r="F333" s="11" t="s">
        <v>6969</v>
      </c>
      <c r="G333" s="306"/>
      <c r="H333" s="296"/>
      <c r="I333" s="139"/>
      <c r="J333" s="301"/>
      <c r="K333" s="296"/>
      <c r="L333" s="156">
        <v>120.0</v>
      </c>
      <c r="M333" s="301">
        <v>120.0</v>
      </c>
      <c r="N333" s="284">
        <v>10.5</v>
      </c>
      <c r="O333" s="296">
        <v>1400.0</v>
      </c>
      <c r="P333" s="67"/>
      <c r="Q333" s="303">
        <f>P331</f>
        <v>1400</v>
      </c>
      <c r="R333" s="307"/>
      <c r="S333" s="308"/>
      <c r="T333" s="2"/>
      <c r="U333" s="59" t="str">
        <f t="shared" si="4"/>
        <v>нет з/ч</v>
      </c>
      <c r="V333" s="290">
        <f t="shared" si="316"/>
        <v>-120</v>
      </c>
      <c r="W333" s="2"/>
      <c r="X333" s="289"/>
      <c r="Y333" s="139">
        <v>120.0</v>
      </c>
      <c r="Z333" s="2"/>
      <c r="AA333" s="2"/>
      <c r="AB333" s="2"/>
      <c r="AC333" s="2"/>
      <c r="AD333" s="2"/>
      <c r="AE333" s="3" t="s">
        <v>7010</v>
      </c>
      <c r="AF333" s="2"/>
      <c r="AG333" s="1" t="s">
        <v>1582</v>
      </c>
      <c r="AH333" s="1" t="s">
        <v>5938</v>
      </c>
      <c r="AI333" s="2">
        <v>180.0</v>
      </c>
      <c r="AJ333" s="1" t="s">
        <v>1589</v>
      </c>
      <c r="AK333" s="1" t="s">
        <v>5878</v>
      </c>
      <c r="AL333" s="1" t="s">
        <v>5878</v>
      </c>
      <c r="AM333" s="2"/>
      <c r="AN333" s="2"/>
      <c r="AO333" s="2"/>
      <c r="AP333" s="2"/>
      <c r="AQ333" s="2"/>
      <c r="AR333" s="2"/>
      <c r="AS333" s="2"/>
      <c r="AT333" s="2"/>
      <c r="AU333" s="126">
        <v>120.0</v>
      </c>
      <c r="AV333" s="126">
        <v>1400.0</v>
      </c>
      <c r="AW333" s="2"/>
      <c r="AX333" s="2"/>
      <c r="AY333" s="2"/>
      <c r="AZ333" s="2"/>
      <c r="BA333" s="2"/>
      <c r="BB333" s="2"/>
      <c r="BC333" s="2"/>
      <c r="BD333" s="2"/>
      <c r="BE333" s="2"/>
    </row>
    <row r="334" hidden="1">
      <c r="A334" s="2"/>
      <c r="B334" s="312" t="s">
        <v>7011</v>
      </c>
      <c r="C334" s="220" t="s">
        <v>7012</v>
      </c>
      <c r="D334" s="11">
        <v>180.0</v>
      </c>
      <c r="E334" s="11" t="s">
        <v>153</v>
      </c>
      <c r="F334" s="11" t="s">
        <v>6969</v>
      </c>
      <c r="G334" s="295" t="s">
        <v>7013</v>
      </c>
      <c r="H334" s="296"/>
      <c r="I334" s="156">
        <v>200.0</v>
      </c>
      <c r="J334" s="301"/>
      <c r="K334" s="296"/>
      <c r="L334" s="156">
        <v>140.0</v>
      </c>
      <c r="M334" s="301">
        <v>200.0</v>
      </c>
      <c r="N334" s="284">
        <v>7.5</v>
      </c>
      <c r="O334" s="296">
        <v>1700.0</v>
      </c>
      <c r="P334" s="313">
        <f>MAX(O334:O339)</f>
        <v>1700</v>
      </c>
      <c r="Q334" s="303">
        <f>P334</f>
        <v>1700</v>
      </c>
      <c r="R334" s="299" t="s">
        <v>7014</v>
      </c>
      <c r="S334" s="300">
        <v>46141.37438001158</v>
      </c>
      <c r="T334" s="2"/>
      <c r="U334" s="289">
        <f t="shared" si="4"/>
        <v>1500</v>
      </c>
      <c r="V334" s="290">
        <f t="shared" ref="V334:V339" si="317">IF(L334&gt;0, Q1355 - L334, "нет з/ч")</f>
        <v>-140</v>
      </c>
      <c r="W334" s="2"/>
      <c r="X334" s="289">
        <v>200.0</v>
      </c>
      <c r="Y334" s="139">
        <v>140.0</v>
      </c>
      <c r="Z334" s="2"/>
      <c r="AA334" s="2" t="s">
        <v>7012</v>
      </c>
      <c r="AB334" s="2" t="s">
        <v>7012</v>
      </c>
      <c r="AC334" s="2"/>
      <c r="AD334" s="2" t="s">
        <v>7012</v>
      </c>
      <c r="AE334" s="3" t="s">
        <v>7011</v>
      </c>
      <c r="AF334" s="2"/>
      <c r="AG334" s="1" t="s">
        <v>1582</v>
      </c>
      <c r="AH334" s="1" t="s">
        <v>5943</v>
      </c>
      <c r="AI334" s="2">
        <v>180.0</v>
      </c>
      <c r="AJ334" s="1" t="s">
        <v>1589</v>
      </c>
      <c r="AK334" s="1" t="s">
        <v>5878</v>
      </c>
      <c r="AL334" s="1" t="s">
        <v>5878</v>
      </c>
      <c r="AM334" s="2"/>
      <c r="AN334" s="2"/>
      <c r="AO334" s="2"/>
      <c r="AP334" s="2"/>
      <c r="AQ334" s="2"/>
      <c r="AR334" s="2"/>
      <c r="AS334" s="2"/>
      <c r="AT334" s="2"/>
      <c r="AU334" s="126">
        <v>200.0</v>
      </c>
      <c r="AV334" s="126">
        <v>1700.0</v>
      </c>
      <c r="AW334" s="2"/>
      <c r="AX334" s="2"/>
      <c r="AY334" s="2"/>
      <c r="AZ334" s="2"/>
      <c r="BA334" s="2"/>
      <c r="BB334" s="2"/>
      <c r="BC334" s="2"/>
      <c r="BD334" s="2"/>
      <c r="BE334" s="2"/>
    </row>
    <row r="335" hidden="1">
      <c r="A335" s="2"/>
      <c r="B335" s="312" t="s">
        <v>7015</v>
      </c>
      <c r="C335" s="220" t="s">
        <v>7016</v>
      </c>
      <c r="D335" s="11">
        <v>180.0</v>
      </c>
      <c r="E335" s="11" t="s">
        <v>153</v>
      </c>
      <c r="F335" s="11" t="s">
        <v>6969</v>
      </c>
      <c r="G335" s="295" t="s">
        <v>7017</v>
      </c>
      <c r="H335" s="296"/>
      <c r="I335" s="156">
        <v>200.0</v>
      </c>
      <c r="J335" s="301"/>
      <c r="K335" s="296"/>
      <c r="L335" s="156">
        <v>140.0</v>
      </c>
      <c r="M335" s="301">
        <v>200.0</v>
      </c>
      <c r="N335" s="284">
        <v>7.5</v>
      </c>
      <c r="O335" s="296">
        <v>1700.0</v>
      </c>
      <c r="P335" s="104"/>
      <c r="Q335" s="303">
        <f>P334</f>
        <v>1700</v>
      </c>
      <c r="R335" s="299" t="s">
        <v>7018</v>
      </c>
      <c r="S335" s="300">
        <v>46141.37444400463</v>
      </c>
      <c r="T335" s="2"/>
      <c r="U335" s="289">
        <f t="shared" si="4"/>
        <v>1500</v>
      </c>
      <c r="V335" s="290">
        <f t="shared" si="317"/>
        <v>-140</v>
      </c>
      <c r="W335" s="2"/>
      <c r="X335" s="289">
        <v>200.0</v>
      </c>
      <c r="Y335" s="139">
        <v>140.0</v>
      </c>
      <c r="Z335" s="2"/>
      <c r="AA335" s="2" t="s">
        <v>7016</v>
      </c>
      <c r="AB335" s="2" t="s">
        <v>7016</v>
      </c>
      <c r="AC335" s="2"/>
      <c r="AD335" s="2" t="s">
        <v>7016</v>
      </c>
      <c r="AE335" s="3" t="s">
        <v>7015</v>
      </c>
      <c r="AF335" s="2"/>
      <c r="AG335" s="1" t="s">
        <v>1582</v>
      </c>
      <c r="AH335" s="1" t="s">
        <v>5943</v>
      </c>
      <c r="AI335" s="2">
        <v>180.0</v>
      </c>
      <c r="AJ335" s="1" t="s">
        <v>1589</v>
      </c>
      <c r="AK335" s="1" t="s">
        <v>5878</v>
      </c>
      <c r="AL335" s="1" t="s">
        <v>5878</v>
      </c>
      <c r="AM335" s="2"/>
      <c r="AN335" s="2"/>
      <c r="AO335" s="2"/>
      <c r="AP335" s="2"/>
      <c r="AQ335" s="2"/>
      <c r="AR335" s="2"/>
      <c r="AS335" s="2"/>
      <c r="AT335" s="2"/>
      <c r="AU335" s="126">
        <v>200.0</v>
      </c>
      <c r="AV335" s="126">
        <v>1700.0</v>
      </c>
      <c r="AW335" s="2"/>
      <c r="AX335" s="2"/>
      <c r="AY335" s="2"/>
      <c r="AZ335" s="2"/>
      <c r="BA335" s="2"/>
      <c r="BB335" s="2"/>
      <c r="BC335" s="2"/>
      <c r="BD335" s="2"/>
      <c r="BE335" s="2"/>
    </row>
    <row r="336" hidden="1">
      <c r="A336" s="2"/>
      <c r="B336" s="312" t="s">
        <v>7019</v>
      </c>
      <c r="C336" s="220" t="s">
        <v>7020</v>
      </c>
      <c r="D336" s="11">
        <v>180.0</v>
      </c>
      <c r="E336" s="11" t="s">
        <v>153</v>
      </c>
      <c r="F336" s="11" t="s">
        <v>6969</v>
      </c>
      <c r="G336" s="295" t="s">
        <v>7021</v>
      </c>
      <c r="H336" s="296"/>
      <c r="I336" s="156">
        <v>200.0</v>
      </c>
      <c r="J336" s="301"/>
      <c r="K336" s="296"/>
      <c r="L336" s="156">
        <v>140.0</v>
      </c>
      <c r="M336" s="301">
        <v>200.0</v>
      </c>
      <c r="N336" s="284">
        <v>7.5</v>
      </c>
      <c r="O336" s="296">
        <v>1700.0</v>
      </c>
      <c r="P336" s="104"/>
      <c r="Q336" s="303">
        <f>P334</f>
        <v>1700</v>
      </c>
      <c r="R336" s="299" t="s">
        <v>7022</v>
      </c>
      <c r="S336" s="300">
        <v>46141.37449780093</v>
      </c>
      <c r="T336" s="2"/>
      <c r="U336" s="289">
        <f t="shared" si="4"/>
        <v>1500</v>
      </c>
      <c r="V336" s="290">
        <f t="shared" si="317"/>
        <v>-140</v>
      </c>
      <c r="W336" s="2"/>
      <c r="X336" s="289">
        <v>200.0</v>
      </c>
      <c r="Y336" s="139">
        <v>140.0</v>
      </c>
      <c r="Z336" s="2"/>
      <c r="AA336" s="2" t="s">
        <v>7020</v>
      </c>
      <c r="AB336" s="2" t="s">
        <v>7020</v>
      </c>
      <c r="AC336" s="2"/>
      <c r="AD336" s="2" t="s">
        <v>7020</v>
      </c>
      <c r="AE336" s="3" t="s">
        <v>7019</v>
      </c>
      <c r="AF336" s="2"/>
      <c r="AG336" s="1" t="s">
        <v>1582</v>
      </c>
      <c r="AH336" s="1" t="s">
        <v>5943</v>
      </c>
      <c r="AI336" s="2">
        <v>180.0</v>
      </c>
      <c r="AJ336" s="1" t="s">
        <v>1589</v>
      </c>
      <c r="AK336" s="1" t="s">
        <v>5878</v>
      </c>
      <c r="AL336" s="1" t="s">
        <v>5878</v>
      </c>
      <c r="AM336" s="2"/>
      <c r="AN336" s="2"/>
      <c r="AO336" s="2"/>
      <c r="AP336" s="2"/>
      <c r="AQ336" s="2"/>
      <c r="AR336" s="2"/>
      <c r="AS336" s="2"/>
      <c r="AT336" s="2"/>
      <c r="AU336" s="126">
        <v>200.0</v>
      </c>
      <c r="AV336" s="126">
        <v>1700.0</v>
      </c>
      <c r="AW336" s="2"/>
      <c r="AX336" s="2"/>
      <c r="AY336" s="2"/>
      <c r="AZ336" s="2"/>
      <c r="BA336" s="2"/>
      <c r="BB336" s="2"/>
      <c r="BC336" s="2"/>
      <c r="BD336" s="2"/>
      <c r="BE336" s="2"/>
    </row>
    <row r="337" hidden="1">
      <c r="A337" s="2"/>
      <c r="B337" s="312" t="s">
        <v>7023</v>
      </c>
      <c r="C337" s="220" t="s">
        <v>7024</v>
      </c>
      <c r="D337" s="11">
        <v>180.0</v>
      </c>
      <c r="E337" s="11" t="s">
        <v>153</v>
      </c>
      <c r="F337" s="11" t="s">
        <v>6969</v>
      </c>
      <c r="G337" s="295" t="s">
        <v>7025</v>
      </c>
      <c r="H337" s="296"/>
      <c r="I337" s="156">
        <v>200.0</v>
      </c>
      <c r="J337" s="301"/>
      <c r="K337" s="296"/>
      <c r="L337" s="156">
        <v>140.0</v>
      </c>
      <c r="M337" s="301">
        <v>200.0</v>
      </c>
      <c r="N337" s="284">
        <v>7.5</v>
      </c>
      <c r="O337" s="296">
        <v>1700.0</v>
      </c>
      <c r="P337" s="104"/>
      <c r="Q337" s="303">
        <f>P334</f>
        <v>1700</v>
      </c>
      <c r="R337" s="299" t="s">
        <v>7026</v>
      </c>
      <c r="S337" s="300">
        <v>46141.37454800926</v>
      </c>
      <c r="T337" s="2"/>
      <c r="U337" s="289">
        <f t="shared" si="4"/>
        <v>1500</v>
      </c>
      <c r="V337" s="290">
        <f t="shared" si="317"/>
        <v>-140</v>
      </c>
      <c r="W337" s="2"/>
      <c r="X337" s="289">
        <v>200.0</v>
      </c>
      <c r="Y337" s="139">
        <v>140.0</v>
      </c>
      <c r="Z337" s="2"/>
      <c r="AA337" s="2" t="s">
        <v>7024</v>
      </c>
      <c r="AB337" s="2" t="s">
        <v>7024</v>
      </c>
      <c r="AC337" s="2"/>
      <c r="AD337" s="2" t="s">
        <v>7024</v>
      </c>
      <c r="AE337" s="3" t="s">
        <v>7023</v>
      </c>
      <c r="AF337" s="2"/>
      <c r="AG337" s="1" t="s">
        <v>1582</v>
      </c>
      <c r="AH337" s="1" t="s">
        <v>5943</v>
      </c>
      <c r="AI337" s="2">
        <v>180.0</v>
      </c>
      <c r="AJ337" s="1" t="s">
        <v>1589</v>
      </c>
      <c r="AK337" s="1" t="s">
        <v>5878</v>
      </c>
      <c r="AL337" s="1" t="s">
        <v>5878</v>
      </c>
      <c r="AM337" s="2"/>
      <c r="AN337" s="2"/>
      <c r="AO337" s="2"/>
      <c r="AP337" s="2"/>
      <c r="AQ337" s="2"/>
      <c r="AR337" s="2"/>
      <c r="AS337" s="2"/>
      <c r="AT337" s="2"/>
      <c r="AU337" s="126">
        <v>200.0</v>
      </c>
      <c r="AV337" s="126">
        <v>1700.0</v>
      </c>
      <c r="AW337" s="2"/>
      <c r="AX337" s="2"/>
      <c r="AY337" s="2"/>
      <c r="AZ337" s="2"/>
      <c r="BA337" s="2"/>
      <c r="BB337" s="2"/>
      <c r="BC337" s="2"/>
      <c r="BD337" s="2"/>
      <c r="BE337" s="2"/>
    </row>
    <row r="338" hidden="1">
      <c r="A338" s="2"/>
      <c r="B338" s="312" t="s">
        <v>7027</v>
      </c>
      <c r="C338" s="220" t="s">
        <v>7028</v>
      </c>
      <c r="D338" s="11">
        <v>180.0</v>
      </c>
      <c r="E338" s="11" t="s">
        <v>153</v>
      </c>
      <c r="F338" s="11" t="s">
        <v>6969</v>
      </c>
      <c r="G338" s="295" t="s">
        <v>7029</v>
      </c>
      <c r="H338" s="296"/>
      <c r="I338" s="156">
        <v>200.0</v>
      </c>
      <c r="J338" s="301"/>
      <c r="K338" s="296"/>
      <c r="L338" s="156">
        <v>140.0</v>
      </c>
      <c r="M338" s="301">
        <v>200.0</v>
      </c>
      <c r="N338" s="284">
        <v>7.5</v>
      </c>
      <c r="O338" s="296">
        <v>1700.0</v>
      </c>
      <c r="P338" s="104"/>
      <c r="Q338" s="303">
        <f>P334</f>
        <v>1700</v>
      </c>
      <c r="R338" s="299" t="s">
        <v>7030</v>
      </c>
      <c r="S338" s="300">
        <v>46141.3745980324</v>
      </c>
      <c r="T338" s="2"/>
      <c r="U338" s="289">
        <f t="shared" si="4"/>
        <v>1500</v>
      </c>
      <c r="V338" s="290">
        <f t="shared" si="317"/>
        <v>-140</v>
      </c>
      <c r="W338" s="2"/>
      <c r="X338" s="289">
        <v>200.0</v>
      </c>
      <c r="Y338" s="139">
        <v>140.0</v>
      </c>
      <c r="Z338" s="2"/>
      <c r="AA338" s="2" t="s">
        <v>7028</v>
      </c>
      <c r="AB338" s="2" t="s">
        <v>7028</v>
      </c>
      <c r="AC338" s="2"/>
      <c r="AD338" s="2" t="s">
        <v>7028</v>
      </c>
      <c r="AE338" s="3" t="s">
        <v>7027</v>
      </c>
      <c r="AF338" s="2"/>
      <c r="AG338" s="1" t="s">
        <v>1582</v>
      </c>
      <c r="AH338" s="1" t="s">
        <v>5943</v>
      </c>
      <c r="AI338" s="2">
        <v>180.0</v>
      </c>
      <c r="AJ338" s="1" t="s">
        <v>1589</v>
      </c>
      <c r="AK338" s="1" t="s">
        <v>5878</v>
      </c>
      <c r="AL338" s="1" t="s">
        <v>5878</v>
      </c>
      <c r="AM338" s="2"/>
      <c r="AN338" s="2"/>
      <c r="AO338" s="2"/>
      <c r="AP338" s="2"/>
      <c r="AQ338" s="2"/>
      <c r="AR338" s="2"/>
      <c r="AS338" s="2"/>
      <c r="AT338" s="2"/>
      <c r="AU338" s="126">
        <v>200.0</v>
      </c>
      <c r="AV338" s="126">
        <v>1700.0</v>
      </c>
      <c r="AW338" s="2"/>
      <c r="AX338" s="2"/>
      <c r="AY338" s="2"/>
      <c r="AZ338" s="2"/>
      <c r="BA338" s="2"/>
      <c r="BB338" s="2"/>
      <c r="BC338" s="2"/>
      <c r="BD338" s="2"/>
      <c r="BE338" s="2"/>
    </row>
    <row r="339" hidden="1">
      <c r="A339" s="2"/>
      <c r="B339" s="312" t="s">
        <v>7031</v>
      </c>
      <c r="C339" s="220" t="s">
        <v>7032</v>
      </c>
      <c r="D339" s="11">
        <v>180.0</v>
      </c>
      <c r="E339" s="11" t="s">
        <v>153</v>
      </c>
      <c r="F339" s="11" t="s">
        <v>6969</v>
      </c>
      <c r="G339" s="306"/>
      <c r="H339" s="296"/>
      <c r="I339" s="139"/>
      <c r="J339" s="301"/>
      <c r="K339" s="296"/>
      <c r="L339" s="156">
        <v>140.0</v>
      </c>
      <c r="M339" s="301">
        <v>140.0</v>
      </c>
      <c r="N339" s="284">
        <v>7.5</v>
      </c>
      <c r="O339" s="296">
        <v>1200.0</v>
      </c>
      <c r="P339" s="67"/>
      <c r="Q339" s="303">
        <f>P334</f>
        <v>1700</v>
      </c>
      <c r="R339" s="307"/>
      <c r="S339" s="300">
        <v>46111.54764243055</v>
      </c>
      <c r="T339" s="2"/>
      <c r="U339" s="59" t="str">
        <f t="shared" si="4"/>
        <v>нет з/ч</v>
      </c>
      <c r="V339" s="290">
        <f t="shared" si="317"/>
        <v>-140</v>
      </c>
      <c r="W339" s="2"/>
      <c r="X339" s="289"/>
      <c r="Y339" s="139">
        <v>140.0</v>
      </c>
      <c r="Z339" s="2"/>
      <c r="AA339" s="2" t="s">
        <v>7032</v>
      </c>
      <c r="AB339" s="2" t="s">
        <v>7032</v>
      </c>
      <c r="AC339" s="2"/>
      <c r="AD339" s="2" t="s">
        <v>7032</v>
      </c>
      <c r="AE339" s="3" t="s">
        <v>7031</v>
      </c>
      <c r="AF339" s="2"/>
      <c r="AG339" s="1" t="s">
        <v>1582</v>
      </c>
      <c r="AH339" s="1" t="s">
        <v>5943</v>
      </c>
      <c r="AI339" s="2">
        <v>180.0</v>
      </c>
      <c r="AJ339" s="1" t="s">
        <v>1589</v>
      </c>
      <c r="AK339" s="1" t="s">
        <v>5878</v>
      </c>
      <c r="AL339" s="1" t="s">
        <v>5878</v>
      </c>
      <c r="AM339" s="2"/>
      <c r="AN339" s="2"/>
      <c r="AO339" s="2"/>
      <c r="AP339" s="2"/>
      <c r="AQ339" s="2"/>
      <c r="AR339" s="2"/>
      <c r="AS339" s="2"/>
      <c r="AT339" s="2"/>
      <c r="AU339" s="126">
        <v>140.0</v>
      </c>
      <c r="AV339" s="126">
        <v>1700.0</v>
      </c>
      <c r="AW339" s="2"/>
      <c r="AX339" s="2"/>
      <c r="AY339" s="2"/>
      <c r="AZ339" s="2"/>
      <c r="BA339" s="2"/>
      <c r="BB339" s="2"/>
      <c r="BC339" s="2"/>
      <c r="BD339" s="2"/>
      <c r="BE339" s="2"/>
    </row>
    <row r="340" hidden="1">
      <c r="A340" s="2"/>
      <c r="B340" s="312" t="s">
        <v>7033</v>
      </c>
      <c r="C340" s="220" t="s">
        <v>7034</v>
      </c>
      <c r="D340" s="11">
        <v>180.0</v>
      </c>
      <c r="E340" s="11" t="s">
        <v>159</v>
      </c>
      <c r="F340" s="11" t="s">
        <v>6969</v>
      </c>
      <c r="G340" s="295" t="s">
        <v>7035</v>
      </c>
      <c r="H340" s="296"/>
      <c r="I340" s="156">
        <v>250.0</v>
      </c>
      <c r="J340" s="301"/>
      <c r="K340" s="296"/>
      <c r="L340" s="156">
        <v>140.0</v>
      </c>
      <c r="M340" s="301">
        <v>250.0</v>
      </c>
      <c r="N340" s="284">
        <v>3.75</v>
      </c>
      <c r="O340" s="296">
        <v>1200.0</v>
      </c>
      <c r="P340" s="313">
        <f>MAX(O340:O341)</f>
        <v>1200</v>
      </c>
      <c r="Q340" s="303">
        <f>P340</f>
        <v>1200</v>
      </c>
      <c r="R340" s="299" t="s">
        <v>7036</v>
      </c>
      <c r="S340" s="300">
        <v>46141.37464753472</v>
      </c>
      <c r="T340" s="2"/>
      <c r="U340" s="289">
        <f t="shared" si="4"/>
        <v>950</v>
      </c>
      <c r="V340" s="290">
        <f t="shared" ref="V340:V341" si="318">IF(L340&gt;0, Q1363 - L340, "нет з/ч")</f>
        <v>-140</v>
      </c>
      <c r="W340" s="2"/>
      <c r="X340" s="289">
        <v>250.0</v>
      </c>
      <c r="Y340" s="139">
        <v>140.0</v>
      </c>
      <c r="Z340" s="2"/>
      <c r="AA340" s="2" t="s">
        <v>7034</v>
      </c>
      <c r="AB340" s="2" t="s">
        <v>7034</v>
      </c>
      <c r="AC340" s="2"/>
      <c r="AD340" s="2" t="s">
        <v>7034</v>
      </c>
      <c r="AE340" s="3" t="s">
        <v>7033</v>
      </c>
      <c r="AF340" s="2"/>
      <c r="AG340" s="1" t="s">
        <v>1582</v>
      </c>
      <c r="AH340" s="1" t="s">
        <v>5952</v>
      </c>
      <c r="AI340" s="2">
        <v>180.0</v>
      </c>
      <c r="AJ340" s="1" t="s">
        <v>1589</v>
      </c>
      <c r="AK340" s="1" t="s">
        <v>5878</v>
      </c>
      <c r="AL340" s="1" t="s">
        <v>5878</v>
      </c>
      <c r="AM340" s="2"/>
      <c r="AN340" s="2"/>
      <c r="AO340" s="2"/>
      <c r="AP340" s="2"/>
      <c r="AQ340" s="2"/>
      <c r="AR340" s="2"/>
      <c r="AS340" s="2"/>
      <c r="AT340" s="2"/>
      <c r="AU340" s="126">
        <v>250.0</v>
      </c>
      <c r="AV340" s="126">
        <v>1200.0</v>
      </c>
      <c r="AW340" s="2"/>
      <c r="AX340" s="2"/>
      <c r="AY340" s="2"/>
      <c r="AZ340" s="2"/>
      <c r="BA340" s="2"/>
      <c r="BB340" s="2"/>
      <c r="BC340" s="2"/>
      <c r="BD340" s="2"/>
      <c r="BE340" s="2"/>
    </row>
    <row r="341" hidden="1">
      <c r="A341" s="2"/>
      <c r="B341" s="312" t="s">
        <v>7037</v>
      </c>
      <c r="C341" s="220" t="s">
        <v>7038</v>
      </c>
      <c r="D341" s="11">
        <v>180.0</v>
      </c>
      <c r="E341" s="11" t="s">
        <v>159</v>
      </c>
      <c r="F341" s="11" t="s">
        <v>6969</v>
      </c>
      <c r="G341" s="295" t="s">
        <v>7039</v>
      </c>
      <c r="H341" s="296"/>
      <c r="I341" s="156">
        <v>250.0</v>
      </c>
      <c r="J341" s="301"/>
      <c r="K341" s="296"/>
      <c r="L341" s="156">
        <v>140.0</v>
      </c>
      <c r="M341" s="301">
        <v>250.0</v>
      </c>
      <c r="N341" s="284">
        <v>3.75</v>
      </c>
      <c r="O341" s="296">
        <v>1200.0</v>
      </c>
      <c r="P341" s="67"/>
      <c r="Q341" s="303">
        <f>P340</f>
        <v>1200</v>
      </c>
      <c r="R341" s="299" t="s">
        <v>7040</v>
      </c>
      <c r="S341" s="300">
        <v>46141.374698287036</v>
      </c>
      <c r="T341" s="2"/>
      <c r="U341" s="289">
        <f t="shared" si="4"/>
        <v>950</v>
      </c>
      <c r="V341" s="290">
        <f t="shared" si="318"/>
        <v>-140</v>
      </c>
      <c r="W341" s="2"/>
      <c r="X341" s="289">
        <v>250.0</v>
      </c>
      <c r="Y341" s="139">
        <v>140.0</v>
      </c>
      <c r="Z341" s="2"/>
      <c r="AA341" s="2" t="s">
        <v>7038</v>
      </c>
      <c r="AB341" s="2" t="s">
        <v>7038</v>
      </c>
      <c r="AC341" s="2"/>
      <c r="AD341" s="2" t="s">
        <v>7038</v>
      </c>
      <c r="AE341" s="3" t="s">
        <v>7037</v>
      </c>
      <c r="AF341" s="2"/>
      <c r="AG341" s="1" t="s">
        <v>1582</v>
      </c>
      <c r="AH341" s="1" t="s">
        <v>5952</v>
      </c>
      <c r="AI341" s="2">
        <v>180.0</v>
      </c>
      <c r="AJ341" s="1" t="s">
        <v>1589</v>
      </c>
      <c r="AK341" s="1" t="s">
        <v>5878</v>
      </c>
      <c r="AL341" s="1" t="s">
        <v>5878</v>
      </c>
      <c r="AM341" s="2"/>
      <c r="AN341" s="2"/>
      <c r="AO341" s="2"/>
      <c r="AP341" s="2"/>
      <c r="AQ341" s="2"/>
      <c r="AR341" s="2"/>
      <c r="AS341" s="2"/>
      <c r="AT341" s="2"/>
      <c r="AU341" s="126">
        <v>250.0</v>
      </c>
      <c r="AV341" s="126">
        <v>1200.0</v>
      </c>
      <c r="AW341" s="2"/>
      <c r="AX341" s="2"/>
      <c r="AY341" s="2"/>
      <c r="AZ341" s="2"/>
      <c r="BA341" s="2"/>
      <c r="BB341" s="2"/>
      <c r="BC341" s="2"/>
      <c r="BD341" s="2"/>
      <c r="BE341" s="2"/>
    </row>
    <row r="342" hidden="1">
      <c r="A342" s="2"/>
      <c r="B342" s="312" t="s">
        <v>7041</v>
      </c>
      <c r="C342" s="220" t="s">
        <v>7042</v>
      </c>
      <c r="D342" s="11">
        <v>180.0</v>
      </c>
      <c r="E342" s="11" t="s">
        <v>167</v>
      </c>
      <c r="F342" s="11" t="s">
        <v>6969</v>
      </c>
      <c r="G342" s="295" t="s">
        <v>7043</v>
      </c>
      <c r="H342" s="296"/>
      <c r="I342" s="156">
        <v>250.0</v>
      </c>
      <c r="J342" s="301"/>
      <c r="K342" s="296"/>
      <c r="L342" s="156">
        <v>150.0</v>
      </c>
      <c r="M342" s="301">
        <v>250.0</v>
      </c>
      <c r="N342" s="284">
        <v>3.75</v>
      </c>
      <c r="O342" s="296">
        <v>1200.0</v>
      </c>
      <c r="P342" s="313">
        <f>MAX(O342:O344)</f>
        <v>1200</v>
      </c>
      <c r="Q342" s="303">
        <f>P342</f>
        <v>1200</v>
      </c>
      <c r="R342" s="299" t="s">
        <v>7044</v>
      </c>
      <c r="S342" s="300">
        <v>46141.374747407404</v>
      </c>
      <c r="T342" s="2"/>
      <c r="U342" s="289">
        <f t="shared" si="4"/>
        <v>950</v>
      </c>
      <c r="V342" s="290">
        <f t="shared" ref="V342:V344" si="319">IF(L342&gt;0, Q1368 - L342, "нет з/ч")</f>
        <v>-150</v>
      </c>
      <c r="W342" s="2"/>
      <c r="X342" s="289">
        <v>250.0</v>
      </c>
      <c r="Y342" s="139">
        <v>150.0</v>
      </c>
      <c r="Z342" s="2"/>
      <c r="AA342" s="2" t="s">
        <v>7042</v>
      </c>
      <c r="AB342" s="2" t="s">
        <v>7042</v>
      </c>
      <c r="AC342" s="2"/>
      <c r="AD342" s="2" t="s">
        <v>7042</v>
      </c>
      <c r="AE342" s="3" t="s">
        <v>7041</v>
      </c>
      <c r="AF342" s="2"/>
      <c r="AG342" s="1" t="s">
        <v>1582</v>
      </c>
      <c r="AH342" s="1" t="s">
        <v>5957</v>
      </c>
      <c r="AI342" s="2">
        <v>180.0</v>
      </c>
      <c r="AJ342" s="1" t="s">
        <v>1589</v>
      </c>
      <c r="AK342" s="1" t="s">
        <v>5878</v>
      </c>
      <c r="AL342" s="1" t="s">
        <v>5878</v>
      </c>
      <c r="AM342" s="2"/>
      <c r="AN342" s="2"/>
      <c r="AO342" s="2"/>
      <c r="AP342" s="2"/>
      <c r="AQ342" s="2"/>
      <c r="AR342" s="2"/>
      <c r="AS342" s="2"/>
      <c r="AT342" s="2"/>
      <c r="AU342" s="126">
        <v>250.0</v>
      </c>
      <c r="AV342" s="126">
        <v>1200.0</v>
      </c>
      <c r="AW342" s="2"/>
      <c r="AX342" s="2"/>
      <c r="AY342" s="2"/>
      <c r="AZ342" s="2"/>
      <c r="BA342" s="2"/>
      <c r="BB342" s="2"/>
      <c r="BC342" s="2"/>
      <c r="BD342" s="2"/>
      <c r="BE342" s="2"/>
    </row>
    <row r="343" hidden="1">
      <c r="A343" s="2"/>
      <c r="B343" s="312" t="s">
        <v>7045</v>
      </c>
      <c r="C343" s="220" t="s">
        <v>7046</v>
      </c>
      <c r="D343" s="11">
        <v>180.0</v>
      </c>
      <c r="E343" s="11" t="s">
        <v>167</v>
      </c>
      <c r="F343" s="11" t="s">
        <v>6969</v>
      </c>
      <c r="G343" s="295" t="s">
        <v>7047</v>
      </c>
      <c r="H343" s="296"/>
      <c r="I343" s="156">
        <v>250.0</v>
      </c>
      <c r="J343" s="301"/>
      <c r="K343" s="296"/>
      <c r="L343" s="156">
        <v>150.0</v>
      </c>
      <c r="M343" s="301">
        <v>250.0</v>
      </c>
      <c r="N343" s="284">
        <v>3.75</v>
      </c>
      <c r="O343" s="296">
        <v>1200.0</v>
      </c>
      <c r="P343" s="104"/>
      <c r="Q343" s="303">
        <f>P342</f>
        <v>1200</v>
      </c>
      <c r="R343" s="299" t="s">
        <v>7048</v>
      </c>
      <c r="S343" s="300">
        <v>46141.374798969904</v>
      </c>
      <c r="T343" s="2"/>
      <c r="U343" s="289">
        <f t="shared" si="4"/>
        <v>950</v>
      </c>
      <c r="V343" s="290">
        <f t="shared" si="319"/>
        <v>-150</v>
      </c>
      <c r="W343" s="2"/>
      <c r="X343" s="289">
        <v>250.0</v>
      </c>
      <c r="Y343" s="139">
        <v>150.0</v>
      </c>
      <c r="Z343" s="2"/>
      <c r="AA343" s="2" t="s">
        <v>7046</v>
      </c>
      <c r="AB343" s="2" t="s">
        <v>7046</v>
      </c>
      <c r="AC343" s="2"/>
      <c r="AD343" s="2" t="s">
        <v>7046</v>
      </c>
      <c r="AE343" s="3" t="s">
        <v>7045</v>
      </c>
      <c r="AF343" s="2"/>
      <c r="AG343" s="1" t="s">
        <v>1582</v>
      </c>
      <c r="AH343" s="1" t="s">
        <v>5957</v>
      </c>
      <c r="AI343" s="2">
        <v>180.0</v>
      </c>
      <c r="AJ343" s="1" t="s">
        <v>1589</v>
      </c>
      <c r="AK343" s="1" t="s">
        <v>5878</v>
      </c>
      <c r="AL343" s="1" t="s">
        <v>5878</v>
      </c>
      <c r="AM343" s="2"/>
      <c r="AN343" s="2"/>
      <c r="AO343" s="2"/>
      <c r="AP343" s="2"/>
      <c r="AQ343" s="2"/>
      <c r="AR343" s="2"/>
      <c r="AS343" s="2"/>
      <c r="AT343" s="2"/>
      <c r="AU343" s="126">
        <v>250.0</v>
      </c>
      <c r="AV343" s="126">
        <v>1200.0</v>
      </c>
      <c r="AW343" s="2"/>
      <c r="AX343" s="2"/>
      <c r="AY343" s="2"/>
      <c r="AZ343" s="2"/>
      <c r="BA343" s="2"/>
      <c r="BB343" s="2"/>
      <c r="BC343" s="2"/>
      <c r="BD343" s="2"/>
      <c r="BE343" s="2"/>
    </row>
    <row r="344" hidden="1">
      <c r="A344" s="2"/>
      <c r="B344" s="312" t="s">
        <v>7049</v>
      </c>
      <c r="C344" s="84"/>
      <c r="D344" s="11">
        <v>180.0</v>
      </c>
      <c r="E344" s="11" t="s">
        <v>167</v>
      </c>
      <c r="F344" s="11" t="s">
        <v>6969</v>
      </c>
      <c r="G344" s="295" t="s">
        <v>7050</v>
      </c>
      <c r="H344" s="296"/>
      <c r="I344" s="156">
        <v>250.0</v>
      </c>
      <c r="J344" s="301"/>
      <c r="K344" s="296"/>
      <c r="L344" s="156">
        <v>150.0</v>
      </c>
      <c r="M344" s="301">
        <v>250.0</v>
      </c>
      <c r="N344" s="284">
        <v>3.75</v>
      </c>
      <c r="O344" s="296">
        <v>1200.0</v>
      </c>
      <c r="P344" s="67"/>
      <c r="Q344" s="303">
        <f>P342</f>
        <v>1200</v>
      </c>
      <c r="R344" s="299" t="s">
        <v>7051</v>
      </c>
      <c r="S344" s="300">
        <v>46141.374851388886</v>
      </c>
      <c r="T344" s="2"/>
      <c r="U344" s="289">
        <f t="shared" si="4"/>
        <v>950</v>
      </c>
      <c r="V344" s="290">
        <f t="shared" si="319"/>
        <v>-150</v>
      </c>
      <c r="W344" s="2"/>
      <c r="X344" s="289">
        <v>250.0</v>
      </c>
      <c r="Y344" s="139">
        <v>150.0</v>
      </c>
      <c r="Z344" s="2"/>
      <c r="AA344" s="2"/>
      <c r="AB344" s="2"/>
      <c r="AC344" s="2"/>
      <c r="AD344" s="2"/>
      <c r="AE344" s="3" t="s">
        <v>7049</v>
      </c>
      <c r="AF344" s="2"/>
      <c r="AG344" s="1" t="s">
        <v>1582</v>
      </c>
      <c r="AH344" s="1" t="s">
        <v>5957</v>
      </c>
      <c r="AI344" s="2">
        <v>180.0</v>
      </c>
      <c r="AJ344" s="1" t="s">
        <v>1589</v>
      </c>
      <c r="AK344" s="1" t="s">
        <v>5878</v>
      </c>
      <c r="AL344" s="1" t="s">
        <v>5878</v>
      </c>
      <c r="AM344" s="2"/>
      <c r="AN344" s="2"/>
      <c r="AO344" s="2"/>
      <c r="AP344" s="2"/>
      <c r="AQ344" s="2"/>
      <c r="AR344" s="2"/>
      <c r="AS344" s="2"/>
      <c r="AT344" s="2"/>
      <c r="AU344" s="126">
        <v>250.0</v>
      </c>
      <c r="AV344" s="126">
        <v>1200.0</v>
      </c>
      <c r="AW344" s="2"/>
      <c r="AX344" s="2"/>
      <c r="AY344" s="2"/>
      <c r="AZ344" s="2"/>
      <c r="BA344" s="2"/>
      <c r="BB344" s="2"/>
      <c r="BC344" s="2"/>
      <c r="BD344" s="2"/>
      <c r="BE344" s="2"/>
    </row>
    <row r="345" hidden="1">
      <c r="A345" s="2"/>
      <c r="B345" s="312" t="s">
        <v>7052</v>
      </c>
      <c r="C345" s="220" t="s">
        <v>7053</v>
      </c>
      <c r="D345" s="11">
        <v>180.0</v>
      </c>
      <c r="E345" s="11" t="s">
        <v>175</v>
      </c>
      <c r="F345" s="11" t="s">
        <v>6969</v>
      </c>
      <c r="G345" s="295" t="s">
        <v>7054</v>
      </c>
      <c r="H345" s="296"/>
      <c r="I345" s="156">
        <v>250.0</v>
      </c>
      <c r="J345" s="301"/>
      <c r="K345" s="296"/>
      <c r="L345" s="156">
        <v>140.0</v>
      </c>
      <c r="M345" s="301">
        <v>250.0</v>
      </c>
      <c r="N345" s="284">
        <v>3.75</v>
      </c>
      <c r="O345" s="296">
        <v>1200.0</v>
      </c>
      <c r="P345" s="313">
        <f>MAX(O345:O347)</f>
        <v>1200</v>
      </c>
      <c r="Q345" s="303">
        <f>P345</f>
        <v>1200</v>
      </c>
      <c r="R345" s="299" t="s">
        <v>7055</v>
      </c>
      <c r="S345" s="300">
        <v>46141.37490755787</v>
      </c>
      <c r="T345" s="2"/>
      <c r="U345" s="289">
        <f t="shared" si="4"/>
        <v>950</v>
      </c>
      <c r="V345" s="290">
        <f t="shared" ref="V345:V347" si="320">IF(L345&gt;0, Q1374 - L345, "нет з/ч")</f>
        <v>-140</v>
      </c>
      <c r="W345" s="2"/>
      <c r="X345" s="289">
        <v>250.0</v>
      </c>
      <c r="Y345" s="139">
        <v>140.0</v>
      </c>
      <c r="Z345" s="2"/>
      <c r="AA345" s="2" t="s">
        <v>7053</v>
      </c>
      <c r="AB345" s="2" t="s">
        <v>7053</v>
      </c>
      <c r="AC345" s="2"/>
      <c r="AD345" s="2" t="s">
        <v>7053</v>
      </c>
      <c r="AE345" s="3" t="s">
        <v>7052</v>
      </c>
      <c r="AF345" s="2"/>
      <c r="AG345" s="1" t="s">
        <v>1582</v>
      </c>
      <c r="AH345" s="1" t="s">
        <v>5966</v>
      </c>
      <c r="AI345" s="2">
        <v>180.0</v>
      </c>
      <c r="AJ345" s="1" t="s">
        <v>1589</v>
      </c>
      <c r="AK345" s="1" t="s">
        <v>5878</v>
      </c>
      <c r="AL345" s="1" t="s">
        <v>5878</v>
      </c>
      <c r="AM345" s="2"/>
      <c r="AN345" s="2"/>
      <c r="AO345" s="2"/>
      <c r="AP345" s="2"/>
      <c r="AQ345" s="2"/>
      <c r="AR345" s="2"/>
      <c r="AS345" s="2"/>
      <c r="AT345" s="2"/>
      <c r="AU345" s="126">
        <v>250.0</v>
      </c>
      <c r="AV345" s="126">
        <v>1200.0</v>
      </c>
      <c r="AW345" s="2"/>
      <c r="AX345" s="2"/>
      <c r="AY345" s="2"/>
      <c r="AZ345" s="2"/>
      <c r="BA345" s="2"/>
      <c r="BB345" s="2"/>
      <c r="BC345" s="2"/>
      <c r="BD345" s="2"/>
      <c r="BE345" s="2"/>
    </row>
    <row r="346" hidden="1">
      <c r="A346" s="2"/>
      <c r="B346" s="312" t="s">
        <v>7056</v>
      </c>
      <c r="C346" s="220" t="s">
        <v>7057</v>
      </c>
      <c r="D346" s="11">
        <v>180.0</v>
      </c>
      <c r="E346" s="11" t="s">
        <v>175</v>
      </c>
      <c r="F346" s="11" t="s">
        <v>6969</v>
      </c>
      <c r="G346" s="295" t="s">
        <v>7058</v>
      </c>
      <c r="H346" s="296"/>
      <c r="I346" s="156">
        <v>250.0</v>
      </c>
      <c r="J346" s="301"/>
      <c r="K346" s="296"/>
      <c r="L346" s="156">
        <v>140.0</v>
      </c>
      <c r="M346" s="301">
        <v>250.0</v>
      </c>
      <c r="N346" s="284">
        <v>3.75</v>
      </c>
      <c r="O346" s="296">
        <v>1200.0</v>
      </c>
      <c r="P346" s="104"/>
      <c r="Q346" s="303">
        <f>P345</f>
        <v>1200</v>
      </c>
      <c r="R346" s="299" t="s">
        <v>7059</v>
      </c>
      <c r="S346" s="300">
        <v>46141.37495817129</v>
      </c>
      <c r="T346" s="2"/>
      <c r="U346" s="289">
        <f t="shared" si="4"/>
        <v>950</v>
      </c>
      <c r="V346" s="290">
        <f t="shared" si="320"/>
        <v>-140</v>
      </c>
      <c r="W346" s="2"/>
      <c r="X346" s="289">
        <v>250.0</v>
      </c>
      <c r="Y346" s="139">
        <v>140.0</v>
      </c>
      <c r="Z346" s="2"/>
      <c r="AA346" s="2" t="s">
        <v>7057</v>
      </c>
      <c r="AB346" s="2" t="s">
        <v>7057</v>
      </c>
      <c r="AC346" s="2"/>
      <c r="AD346" s="2" t="s">
        <v>7057</v>
      </c>
      <c r="AE346" s="3" t="s">
        <v>7056</v>
      </c>
      <c r="AF346" s="2"/>
      <c r="AG346" s="1" t="s">
        <v>1582</v>
      </c>
      <c r="AH346" s="1" t="s">
        <v>5966</v>
      </c>
      <c r="AI346" s="2">
        <v>180.0</v>
      </c>
      <c r="AJ346" s="1" t="s">
        <v>1589</v>
      </c>
      <c r="AK346" s="1" t="s">
        <v>5878</v>
      </c>
      <c r="AL346" s="1" t="s">
        <v>5878</v>
      </c>
      <c r="AM346" s="2"/>
      <c r="AN346" s="2"/>
      <c r="AO346" s="2"/>
      <c r="AP346" s="2"/>
      <c r="AQ346" s="2"/>
      <c r="AR346" s="2"/>
      <c r="AS346" s="2"/>
      <c r="AT346" s="2"/>
      <c r="AU346" s="126">
        <v>250.0</v>
      </c>
      <c r="AV346" s="126">
        <v>1200.0</v>
      </c>
      <c r="AW346" s="2"/>
      <c r="AX346" s="2"/>
      <c r="AY346" s="2"/>
      <c r="AZ346" s="2"/>
      <c r="BA346" s="2"/>
      <c r="BB346" s="2"/>
      <c r="BC346" s="2"/>
      <c r="BD346" s="2"/>
      <c r="BE346" s="2"/>
    </row>
    <row r="347" hidden="1">
      <c r="A347" s="2"/>
      <c r="B347" s="312" t="s">
        <v>7060</v>
      </c>
      <c r="C347" s="220" t="s">
        <v>7061</v>
      </c>
      <c r="D347" s="11">
        <v>180.0</v>
      </c>
      <c r="E347" s="11" t="s">
        <v>175</v>
      </c>
      <c r="F347" s="11" t="s">
        <v>6969</v>
      </c>
      <c r="G347" s="295" t="s">
        <v>7062</v>
      </c>
      <c r="H347" s="296"/>
      <c r="I347" s="156">
        <v>250.0</v>
      </c>
      <c r="J347" s="301"/>
      <c r="K347" s="296"/>
      <c r="L347" s="156">
        <v>140.0</v>
      </c>
      <c r="M347" s="301">
        <v>250.0</v>
      </c>
      <c r="N347" s="284">
        <v>3.75</v>
      </c>
      <c r="O347" s="296">
        <v>1200.0</v>
      </c>
      <c r="P347" s="67"/>
      <c r="Q347" s="303">
        <f>P345</f>
        <v>1200</v>
      </c>
      <c r="R347" s="299" t="s">
        <v>7063</v>
      </c>
      <c r="S347" s="300">
        <v>46141.375013599536</v>
      </c>
      <c r="T347" s="2"/>
      <c r="U347" s="289">
        <f t="shared" si="4"/>
        <v>950</v>
      </c>
      <c r="V347" s="290">
        <f t="shared" si="320"/>
        <v>-140</v>
      </c>
      <c r="W347" s="2"/>
      <c r="X347" s="289">
        <v>250.0</v>
      </c>
      <c r="Y347" s="139">
        <v>140.0</v>
      </c>
      <c r="Z347" s="2"/>
      <c r="AA347" s="2" t="s">
        <v>7061</v>
      </c>
      <c r="AB347" s="2" t="s">
        <v>7061</v>
      </c>
      <c r="AC347" s="2"/>
      <c r="AD347" s="2" t="s">
        <v>7061</v>
      </c>
      <c r="AE347" s="3" t="s">
        <v>7060</v>
      </c>
      <c r="AF347" s="2"/>
      <c r="AG347" s="1" t="s">
        <v>1582</v>
      </c>
      <c r="AH347" s="1" t="s">
        <v>5966</v>
      </c>
      <c r="AI347" s="2">
        <v>180.0</v>
      </c>
      <c r="AJ347" s="1" t="s">
        <v>1589</v>
      </c>
      <c r="AK347" s="1" t="s">
        <v>5878</v>
      </c>
      <c r="AL347" s="1" t="s">
        <v>5878</v>
      </c>
      <c r="AM347" s="2"/>
      <c r="AN347" s="2"/>
      <c r="AO347" s="2"/>
      <c r="AP347" s="2"/>
      <c r="AQ347" s="2"/>
      <c r="AR347" s="2"/>
      <c r="AS347" s="2"/>
      <c r="AT347" s="2"/>
      <c r="AU347" s="126">
        <v>250.0</v>
      </c>
      <c r="AV347" s="126">
        <v>1200.0</v>
      </c>
      <c r="AW347" s="2"/>
      <c r="AX347" s="2"/>
      <c r="AY347" s="2"/>
      <c r="AZ347" s="2"/>
      <c r="BA347" s="2"/>
      <c r="BB347" s="2"/>
      <c r="BC347" s="2"/>
      <c r="BD347" s="2"/>
      <c r="BE347" s="2"/>
    </row>
    <row r="348" hidden="1">
      <c r="A348" s="2"/>
      <c r="B348" s="312" t="s">
        <v>7064</v>
      </c>
      <c r="C348" s="220" t="s">
        <v>7065</v>
      </c>
      <c r="D348" s="11">
        <v>180.0</v>
      </c>
      <c r="E348" s="11" t="s">
        <v>183</v>
      </c>
      <c r="F348" s="11" t="s">
        <v>6969</v>
      </c>
      <c r="G348" s="295" t="s">
        <v>7066</v>
      </c>
      <c r="H348" s="296"/>
      <c r="I348" s="156">
        <v>300.0</v>
      </c>
      <c r="J348" s="301"/>
      <c r="K348" s="296"/>
      <c r="L348" s="156">
        <v>270.0</v>
      </c>
      <c r="M348" s="301">
        <v>300.0</v>
      </c>
      <c r="N348" s="284">
        <v>5.6</v>
      </c>
      <c r="O348" s="296">
        <v>2000.0</v>
      </c>
      <c r="P348" s="313">
        <f>MAX(O348:O353)</f>
        <v>2000</v>
      </c>
      <c r="Q348" s="303">
        <f>P348</f>
        <v>2000</v>
      </c>
      <c r="R348" s="299" t="s">
        <v>7067</v>
      </c>
      <c r="S348" s="300">
        <v>46141.375076412034</v>
      </c>
      <c r="T348" s="2"/>
      <c r="U348" s="289">
        <f t="shared" si="4"/>
        <v>1700</v>
      </c>
      <c r="V348" s="290">
        <f t="shared" ref="V348:V353" si="321">IF(L348&gt;0, Q1383 - L348, "нет з/ч")</f>
        <v>-270</v>
      </c>
      <c r="W348" s="2"/>
      <c r="X348" s="289">
        <v>300.0</v>
      </c>
      <c r="Y348" s="139">
        <v>270.0</v>
      </c>
      <c r="Z348" s="2"/>
      <c r="AA348" s="2" t="s">
        <v>7065</v>
      </c>
      <c r="AB348" s="2" t="s">
        <v>7065</v>
      </c>
      <c r="AC348" s="2"/>
      <c r="AD348" s="1" t="s">
        <v>7065</v>
      </c>
      <c r="AE348" s="3" t="s">
        <v>7064</v>
      </c>
      <c r="AF348" s="2"/>
      <c r="AG348" s="1" t="s">
        <v>1582</v>
      </c>
      <c r="AH348" s="1" t="s">
        <v>5975</v>
      </c>
      <c r="AI348" s="2">
        <v>180.0</v>
      </c>
      <c r="AJ348" s="1" t="s">
        <v>1589</v>
      </c>
      <c r="AK348" s="1" t="s">
        <v>5878</v>
      </c>
      <c r="AL348" s="1" t="s">
        <v>5878</v>
      </c>
      <c r="AM348" s="2"/>
      <c r="AN348" s="2"/>
      <c r="AO348" s="2"/>
      <c r="AP348" s="2"/>
      <c r="AQ348" s="2"/>
      <c r="AR348" s="2"/>
      <c r="AS348" s="2"/>
      <c r="AT348" s="2"/>
      <c r="AU348" s="126">
        <v>300.0</v>
      </c>
      <c r="AV348" s="126">
        <v>2000.0</v>
      </c>
      <c r="AW348" s="2"/>
      <c r="AX348" s="2"/>
      <c r="AY348" s="2"/>
      <c r="AZ348" s="2"/>
      <c r="BA348" s="2"/>
      <c r="BB348" s="2"/>
      <c r="BC348" s="2"/>
      <c r="BD348" s="2"/>
      <c r="BE348" s="2"/>
    </row>
    <row r="349" hidden="1">
      <c r="A349" s="2"/>
      <c r="B349" s="312" t="s">
        <v>7068</v>
      </c>
      <c r="C349" s="220" t="s">
        <v>7069</v>
      </c>
      <c r="D349" s="11">
        <v>180.0</v>
      </c>
      <c r="E349" s="11" t="s">
        <v>183</v>
      </c>
      <c r="F349" s="11" t="s">
        <v>6969</v>
      </c>
      <c r="G349" s="295" t="s">
        <v>7070</v>
      </c>
      <c r="H349" s="296"/>
      <c r="I349" s="156">
        <v>300.0</v>
      </c>
      <c r="J349" s="301"/>
      <c r="K349" s="296"/>
      <c r="L349" s="156">
        <v>270.0</v>
      </c>
      <c r="M349" s="301">
        <v>300.0</v>
      </c>
      <c r="N349" s="284">
        <v>5.6</v>
      </c>
      <c r="O349" s="296">
        <v>2000.0</v>
      </c>
      <c r="P349" s="104"/>
      <c r="Q349" s="303">
        <f>P348</f>
        <v>2000</v>
      </c>
      <c r="R349" s="299" t="s">
        <v>7071</v>
      </c>
      <c r="S349" s="300">
        <v>46141.3751274074</v>
      </c>
      <c r="T349" s="2"/>
      <c r="U349" s="289">
        <f t="shared" si="4"/>
        <v>1700</v>
      </c>
      <c r="V349" s="290">
        <f t="shared" si="321"/>
        <v>-270</v>
      </c>
      <c r="W349" s="2"/>
      <c r="X349" s="289">
        <v>300.0</v>
      </c>
      <c r="Y349" s="139">
        <v>270.0</v>
      </c>
      <c r="Z349" s="2"/>
      <c r="AA349" s="2" t="s">
        <v>7069</v>
      </c>
      <c r="AB349" s="2" t="s">
        <v>7069</v>
      </c>
      <c r="AC349" s="2"/>
      <c r="AD349" s="1" t="s">
        <v>7069</v>
      </c>
      <c r="AE349" s="3" t="s">
        <v>7068</v>
      </c>
      <c r="AF349" s="2"/>
      <c r="AG349" s="1" t="s">
        <v>1582</v>
      </c>
      <c r="AH349" s="1" t="s">
        <v>5975</v>
      </c>
      <c r="AI349" s="2">
        <v>180.0</v>
      </c>
      <c r="AJ349" s="1" t="s">
        <v>1589</v>
      </c>
      <c r="AK349" s="1" t="s">
        <v>5878</v>
      </c>
      <c r="AL349" s="1" t="s">
        <v>5878</v>
      </c>
      <c r="AM349" s="2"/>
      <c r="AN349" s="2"/>
      <c r="AO349" s="2"/>
      <c r="AP349" s="2"/>
      <c r="AQ349" s="2"/>
      <c r="AR349" s="2"/>
      <c r="AS349" s="2"/>
      <c r="AT349" s="2"/>
      <c r="AU349" s="126">
        <v>300.0</v>
      </c>
      <c r="AV349" s="126">
        <v>2000.0</v>
      </c>
      <c r="AW349" s="2"/>
      <c r="AX349" s="2"/>
      <c r="AY349" s="2"/>
      <c r="AZ349" s="2"/>
      <c r="BA349" s="2"/>
      <c r="BB349" s="2"/>
      <c r="BC349" s="2"/>
      <c r="BD349" s="2"/>
      <c r="BE349" s="2"/>
    </row>
    <row r="350" hidden="1">
      <c r="A350" s="2"/>
      <c r="B350" s="312" t="s">
        <v>7072</v>
      </c>
      <c r="C350" s="220" t="s">
        <v>7073</v>
      </c>
      <c r="D350" s="11">
        <v>180.0</v>
      </c>
      <c r="E350" s="11" t="s">
        <v>183</v>
      </c>
      <c r="F350" s="11" t="s">
        <v>6969</v>
      </c>
      <c r="G350" s="295" t="s">
        <v>7074</v>
      </c>
      <c r="H350" s="296"/>
      <c r="I350" s="156">
        <v>300.0</v>
      </c>
      <c r="J350" s="301"/>
      <c r="K350" s="296"/>
      <c r="L350" s="156">
        <v>270.0</v>
      </c>
      <c r="M350" s="301">
        <v>300.0</v>
      </c>
      <c r="N350" s="284">
        <v>5.6</v>
      </c>
      <c r="O350" s="296">
        <v>2000.0</v>
      </c>
      <c r="P350" s="104"/>
      <c r="Q350" s="303">
        <f>P348</f>
        <v>2000</v>
      </c>
      <c r="R350" s="299" t="s">
        <v>7075</v>
      </c>
      <c r="S350" s="300">
        <v>46141.37517767361</v>
      </c>
      <c r="T350" s="2"/>
      <c r="U350" s="289">
        <f t="shared" si="4"/>
        <v>1700</v>
      </c>
      <c r="V350" s="290">
        <f t="shared" si="321"/>
        <v>-270</v>
      </c>
      <c r="W350" s="2"/>
      <c r="X350" s="289">
        <v>300.0</v>
      </c>
      <c r="Y350" s="139">
        <v>270.0</v>
      </c>
      <c r="Z350" s="2"/>
      <c r="AA350" s="2" t="s">
        <v>7073</v>
      </c>
      <c r="AB350" s="2" t="s">
        <v>7073</v>
      </c>
      <c r="AC350" s="2"/>
      <c r="AD350" s="1" t="s">
        <v>7073</v>
      </c>
      <c r="AE350" s="3" t="s">
        <v>7072</v>
      </c>
      <c r="AF350" s="2"/>
      <c r="AG350" s="1" t="s">
        <v>1582</v>
      </c>
      <c r="AH350" s="1" t="s">
        <v>5975</v>
      </c>
      <c r="AI350" s="2">
        <v>180.0</v>
      </c>
      <c r="AJ350" s="1" t="s">
        <v>1589</v>
      </c>
      <c r="AK350" s="1" t="s">
        <v>5878</v>
      </c>
      <c r="AL350" s="1" t="s">
        <v>5878</v>
      </c>
      <c r="AM350" s="2"/>
      <c r="AN350" s="2"/>
      <c r="AO350" s="2"/>
      <c r="AP350" s="2"/>
      <c r="AQ350" s="2"/>
      <c r="AR350" s="2"/>
      <c r="AS350" s="2"/>
      <c r="AT350" s="2"/>
      <c r="AU350" s="126">
        <v>300.0</v>
      </c>
      <c r="AV350" s="126">
        <v>2000.0</v>
      </c>
      <c r="AW350" s="2"/>
      <c r="AX350" s="2"/>
      <c r="AY350" s="2"/>
      <c r="AZ350" s="2"/>
      <c r="BA350" s="2"/>
      <c r="BB350" s="2"/>
      <c r="BC350" s="2"/>
      <c r="BD350" s="2"/>
      <c r="BE350" s="2"/>
    </row>
    <row r="351" hidden="1">
      <c r="A351" s="2"/>
      <c r="B351" s="312" t="s">
        <v>7076</v>
      </c>
      <c r="C351" s="220" t="s">
        <v>7077</v>
      </c>
      <c r="D351" s="11">
        <v>180.0</v>
      </c>
      <c r="E351" s="11" t="s">
        <v>183</v>
      </c>
      <c r="F351" s="11" t="s">
        <v>6969</v>
      </c>
      <c r="G351" s="295" t="s">
        <v>7078</v>
      </c>
      <c r="H351" s="296"/>
      <c r="I351" s="156">
        <v>300.0</v>
      </c>
      <c r="J351" s="301"/>
      <c r="K351" s="296"/>
      <c r="L351" s="156">
        <v>270.0</v>
      </c>
      <c r="M351" s="301">
        <v>300.0</v>
      </c>
      <c r="N351" s="284">
        <v>5.6</v>
      </c>
      <c r="O351" s="296">
        <v>2000.0</v>
      </c>
      <c r="P351" s="104"/>
      <c r="Q351" s="303">
        <f>P348</f>
        <v>2000</v>
      </c>
      <c r="R351" s="299" t="s">
        <v>7079</v>
      </c>
      <c r="S351" s="300">
        <v>46141.37522929398</v>
      </c>
      <c r="T351" s="2"/>
      <c r="U351" s="289">
        <f t="shared" si="4"/>
        <v>1700</v>
      </c>
      <c r="V351" s="290">
        <f t="shared" si="321"/>
        <v>-270</v>
      </c>
      <c r="W351" s="2"/>
      <c r="X351" s="289">
        <v>300.0</v>
      </c>
      <c r="Y351" s="139">
        <v>270.0</v>
      </c>
      <c r="Z351" s="2"/>
      <c r="AA351" s="2" t="s">
        <v>7077</v>
      </c>
      <c r="AB351" s="2" t="s">
        <v>7077</v>
      </c>
      <c r="AC351" s="2"/>
      <c r="AD351" s="1" t="s">
        <v>7077</v>
      </c>
      <c r="AE351" s="3" t="s">
        <v>7076</v>
      </c>
      <c r="AF351" s="2"/>
      <c r="AG351" s="1" t="s">
        <v>1582</v>
      </c>
      <c r="AH351" s="1" t="s">
        <v>5975</v>
      </c>
      <c r="AI351" s="2">
        <v>180.0</v>
      </c>
      <c r="AJ351" s="1" t="s">
        <v>1589</v>
      </c>
      <c r="AK351" s="1" t="s">
        <v>5878</v>
      </c>
      <c r="AL351" s="1" t="s">
        <v>5878</v>
      </c>
      <c r="AM351" s="2"/>
      <c r="AN351" s="2"/>
      <c r="AO351" s="2"/>
      <c r="AP351" s="2"/>
      <c r="AQ351" s="2"/>
      <c r="AR351" s="2"/>
      <c r="AS351" s="2"/>
      <c r="AT351" s="2"/>
      <c r="AU351" s="126">
        <v>300.0</v>
      </c>
      <c r="AV351" s="126">
        <v>2000.0</v>
      </c>
      <c r="AW351" s="2"/>
      <c r="AX351" s="2"/>
      <c r="AY351" s="2"/>
      <c r="AZ351" s="2"/>
      <c r="BA351" s="2"/>
      <c r="BB351" s="2"/>
      <c r="BC351" s="2"/>
      <c r="BD351" s="2"/>
      <c r="BE351" s="2"/>
    </row>
    <row r="352" hidden="1">
      <c r="A352" s="2"/>
      <c r="B352" s="312" t="s">
        <v>7080</v>
      </c>
      <c r="C352" s="220" t="s">
        <v>7081</v>
      </c>
      <c r="D352" s="11">
        <v>180.0</v>
      </c>
      <c r="E352" s="11" t="s">
        <v>183</v>
      </c>
      <c r="F352" s="11" t="s">
        <v>6969</v>
      </c>
      <c r="G352" s="295" t="s">
        <v>7082</v>
      </c>
      <c r="H352" s="296"/>
      <c r="I352" s="156">
        <v>300.0</v>
      </c>
      <c r="J352" s="301"/>
      <c r="K352" s="296"/>
      <c r="L352" s="156">
        <v>270.0</v>
      </c>
      <c r="M352" s="301">
        <v>300.0</v>
      </c>
      <c r="N352" s="284">
        <v>5.6</v>
      </c>
      <c r="O352" s="296">
        <v>2000.0</v>
      </c>
      <c r="P352" s="104"/>
      <c r="Q352" s="303">
        <f>P348</f>
        <v>2000</v>
      </c>
      <c r="R352" s="299" t="s">
        <v>7083</v>
      </c>
      <c r="S352" s="300">
        <v>46141.3752819213</v>
      </c>
      <c r="T352" s="2"/>
      <c r="U352" s="289">
        <f t="shared" si="4"/>
        <v>1700</v>
      </c>
      <c r="V352" s="290">
        <f t="shared" si="321"/>
        <v>-270</v>
      </c>
      <c r="W352" s="2"/>
      <c r="X352" s="289">
        <v>300.0</v>
      </c>
      <c r="Y352" s="139">
        <v>270.0</v>
      </c>
      <c r="Z352" s="2"/>
      <c r="AA352" s="2" t="s">
        <v>7081</v>
      </c>
      <c r="AB352" s="2" t="s">
        <v>7081</v>
      </c>
      <c r="AC352" s="2"/>
      <c r="AD352" s="1" t="s">
        <v>7081</v>
      </c>
      <c r="AE352" s="3" t="s">
        <v>7080</v>
      </c>
      <c r="AF352" s="2"/>
      <c r="AG352" s="1" t="s">
        <v>1582</v>
      </c>
      <c r="AH352" s="1" t="s">
        <v>5975</v>
      </c>
      <c r="AI352" s="2">
        <v>180.0</v>
      </c>
      <c r="AJ352" s="1" t="s">
        <v>1589</v>
      </c>
      <c r="AK352" s="1" t="s">
        <v>5878</v>
      </c>
      <c r="AL352" s="1" t="s">
        <v>5878</v>
      </c>
      <c r="AM352" s="2"/>
      <c r="AN352" s="2"/>
      <c r="AO352" s="2"/>
      <c r="AP352" s="2"/>
      <c r="AQ352" s="2"/>
      <c r="AR352" s="2"/>
      <c r="AS352" s="2"/>
      <c r="AT352" s="2"/>
      <c r="AU352" s="126">
        <v>300.0</v>
      </c>
      <c r="AV352" s="126">
        <v>2000.0</v>
      </c>
      <c r="AW352" s="2"/>
      <c r="AX352" s="2"/>
      <c r="AY352" s="2"/>
      <c r="AZ352" s="2"/>
      <c r="BA352" s="2"/>
      <c r="BB352" s="2"/>
      <c r="BC352" s="2"/>
      <c r="BD352" s="2"/>
      <c r="BE352" s="2"/>
    </row>
    <row r="353" hidden="1">
      <c r="A353" s="2"/>
      <c r="B353" s="312" t="s">
        <v>7084</v>
      </c>
      <c r="C353" s="220" t="s">
        <v>7085</v>
      </c>
      <c r="D353" s="11">
        <v>180.0</v>
      </c>
      <c r="E353" s="11" t="s">
        <v>183</v>
      </c>
      <c r="F353" s="11" t="s">
        <v>6969</v>
      </c>
      <c r="G353" s="306"/>
      <c r="H353" s="296"/>
      <c r="I353" s="139"/>
      <c r="J353" s="301"/>
      <c r="K353" s="296"/>
      <c r="L353" s="156">
        <v>270.0</v>
      </c>
      <c r="M353" s="301">
        <v>270.0</v>
      </c>
      <c r="N353" s="284">
        <v>5.6</v>
      </c>
      <c r="O353" s="296">
        <v>1800.0</v>
      </c>
      <c r="P353" s="67"/>
      <c r="Q353" s="303">
        <f>P348</f>
        <v>2000</v>
      </c>
      <c r="R353" s="307"/>
      <c r="S353" s="300">
        <v>46080.66917283565</v>
      </c>
      <c r="T353" s="2"/>
      <c r="U353" s="59" t="str">
        <f t="shared" si="4"/>
        <v>нет з/ч</v>
      </c>
      <c r="V353" s="290">
        <f t="shared" si="321"/>
        <v>-270</v>
      </c>
      <c r="W353" s="2"/>
      <c r="X353" s="289"/>
      <c r="Y353" s="139">
        <v>270.0</v>
      </c>
      <c r="Z353" s="2"/>
      <c r="AA353" s="2" t="s">
        <v>7085</v>
      </c>
      <c r="AB353" s="2" t="s">
        <v>7085</v>
      </c>
      <c r="AC353" s="2"/>
      <c r="AD353" s="1" t="s">
        <v>7085</v>
      </c>
      <c r="AE353" s="3" t="s">
        <v>7084</v>
      </c>
      <c r="AF353" s="2"/>
      <c r="AG353" s="1" t="s">
        <v>1582</v>
      </c>
      <c r="AH353" s="1" t="s">
        <v>5975</v>
      </c>
      <c r="AI353" s="2">
        <v>180.0</v>
      </c>
      <c r="AJ353" s="1" t="s">
        <v>1589</v>
      </c>
      <c r="AK353" s="1" t="s">
        <v>5878</v>
      </c>
      <c r="AL353" s="1" t="s">
        <v>5878</v>
      </c>
      <c r="AM353" s="2"/>
      <c r="AN353" s="2"/>
      <c r="AO353" s="2"/>
      <c r="AP353" s="2"/>
      <c r="AQ353" s="2"/>
      <c r="AR353" s="2"/>
      <c r="AS353" s="2"/>
      <c r="AT353" s="2"/>
      <c r="AU353" s="126">
        <v>270.0</v>
      </c>
      <c r="AV353" s="126">
        <v>2000.0</v>
      </c>
      <c r="AW353" s="2"/>
      <c r="AX353" s="2"/>
      <c r="AY353" s="2"/>
      <c r="AZ353" s="2"/>
      <c r="BA353" s="2"/>
      <c r="BB353" s="2"/>
      <c r="BC353" s="2"/>
      <c r="BD353" s="2"/>
      <c r="BE353" s="2"/>
    </row>
    <row r="354" hidden="1">
      <c r="A354" s="2"/>
      <c r="B354" s="312" t="s">
        <v>7086</v>
      </c>
      <c r="C354" s="220" t="s">
        <v>7087</v>
      </c>
      <c r="D354" s="11">
        <v>180.0</v>
      </c>
      <c r="E354" s="11" t="s">
        <v>185</v>
      </c>
      <c r="F354" s="11" t="s">
        <v>6969</v>
      </c>
      <c r="G354" s="295" t="s">
        <v>7088</v>
      </c>
      <c r="H354" s="296"/>
      <c r="I354" s="156">
        <v>420.0</v>
      </c>
      <c r="J354" s="301"/>
      <c r="K354" s="296"/>
      <c r="L354" s="156">
        <v>450.0</v>
      </c>
      <c r="M354" s="301">
        <v>450.0</v>
      </c>
      <c r="N354" s="284">
        <v>3.4</v>
      </c>
      <c r="O354" s="296">
        <v>2000.0</v>
      </c>
      <c r="P354" s="313">
        <f>MAX(O354:O357)</f>
        <v>2000</v>
      </c>
      <c r="Q354" s="303">
        <f>P354</f>
        <v>2000</v>
      </c>
      <c r="R354" s="299" t="s">
        <v>7089</v>
      </c>
      <c r="S354" s="300">
        <v>46141.375331828705</v>
      </c>
      <c r="T354" s="2"/>
      <c r="U354" s="289">
        <f t="shared" si="4"/>
        <v>1580</v>
      </c>
      <c r="V354" s="290">
        <f t="shared" ref="V354:V357" si="322">IF(L354&gt;0, Q1393 - L354, "нет з/ч")</f>
        <v>-450</v>
      </c>
      <c r="W354" s="2"/>
      <c r="X354" s="289">
        <v>420.0</v>
      </c>
      <c r="Y354" s="139">
        <v>450.0</v>
      </c>
      <c r="Z354" s="2"/>
      <c r="AA354" s="2" t="s">
        <v>7087</v>
      </c>
      <c r="AB354" s="2" t="s">
        <v>7087</v>
      </c>
      <c r="AC354" s="2"/>
      <c r="AD354" s="1" t="s">
        <v>7087</v>
      </c>
      <c r="AE354" s="3" t="s">
        <v>7086</v>
      </c>
      <c r="AF354" s="2"/>
      <c r="AG354" s="1" t="s">
        <v>1582</v>
      </c>
      <c r="AH354" s="1" t="s">
        <v>5984</v>
      </c>
      <c r="AI354" s="2">
        <v>180.0</v>
      </c>
      <c r="AJ354" s="1" t="s">
        <v>1589</v>
      </c>
      <c r="AK354" s="1" t="s">
        <v>5878</v>
      </c>
      <c r="AL354" s="1" t="s">
        <v>5878</v>
      </c>
      <c r="AM354" s="2"/>
      <c r="AN354" s="2"/>
      <c r="AO354" s="2"/>
      <c r="AP354" s="2"/>
      <c r="AQ354" s="2"/>
      <c r="AR354" s="2"/>
      <c r="AS354" s="2"/>
      <c r="AT354" s="2"/>
      <c r="AU354" s="126">
        <v>450.0</v>
      </c>
      <c r="AV354" s="126">
        <v>2000.0</v>
      </c>
      <c r="AW354" s="2"/>
      <c r="AX354" s="2"/>
      <c r="AY354" s="2"/>
      <c r="AZ354" s="2"/>
      <c r="BA354" s="2"/>
      <c r="BB354" s="2"/>
      <c r="BC354" s="2"/>
      <c r="BD354" s="2"/>
      <c r="BE354" s="2"/>
    </row>
    <row r="355" hidden="1">
      <c r="A355" s="2"/>
      <c r="B355" s="312" t="s">
        <v>7090</v>
      </c>
      <c r="C355" s="220" t="s">
        <v>7091</v>
      </c>
      <c r="D355" s="11">
        <v>180.0</v>
      </c>
      <c r="E355" s="11" t="s">
        <v>185</v>
      </c>
      <c r="F355" s="11" t="s">
        <v>6969</v>
      </c>
      <c r="G355" s="295" t="s">
        <v>7092</v>
      </c>
      <c r="H355" s="296"/>
      <c r="I355" s="156">
        <v>420.0</v>
      </c>
      <c r="J355" s="301"/>
      <c r="K355" s="296"/>
      <c r="L355" s="156">
        <v>450.0</v>
      </c>
      <c r="M355" s="301">
        <v>450.0</v>
      </c>
      <c r="N355" s="284">
        <v>3.4</v>
      </c>
      <c r="O355" s="296">
        <v>2000.0</v>
      </c>
      <c r="P355" s="104"/>
      <c r="Q355" s="303">
        <f>P354</f>
        <v>2000</v>
      </c>
      <c r="R355" s="299" t="s">
        <v>7093</v>
      </c>
      <c r="S355" s="300">
        <v>46141.37538138889</v>
      </c>
      <c r="T355" s="2"/>
      <c r="U355" s="289">
        <f t="shared" si="4"/>
        <v>1580</v>
      </c>
      <c r="V355" s="290">
        <f t="shared" si="322"/>
        <v>-450</v>
      </c>
      <c r="W355" s="2"/>
      <c r="X355" s="289">
        <v>420.0</v>
      </c>
      <c r="Y355" s="139">
        <v>450.0</v>
      </c>
      <c r="Z355" s="2"/>
      <c r="AA355" s="2" t="s">
        <v>7091</v>
      </c>
      <c r="AB355" s="2" t="s">
        <v>7091</v>
      </c>
      <c r="AC355" s="2"/>
      <c r="AD355" s="1" t="s">
        <v>7091</v>
      </c>
      <c r="AE355" s="3" t="s">
        <v>7090</v>
      </c>
      <c r="AF355" s="2"/>
      <c r="AG355" s="1" t="s">
        <v>1582</v>
      </c>
      <c r="AH355" s="1" t="s">
        <v>5984</v>
      </c>
      <c r="AI355" s="2">
        <v>180.0</v>
      </c>
      <c r="AJ355" s="1" t="s">
        <v>1589</v>
      </c>
      <c r="AK355" s="1" t="s">
        <v>5878</v>
      </c>
      <c r="AL355" s="1" t="s">
        <v>5878</v>
      </c>
      <c r="AM355" s="2"/>
      <c r="AN355" s="2"/>
      <c r="AO355" s="2"/>
      <c r="AP355" s="2"/>
      <c r="AQ355" s="2"/>
      <c r="AR355" s="2"/>
      <c r="AS355" s="2"/>
      <c r="AT355" s="2"/>
      <c r="AU355" s="126">
        <v>450.0</v>
      </c>
      <c r="AV355" s="126">
        <v>2000.0</v>
      </c>
      <c r="AW355" s="2"/>
      <c r="AX355" s="2"/>
      <c r="AY355" s="2"/>
      <c r="AZ355" s="2"/>
      <c r="BA355" s="2"/>
      <c r="BB355" s="2"/>
      <c r="BC355" s="2"/>
      <c r="BD355" s="2"/>
      <c r="BE355" s="2"/>
    </row>
    <row r="356" hidden="1">
      <c r="A356" s="2"/>
      <c r="B356" s="312" t="s">
        <v>7094</v>
      </c>
      <c r="C356" s="220" t="s">
        <v>7095</v>
      </c>
      <c r="D356" s="11">
        <v>180.0</v>
      </c>
      <c r="E356" s="11" t="s">
        <v>185</v>
      </c>
      <c r="F356" s="11" t="s">
        <v>6969</v>
      </c>
      <c r="G356" s="295" t="s">
        <v>7096</v>
      </c>
      <c r="H356" s="296"/>
      <c r="I356" s="156">
        <v>420.0</v>
      </c>
      <c r="J356" s="301"/>
      <c r="K356" s="296"/>
      <c r="L356" s="156">
        <v>450.0</v>
      </c>
      <c r="M356" s="301">
        <v>450.0</v>
      </c>
      <c r="N356" s="284">
        <v>3.4</v>
      </c>
      <c r="O356" s="296">
        <v>2000.0</v>
      </c>
      <c r="P356" s="104"/>
      <c r="Q356" s="303">
        <f>P354</f>
        <v>2000</v>
      </c>
      <c r="R356" s="299" t="s">
        <v>7097</v>
      </c>
      <c r="S356" s="300">
        <v>46141.37543100695</v>
      </c>
      <c r="T356" s="2"/>
      <c r="U356" s="289">
        <f t="shared" si="4"/>
        <v>1580</v>
      </c>
      <c r="V356" s="290">
        <f t="shared" si="322"/>
        <v>-450</v>
      </c>
      <c r="W356" s="2"/>
      <c r="X356" s="289">
        <v>420.0</v>
      </c>
      <c r="Y356" s="139">
        <v>450.0</v>
      </c>
      <c r="Z356" s="2"/>
      <c r="AA356" s="2" t="s">
        <v>7095</v>
      </c>
      <c r="AB356" s="2" t="s">
        <v>7095</v>
      </c>
      <c r="AC356" s="2"/>
      <c r="AD356" s="1" t="s">
        <v>7095</v>
      </c>
      <c r="AE356" s="3" t="s">
        <v>7094</v>
      </c>
      <c r="AF356" s="2"/>
      <c r="AG356" s="1" t="s">
        <v>1582</v>
      </c>
      <c r="AH356" s="1" t="s">
        <v>5984</v>
      </c>
      <c r="AI356" s="2">
        <v>180.0</v>
      </c>
      <c r="AJ356" s="1" t="s">
        <v>1589</v>
      </c>
      <c r="AK356" s="1" t="s">
        <v>5878</v>
      </c>
      <c r="AL356" s="1" t="s">
        <v>5878</v>
      </c>
      <c r="AM356" s="2"/>
      <c r="AN356" s="2"/>
      <c r="AO356" s="2"/>
      <c r="AP356" s="2"/>
      <c r="AQ356" s="2"/>
      <c r="AR356" s="2"/>
      <c r="AS356" s="2"/>
      <c r="AT356" s="2"/>
      <c r="AU356" s="126">
        <v>450.0</v>
      </c>
      <c r="AV356" s="126">
        <v>2000.0</v>
      </c>
      <c r="AW356" s="2"/>
      <c r="AX356" s="2"/>
      <c r="AY356" s="2"/>
      <c r="AZ356" s="2"/>
      <c r="BA356" s="2"/>
      <c r="BB356" s="2"/>
      <c r="BC356" s="2"/>
      <c r="BD356" s="2"/>
      <c r="BE356" s="2"/>
    </row>
    <row r="357" hidden="1">
      <c r="A357" s="2"/>
      <c r="B357" s="312" t="s">
        <v>7098</v>
      </c>
      <c r="C357" s="220" t="s">
        <v>7099</v>
      </c>
      <c r="D357" s="11">
        <v>180.0</v>
      </c>
      <c r="E357" s="11" t="s">
        <v>185</v>
      </c>
      <c r="F357" s="11" t="s">
        <v>6969</v>
      </c>
      <c r="G357" s="295" t="s">
        <v>7100</v>
      </c>
      <c r="H357" s="296"/>
      <c r="I357" s="156">
        <v>420.0</v>
      </c>
      <c r="J357" s="301"/>
      <c r="K357" s="296"/>
      <c r="L357" s="156">
        <v>450.0</v>
      </c>
      <c r="M357" s="301">
        <v>450.0</v>
      </c>
      <c r="N357" s="284">
        <v>3.4</v>
      </c>
      <c r="O357" s="296">
        <v>2000.0</v>
      </c>
      <c r="P357" s="67"/>
      <c r="Q357" s="303">
        <f>P354</f>
        <v>2000</v>
      </c>
      <c r="R357" s="299" t="s">
        <v>7101</v>
      </c>
      <c r="S357" s="300">
        <v>46141.37548239583</v>
      </c>
      <c r="T357" s="2"/>
      <c r="U357" s="289">
        <f t="shared" si="4"/>
        <v>1580</v>
      </c>
      <c r="V357" s="290">
        <f t="shared" si="322"/>
        <v>-450</v>
      </c>
      <c r="W357" s="2"/>
      <c r="X357" s="289">
        <v>420.0</v>
      </c>
      <c r="Y357" s="139">
        <v>450.0</v>
      </c>
      <c r="Z357" s="2"/>
      <c r="AA357" s="2" t="s">
        <v>7099</v>
      </c>
      <c r="AB357" s="2" t="s">
        <v>7099</v>
      </c>
      <c r="AC357" s="2"/>
      <c r="AD357" s="1" t="s">
        <v>7099</v>
      </c>
      <c r="AE357" s="3" t="s">
        <v>7098</v>
      </c>
      <c r="AF357" s="2"/>
      <c r="AG357" s="1" t="s">
        <v>1582</v>
      </c>
      <c r="AH357" s="1" t="s">
        <v>5984</v>
      </c>
      <c r="AI357" s="2">
        <v>180.0</v>
      </c>
      <c r="AJ357" s="1" t="s">
        <v>1589</v>
      </c>
      <c r="AK357" s="1" t="s">
        <v>5878</v>
      </c>
      <c r="AL357" s="1" t="s">
        <v>5878</v>
      </c>
      <c r="AM357" s="2"/>
      <c r="AN357" s="2"/>
      <c r="AO357" s="2"/>
      <c r="AP357" s="2"/>
      <c r="AQ357" s="2"/>
      <c r="AR357" s="2"/>
      <c r="AS357" s="2"/>
      <c r="AT357" s="2"/>
      <c r="AU357" s="126">
        <v>450.0</v>
      </c>
      <c r="AV357" s="126">
        <v>2000.0</v>
      </c>
      <c r="AW357" s="2"/>
      <c r="AX357" s="2"/>
      <c r="AY357" s="2"/>
      <c r="AZ357" s="2"/>
      <c r="BA357" s="2"/>
      <c r="BB357" s="2"/>
      <c r="BC357" s="2"/>
      <c r="BD357" s="2"/>
      <c r="BE357" s="2"/>
    </row>
    <row r="358" hidden="1">
      <c r="A358" s="2"/>
      <c r="B358" s="312" t="s">
        <v>7102</v>
      </c>
      <c r="C358" s="220" t="s">
        <v>7103</v>
      </c>
      <c r="D358" s="11">
        <v>180.0</v>
      </c>
      <c r="E358" s="11" t="s">
        <v>193</v>
      </c>
      <c r="F358" s="11" t="s">
        <v>6969</v>
      </c>
      <c r="G358" s="295" t="s">
        <v>7088</v>
      </c>
      <c r="H358" s="296"/>
      <c r="I358" s="156">
        <v>420.0</v>
      </c>
      <c r="J358" s="301"/>
      <c r="K358" s="296"/>
      <c r="L358" s="156">
        <v>450.0</v>
      </c>
      <c r="M358" s="301">
        <v>450.0</v>
      </c>
      <c r="N358" s="284">
        <v>3.4</v>
      </c>
      <c r="O358" s="296">
        <v>2000.0</v>
      </c>
      <c r="P358" s="313">
        <f>MAX(O358:O361)</f>
        <v>2000</v>
      </c>
      <c r="Q358" s="303">
        <f>P358</f>
        <v>2000</v>
      </c>
      <c r="R358" s="299" t="s">
        <v>7089</v>
      </c>
      <c r="S358" s="300">
        <v>46141.3755315625</v>
      </c>
      <c r="T358" s="2"/>
      <c r="U358" s="289">
        <f t="shared" si="4"/>
        <v>1580</v>
      </c>
      <c r="V358" s="290">
        <f t="shared" ref="V358:V361" si="323">IF(L358&gt;0, Q1401 - L358, "нет з/ч")</f>
        <v>-450</v>
      </c>
      <c r="W358" s="2"/>
      <c r="X358" s="289">
        <v>420.0</v>
      </c>
      <c r="Y358" s="139">
        <v>450.0</v>
      </c>
      <c r="Z358" s="2"/>
      <c r="AA358" s="2" t="s">
        <v>7103</v>
      </c>
      <c r="AB358" s="2" t="s">
        <v>7103</v>
      </c>
      <c r="AC358" s="2"/>
      <c r="AD358" s="1" t="s">
        <v>7103</v>
      </c>
      <c r="AE358" s="3" t="s">
        <v>7102</v>
      </c>
      <c r="AF358" s="2"/>
      <c r="AG358" s="1" t="s">
        <v>1582</v>
      </c>
      <c r="AH358" s="1" t="s">
        <v>5993</v>
      </c>
      <c r="AI358" s="2">
        <v>180.0</v>
      </c>
      <c r="AJ358" s="1" t="s">
        <v>1589</v>
      </c>
      <c r="AK358" s="1" t="s">
        <v>5878</v>
      </c>
      <c r="AL358" s="1" t="s">
        <v>5878</v>
      </c>
      <c r="AM358" s="2"/>
      <c r="AN358" s="2"/>
      <c r="AO358" s="2"/>
      <c r="AP358" s="2"/>
      <c r="AQ358" s="2"/>
      <c r="AR358" s="2"/>
      <c r="AS358" s="2"/>
      <c r="AT358" s="2"/>
      <c r="AU358" s="167">
        <v>450.0</v>
      </c>
      <c r="AV358" s="167">
        <v>2000.0</v>
      </c>
      <c r="AW358" s="2"/>
      <c r="AX358" s="2"/>
      <c r="AY358" s="2"/>
      <c r="AZ358" s="2"/>
      <c r="BA358" s="2"/>
      <c r="BB358" s="2"/>
      <c r="BC358" s="2"/>
      <c r="BD358" s="2"/>
      <c r="BE358" s="2"/>
    </row>
    <row r="359" hidden="1">
      <c r="A359" s="2"/>
      <c r="B359" s="312" t="s">
        <v>7104</v>
      </c>
      <c r="C359" s="220" t="s">
        <v>7105</v>
      </c>
      <c r="D359" s="11">
        <v>180.0</v>
      </c>
      <c r="E359" s="11" t="s">
        <v>193</v>
      </c>
      <c r="F359" s="11" t="s">
        <v>6969</v>
      </c>
      <c r="G359" s="295" t="s">
        <v>7092</v>
      </c>
      <c r="H359" s="296"/>
      <c r="I359" s="156">
        <v>420.0</v>
      </c>
      <c r="J359" s="301"/>
      <c r="K359" s="296"/>
      <c r="L359" s="156">
        <v>450.0</v>
      </c>
      <c r="M359" s="301">
        <v>450.0</v>
      </c>
      <c r="N359" s="284">
        <v>3.4</v>
      </c>
      <c r="O359" s="296">
        <v>2000.0</v>
      </c>
      <c r="P359" s="104"/>
      <c r="Q359" s="303">
        <f>P358</f>
        <v>2000</v>
      </c>
      <c r="R359" s="299" t="s">
        <v>7093</v>
      </c>
      <c r="S359" s="300">
        <v>46141.3755846412</v>
      </c>
      <c r="T359" s="2"/>
      <c r="U359" s="289">
        <f t="shared" si="4"/>
        <v>1580</v>
      </c>
      <c r="V359" s="290">
        <f t="shared" si="323"/>
        <v>-450</v>
      </c>
      <c r="W359" s="2"/>
      <c r="X359" s="289">
        <v>420.0</v>
      </c>
      <c r="Y359" s="139">
        <v>450.0</v>
      </c>
      <c r="Z359" s="2"/>
      <c r="AA359" s="2" t="s">
        <v>7105</v>
      </c>
      <c r="AB359" s="2" t="s">
        <v>7105</v>
      </c>
      <c r="AC359" s="2"/>
      <c r="AD359" s="1" t="s">
        <v>7105</v>
      </c>
      <c r="AE359" s="3" t="s">
        <v>7104</v>
      </c>
      <c r="AF359" s="2"/>
      <c r="AG359" s="1" t="s">
        <v>1582</v>
      </c>
      <c r="AH359" s="1" t="s">
        <v>5993</v>
      </c>
      <c r="AI359" s="2">
        <v>180.0</v>
      </c>
      <c r="AJ359" s="1" t="s">
        <v>1589</v>
      </c>
      <c r="AK359" s="1" t="s">
        <v>5878</v>
      </c>
      <c r="AL359" s="1" t="s">
        <v>5878</v>
      </c>
      <c r="AM359" s="2"/>
      <c r="AN359" s="2"/>
      <c r="AO359" s="2"/>
      <c r="AP359" s="2"/>
      <c r="AQ359" s="2"/>
      <c r="AR359" s="2"/>
      <c r="AS359" s="2"/>
      <c r="AT359" s="2"/>
      <c r="AU359" s="167">
        <v>450.0</v>
      </c>
      <c r="AV359" s="167">
        <v>2000.0</v>
      </c>
      <c r="AW359" s="2"/>
      <c r="AX359" s="2"/>
      <c r="AY359" s="2"/>
      <c r="AZ359" s="2"/>
      <c r="BA359" s="2"/>
      <c r="BB359" s="2"/>
      <c r="BC359" s="2"/>
      <c r="BD359" s="2"/>
      <c r="BE359" s="2"/>
    </row>
    <row r="360" hidden="1">
      <c r="A360" s="2"/>
      <c r="B360" s="312" t="s">
        <v>7106</v>
      </c>
      <c r="C360" s="220" t="s">
        <v>7107</v>
      </c>
      <c r="D360" s="11">
        <v>180.0</v>
      </c>
      <c r="E360" s="11" t="s">
        <v>193</v>
      </c>
      <c r="F360" s="11" t="s">
        <v>6969</v>
      </c>
      <c r="G360" s="295" t="s">
        <v>7096</v>
      </c>
      <c r="H360" s="296"/>
      <c r="I360" s="156">
        <v>420.0</v>
      </c>
      <c r="J360" s="301"/>
      <c r="K360" s="296"/>
      <c r="L360" s="156">
        <v>450.0</v>
      </c>
      <c r="M360" s="301">
        <v>450.0</v>
      </c>
      <c r="N360" s="284">
        <v>3.4</v>
      </c>
      <c r="O360" s="296">
        <v>2000.0</v>
      </c>
      <c r="P360" s="104"/>
      <c r="Q360" s="303">
        <f>P358</f>
        <v>2000</v>
      </c>
      <c r="R360" s="299" t="s">
        <v>7097</v>
      </c>
      <c r="S360" s="300">
        <v>46141.375635069446</v>
      </c>
      <c r="T360" s="2"/>
      <c r="U360" s="289">
        <f t="shared" si="4"/>
        <v>1580</v>
      </c>
      <c r="V360" s="290">
        <f t="shared" si="323"/>
        <v>-450</v>
      </c>
      <c r="W360" s="2"/>
      <c r="X360" s="289">
        <v>420.0</v>
      </c>
      <c r="Y360" s="139">
        <v>450.0</v>
      </c>
      <c r="Z360" s="2"/>
      <c r="AA360" s="2" t="s">
        <v>7107</v>
      </c>
      <c r="AB360" s="2" t="s">
        <v>7107</v>
      </c>
      <c r="AC360" s="2"/>
      <c r="AD360" s="1" t="s">
        <v>7107</v>
      </c>
      <c r="AE360" s="3" t="s">
        <v>7106</v>
      </c>
      <c r="AF360" s="2"/>
      <c r="AG360" s="1" t="s">
        <v>1582</v>
      </c>
      <c r="AH360" s="1" t="s">
        <v>5993</v>
      </c>
      <c r="AI360" s="2">
        <v>180.0</v>
      </c>
      <c r="AJ360" s="1" t="s">
        <v>1589</v>
      </c>
      <c r="AK360" s="1" t="s">
        <v>5878</v>
      </c>
      <c r="AL360" s="1" t="s">
        <v>5878</v>
      </c>
      <c r="AM360" s="2"/>
      <c r="AN360" s="2"/>
      <c r="AO360" s="2"/>
      <c r="AP360" s="2"/>
      <c r="AQ360" s="2"/>
      <c r="AR360" s="2"/>
      <c r="AS360" s="2"/>
      <c r="AT360" s="2"/>
      <c r="AU360" s="167">
        <v>450.0</v>
      </c>
      <c r="AV360" s="167">
        <v>2000.0</v>
      </c>
      <c r="AW360" s="2"/>
      <c r="AX360" s="2"/>
      <c r="AY360" s="2"/>
      <c r="AZ360" s="2"/>
      <c r="BA360" s="2"/>
      <c r="BB360" s="2"/>
      <c r="BC360" s="2"/>
      <c r="BD360" s="2"/>
      <c r="BE360" s="2"/>
    </row>
    <row r="361" hidden="1">
      <c r="A361" s="2"/>
      <c r="B361" s="312" t="s">
        <v>7108</v>
      </c>
      <c r="C361" s="220" t="s">
        <v>7109</v>
      </c>
      <c r="D361" s="11">
        <v>180.0</v>
      </c>
      <c r="E361" s="11" t="s">
        <v>193</v>
      </c>
      <c r="F361" s="11" t="s">
        <v>6969</v>
      </c>
      <c r="G361" s="295" t="s">
        <v>7100</v>
      </c>
      <c r="H361" s="296"/>
      <c r="I361" s="156">
        <v>420.0</v>
      </c>
      <c r="J361" s="301"/>
      <c r="K361" s="296"/>
      <c r="L361" s="156">
        <v>450.0</v>
      </c>
      <c r="M361" s="301">
        <v>450.0</v>
      </c>
      <c r="N361" s="284">
        <v>3.4</v>
      </c>
      <c r="O361" s="296">
        <v>2000.0</v>
      </c>
      <c r="P361" s="67"/>
      <c r="Q361" s="303">
        <f>P358</f>
        <v>2000</v>
      </c>
      <c r="R361" s="299" t="s">
        <v>7101</v>
      </c>
      <c r="S361" s="300">
        <v>46141.37568521991</v>
      </c>
      <c r="T361" s="2"/>
      <c r="U361" s="289">
        <f t="shared" si="4"/>
        <v>1580</v>
      </c>
      <c r="V361" s="290">
        <f t="shared" si="323"/>
        <v>-450</v>
      </c>
      <c r="W361" s="2"/>
      <c r="X361" s="289">
        <v>420.0</v>
      </c>
      <c r="Y361" s="139">
        <v>450.0</v>
      </c>
      <c r="Z361" s="2"/>
      <c r="AA361" s="2" t="s">
        <v>7109</v>
      </c>
      <c r="AB361" s="2" t="s">
        <v>7109</v>
      </c>
      <c r="AC361" s="2"/>
      <c r="AD361" s="1" t="s">
        <v>7109</v>
      </c>
      <c r="AE361" s="3" t="s">
        <v>7108</v>
      </c>
      <c r="AF361" s="2"/>
      <c r="AG361" s="1" t="s">
        <v>1582</v>
      </c>
      <c r="AH361" s="1" t="s">
        <v>5993</v>
      </c>
      <c r="AI361" s="2">
        <v>180.0</v>
      </c>
      <c r="AJ361" s="1" t="s">
        <v>1589</v>
      </c>
      <c r="AK361" s="1" t="s">
        <v>5878</v>
      </c>
      <c r="AL361" s="1" t="s">
        <v>5878</v>
      </c>
      <c r="AM361" s="2"/>
      <c r="AN361" s="2"/>
      <c r="AO361" s="2"/>
      <c r="AP361" s="2"/>
      <c r="AQ361" s="2"/>
      <c r="AR361" s="2"/>
      <c r="AS361" s="2"/>
      <c r="AT361" s="2"/>
      <c r="AU361" s="167">
        <v>450.0</v>
      </c>
      <c r="AV361" s="167">
        <v>2000.0</v>
      </c>
      <c r="AW361" s="2"/>
      <c r="AX361" s="2"/>
      <c r="AY361" s="2"/>
      <c r="AZ361" s="2"/>
      <c r="BA361" s="2"/>
      <c r="BB361" s="2"/>
      <c r="BC361" s="2"/>
      <c r="BD361" s="2"/>
      <c r="BE361" s="2"/>
    </row>
    <row r="362" hidden="1">
      <c r="A362" s="2"/>
      <c r="B362" s="312" t="s">
        <v>7110</v>
      </c>
      <c r="C362" s="220" t="s">
        <v>7111</v>
      </c>
      <c r="D362" s="11">
        <v>180.0</v>
      </c>
      <c r="E362" s="11" t="s">
        <v>201</v>
      </c>
      <c r="F362" s="11" t="s">
        <v>6969</v>
      </c>
      <c r="G362" s="295" t="s">
        <v>7112</v>
      </c>
      <c r="H362" s="296"/>
      <c r="I362" s="156">
        <v>350.0</v>
      </c>
      <c r="J362" s="301"/>
      <c r="K362" s="296"/>
      <c r="L362" s="156">
        <v>310.0</v>
      </c>
      <c r="M362" s="301">
        <v>350.0</v>
      </c>
      <c r="N362" s="284">
        <v>3.25</v>
      </c>
      <c r="O362" s="296">
        <v>1500.0</v>
      </c>
      <c r="P362" s="313">
        <f>MAX(O362:O367)</f>
        <v>1500</v>
      </c>
      <c r="Q362" s="303">
        <f>P362</f>
        <v>1500</v>
      </c>
      <c r="R362" s="299" t="s">
        <v>7113</v>
      </c>
      <c r="S362" s="300">
        <v>46141.375734456014</v>
      </c>
      <c r="T362" s="2"/>
      <c r="U362" s="289">
        <f t="shared" si="4"/>
        <v>1150</v>
      </c>
      <c r="V362" s="290">
        <f t="shared" ref="V362:V367" si="324">IF(L362&gt;0, Q1411 - L362, "нет з/ч")</f>
        <v>-310</v>
      </c>
      <c r="W362" s="2"/>
      <c r="X362" s="289">
        <v>350.0</v>
      </c>
      <c r="Y362" s="139">
        <v>310.0</v>
      </c>
      <c r="Z362" s="2"/>
      <c r="AA362" s="2" t="s">
        <v>7111</v>
      </c>
      <c r="AB362" s="2" t="s">
        <v>7111</v>
      </c>
      <c r="AC362" s="2"/>
      <c r="AD362" s="2" t="s">
        <v>7111</v>
      </c>
      <c r="AE362" s="3" t="s">
        <v>7110</v>
      </c>
      <c r="AF362" s="2"/>
      <c r="AG362" s="1" t="s">
        <v>1582</v>
      </c>
      <c r="AH362" s="1" t="s">
        <v>6002</v>
      </c>
      <c r="AI362" s="2">
        <v>180.0</v>
      </c>
      <c r="AJ362" s="1" t="s">
        <v>1589</v>
      </c>
      <c r="AK362" s="1" t="s">
        <v>5878</v>
      </c>
      <c r="AL362" s="1" t="s">
        <v>5878</v>
      </c>
      <c r="AM362" s="2"/>
      <c r="AN362" s="2"/>
      <c r="AO362" s="2"/>
      <c r="AP362" s="2"/>
      <c r="AQ362" s="2"/>
      <c r="AR362" s="2"/>
      <c r="AS362" s="2"/>
      <c r="AT362" s="2"/>
      <c r="AU362" s="126">
        <v>350.0</v>
      </c>
      <c r="AV362" s="126">
        <v>1500.0</v>
      </c>
      <c r="AW362" s="2"/>
      <c r="AX362" s="2"/>
      <c r="AY362" s="2"/>
      <c r="AZ362" s="2"/>
      <c r="BA362" s="2"/>
      <c r="BB362" s="2"/>
      <c r="BC362" s="2"/>
      <c r="BD362" s="2"/>
      <c r="BE362" s="2"/>
    </row>
    <row r="363" hidden="1">
      <c r="A363" s="2"/>
      <c r="B363" s="312" t="s">
        <v>7114</v>
      </c>
      <c r="C363" s="220" t="s">
        <v>7115</v>
      </c>
      <c r="D363" s="11">
        <v>180.0</v>
      </c>
      <c r="E363" s="11" t="s">
        <v>201</v>
      </c>
      <c r="F363" s="11" t="s">
        <v>6969</v>
      </c>
      <c r="G363" s="295" t="s">
        <v>7116</v>
      </c>
      <c r="H363" s="296"/>
      <c r="I363" s="156">
        <v>300.0</v>
      </c>
      <c r="J363" s="301"/>
      <c r="K363" s="296"/>
      <c r="L363" s="156">
        <v>310.0</v>
      </c>
      <c r="M363" s="301">
        <v>310.0</v>
      </c>
      <c r="N363" s="284">
        <v>3.25</v>
      </c>
      <c r="O363" s="296">
        <v>1300.0</v>
      </c>
      <c r="P363" s="104"/>
      <c r="Q363" s="303">
        <f>P362</f>
        <v>1500</v>
      </c>
      <c r="R363" s="299" t="s">
        <v>7117</v>
      </c>
      <c r="S363" s="300">
        <v>46141.3757871875</v>
      </c>
      <c r="T363" s="2"/>
      <c r="U363" s="289">
        <f t="shared" si="4"/>
        <v>1200</v>
      </c>
      <c r="V363" s="290">
        <f t="shared" si="324"/>
        <v>-310</v>
      </c>
      <c r="W363" s="2"/>
      <c r="X363" s="289">
        <v>300.0</v>
      </c>
      <c r="Y363" s="139">
        <v>310.0</v>
      </c>
      <c r="Z363" s="2"/>
      <c r="AA363" s="2" t="s">
        <v>7115</v>
      </c>
      <c r="AB363" s="2" t="s">
        <v>7115</v>
      </c>
      <c r="AC363" s="2"/>
      <c r="AD363" s="1" t="s">
        <v>7115</v>
      </c>
      <c r="AE363" s="3" t="s">
        <v>7114</v>
      </c>
      <c r="AF363" s="2"/>
      <c r="AG363" s="1" t="s">
        <v>1582</v>
      </c>
      <c r="AH363" s="1" t="s">
        <v>6002</v>
      </c>
      <c r="AI363" s="2">
        <v>180.0</v>
      </c>
      <c r="AJ363" s="1" t="s">
        <v>1589</v>
      </c>
      <c r="AK363" s="1" t="s">
        <v>5878</v>
      </c>
      <c r="AL363" s="1" t="s">
        <v>5878</v>
      </c>
      <c r="AM363" s="2"/>
      <c r="AN363" s="2"/>
      <c r="AO363" s="2"/>
      <c r="AP363" s="2"/>
      <c r="AQ363" s="2"/>
      <c r="AR363" s="2"/>
      <c r="AS363" s="2"/>
      <c r="AT363" s="2"/>
      <c r="AU363" s="126">
        <v>310.0</v>
      </c>
      <c r="AV363" s="126">
        <v>1500.0</v>
      </c>
      <c r="AW363" s="2"/>
      <c r="AX363" s="2"/>
      <c r="AY363" s="2"/>
      <c r="AZ363" s="2"/>
      <c r="BA363" s="2"/>
      <c r="BB363" s="2"/>
      <c r="BC363" s="2"/>
      <c r="BD363" s="2"/>
      <c r="BE363" s="2"/>
    </row>
    <row r="364" hidden="1">
      <c r="A364" s="2"/>
      <c r="B364" s="312" t="s">
        <v>7118</v>
      </c>
      <c r="C364" s="220" t="s">
        <v>7119</v>
      </c>
      <c r="D364" s="11">
        <v>180.0</v>
      </c>
      <c r="E364" s="11" t="s">
        <v>201</v>
      </c>
      <c r="F364" s="11" t="s">
        <v>6969</v>
      </c>
      <c r="G364" s="295" t="s">
        <v>7120</v>
      </c>
      <c r="H364" s="296"/>
      <c r="I364" s="156">
        <v>350.0</v>
      </c>
      <c r="J364" s="301"/>
      <c r="K364" s="296"/>
      <c r="L364" s="156">
        <v>310.0</v>
      </c>
      <c r="M364" s="301">
        <v>350.0</v>
      </c>
      <c r="N364" s="284">
        <v>3.25</v>
      </c>
      <c r="O364" s="296">
        <v>1500.0</v>
      </c>
      <c r="P364" s="104"/>
      <c r="Q364" s="303">
        <f>P362</f>
        <v>1500</v>
      </c>
      <c r="R364" s="299" t="s">
        <v>7121</v>
      </c>
      <c r="S364" s="300">
        <v>46141.375839872686</v>
      </c>
      <c r="T364" s="2"/>
      <c r="U364" s="289">
        <f t="shared" si="4"/>
        <v>1150</v>
      </c>
      <c r="V364" s="290">
        <f t="shared" si="324"/>
        <v>-310</v>
      </c>
      <c r="W364" s="2"/>
      <c r="X364" s="289">
        <v>350.0</v>
      </c>
      <c r="Y364" s="139">
        <v>310.0</v>
      </c>
      <c r="Z364" s="2"/>
      <c r="AA364" s="2" t="s">
        <v>7119</v>
      </c>
      <c r="AB364" s="2" t="s">
        <v>7119</v>
      </c>
      <c r="AC364" s="2"/>
      <c r="AD364" s="2" t="s">
        <v>7119</v>
      </c>
      <c r="AE364" s="3" t="s">
        <v>7118</v>
      </c>
      <c r="AF364" s="2"/>
      <c r="AG364" s="1" t="s">
        <v>1582</v>
      </c>
      <c r="AH364" s="1" t="s">
        <v>6002</v>
      </c>
      <c r="AI364" s="2">
        <v>180.0</v>
      </c>
      <c r="AJ364" s="1" t="s">
        <v>1589</v>
      </c>
      <c r="AK364" s="1" t="s">
        <v>5878</v>
      </c>
      <c r="AL364" s="1" t="s">
        <v>5878</v>
      </c>
      <c r="AM364" s="2"/>
      <c r="AN364" s="2"/>
      <c r="AO364" s="2"/>
      <c r="AP364" s="2"/>
      <c r="AQ364" s="2"/>
      <c r="AR364" s="2"/>
      <c r="AS364" s="2"/>
      <c r="AT364" s="2"/>
      <c r="AU364" s="126">
        <v>350.0</v>
      </c>
      <c r="AV364" s="126">
        <v>1500.0</v>
      </c>
      <c r="AW364" s="2"/>
      <c r="AX364" s="2"/>
      <c r="AY364" s="2"/>
      <c r="AZ364" s="2"/>
      <c r="BA364" s="2"/>
      <c r="BB364" s="2"/>
      <c r="BC364" s="2"/>
      <c r="BD364" s="2"/>
      <c r="BE364" s="2"/>
    </row>
    <row r="365" hidden="1">
      <c r="A365" s="2"/>
      <c r="B365" s="312" t="s">
        <v>7122</v>
      </c>
      <c r="C365" s="220" t="s">
        <v>7123</v>
      </c>
      <c r="D365" s="11">
        <v>180.0</v>
      </c>
      <c r="E365" s="11" t="s">
        <v>201</v>
      </c>
      <c r="F365" s="11" t="s">
        <v>6969</v>
      </c>
      <c r="G365" s="295" t="s">
        <v>7124</v>
      </c>
      <c r="H365" s="296"/>
      <c r="I365" s="156">
        <v>350.0</v>
      </c>
      <c r="J365" s="301"/>
      <c r="K365" s="296"/>
      <c r="L365" s="156">
        <v>310.0</v>
      </c>
      <c r="M365" s="301">
        <v>350.0</v>
      </c>
      <c r="N365" s="284">
        <v>3.25</v>
      </c>
      <c r="O365" s="296">
        <v>1500.0</v>
      </c>
      <c r="P365" s="104"/>
      <c r="Q365" s="303">
        <f>P362</f>
        <v>1500</v>
      </c>
      <c r="R365" s="299" t="s">
        <v>7125</v>
      </c>
      <c r="S365" s="300">
        <v>46141.37589217593</v>
      </c>
      <c r="T365" s="2"/>
      <c r="U365" s="289">
        <f t="shared" si="4"/>
        <v>1150</v>
      </c>
      <c r="V365" s="290">
        <f t="shared" si="324"/>
        <v>-310</v>
      </c>
      <c r="W365" s="2"/>
      <c r="X365" s="289">
        <v>350.0</v>
      </c>
      <c r="Y365" s="139">
        <v>310.0</v>
      </c>
      <c r="Z365" s="2"/>
      <c r="AA365" s="2" t="s">
        <v>7123</v>
      </c>
      <c r="AB365" s="2" t="s">
        <v>7123</v>
      </c>
      <c r="AC365" s="2"/>
      <c r="AD365" s="2" t="s">
        <v>7123</v>
      </c>
      <c r="AE365" s="3" t="s">
        <v>7122</v>
      </c>
      <c r="AF365" s="2"/>
      <c r="AG365" s="1" t="s">
        <v>1582</v>
      </c>
      <c r="AH365" s="1" t="s">
        <v>6002</v>
      </c>
      <c r="AI365" s="2">
        <v>180.0</v>
      </c>
      <c r="AJ365" s="1" t="s">
        <v>1589</v>
      </c>
      <c r="AK365" s="1" t="s">
        <v>5878</v>
      </c>
      <c r="AL365" s="1" t="s">
        <v>5878</v>
      </c>
      <c r="AM365" s="2"/>
      <c r="AN365" s="2"/>
      <c r="AO365" s="2"/>
      <c r="AP365" s="2"/>
      <c r="AQ365" s="2"/>
      <c r="AR365" s="2"/>
      <c r="AS365" s="2"/>
      <c r="AT365" s="2"/>
      <c r="AU365" s="126">
        <v>350.0</v>
      </c>
      <c r="AV365" s="126">
        <v>1500.0</v>
      </c>
      <c r="AW365" s="2"/>
      <c r="AX365" s="2"/>
      <c r="AY365" s="2"/>
      <c r="AZ365" s="2"/>
      <c r="BA365" s="2"/>
      <c r="BB365" s="2"/>
      <c r="BC365" s="2"/>
      <c r="BD365" s="2"/>
      <c r="BE365" s="2"/>
    </row>
    <row r="366" hidden="1">
      <c r="A366" s="2"/>
      <c r="B366" s="312" t="s">
        <v>7126</v>
      </c>
      <c r="C366" s="220" t="s">
        <v>7127</v>
      </c>
      <c r="D366" s="11">
        <v>180.0</v>
      </c>
      <c r="E366" s="11" t="s">
        <v>201</v>
      </c>
      <c r="F366" s="11" t="s">
        <v>6969</v>
      </c>
      <c r="G366" s="295" t="s">
        <v>7128</v>
      </c>
      <c r="H366" s="296"/>
      <c r="I366" s="156">
        <v>350.0</v>
      </c>
      <c r="J366" s="301"/>
      <c r="K366" s="296"/>
      <c r="L366" s="156">
        <v>310.0</v>
      </c>
      <c r="M366" s="301">
        <v>350.0</v>
      </c>
      <c r="N366" s="284">
        <v>3.25</v>
      </c>
      <c r="O366" s="296">
        <v>1500.0</v>
      </c>
      <c r="P366" s="104"/>
      <c r="Q366" s="303">
        <f>P362</f>
        <v>1500</v>
      </c>
      <c r="R366" s="299" t="s">
        <v>7129</v>
      </c>
      <c r="S366" s="300">
        <v>46141.375941307866</v>
      </c>
      <c r="T366" s="2"/>
      <c r="U366" s="289">
        <f t="shared" si="4"/>
        <v>1150</v>
      </c>
      <c r="V366" s="290">
        <f t="shared" si="324"/>
        <v>-310</v>
      </c>
      <c r="W366" s="2"/>
      <c r="X366" s="289">
        <v>350.0</v>
      </c>
      <c r="Y366" s="139">
        <v>310.0</v>
      </c>
      <c r="Z366" s="2"/>
      <c r="AA366" s="2" t="s">
        <v>7127</v>
      </c>
      <c r="AB366" s="2" t="s">
        <v>7127</v>
      </c>
      <c r="AC366" s="2"/>
      <c r="AD366" s="2" t="s">
        <v>7127</v>
      </c>
      <c r="AE366" s="3" t="s">
        <v>7126</v>
      </c>
      <c r="AF366" s="2"/>
      <c r="AG366" s="1" t="s">
        <v>1582</v>
      </c>
      <c r="AH366" s="1" t="s">
        <v>6002</v>
      </c>
      <c r="AI366" s="2">
        <v>180.0</v>
      </c>
      <c r="AJ366" s="1" t="s">
        <v>1589</v>
      </c>
      <c r="AK366" s="1" t="s">
        <v>5878</v>
      </c>
      <c r="AL366" s="1" t="s">
        <v>5878</v>
      </c>
      <c r="AM366" s="2"/>
      <c r="AN366" s="2"/>
      <c r="AO366" s="2"/>
      <c r="AP366" s="2"/>
      <c r="AQ366" s="2"/>
      <c r="AR366" s="2"/>
      <c r="AS366" s="2"/>
      <c r="AT366" s="2"/>
      <c r="AU366" s="126">
        <v>350.0</v>
      </c>
      <c r="AV366" s="126">
        <v>1500.0</v>
      </c>
      <c r="AW366" s="2"/>
      <c r="AX366" s="2"/>
      <c r="AY366" s="2"/>
      <c r="AZ366" s="2"/>
      <c r="BA366" s="2"/>
      <c r="BB366" s="2"/>
      <c r="BC366" s="2"/>
      <c r="BD366" s="2"/>
      <c r="BE366" s="2"/>
    </row>
    <row r="367" hidden="1">
      <c r="A367" s="2"/>
      <c r="B367" s="312" t="s">
        <v>7130</v>
      </c>
      <c r="C367" s="220" t="s">
        <v>7131</v>
      </c>
      <c r="D367" s="11">
        <v>180.0</v>
      </c>
      <c r="E367" s="11" t="s">
        <v>201</v>
      </c>
      <c r="F367" s="11" t="s">
        <v>6969</v>
      </c>
      <c r="G367" s="295" t="s">
        <v>7132</v>
      </c>
      <c r="H367" s="296"/>
      <c r="I367" s="156">
        <v>350.0</v>
      </c>
      <c r="J367" s="301"/>
      <c r="K367" s="296"/>
      <c r="L367" s="156">
        <v>310.0</v>
      </c>
      <c r="M367" s="301">
        <v>350.0</v>
      </c>
      <c r="N367" s="284">
        <v>3.25</v>
      </c>
      <c r="O367" s="296">
        <v>1500.0</v>
      </c>
      <c r="P367" s="67"/>
      <c r="Q367" s="303">
        <f>P362</f>
        <v>1500</v>
      </c>
      <c r="R367" s="299" t="s">
        <v>7133</v>
      </c>
      <c r="S367" s="300">
        <v>46141.375992013884</v>
      </c>
      <c r="T367" s="2"/>
      <c r="U367" s="289">
        <f t="shared" si="4"/>
        <v>1150</v>
      </c>
      <c r="V367" s="290">
        <f t="shared" si="324"/>
        <v>-310</v>
      </c>
      <c r="W367" s="2"/>
      <c r="X367" s="289">
        <v>350.0</v>
      </c>
      <c r="Y367" s="139">
        <v>310.0</v>
      </c>
      <c r="Z367" s="2"/>
      <c r="AA367" s="2" t="s">
        <v>7131</v>
      </c>
      <c r="AB367" s="2" t="s">
        <v>7131</v>
      </c>
      <c r="AC367" s="2"/>
      <c r="AD367" s="2" t="s">
        <v>7131</v>
      </c>
      <c r="AE367" s="3" t="s">
        <v>7130</v>
      </c>
      <c r="AF367" s="2"/>
      <c r="AG367" s="1" t="s">
        <v>1582</v>
      </c>
      <c r="AH367" s="1" t="s">
        <v>6002</v>
      </c>
      <c r="AI367" s="2">
        <v>180.0</v>
      </c>
      <c r="AJ367" s="1" t="s">
        <v>1589</v>
      </c>
      <c r="AK367" s="1" t="s">
        <v>5878</v>
      </c>
      <c r="AL367" s="1" t="s">
        <v>5878</v>
      </c>
      <c r="AM367" s="2"/>
      <c r="AN367" s="2"/>
      <c r="AO367" s="2"/>
      <c r="AP367" s="2"/>
      <c r="AQ367" s="2"/>
      <c r="AR367" s="2"/>
      <c r="AS367" s="2"/>
      <c r="AT367" s="2"/>
      <c r="AU367" s="126">
        <v>350.0</v>
      </c>
      <c r="AV367" s="126">
        <v>1500.0</v>
      </c>
      <c r="AW367" s="2"/>
      <c r="AX367" s="2"/>
      <c r="AY367" s="2"/>
      <c r="AZ367" s="2"/>
      <c r="BA367" s="2"/>
      <c r="BB367" s="2"/>
      <c r="BC367" s="2"/>
      <c r="BD367" s="2"/>
      <c r="BE367" s="2"/>
    </row>
    <row r="368" hidden="1">
      <c r="A368" s="2"/>
      <c r="B368" s="312" t="s">
        <v>7134</v>
      </c>
      <c r="C368" s="84"/>
      <c r="D368" s="11">
        <v>180.0</v>
      </c>
      <c r="E368" s="11" t="s">
        <v>212</v>
      </c>
      <c r="F368" s="11" t="s">
        <v>6969</v>
      </c>
      <c r="G368" s="295" t="s">
        <v>7135</v>
      </c>
      <c r="H368" s="296"/>
      <c r="I368" s="156">
        <v>290.0</v>
      </c>
      <c r="J368" s="301"/>
      <c r="K368" s="296"/>
      <c r="L368" s="156">
        <v>310.0</v>
      </c>
      <c r="M368" s="301">
        <v>310.0</v>
      </c>
      <c r="N368" s="284">
        <v>3.9</v>
      </c>
      <c r="O368" s="296">
        <v>1500.0</v>
      </c>
      <c r="P368" s="313">
        <f>MAX(O368:O373)</f>
        <v>1500</v>
      </c>
      <c r="Q368" s="303">
        <f>P368</f>
        <v>1500</v>
      </c>
      <c r="R368" s="299" t="s">
        <v>7136</v>
      </c>
      <c r="S368" s="300">
        <v>46141.37604105324</v>
      </c>
      <c r="T368" s="2"/>
      <c r="U368" s="289">
        <f t="shared" si="4"/>
        <v>1210</v>
      </c>
      <c r="V368" s="290">
        <f t="shared" ref="V368:V373" si="325">IF(L368&gt;0, Q1423 - L368, "нет з/ч")</f>
        <v>-310</v>
      </c>
      <c r="W368" s="2"/>
      <c r="X368" s="289">
        <v>290.0</v>
      </c>
      <c r="Y368" s="139">
        <v>310.0</v>
      </c>
      <c r="Z368" s="2"/>
      <c r="AA368" s="2"/>
      <c r="AB368" s="2"/>
      <c r="AC368" s="2"/>
      <c r="AD368" s="2"/>
      <c r="AE368" s="3" t="s">
        <v>7134</v>
      </c>
      <c r="AF368" s="2"/>
      <c r="AG368" s="1" t="s">
        <v>1582</v>
      </c>
      <c r="AH368" s="1" t="s">
        <v>6026</v>
      </c>
      <c r="AI368" s="2">
        <v>180.0</v>
      </c>
      <c r="AJ368" s="1" t="s">
        <v>1589</v>
      </c>
      <c r="AK368" s="1" t="s">
        <v>5878</v>
      </c>
      <c r="AL368" s="1" t="s">
        <v>5878</v>
      </c>
      <c r="AM368" s="2"/>
      <c r="AN368" s="2"/>
      <c r="AO368" s="2"/>
      <c r="AP368" s="2"/>
      <c r="AQ368" s="2"/>
      <c r="AR368" s="2"/>
      <c r="AS368" s="2"/>
      <c r="AT368" s="2"/>
      <c r="AU368" s="126">
        <v>310.0</v>
      </c>
      <c r="AV368" s="126">
        <v>1500.0</v>
      </c>
      <c r="AW368" s="2"/>
      <c r="AX368" s="2"/>
      <c r="AY368" s="2"/>
      <c r="AZ368" s="2"/>
      <c r="BA368" s="2"/>
      <c r="BB368" s="2"/>
      <c r="BC368" s="2"/>
      <c r="BD368" s="2"/>
      <c r="BE368" s="2"/>
    </row>
    <row r="369" hidden="1">
      <c r="A369" s="2"/>
      <c r="B369" s="312" t="s">
        <v>7137</v>
      </c>
      <c r="C369" s="220" t="s">
        <v>7138</v>
      </c>
      <c r="D369" s="11">
        <v>180.0</v>
      </c>
      <c r="E369" s="11" t="s">
        <v>212</v>
      </c>
      <c r="F369" s="11" t="s">
        <v>6969</v>
      </c>
      <c r="G369" s="295" t="s">
        <v>7139</v>
      </c>
      <c r="H369" s="296"/>
      <c r="I369" s="156">
        <v>290.0</v>
      </c>
      <c r="J369" s="301"/>
      <c r="K369" s="296"/>
      <c r="L369" s="156">
        <v>310.0</v>
      </c>
      <c r="M369" s="301">
        <v>310.0</v>
      </c>
      <c r="N369" s="284">
        <v>3.9</v>
      </c>
      <c r="O369" s="296">
        <v>1500.0</v>
      </c>
      <c r="P369" s="104"/>
      <c r="Q369" s="303">
        <f>P368</f>
        <v>1500</v>
      </c>
      <c r="R369" s="299" t="s">
        <v>7140</v>
      </c>
      <c r="S369" s="300">
        <v>46141.37609200232</v>
      </c>
      <c r="T369" s="2"/>
      <c r="U369" s="289">
        <f t="shared" si="4"/>
        <v>1210</v>
      </c>
      <c r="V369" s="290">
        <f t="shared" si="325"/>
        <v>-310</v>
      </c>
      <c r="W369" s="2"/>
      <c r="X369" s="289">
        <v>290.0</v>
      </c>
      <c r="Y369" s="139">
        <v>310.0</v>
      </c>
      <c r="Z369" s="2"/>
      <c r="AA369" s="2" t="s">
        <v>7138</v>
      </c>
      <c r="AB369" s="2" t="s">
        <v>7138</v>
      </c>
      <c r="AC369" s="2"/>
      <c r="AD369" s="2" t="s">
        <v>7138</v>
      </c>
      <c r="AE369" s="3" t="s">
        <v>7137</v>
      </c>
      <c r="AF369" s="2"/>
      <c r="AG369" s="1" t="s">
        <v>1582</v>
      </c>
      <c r="AH369" s="1" t="s">
        <v>6026</v>
      </c>
      <c r="AI369" s="2">
        <v>180.0</v>
      </c>
      <c r="AJ369" s="1" t="s">
        <v>1589</v>
      </c>
      <c r="AK369" s="1" t="s">
        <v>5878</v>
      </c>
      <c r="AL369" s="1" t="s">
        <v>5878</v>
      </c>
      <c r="AM369" s="2"/>
      <c r="AN369" s="2"/>
      <c r="AO369" s="2"/>
      <c r="AP369" s="2"/>
      <c r="AQ369" s="2"/>
      <c r="AR369" s="2"/>
      <c r="AS369" s="2"/>
      <c r="AT369" s="2"/>
      <c r="AU369" s="126">
        <v>310.0</v>
      </c>
      <c r="AV369" s="126">
        <v>1500.0</v>
      </c>
      <c r="AW369" s="2"/>
      <c r="AX369" s="2"/>
      <c r="AY369" s="2"/>
      <c r="AZ369" s="2"/>
      <c r="BA369" s="2"/>
      <c r="BB369" s="2"/>
      <c r="BC369" s="2"/>
      <c r="BD369" s="2"/>
      <c r="BE369" s="2"/>
    </row>
    <row r="370" hidden="1">
      <c r="A370" s="2"/>
      <c r="B370" s="312" t="s">
        <v>7141</v>
      </c>
      <c r="C370" s="220" t="s">
        <v>7142</v>
      </c>
      <c r="D370" s="11">
        <v>180.0</v>
      </c>
      <c r="E370" s="11" t="s">
        <v>212</v>
      </c>
      <c r="F370" s="11" t="s">
        <v>6969</v>
      </c>
      <c r="G370" s="295" t="s">
        <v>7143</v>
      </c>
      <c r="H370" s="296"/>
      <c r="I370" s="156">
        <v>290.0</v>
      </c>
      <c r="J370" s="301"/>
      <c r="K370" s="296"/>
      <c r="L370" s="156">
        <v>310.0</v>
      </c>
      <c r="M370" s="301">
        <v>310.0</v>
      </c>
      <c r="N370" s="284">
        <v>3.9</v>
      </c>
      <c r="O370" s="296">
        <v>1500.0</v>
      </c>
      <c r="P370" s="104"/>
      <c r="Q370" s="303">
        <f>P368</f>
        <v>1500</v>
      </c>
      <c r="R370" s="299" t="s">
        <v>7144</v>
      </c>
      <c r="S370" s="300">
        <v>46141.37614039352</v>
      </c>
      <c r="T370" s="2"/>
      <c r="U370" s="289">
        <f t="shared" si="4"/>
        <v>1210</v>
      </c>
      <c r="V370" s="290">
        <f t="shared" si="325"/>
        <v>-310</v>
      </c>
      <c r="W370" s="2"/>
      <c r="X370" s="289">
        <v>290.0</v>
      </c>
      <c r="Y370" s="139">
        <v>310.0</v>
      </c>
      <c r="Z370" s="2"/>
      <c r="AA370" s="2" t="s">
        <v>7142</v>
      </c>
      <c r="AB370" s="2" t="s">
        <v>7142</v>
      </c>
      <c r="AC370" s="2"/>
      <c r="AD370" s="2" t="s">
        <v>7142</v>
      </c>
      <c r="AE370" s="3" t="s">
        <v>7141</v>
      </c>
      <c r="AF370" s="2"/>
      <c r="AG370" s="1" t="s">
        <v>1582</v>
      </c>
      <c r="AH370" s="1" t="s">
        <v>6026</v>
      </c>
      <c r="AI370" s="2">
        <v>180.0</v>
      </c>
      <c r="AJ370" s="1" t="s">
        <v>1589</v>
      </c>
      <c r="AK370" s="1" t="s">
        <v>5878</v>
      </c>
      <c r="AL370" s="1" t="s">
        <v>5878</v>
      </c>
      <c r="AM370" s="2"/>
      <c r="AN370" s="2"/>
      <c r="AO370" s="2"/>
      <c r="AP370" s="2"/>
      <c r="AQ370" s="2"/>
      <c r="AR370" s="2"/>
      <c r="AS370" s="2"/>
      <c r="AT370" s="2"/>
      <c r="AU370" s="126">
        <v>310.0</v>
      </c>
      <c r="AV370" s="126">
        <v>1500.0</v>
      </c>
      <c r="AW370" s="2"/>
      <c r="AX370" s="2"/>
      <c r="AY370" s="2"/>
      <c r="AZ370" s="2"/>
      <c r="BA370" s="2"/>
      <c r="BB370" s="2"/>
      <c r="BC370" s="2"/>
      <c r="BD370" s="2"/>
      <c r="BE370" s="2"/>
    </row>
    <row r="371" hidden="1">
      <c r="A371" s="2"/>
      <c r="B371" s="312" t="s">
        <v>7145</v>
      </c>
      <c r="C371" s="220" t="s">
        <v>7146</v>
      </c>
      <c r="D371" s="11">
        <v>180.0</v>
      </c>
      <c r="E371" s="11" t="s">
        <v>212</v>
      </c>
      <c r="F371" s="11" t="s">
        <v>6969</v>
      </c>
      <c r="G371" s="295" t="s">
        <v>7147</v>
      </c>
      <c r="H371" s="296"/>
      <c r="I371" s="156">
        <v>290.0</v>
      </c>
      <c r="J371" s="301"/>
      <c r="K371" s="296"/>
      <c r="L371" s="156">
        <v>310.0</v>
      </c>
      <c r="M371" s="301">
        <v>310.0</v>
      </c>
      <c r="N371" s="284">
        <v>3.9</v>
      </c>
      <c r="O371" s="296">
        <v>1500.0</v>
      </c>
      <c r="P371" s="104"/>
      <c r="Q371" s="303">
        <f>P368</f>
        <v>1500</v>
      </c>
      <c r="R371" s="299" t="s">
        <v>7148</v>
      </c>
      <c r="S371" s="300">
        <v>46141.37618923611</v>
      </c>
      <c r="T371" s="2"/>
      <c r="U371" s="289">
        <f t="shared" si="4"/>
        <v>1210</v>
      </c>
      <c r="V371" s="290">
        <f t="shared" si="325"/>
        <v>-310</v>
      </c>
      <c r="W371" s="2"/>
      <c r="X371" s="289">
        <v>290.0</v>
      </c>
      <c r="Y371" s="139">
        <v>310.0</v>
      </c>
      <c r="Z371" s="2"/>
      <c r="AA371" s="2" t="s">
        <v>7146</v>
      </c>
      <c r="AB371" s="2" t="s">
        <v>7146</v>
      </c>
      <c r="AC371" s="2"/>
      <c r="AD371" s="2" t="s">
        <v>7146</v>
      </c>
      <c r="AE371" s="3" t="s">
        <v>7145</v>
      </c>
      <c r="AF371" s="2"/>
      <c r="AG371" s="1" t="s">
        <v>1582</v>
      </c>
      <c r="AH371" s="1" t="s">
        <v>6026</v>
      </c>
      <c r="AI371" s="2">
        <v>180.0</v>
      </c>
      <c r="AJ371" s="1" t="s">
        <v>1589</v>
      </c>
      <c r="AK371" s="1" t="s">
        <v>5878</v>
      </c>
      <c r="AL371" s="1" t="s">
        <v>5878</v>
      </c>
      <c r="AM371" s="2"/>
      <c r="AN371" s="2"/>
      <c r="AO371" s="2"/>
      <c r="AP371" s="2"/>
      <c r="AQ371" s="2"/>
      <c r="AR371" s="2"/>
      <c r="AS371" s="2"/>
      <c r="AT371" s="2"/>
      <c r="AU371" s="126">
        <v>310.0</v>
      </c>
      <c r="AV371" s="126">
        <v>1500.0</v>
      </c>
      <c r="AW371" s="2"/>
      <c r="AX371" s="2"/>
      <c r="AY371" s="2"/>
      <c r="AZ371" s="2"/>
      <c r="BA371" s="2"/>
      <c r="BB371" s="2"/>
      <c r="BC371" s="2"/>
      <c r="BD371" s="2"/>
      <c r="BE371" s="2"/>
    </row>
    <row r="372" hidden="1">
      <c r="A372" s="2"/>
      <c r="B372" s="312" t="s">
        <v>7149</v>
      </c>
      <c r="C372" s="220" t="s">
        <v>7150</v>
      </c>
      <c r="D372" s="11">
        <v>180.0</v>
      </c>
      <c r="E372" s="11" t="s">
        <v>212</v>
      </c>
      <c r="F372" s="11" t="s">
        <v>6969</v>
      </c>
      <c r="G372" s="295" t="s">
        <v>7151</v>
      </c>
      <c r="H372" s="296"/>
      <c r="I372" s="156">
        <v>290.0</v>
      </c>
      <c r="J372" s="301"/>
      <c r="K372" s="296"/>
      <c r="L372" s="156">
        <v>310.0</v>
      </c>
      <c r="M372" s="301">
        <v>310.0</v>
      </c>
      <c r="N372" s="284">
        <v>3.9</v>
      </c>
      <c r="O372" s="296">
        <v>1500.0</v>
      </c>
      <c r="P372" s="104"/>
      <c r="Q372" s="303">
        <f>P368</f>
        <v>1500</v>
      </c>
      <c r="R372" s="299" t="s">
        <v>7152</v>
      </c>
      <c r="S372" s="300">
        <v>46141.37623846065</v>
      </c>
      <c r="T372" s="2"/>
      <c r="U372" s="289">
        <f t="shared" si="4"/>
        <v>1210</v>
      </c>
      <c r="V372" s="290">
        <f t="shared" si="325"/>
        <v>-310</v>
      </c>
      <c r="W372" s="2"/>
      <c r="X372" s="289">
        <v>290.0</v>
      </c>
      <c r="Y372" s="139">
        <v>310.0</v>
      </c>
      <c r="Z372" s="2"/>
      <c r="AA372" s="2" t="s">
        <v>7150</v>
      </c>
      <c r="AB372" s="2" t="s">
        <v>7150</v>
      </c>
      <c r="AC372" s="2"/>
      <c r="AD372" s="2" t="s">
        <v>7150</v>
      </c>
      <c r="AE372" s="3" t="s">
        <v>7149</v>
      </c>
      <c r="AF372" s="2"/>
      <c r="AG372" s="1" t="s">
        <v>1582</v>
      </c>
      <c r="AH372" s="1" t="s">
        <v>6026</v>
      </c>
      <c r="AI372" s="2">
        <v>180.0</v>
      </c>
      <c r="AJ372" s="1" t="s">
        <v>1589</v>
      </c>
      <c r="AK372" s="1" t="s">
        <v>5878</v>
      </c>
      <c r="AL372" s="1" t="s">
        <v>5878</v>
      </c>
      <c r="AM372" s="2"/>
      <c r="AN372" s="2"/>
      <c r="AO372" s="2"/>
      <c r="AP372" s="2"/>
      <c r="AQ372" s="2"/>
      <c r="AR372" s="2"/>
      <c r="AS372" s="2"/>
      <c r="AT372" s="2"/>
      <c r="AU372" s="126">
        <v>310.0</v>
      </c>
      <c r="AV372" s="126">
        <v>1500.0</v>
      </c>
      <c r="AW372" s="2"/>
      <c r="AX372" s="2"/>
      <c r="AY372" s="2"/>
      <c r="AZ372" s="2"/>
      <c r="BA372" s="2"/>
      <c r="BB372" s="2"/>
      <c r="BC372" s="2"/>
      <c r="BD372" s="2"/>
      <c r="BE372" s="2"/>
    </row>
    <row r="373" hidden="1">
      <c r="A373" s="2"/>
      <c r="B373" s="312" t="s">
        <v>7153</v>
      </c>
      <c r="C373" s="220" t="s">
        <v>7154</v>
      </c>
      <c r="D373" s="11">
        <v>180.0</v>
      </c>
      <c r="E373" s="11" t="s">
        <v>212</v>
      </c>
      <c r="F373" s="11" t="s">
        <v>6969</v>
      </c>
      <c r="G373" s="295" t="s">
        <v>7155</v>
      </c>
      <c r="H373" s="296"/>
      <c r="I373" s="156">
        <v>290.0</v>
      </c>
      <c r="J373" s="301"/>
      <c r="K373" s="296"/>
      <c r="L373" s="156">
        <v>310.0</v>
      </c>
      <c r="M373" s="301">
        <v>310.0</v>
      </c>
      <c r="N373" s="284">
        <v>3.9</v>
      </c>
      <c r="O373" s="296">
        <v>1500.0</v>
      </c>
      <c r="P373" s="67"/>
      <c r="Q373" s="303">
        <f>P368</f>
        <v>1500</v>
      </c>
      <c r="R373" s="299" t="s">
        <v>7156</v>
      </c>
      <c r="S373" s="300">
        <v>46141.376289837965</v>
      </c>
      <c r="T373" s="2"/>
      <c r="U373" s="289">
        <f t="shared" si="4"/>
        <v>1210</v>
      </c>
      <c r="V373" s="290">
        <f t="shared" si="325"/>
        <v>-310</v>
      </c>
      <c r="W373" s="2"/>
      <c r="X373" s="289">
        <v>290.0</v>
      </c>
      <c r="Y373" s="139">
        <v>310.0</v>
      </c>
      <c r="Z373" s="2"/>
      <c r="AA373" s="2" t="s">
        <v>7154</v>
      </c>
      <c r="AB373" s="2" t="s">
        <v>7154</v>
      </c>
      <c r="AC373" s="2"/>
      <c r="AD373" s="2" t="s">
        <v>7154</v>
      </c>
      <c r="AE373" s="3" t="s">
        <v>7153</v>
      </c>
      <c r="AF373" s="2"/>
      <c r="AG373" s="1" t="s">
        <v>1582</v>
      </c>
      <c r="AH373" s="1" t="s">
        <v>6026</v>
      </c>
      <c r="AI373" s="2">
        <v>180.0</v>
      </c>
      <c r="AJ373" s="1" t="s">
        <v>1589</v>
      </c>
      <c r="AK373" s="1" t="s">
        <v>5878</v>
      </c>
      <c r="AL373" s="1" t="s">
        <v>5878</v>
      </c>
      <c r="AM373" s="2"/>
      <c r="AN373" s="2"/>
      <c r="AO373" s="2"/>
      <c r="AP373" s="2"/>
      <c r="AQ373" s="2"/>
      <c r="AR373" s="2"/>
      <c r="AS373" s="2"/>
      <c r="AT373" s="2"/>
      <c r="AU373" s="126">
        <v>310.0</v>
      </c>
      <c r="AV373" s="126">
        <v>1500.0</v>
      </c>
      <c r="AW373" s="2"/>
      <c r="AX373" s="2"/>
      <c r="AY373" s="2"/>
      <c r="AZ373" s="2"/>
      <c r="BA373" s="2"/>
      <c r="BB373" s="2"/>
      <c r="BC373" s="2"/>
      <c r="BD373" s="2"/>
      <c r="BE373" s="2"/>
    </row>
    <row r="374" hidden="1">
      <c r="A374" s="2"/>
      <c r="B374" s="312" t="s">
        <v>7157</v>
      </c>
      <c r="C374" s="220" t="s">
        <v>7158</v>
      </c>
      <c r="D374" s="11">
        <v>180.0</v>
      </c>
      <c r="E374" s="11" t="s">
        <v>220</v>
      </c>
      <c r="F374" s="11" t="s">
        <v>6969</v>
      </c>
      <c r="G374" s="295" t="s">
        <v>7159</v>
      </c>
      <c r="H374" s="296"/>
      <c r="I374" s="156">
        <v>450.0</v>
      </c>
      <c r="J374" s="301"/>
      <c r="K374" s="296"/>
      <c r="L374" s="156">
        <v>530.0</v>
      </c>
      <c r="M374" s="301">
        <v>530.0</v>
      </c>
      <c r="N374" s="284">
        <v>2.25</v>
      </c>
      <c r="O374" s="296">
        <v>1700.0</v>
      </c>
      <c r="P374" s="313">
        <f>MAX(O374:O377)</f>
        <v>1700</v>
      </c>
      <c r="Q374" s="303">
        <f>P374</f>
        <v>1700</v>
      </c>
      <c r="R374" s="299" t="s">
        <v>7160</v>
      </c>
      <c r="S374" s="300">
        <v>46141.37633857639</v>
      </c>
      <c r="T374" s="2"/>
      <c r="U374" s="289">
        <f t="shared" si="4"/>
        <v>1250</v>
      </c>
      <c r="V374" s="290">
        <f t="shared" ref="V374:V377" si="326">IF(L374&gt;0, Q1433 - L374, "нет з/ч")</f>
        <v>-530</v>
      </c>
      <c r="W374" s="2"/>
      <c r="X374" s="289">
        <v>450.0</v>
      </c>
      <c r="Y374" s="139">
        <v>530.0</v>
      </c>
      <c r="Z374" s="2"/>
      <c r="AA374" s="2" t="s">
        <v>7158</v>
      </c>
      <c r="AB374" s="2" t="s">
        <v>7158</v>
      </c>
      <c r="AC374" s="2"/>
      <c r="AD374" s="2" t="s">
        <v>7158</v>
      </c>
      <c r="AE374" s="3" t="s">
        <v>7157</v>
      </c>
      <c r="AF374" s="2"/>
      <c r="AG374" s="1" t="s">
        <v>1582</v>
      </c>
      <c r="AH374" s="1" t="s">
        <v>7161</v>
      </c>
      <c r="AI374" s="2">
        <v>180.0</v>
      </c>
      <c r="AJ374" s="1" t="s">
        <v>1589</v>
      </c>
      <c r="AK374" s="1" t="s">
        <v>5878</v>
      </c>
      <c r="AL374" s="1" t="s">
        <v>5878</v>
      </c>
      <c r="AM374" s="2"/>
      <c r="AN374" s="2"/>
      <c r="AO374" s="2"/>
      <c r="AP374" s="2"/>
      <c r="AQ374" s="2"/>
      <c r="AR374" s="2"/>
      <c r="AS374" s="2"/>
      <c r="AT374" s="2"/>
      <c r="AU374" s="126">
        <v>530.0</v>
      </c>
      <c r="AV374" s="126">
        <v>1700.0</v>
      </c>
      <c r="AW374" s="2"/>
      <c r="AX374" s="2"/>
      <c r="AY374" s="2"/>
      <c r="AZ374" s="2"/>
      <c r="BA374" s="2"/>
      <c r="BB374" s="2"/>
      <c r="BC374" s="2"/>
      <c r="BD374" s="2"/>
      <c r="BE374" s="2"/>
    </row>
    <row r="375" hidden="1">
      <c r="A375" s="2"/>
      <c r="B375" s="312" t="s">
        <v>7162</v>
      </c>
      <c r="C375" s="220" t="s">
        <v>7163</v>
      </c>
      <c r="D375" s="11">
        <v>180.0</v>
      </c>
      <c r="E375" s="11" t="s">
        <v>220</v>
      </c>
      <c r="F375" s="11" t="s">
        <v>6969</v>
      </c>
      <c r="G375" s="295" t="s">
        <v>7164</v>
      </c>
      <c r="H375" s="296"/>
      <c r="I375" s="156">
        <v>450.0</v>
      </c>
      <c r="J375" s="301"/>
      <c r="K375" s="296"/>
      <c r="L375" s="156">
        <v>530.0</v>
      </c>
      <c r="M375" s="301">
        <v>530.0</v>
      </c>
      <c r="N375" s="284">
        <v>2.25</v>
      </c>
      <c r="O375" s="296">
        <v>1700.0</v>
      </c>
      <c r="P375" s="104"/>
      <c r="Q375" s="303">
        <f>P374</f>
        <v>1700</v>
      </c>
      <c r="R375" s="299" t="s">
        <v>7165</v>
      </c>
      <c r="S375" s="300">
        <v>46141.37638728009</v>
      </c>
      <c r="T375" s="2"/>
      <c r="U375" s="289">
        <f t="shared" si="4"/>
        <v>1250</v>
      </c>
      <c r="V375" s="290">
        <f t="shared" si="326"/>
        <v>-530</v>
      </c>
      <c r="W375" s="2"/>
      <c r="X375" s="289">
        <v>450.0</v>
      </c>
      <c r="Y375" s="139">
        <v>530.0</v>
      </c>
      <c r="Z375" s="2"/>
      <c r="AA375" s="2" t="s">
        <v>7163</v>
      </c>
      <c r="AB375" s="2" t="s">
        <v>7163</v>
      </c>
      <c r="AC375" s="2"/>
      <c r="AD375" s="2" t="s">
        <v>7163</v>
      </c>
      <c r="AE375" s="3" t="s">
        <v>7162</v>
      </c>
      <c r="AF375" s="2"/>
      <c r="AG375" s="1" t="s">
        <v>1582</v>
      </c>
      <c r="AH375" s="1" t="s">
        <v>7161</v>
      </c>
      <c r="AI375" s="2">
        <v>180.0</v>
      </c>
      <c r="AJ375" s="1" t="s">
        <v>1589</v>
      </c>
      <c r="AK375" s="1" t="s">
        <v>5878</v>
      </c>
      <c r="AL375" s="1" t="s">
        <v>5878</v>
      </c>
      <c r="AM375" s="2"/>
      <c r="AN375" s="2"/>
      <c r="AO375" s="2"/>
      <c r="AP375" s="2"/>
      <c r="AQ375" s="2"/>
      <c r="AR375" s="2"/>
      <c r="AS375" s="2"/>
      <c r="AT375" s="2"/>
      <c r="AU375" s="126">
        <v>530.0</v>
      </c>
      <c r="AV375" s="126">
        <v>1700.0</v>
      </c>
      <c r="AW375" s="2"/>
      <c r="AX375" s="2"/>
      <c r="AY375" s="2"/>
      <c r="AZ375" s="2"/>
      <c r="BA375" s="2"/>
      <c r="BB375" s="2"/>
      <c r="BC375" s="2"/>
      <c r="BD375" s="2"/>
      <c r="BE375" s="2"/>
    </row>
    <row r="376" hidden="1">
      <c r="A376" s="2"/>
      <c r="B376" s="312" t="s">
        <v>7166</v>
      </c>
      <c r="C376" s="220" t="s">
        <v>7167</v>
      </c>
      <c r="D376" s="11">
        <v>180.0</v>
      </c>
      <c r="E376" s="11" t="s">
        <v>220</v>
      </c>
      <c r="F376" s="11" t="s">
        <v>6969</v>
      </c>
      <c r="G376" s="295" t="s">
        <v>7168</v>
      </c>
      <c r="H376" s="296"/>
      <c r="I376" s="156">
        <v>450.0</v>
      </c>
      <c r="J376" s="301"/>
      <c r="K376" s="296"/>
      <c r="L376" s="156">
        <v>530.0</v>
      </c>
      <c r="M376" s="301">
        <v>530.0</v>
      </c>
      <c r="N376" s="284">
        <v>2.25</v>
      </c>
      <c r="O376" s="296">
        <v>1700.0</v>
      </c>
      <c r="P376" s="104"/>
      <c r="Q376" s="303">
        <f>P374</f>
        <v>1700</v>
      </c>
      <c r="R376" s="299" t="s">
        <v>7169</v>
      </c>
      <c r="S376" s="300">
        <v>46141.376437025465</v>
      </c>
      <c r="T376" s="2"/>
      <c r="U376" s="289">
        <f t="shared" si="4"/>
        <v>1250</v>
      </c>
      <c r="V376" s="290">
        <f t="shared" si="326"/>
        <v>-530</v>
      </c>
      <c r="W376" s="2"/>
      <c r="X376" s="289">
        <v>450.0</v>
      </c>
      <c r="Y376" s="139">
        <v>530.0</v>
      </c>
      <c r="Z376" s="2"/>
      <c r="AA376" s="2" t="s">
        <v>7167</v>
      </c>
      <c r="AB376" s="2" t="s">
        <v>7167</v>
      </c>
      <c r="AC376" s="2"/>
      <c r="AD376" s="2" t="s">
        <v>7167</v>
      </c>
      <c r="AE376" s="3" t="s">
        <v>7166</v>
      </c>
      <c r="AF376" s="2"/>
      <c r="AG376" s="1" t="s">
        <v>1582</v>
      </c>
      <c r="AH376" s="1" t="s">
        <v>7161</v>
      </c>
      <c r="AI376" s="2">
        <v>180.0</v>
      </c>
      <c r="AJ376" s="1" t="s">
        <v>1589</v>
      </c>
      <c r="AK376" s="1" t="s">
        <v>5878</v>
      </c>
      <c r="AL376" s="1" t="s">
        <v>5878</v>
      </c>
      <c r="AM376" s="2"/>
      <c r="AN376" s="2"/>
      <c r="AO376" s="2"/>
      <c r="AP376" s="2"/>
      <c r="AQ376" s="2"/>
      <c r="AR376" s="2"/>
      <c r="AS376" s="2"/>
      <c r="AT376" s="2"/>
      <c r="AU376" s="126">
        <v>530.0</v>
      </c>
      <c r="AV376" s="126">
        <v>1700.0</v>
      </c>
      <c r="AW376" s="2"/>
      <c r="AX376" s="2"/>
      <c r="AY376" s="2"/>
      <c r="AZ376" s="2"/>
      <c r="BA376" s="2"/>
      <c r="BB376" s="2"/>
      <c r="BC376" s="2"/>
      <c r="BD376" s="2"/>
      <c r="BE376" s="2"/>
    </row>
    <row r="377" hidden="1">
      <c r="A377" s="2"/>
      <c r="B377" s="312" t="s">
        <v>7170</v>
      </c>
      <c r="C377" s="220" t="s">
        <v>7171</v>
      </c>
      <c r="D377" s="11">
        <v>180.0</v>
      </c>
      <c r="E377" s="11" t="s">
        <v>220</v>
      </c>
      <c r="F377" s="11" t="s">
        <v>6969</v>
      </c>
      <c r="G377" s="295" t="s">
        <v>7172</v>
      </c>
      <c r="H377" s="296"/>
      <c r="I377" s="156">
        <v>450.0</v>
      </c>
      <c r="J377" s="301"/>
      <c r="K377" s="296"/>
      <c r="L377" s="156">
        <v>530.0</v>
      </c>
      <c r="M377" s="301">
        <v>530.0</v>
      </c>
      <c r="N377" s="284">
        <v>2.25</v>
      </c>
      <c r="O377" s="296">
        <v>1700.0</v>
      </c>
      <c r="P377" s="67"/>
      <c r="Q377" s="303">
        <f>P374</f>
        <v>1700</v>
      </c>
      <c r="R377" s="299" t="s">
        <v>7173</v>
      </c>
      <c r="S377" s="300">
        <v>46141.37648659722</v>
      </c>
      <c r="T377" s="2"/>
      <c r="U377" s="289">
        <f t="shared" si="4"/>
        <v>1250</v>
      </c>
      <c r="V377" s="290">
        <f t="shared" si="326"/>
        <v>-530</v>
      </c>
      <c r="W377" s="2"/>
      <c r="X377" s="289">
        <v>450.0</v>
      </c>
      <c r="Y377" s="139">
        <v>530.0</v>
      </c>
      <c r="Z377" s="2"/>
      <c r="AA377" s="2" t="s">
        <v>7171</v>
      </c>
      <c r="AB377" s="2" t="s">
        <v>7171</v>
      </c>
      <c r="AC377" s="2"/>
      <c r="AD377" s="2" t="s">
        <v>7171</v>
      </c>
      <c r="AE377" s="3" t="s">
        <v>7170</v>
      </c>
      <c r="AF377" s="2"/>
      <c r="AG377" s="1" t="s">
        <v>1582</v>
      </c>
      <c r="AH377" s="1" t="s">
        <v>7161</v>
      </c>
      <c r="AI377" s="2">
        <v>180.0</v>
      </c>
      <c r="AJ377" s="1" t="s">
        <v>1589</v>
      </c>
      <c r="AK377" s="1" t="s">
        <v>5878</v>
      </c>
      <c r="AL377" s="1" t="s">
        <v>5878</v>
      </c>
      <c r="AM377" s="2"/>
      <c r="AN377" s="2"/>
      <c r="AO377" s="2"/>
      <c r="AP377" s="2"/>
      <c r="AQ377" s="2"/>
      <c r="AR377" s="2"/>
      <c r="AS377" s="2"/>
      <c r="AT377" s="2"/>
      <c r="AU377" s="126">
        <v>530.0</v>
      </c>
      <c r="AV377" s="126">
        <v>1700.0</v>
      </c>
      <c r="AW377" s="2"/>
      <c r="AX377" s="2"/>
      <c r="AY377" s="2"/>
      <c r="AZ377" s="2"/>
      <c r="BA377" s="2"/>
      <c r="BB377" s="2"/>
      <c r="BC377" s="2"/>
      <c r="BD377" s="2"/>
      <c r="BE377" s="2"/>
    </row>
    <row r="378" hidden="1">
      <c r="A378" s="2"/>
      <c r="B378" s="312" t="s">
        <v>7174</v>
      </c>
      <c r="C378" s="220" t="s">
        <v>7175</v>
      </c>
      <c r="D378" s="11">
        <v>180.0</v>
      </c>
      <c r="E378" s="11" t="s">
        <v>228</v>
      </c>
      <c r="F378" s="11" t="s">
        <v>6969</v>
      </c>
      <c r="G378" s="295" t="s">
        <v>7176</v>
      </c>
      <c r="H378" s="296"/>
      <c r="I378" s="156">
        <v>490.0</v>
      </c>
      <c r="J378" s="301"/>
      <c r="K378" s="296"/>
      <c r="L378" s="156">
        <v>570.0</v>
      </c>
      <c r="M378" s="301">
        <v>570.0</v>
      </c>
      <c r="N378" s="284">
        <v>0.25</v>
      </c>
      <c r="O378" s="296">
        <v>700.0</v>
      </c>
      <c r="P378" s="313">
        <f>MAX(O378:O381)</f>
        <v>700</v>
      </c>
      <c r="Q378" s="303">
        <f>P378</f>
        <v>700</v>
      </c>
      <c r="R378" s="299" t="s">
        <v>7177</v>
      </c>
      <c r="S378" s="300">
        <v>46141.37653837963</v>
      </c>
      <c r="T378" s="2"/>
      <c r="U378" s="289">
        <f t="shared" si="4"/>
        <v>210</v>
      </c>
      <c r="V378" s="290">
        <f t="shared" ref="V378:V381" si="327">IF(L378&gt;0, Q1441 - L378, "нет з/ч")</f>
        <v>-570</v>
      </c>
      <c r="W378" s="2"/>
      <c r="X378" s="289">
        <v>490.0</v>
      </c>
      <c r="Y378" s="139">
        <v>570.0</v>
      </c>
      <c r="Z378" s="2"/>
      <c r="AA378" s="2" t="s">
        <v>7175</v>
      </c>
      <c r="AB378" s="2" t="s">
        <v>7175</v>
      </c>
      <c r="AC378" s="2"/>
      <c r="AD378" s="2" t="s">
        <v>7175</v>
      </c>
      <c r="AE378" s="3" t="s">
        <v>7174</v>
      </c>
      <c r="AF378" s="2"/>
      <c r="AG378" s="1" t="s">
        <v>1582</v>
      </c>
      <c r="AH378" s="1" t="s">
        <v>6045</v>
      </c>
      <c r="AI378" s="2">
        <v>180.0</v>
      </c>
      <c r="AJ378" s="1" t="s">
        <v>1589</v>
      </c>
      <c r="AK378" s="1" t="s">
        <v>5878</v>
      </c>
      <c r="AL378" s="1" t="s">
        <v>5878</v>
      </c>
      <c r="AM378" s="2"/>
      <c r="AN378" s="2"/>
      <c r="AO378" s="2"/>
      <c r="AP378" s="2"/>
      <c r="AQ378" s="2"/>
      <c r="AR378" s="2"/>
      <c r="AS378" s="2"/>
      <c r="AT378" s="2"/>
      <c r="AU378" s="126">
        <v>570.0</v>
      </c>
      <c r="AV378" s="126">
        <v>700.0</v>
      </c>
      <c r="AW378" s="2"/>
      <c r="AX378" s="2"/>
      <c r="AY378" s="2"/>
      <c r="AZ378" s="2"/>
      <c r="BA378" s="2"/>
      <c r="BB378" s="2"/>
      <c r="BC378" s="2"/>
      <c r="BD378" s="2"/>
      <c r="BE378" s="2"/>
    </row>
    <row r="379" hidden="1">
      <c r="A379" s="2"/>
      <c r="B379" s="312" t="s">
        <v>7178</v>
      </c>
      <c r="C379" s="220" t="s">
        <v>7179</v>
      </c>
      <c r="D379" s="11">
        <v>180.0</v>
      </c>
      <c r="E379" s="11" t="s">
        <v>228</v>
      </c>
      <c r="F379" s="11" t="s">
        <v>6969</v>
      </c>
      <c r="G379" s="295" t="s">
        <v>7180</v>
      </c>
      <c r="H379" s="296"/>
      <c r="I379" s="156">
        <v>490.0</v>
      </c>
      <c r="J379" s="301"/>
      <c r="K379" s="296"/>
      <c r="L379" s="156">
        <v>570.0</v>
      </c>
      <c r="M379" s="301">
        <v>570.0</v>
      </c>
      <c r="N379" s="284">
        <v>0.25</v>
      </c>
      <c r="O379" s="296">
        <v>700.0</v>
      </c>
      <c r="P379" s="104"/>
      <c r="Q379" s="303">
        <f>P378</f>
        <v>700</v>
      </c>
      <c r="R379" s="299" t="s">
        <v>7181</v>
      </c>
      <c r="S379" s="300">
        <v>46141.37658625</v>
      </c>
      <c r="T379" s="2"/>
      <c r="U379" s="289">
        <f t="shared" si="4"/>
        <v>210</v>
      </c>
      <c r="V379" s="290">
        <f t="shared" si="327"/>
        <v>-570</v>
      </c>
      <c r="W379" s="2"/>
      <c r="X379" s="289">
        <v>490.0</v>
      </c>
      <c r="Y379" s="139">
        <v>570.0</v>
      </c>
      <c r="Z379" s="2"/>
      <c r="AA379" s="2" t="s">
        <v>7179</v>
      </c>
      <c r="AB379" s="2" t="s">
        <v>7179</v>
      </c>
      <c r="AC379" s="2"/>
      <c r="AD379" s="2" t="s">
        <v>7179</v>
      </c>
      <c r="AE379" s="3" t="s">
        <v>7178</v>
      </c>
      <c r="AF379" s="2"/>
      <c r="AG379" s="1" t="s">
        <v>1582</v>
      </c>
      <c r="AH379" s="1" t="s">
        <v>6045</v>
      </c>
      <c r="AI379" s="2">
        <v>180.0</v>
      </c>
      <c r="AJ379" s="1" t="s">
        <v>1589</v>
      </c>
      <c r="AK379" s="1" t="s">
        <v>5878</v>
      </c>
      <c r="AL379" s="1" t="s">
        <v>5878</v>
      </c>
      <c r="AM379" s="2"/>
      <c r="AN379" s="2"/>
      <c r="AO379" s="2"/>
      <c r="AP379" s="2"/>
      <c r="AQ379" s="2"/>
      <c r="AR379" s="2"/>
      <c r="AS379" s="2"/>
      <c r="AT379" s="2"/>
      <c r="AU379" s="126">
        <v>570.0</v>
      </c>
      <c r="AV379" s="126">
        <v>700.0</v>
      </c>
      <c r="AW379" s="2"/>
      <c r="AX379" s="2"/>
      <c r="AY379" s="2"/>
      <c r="AZ379" s="2"/>
      <c r="BA379" s="2"/>
      <c r="BB379" s="2"/>
      <c r="BC379" s="2"/>
      <c r="BD379" s="2"/>
      <c r="BE379" s="2"/>
    </row>
    <row r="380" hidden="1">
      <c r="A380" s="2"/>
      <c r="B380" s="312" t="s">
        <v>7182</v>
      </c>
      <c r="C380" s="220" t="s">
        <v>7183</v>
      </c>
      <c r="D380" s="11">
        <v>180.0</v>
      </c>
      <c r="E380" s="11" t="s">
        <v>228</v>
      </c>
      <c r="F380" s="11" t="s">
        <v>6969</v>
      </c>
      <c r="G380" s="295" t="s">
        <v>7184</v>
      </c>
      <c r="H380" s="296"/>
      <c r="I380" s="156">
        <v>490.0</v>
      </c>
      <c r="J380" s="301"/>
      <c r="K380" s="296"/>
      <c r="L380" s="156">
        <v>570.0</v>
      </c>
      <c r="M380" s="301">
        <v>570.0</v>
      </c>
      <c r="N380" s="284">
        <v>0.25</v>
      </c>
      <c r="O380" s="296">
        <v>700.0</v>
      </c>
      <c r="P380" s="104"/>
      <c r="Q380" s="303">
        <f>P378</f>
        <v>700</v>
      </c>
      <c r="R380" s="299" t="s">
        <v>7185</v>
      </c>
      <c r="S380" s="300">
        <v>46141.37663704861</v>
      </c>
      <c r="T380" s="2"/>
      <c r="U380" s="289">
        <f t="shared" si="4"/>
        <v>210</v>
      </c>
      <c r="V380" s="290">
        <f t="shared" si="327"/>
        <v>-570</v>
      </c>
      <c r="W380" s="2"/>
      <c r="X380" s="289">
        <v>490.0</v>
      </c>
      <c r="Y380" s="139">
        <v>570.0</v>
      </c>
      <c r="Z380" s="2"/>
      <c r="AA380" s="2" t="s">
        <v>7183</v>
      </c>
      <c r="AB380" s="2" t="s">
        <v>7183</v>
      </c>
      <c r="AC380" s="2"/>
      <c r="AD380" s="2" t="s">
        <v>7183</v>
      </c>
      <c r="AE380" s="3" t="s">
        <v>7182</v>
      </c>
      <c r="AF380" s="2"/>
      <c r="AG380" s="1" t="s">
        <v>1582</v>
      </c>
      <c r="AH380" s="1" t="s">
        <v>6045</v>
      </c>
      <c r="AI380" s="2">
        <v>180.0</v>
      </c>
      <c r="AJ380" s="1" t="s">
        <v>1589</v>
      </c>
      <c r="AK380" s="1" t="s">
        <v>5878</v>
      </c>
      <c r="AL380" s="1" t="s">
        <v>5878</v>
      </c>
      <c r="AM380" s="2"/>
      <c r="AN380" s="2"/>
      <c r="AO380" s="2"/>
      <c r="AP380" s="2"/>
      <c r="AQ380" s="2"/>
      <c r="AR380" s="2"/>
      <c r="AS380" s="2"/>
      <c r="AT380" s="2"/>
      <c r="AU380" s="126">
        <v>570.0</v>
      </c>
      <c r="AV380" s="126">
        <v>700.0</v>
      </c>
      <c r="AW380" s="2"/>
      <c r="AX380" s="2"/>
      <c r="AY380" s="2"/>
      <c r="AZ380" s="2"/>
      <c r="BA380" s="2"/>
      <c r="BB380" s="2"/>
      <c r="BC380" s="2"/>
      <c r="BD380" s="2"/>
      <c r="BE380" s="2"/>
    </row>
    <row r="381" hidden="1">
      <c r="A381" s="2"/>
      <c r="B381" s="312" t="s">
        <v>7186</v>
      </c>
      <c r="C381" s="220" t="s">
        <v>7187</v>
      </c>
      <c r="D381" s="11">
        <v>180.0</v>
      </c>
      <c r="E381" s="11" t="s">
        <v>228</v>
      </c>
      <c r="F381" s="11" t="s">
        <v>6969</v>
      </c>
      <c r="G381" s="306"/>
      <c r="H381" s="296"/>
      <c r="I381" s="139"/>
      <c r="J381" s="301"/>
      <c r="K381" s="296"/>
      <c r="L381" s="156">
        <v>570.0</v>
      </c>
      <c r="M381" s="301">
        <v>570.0</v>
      </c>
      <c r="N381" s="284">
        <v>0.25</v>
      </c>
      <c r="O381" s="296">
        <v>700.0</v>
      </c>
      <c r="P381" s="67"/>
      <c r="Q381" s="303">
        <f>P378</f>
        <v>700</v>
      </c>
      <c r="R381" s="307"/>
      <c r="S381" s="300">
        <v>46080.67194824074</v>
      </c>
      <c r="T381" s="2"/>
      <c r="U381" s="59" t="str">
        <f t="shared" si="4"/>
        <v>нет з/ч</v>
      </c>
      <c r="V381" s="290">
        <f t="shared" si="327"/>
        <v>-570</v>
      </c>
      <c r="W381" s="2"/>
      <c r="X381" s="289"/>
      <c r="Y381" s="139">
        <v>570.0</v>
      </c>
      <c r="Z381" s="2"/>
      <c r="AA381" s="2" t="s">
        <v>7187</v>
      </c>
      <c r="AB381" s="2" t="s">
        <v>7187</v>
      </c>
      <c r="AC381" s="2"/>
      <c r="AD381" s="2" t="s">
        <v>7187</v>
      </c>
      <c r="AE381" s="3" t="s">
        <v>7186</v>
      </c>
      <c r="AF381" s="2"/>
      <c r="AG381" s="1" t="s">
        <v>1582</v>
      </c>
      <c r="AH381" s="1" t="s">
        <v>6045</v>
      </c>
      <c r="AI381" s="2">
        <v>180.0</v>
      </c>
      <c r="AJ381" s="1" t="s">
        <v>1589</v>
      </c>
      <c r="AK381" s="1" t="s">
        <v>5878</v>
      </c>
      <c r="AL381" s="1" t="s">
        <v>5878</v>
      </c>
      <c r="AM381" s="2"/>
      <c r="AN381" s="2"/>
      <c r="AO381" s="2"/>
      <c r="AP381" s="2"/>
      <c r="AQ381" s="2"/>
      <c r="AR381" s="2"/>
      <c r="AS381" s="2"/>
      <c r="AT381" s="2"/>
      <c r="AU381" s="126">
        <v>570.0</v>
      </c>
      <c r="AV381" s="126">
        <v>700.0</v>
      </c>
      <c r="AW381" s="2"/>
      <c r="AX381" s="2"/>
      <c r="AY381" s="2"/>
      <c r="AZ381" s="2"/>
      <c r="BA381" s="2"/>
      <c r="BB381" s="2"/>
      <c r="BC381" s="2"/>
      <c r="BD381" s="2"/>
      <c r="BE381" s="2"/>
    </row>
    <row r="382" hidden="1">
      <c r="A382" s="2"/>
      <c r="B382" s="312" t="s">
        <v>7188</v>
      </c>
      <c r="C382" s="220" t="s">
        <v>7189</v>
      </c>
      <c r="D382" s="11">
        <v>180.0</v>
      </c>
      <c r="E382" s="11" t="s">
        <v>236</v>
      </c>
      <c r="F382" s="11" t="s">
        <v>6969</v>
      </c>
      <c r="G382" s="295" t="s">
        <v>7190</v>
      </c>
      <c r="H382" s="296"/>
      <c r="I382" s="156">
        <v>350.0</v>
      </c>
      <c r="J382" s="301"/>
      <c r="K382" s="296"/>
      <c r="L382" s="156">
        <v>440.0</v>
      </c>
      <c r="M382" s="301">
        <v>440.0</v>
      </c>
      <c r="N382" s="284">
        <v>0.12</v>
      </c>
      <c r="O382" s="296">
        <v>500.0</v>
      </c>
      <c r="P382" s="313">
        <f>MAX(O382:O387)</f>
        <v>500</v>
      </c>
      <c r="Q382" s="303">
        <f>P382</f>
        <v>500</v>
      </c>
      <c r="R382" s="299" t="s">
        <v>7191</v>
      </c>
      <c r="S382" s="300">
        <v>46141.37668469908</v>
      </c>
      <c r="T382" s="2"/>
      <c r="U382" s="289">
        <f t="shared" si="4"/>
        <v>150</v>
      </c>
      <c r="V382" s="290">
        <f t="shared" ref="V382:V387" si="328">IF(L382&gt;0, Q1451 - L382, "нет з/ч")</f>
        <v>-440</v>
      </c>
      <c r="W382" s="2"/>
      <c r="X382" s="289">
        <v>350.0</v>
      </c>
      <c r="Y382" s="139">
        <v>440.0</v>
      </c>
      <c r="Z382" s="2"/>
      <c r="AA382" s="2" t="s">
        <v>7189</v>
      </c>
      <c r="AB382" s="2" t="s">
        <v>7189</v>
      </c>
      <c r="AC382" s="2"/>
      <c r="AD382" s="2" t="s">
        <v>7189</v>
      </c>
      <c r="AE382" s="3" t="s">
        <v>7188</v>
      </c>
      <c r="AF382" s="2"/>
      <c r="AG382" s="1" t="s">
        <v>1582</v>
      </c>
      <c r="AH382" s="1" t="s">
        <v>6069</v>
      </c>
      <c r="AI382" s="2">
        <v>180.0</v>
      </c>
      <c r="AJ382" s="1" t="s">
        <v>1589</v>
      </c>
      <c r="AK382" s="1" t="s">
        <v>5878</v>
      </c>
      <c r="AL382" s="1" t="s">
        <v>5878</v>
      </c>
      <c r="AM382" s="2"/>
      <c r="AN382" s="2"/>
      <c r="AO382" s="2"/>
      <c r="AP382" s="2"/>
      <c r="AQ382" s="2"/>
      <c r="AR382" s="2"/>
      <c r="AS382" s="2"/>
      <c r="AT382" s="2"/>
      <c r="AU382" s="126">
        <v>440.0</v>
      </c>
      <c r="AV382" s="126">
        <v>500.0</v>
      </c>
      <c r="AW382" s="2"/>
      <c r="AX382" s="2"/>
      <c r="AY382" s="2"/>
      <c r="AZ382" s="2"/>
      <c r="BA382" s="2"/>
      <c r="BB382" s="2"/>
      <c r="BC382" s="2"/>
      <c r="BD382" s="2"/>
      <c r="BE382" s="2"/>
    </row>
    <row r="383" hidden="1">
      <c r="A383" s="2"/>
      <c r="B383" s="312" t="s">
        <v>7192</v>
      </c>
      <c r="C383" s="220" t="s">
        <v>7193</v>
      </c>
      <c r="D383" s="11">
        <v>180.0</v>
      </c>
      <c r="E383" s="11" t="s">
        <v>236</v>
      </c>
      <c r="F383" s="11" t="s">
        <v>6969</v>
      </c>
      <c r="G383" s="295" t="s">
        <v>7194</v>
      </c>
      <c r="H383" s="296"/>
      <c r="I383" s="156">
        <v>350.0</v>
      </c>
      <c r="J383" s="301"/>
      <c r="K383" s="296"/>
      <c r="L383" s="156">
        <v>440.0</v>
      </c>
      <c r="M383" s="301">
        <v>440.0</v>
      </c>
      <c r="N383" s="284">
        <v>0.12</v>
      </c>
      <c r="O383" s="296">
        <v>500.0</v>
      </c>
      <c r="P383" s="104"/>
      <c r="Q383" s="303">
        <f>P382</f>
        <v>500</v>
      </c>
      <c r="R383" s="299" t="s">
        <v>7195</v>
      </c>
      <c r="S383" s="300">
        <v>46141.37673366898</v>
      </c>
      <c r="T383" s="2"/>
      <c r="U383" s="289">
        <f t="shared" si="4"/>
        <v>150</v>
      </c>
      <c r="V383" s="290">
        <f t="shared" si="328"/>
        <v>-440</v>
      </c>
      <c r="W383" s="2"/>
      <c r="X383" s="289">
        <v>350.0</v>
      </c>
      <c r="Y383" s="139">
        <v>440.0</v>
      </c>
      <c r="Z383" s="2"/>
      <c r="AA383" s="2" t="s">
        <v>7193</v>
      </c>
      <c r="AB383" s="2" t="s">
        <v>7193</v>
      </c>
      <c r="AC383" s="2"/>
      <c r="AD383" s="2" t="s">
        <v>7193</v>
      </c>
      <c r="AE383" s="3" t="s">
        <v>7192</v>
      </c>
      <c r="AF383" s="2"/>
      <c r="AG383" s="1" t="s">
        <v>1582</v>
      </c>
      <c r="AH383" s="1" t="s">
        <v>6069</v>
      </c>
      <c r="AI383" s="2">
        <v>180.0</v>
      </c>
      <c r="AJ383" s="1" t="s">
        <v>1589</v>
      </c>
      <c r="AK383" s="1" t="s">
        <v>5878</v>
      </c>
      <c r="AL383" s="1" t="s">
        <v>5878</v>
      </c>
      <c r="AM383" s="2"/>
      <c r="AN383" s="2"/>
      <c r="AO383" s="2"/>
      <c r="AP383" s="2"/>
      <c r="AQ383" s="2"/>
      <c r="AR383" s="2"/>
      <c r="AS383" s="2"/>
      <c r="AT383" s="2"/>
      <c r="AU383" s="126">
        <v>440.0</v>
      </c>
      <c r="AV383" s="126">
        <v>500.0</v>
      </c>
      <c r="AW383" s="2"/>
      <c r="AX383" s="2"/>
      <c r="AY383" s="2"/>
      <c r="AZ383" s="2"/>
      <c r="BA383" s="2"/>
      <c r="BB383" s="2"/>
      <c r="BC383" s="2"/>
      <c r="BD383" s="2"/>
      <c r="BE383" s="2"/>
    </row>
    <row r="384" hidden="1">
      <c r="A384" s="2"/>
      <c r="B384" s="312" t="s">
        <v>7196</v>
      </c>
      <c r="C384" s="220" t="s">
        <v>7197</v>
      </c>
      <c r="D384" s="11">
        <v>180.0</v>
      </c>
      <c r="E384" s="11" t="s">
        <v>236</v>
      </c>
      <c r="F384" s="11" t="s">
        <v>6969</v>
      </c>
      <c r="G384" s="295" t="s">
        <v>7198</v>
      </c>
      <c r="H384" s="296"/>
      <c r="I384" s="156">
        <v>350.0</v>
      </c>
      <c r="J384" s="301"/>
      <c r="K384" s="296"/>
      <c r="L384" s="156">
        <v>440.0</v>
      </c>
      <c r="M384" s="301">
        <v>440.0</v>
      </c>
      <c r="N384" s="284">
        <v>0.12</v>
      </c>
      <c r="O384" s="296">
        <v>500.0</v>
      </c>
      <c r="P384" s="104"/>
      <c r="Q384" s="303">
        <f>P382</f>
        <v>500</v>
      </c>
      <c r="R384" s="299" t="s">
        <v>7199</v>
      </c>
      <c r="S384" s="300">
        <v>46141.37678258102</v>
      </c>
      <c r="T384" s="2"/>
      <c r="U384" s="289">
        <f t="shared" si="4"/>
        <v>150</v>
      </c>
      <c r="V384" s="290">
        <f t="shared" si="328"/>
        <v>-440</v>
      </c>
      <c r="W384" s="2"/>
      <c r="X384" s="289">
        <v>350.0</v>
      </c>
      <c r="Y384" s="139">
        <v>440.0</v>
      </c>
      <c r="Z384" s="2"/>
      <c r="AA384" s="2" t="s">
        <v>7197</v>
      </c>
      <c r="AB384" s="2" t="s">
        <v>7197</v>
      </c>
      <c r="AC384" s="2"/>
      <c r="AD384" s="2" t="s">
        <v>7197</v>
      </c>
      <c r="AE384" s="3" t="s">
        <v>7196</v>
      </c>
      <c r="AF384" s="2"/>
      <c r="AG384" s="1" t="s">
        <v>1582</v>
      </c>
      <c r="AH384" s="1" t="s">
        <v>6069</v>
      </c>
      <c r="AI384" s="2">
        <v>180.0</v>
      </c>
      <c r="AJ384" s="1" t="s">
        <v>1589</v>
      </c>
      <c r="AK384" s="1" t="s">
        <v>5878</v>
      </c>
      <c r="AL384" s="1" t="s">
        <v>5878</v>
      </c>
      <c r="AM384" s="2"/>
      <c r="AN384" s="2"/>
      <c r="AO384" s="2"/>
      <c r="AP384" s="2"/>
      <c r="AQ384" s="2"/>
      <c r="AR384" s="2"/>
      <c r="AS384" s="2"/>
      <c r="AT384" s="2"/>
      <c r="AU384" s="126">
        <v>440.0</v>
      </c>
      <c r="AV384" s="126">
        <v>500.0</v>
      </c>
      <c r="AW384" s="2"/>
      <c r="AX384" s="2"/>
      <c r="AY384" s="2"/>
      <c r="AZ384" s="2"/>
      <c r="BA384" s="2"/>
      <c r="BB384" s="2"/>
      <c r="BC384" s="2"/>
      <c r="BD384" s="2"/>
      <c r="BE384" s="2"/>
    </row>
    <row r="385" hidden="1">
      <c r="A385" s="2"/>
      <c r="B385" s="312" t="s">
        <v>7200</v>
      </c>
      <c r="C385" s="220" t="s">
        <v>7201</v>
      </c>
      <c r="D385" s="11">
        <v>180.0</v>
      </c>
      <c r="E385" s="11" t="s">
        <v>236</v>
      </c>
      <c r="F385" s="11" t="s">
        <v>6969</v>
      </c>
      <c r="G385" s="295" t="s">
        <v>7202</v>
      </c>
      <c r="H385" s="296"/>
      <c r="I385" s="156">
        <v>350.0</v>
      </c>
      <c r="J385" s="301"/>
      <c r="K385" s="296"/>
      <c r="L385" s="156">
        <v>440.0</v>
      </c>
      <c r="M385" s="301">
        <v>440.0</v>
      </c>
      <c r="N385" s="284">
        <v>0.12</v>
      </c>
      <c r="O385" s="296">
        <v>500.0</v>
      </c>
      <c r="P385" s="104"/>
      <c r="Q385" s="303">
        <f>P382</f>
        <v>500</v>
      </c>
      <c r="R385" s="299" t="s">
        <v>7203</v>
      </c>
      <c r="S385" s="300">
        <v>46141.37683005787</v>
      </c>
      <c r="T385" s="2"/>
      <c r="U385" s="289">
        <f t="shared" si="4"/>
        <v>150</v>
      </c>
      <c r="V385" s="290">
        <f t="shared" si="328"/>
        <v>-440</v>
      </c>
      <c r="W385" s="2"/>
      <c r="X385" s="289">
        <v>350.0</v>
      </c>
      <c r="Y385" s="139">
        <v>440.0</v>
      </c>
      <c r="Z385" s="2"/>
      <c r="AA385" s="2" t="s">
        <v>7201</v>
      </c>
      <c r="AB385" s="2" t="s">
        <v>7201</v>
      </c>
      <c r="AC385" s="2"/>
      <c r="AD385" s="2" t="s">
        <v>7201</v>
      </c>
      <c r="AE385" s="3" t="s">
        <v>7200</v>
      </c>
      <c r="AF385" s="2"/>
      <c r="AG385" s="1" t="s">
        <v>1582</v>
      </c>
      <c r="AH385" s="1" t="s">
        <v>6069</v>
      </c>
      <c r="AI385" s="2">
        <v>180.0</v>
      </c>
      <c r="AJ385" s="1" t="s">
        <v>1589</v>
      </c>
      <c r="AK385" s="1" t="s">
        <v>5878</v>
      </c>
      <c r="AL385" s="1" t="s">
        <v>5878</v>
      </c>
      <c r="AM385" s="2"/>
      <c r="AN385" s="2"/>
      <c r="AO385" s="2"/>
      <c r="AP385" s="2"/>
      <c r="AQ385" s="2"/>
      <c r="AR385" s="2"/>
      <c r="AS385" s="2"/>
      <c r="AT385" s="2"/>
      <c r="AU385" s="126">
        <v>440.0</v>
      </c>
      <c r="AV385" s="126">
        <v>500.0</v>
      </c>
      <c r="AW385" s="2"/>
      <c r="AX385" s="2"/>
      <c r="AY385" s="2"/>
      <c r="AZ385" s="2"/>
      <c r="BA385" s="2"/>
      <c r="BB385" s="2"/>
      <c r="BC385" s="2"/>
      <c r="BD385" s="2"/>
      <c r="BE385" s="2"/>
    </row>
    <row r="386" hidden="1">
      <c r="A386" s="2"/>
      <c r="B386" s="312" t="s">
        <v>7204</v>
      </c>
      <c r="C386" s="220" t="s">
        <v>7205</v>
      </c>
      <c r="D386" s="11">
        <v>180.0</v>
      </c>
      <c r="E386" s="11" t="s">
        <v>236</v>
      </c>
      <c r="F386" s="11" t="s">
        <v>6969</v>
      </c>
      <c r="G386" s="295" t="s">
        <v>7206</v>
      </c>
      <c r="H386" s="296"/>
      <c r="I386" s="156">
        <v>350.0</v>
      </c>
      <c r="J386" s="301"/>
      <c r="K386" s="296"/>
      <c r="L386" s="156">
        <v>440.0</v>
      </c>
      <c r="M386" s="301">
        <v>440.0</v>
      </c>
      <c r="N386" s="284">
        <v>0.12</v>
      </c>
      <c r="O386" s="296">
        <v>500.0</v>
      </c>
      <c r="P386" s="104"/>
      <c r="Q386" s="303">
        <f>P382</f>
        <v>500</v>
      </c>
      <c r="R386" s="299" t="s">
        <v>7207</v>
      </c>
      <c r="S386" s="300">
        <v>46141.37688081019</v>
      </c>
      <c r="T386" s="2"/>
      <c r="U386" s="289">
        <f t="shared" si="4"/>
        <v>150</v>
      </c>
      <c r="V386" s="290">
        <f t="shared" si="328"/>
        <v>-440</v>
      </c>
      <c r="W386" s="2"/>
      <c r="X386" s="289">
        <v>350.0</v>
      </c>
      <c r="Y386" s="139">
        <v>440.0</v>
      </c>
      <c r="Z386" s="2"/>
      <c r="AA386" s="2" t="s">
        <v>7205</v>
      </c>
      <c r="AB386" s="2" t="s">
        <v>7205</v>
      </c>
      <c r="AC386" s="2"/>
      <c r="AD386" s="2" t="s">
        <v>7205</v>
      </c>
      <c r="AE386" s="3" t="s">
        <v>7204</v>
      </c>
      <c r="AF386" s="2"/>
      <c r="AG386" s="1" t="s">
        <v>1582</v>
      </c>
      <c r="AH386" s="1" t="s">
        <v>6069</v>
      </c>
      <c r="AI386" s="2">
        <v>180.0</v>
      </c>
      <c r="AJ386" s="1" t="s">
        <v>1589</v>
      </c>
      <c r="AK386" s="1" t="s">
        <v>5878</v>
      </c>
      <c r="AL386" s="1" t="s">
        <v>5878</v>
      </c>
      <c r="AM386" s="2"/>
      <c r="AN386" s="2"/>
      <c r="AO386" s="2"/>
      <c r="AP386" s="2"/>
      <c r="AQ386" s="2"/>
      <c r="AR386" s="2"/>
      <c r="AS386" s="2"/>
      <c r="AT386" s="2"/>
      <c r="AU386" s="126">
        <v>440.0</v>
      </c>
      <c r="AV386" s="126">
        <v>500.0</v>
      </c>
      <c r="AW386" s="2"/>
      <c r="AX386" s="2"/>
      <c r="AY386" s="2"/>
      <c r="AZ386" s="2"/>
      <c r="BA386" s="2"/>
      <c r="BB386" s="2"/>
      <c r="BC386" s="2"/>
      <c r="BD386" s="2"/>
      <c r="BE386" s="2"/>
    </row>
    <row r="387" hidden="1">
      <c r="A387" s="2"/>
      <c r="B387" s="312" t="s">
        <v>7208</v>
      </c>
      <c r="C387" s="220" t="s">
        <v>7209</v>
      </c>
      <c r="D387" s="11">
        <v>180.0</v>
      </c>
      <c r="E387" s="11" t="s">
        <v>236</v>
      </c>
      <c r="F387" s="11" t="s">
        <v>6969</v>
      </c>
      <c r="G387" s="295" t="s">
        <v>7210</v>
      </c>
      <c r="H387" s="296"/>
      <c r="I387" s="156">
        <v>350.0</v>
      </c>
      <c r="J387" s="301"/>
      <c r="K387" s="296"/>
      <c r="L387" s="156">
        <v>440.0</v>
      </c>
      <c r="M387" s="301">
        <v>440.0</v>
      </c>
      <c r="N387" s="284">
        <v>0.12</v>
      </c>
      <c r="O387" s="296">
        <v>500.0</v>
      </c>
      <c r="P387" s="67"/>
      <c r="Q387" s="303">
        <f>P382</f>
        <v>500</v>
      </c>
      <c r="R387" s="299" t="s">
        <v>7211</v>
      </c>
      <c r="S387" s="300">
        <v>46141.37692967593</v>
      </c>
      <c r="T387" s="2"/>
      <c r="U387" s="289">
        <f t="shared" si="4"/>
        <v>150</v>
      </c>
      <c r="V387" s="290">
        <f t="shared" si="328"/>
        <v>-440</v>
      </c>
      <c r="W387" s="2"/>
      <c r="X387" s="289">
        <v>350.0</v>
      </c>
      <c r="Y387" s="139">
        <v>440.0</v>
      </c>
      <c r="Z387" s="2"/>
      <c r="AA387" s="2" t="s">
        <v>7209</v>
      </c>
      <c r="AB387" s="2" t="s">
        <v>7209</v>
      </c>
      <c r="AC387" s="2"/>
      <c r="AD387" s="2" t="s">
        <v>7209</v>
      </c>
      <c r="AE387" s="3" t="s">
        <v>7208</v>
      </c>
      <c r="AF387" s="2"/>
      <c r="AG387" s="1" t="s">
        <v>1582</v>
      </c>
      <c r="AH387" s="1" t="s">
        <v>6069</v>
      </c>
      <c r="AI387" s="2">
        <v>180.0</v>
      </c>
      <c r="AJ387" s="1" t="s">
        <v>1589</v>
      </c>
      <c r="AK387" s="1" t="s">
        <v>5878</v>
      </c>
      <c r="AL387" s="1" t="s">
        <v>5878</v>
      </c>
      <c r="AM387" s="2"/>
      <c r="AN387" s="2"/>
      <c r="AO387" s="2"/>
      <c r="AP387" s="2"/>
      <c r="AQ387" s="2"/>
      <c r="AR387" s="2"/>
      <c r="AS387" s="2"/>
      <c r="AT387" s="2"/>
      <c r="AU387" s="126">
        <v>440.0</v>
      </c>
      <c r="AV387" s="126">
        <v>500.0</v>
      </c>
      <c r="AW387" s="2"/>
      <c r="AX387" s="2"/>
      <c r="AY387" s="2"/>
      <c r="AZ387" s="2"/>
      <c r="BA387" s="2"/>
      <c r="BB387" s="2"/>
      <c r="BC387" s="2"/>
      <c r="BD387" s="2"/>
      <c r="BE387" s="2"/>
    </row>
    <row r="388" hidden="1">
      <c r="A388" s="2"/>
      <c r="B388" s="312" t="s">
        <v>7212</v>
      </c>
      <c r="C388" s="220" t="s">
        <v>7213</v>
      </c>
      <c r="D388" s="11">
        <v>180.0</v>
      </c>
      <c r="E388" s="11" t="s">
        <v>238</v>
      </c>
      <c r="F388" s="11" t="s">
        <v>6969</v>
      </c>
      <c r="G388" s="295" t="s">
        <v>7214</v>
      </c>
      <c r="H388" s="296"/>
      <c r="I388" s="156">
        <v>390.0</v>
      </c>
      <c r="J388" s="301"/>
      <c r="K388" s="296"/>
      <c r="L388" s="156">
        <v>410.0</v>
      </c>
      <c r="M388" s="301">
        <v>410.0</v>
      </c>
      <c r="N388" s="284">
        <v>0.12</v>
      </c>
      <c r="O388" s="296">
        <v>450.0</v>
      </c>
      <c r="P388" s="313">
        <f>MAX(O388:O393)</f>
        <v>450</v>
      </c>
      <c r="Q388" s="303">
        <f>P388</f>
        <v>450</v>
      </c>
      <c r="R388" s="299" t="s">
        <v>7215</v>
      </c>
      <c r="S388" s="300">
        <v>46141.37698071759</v>
      </c>
      <c r="T388" s="2"/>
      <c r="U388" s="289">
        <f t="shared" si="4"/>
        <v>60</v>
      </c>
      <c r="V388" s="290">
        <f t="shared" ref="V388:V393" si="329">IF(L388&gt;0, Q1463 - L388, "нет з/ч")</f>
        <v>-410</v>
      </c>
      <c r="W388" s="2"/>
      <c r="X388" s="289">
        <v>390.0</v>
      </c>
      <c r="Y388" s="139">
        <v>410.0</v>
      </c>
      <c r="Z388" s="2"/>
      <c r="AA388" s="2" t="s">
        <v>7213</v>
      </c>
      <c r="AB388" s="2" t="s">
        <v>7213</v>
      </c>
      <c r="AC388" s="2"/>
      <c r="AD388" s="2" t="s">
        <v>7213</v>
      </c>
      <c r="AE388" s="3" t="s">
        <v>7212</v>
      </c>
      <c r="AF388" s="2"/>
      <c r="AG388" s="1" t="s">
        <v>1582</v>
      </c>
      <c r="AH388" s="1" t="s">
        <v>6093</v>
      </c>
      <c r="AI388" s="2">
        <v>180.0</v>
      </c>
      <c r="AJ388" s="1" t="s">
        <v>1589</v>
      </c>
      <c r="AK388" s="1" t="s">
        <v>5878</v>
      </c>
      <c r="AL388" s="1" t="s">
        <v>5878</v>
      </c>
      <c r="AM388" s="2"/>
      <c r="AN388" s="2"/>
      <c r="AO388" s="2"/>
      <c r="AP388" s="2"/>
      <c r="AQ388" s="2"/>
      <c r="AR388" s="2"/>
      <c r="AS388" s="2"/>
      <c r="AT388" s="2"/>
      <c r="AU388" s="126">
        <v>410.0</v>
      </c>
      <c r="AV388" s="126">
        <v>450.0</v>
      </c>
      <c r="AW388" s="2"/>
      <c r="AX388" s="2"/>
      <c r="AY388" s="2"/>
      <c r="AZ388" s="2"/>
      <c r="BA388" s="2"/>
      <c r="BB388" s="2"/>
      <c r="BC388" s="2"/>
      <c r="BD388" s="2"/>
      <c r="BE388" s="2"/>
    </row>
    <row r="389" hidden="1">
      <c r="A389" s="2"/>
      <c r="B389" s="312" t="s">
        <v>7216</v>
      </c>
      <c r="C389" s="220" t="s">
        <v>7217</v>
      </c>
      <c r="D389" s="11">
        <v>180.0</v>
      </c>
      <c r="E389" s="11" t="s">
        <v>238</v>
      </c>
      <c r="F389" s="11" t="s">
        <v>6969</v>
      </c>
      <c r="G389" s="295" t="s">
        <v>7218</v>
      </c>
      <c r="H389" s="296"/>
      <c r="I389" s="156">
        <v>390.0</v>
      </c>
      <c r="J389" s="301"/>
      <c r="K389" s="296"/>
      <c r="L389" s="156">
        <v>410.0</v>
      </c>
      <c r="M389" s="301">
        <v>410.0</v>
      </c>
      <c r="N389" s="284">
        <v>0.12</v>
      </c>
      <c r="O389" s="296">
        <v>450.0</v>
      </c>
      <c r="P389" s="104"/>
      <c r="Q389" s="303">
        <f>P388</f>
        <v>450</v>
      </c>
      <c r="R389" s="299" t="s">
        <v>7219</v>
      </c>
      <c r="S389" s="300">
        <v>46141.37703128472</v>
      </c>
      <c r="T389" s="2"/>
      <c r="U389" s="289">
        <f t="shared" si="4"/>
        <v>60</v>
      </c>
      <c r="V389" s="290">
        <f t="shared" si="329"/>
        <v>-410</v>
      </c>
      <c r="W389" s="2"/>
      <c r="X389" s="289">
        <v>390.0</v>
      </c>
      <c r="Y389" s="139">
        <v>410.0</v>
      </c>
      <c r="Z389" s="2"/>
      <c r="AA389" s="2" t="s">
        <v>7217</v>
      </c>
      <c r="AB389" s="2" t="s">
        <v>7217</v>
      </c>
      <c r="AC389" s="2"/>
      <c r="AD389" s="2" t="s">
        <v>7217</v>
      </c>
      <c r="AE389" s="3" t="s">
        <v>7216</v>
      </c>
      <c r="AF389" s="2"/>
      <c r="AG389" s="1" t="s">
        <v>1582</v>
      </c>
      <c r="AH389" s="1" t="s">
        <v>6093</v>
      </c>
      <c r="AI389" s="2">
        <v>180.0</v>
      </c>
      <c r="AJ389" s="1" t="s">
        <v>1589</v>
      </c>
      <c r="AK389" s="1" t="s">
        <v>5878</v>
      </c>
      <c r="AL389" s="1" t="s">
        <v>5878</v>
      </c>
      <c r="AM389" s="2"/>
      <c r="AN389" s="2"/>
      <c r="AO389" s="2"/>
      <c r="AP389" s="2"/>
      <c r="AQ389" s="2"/>
      <c r="AR389" s="2"/>
      <c r="AS389" s="2"/>
      <c r="AT389" s="2"/>
      <c r="AU389" s="126">
        <v>410.0</v>
      </c>
      <c r="AV389" s="126">
        <v>450.0</v>
      </c>
      <c r="AW389" s="2"/>
      <c r="AX389" s="2"/>
      <c r="AY389" s="2"/>
      <c r="AZ389" s="2"/>
      <c r="BA389" s="2"/>
      <c r="BB389" s="2"/>
      <c r="BC389" s="2"/>
      <c r="BD389" s="2"/>
      <c r="BE389" s="2"/>
    </row>
    <row r="390" hidden="1">
      <c r="A390" s="2"/>
      <c r="B390" s="312" t="s">
        <v>7220</v>
      </c>
      <c r="C390" s="220" t="s">
        <v>7221</v>
      </c>
      <c r="D390" s="11">
        <v>180.0</v>
      </c>
      <c r="E390" s="11" t="s">
        <v>238</v>
      </c>
      <c r="F390" s="11" t="s">
        <v>6969</v>
      </c>
      <c r="G390" s="295" t="s">
        <v>7222</v>
      </c>
      <c r="H390" s="296"/>
      <c r="I390" s="156">
        <v>390.0</v>
      </c>
      <c r="J390" s="301"/>
      <c r="K390" s="296"/>
      <c r="L390" s="156">
        <v>410.0</v>
      </c>
      <c r="M390" s="301">
        <v>410.0</v>
      </c>
      <c r="N390" s="284">
        <v>0.12</v>
      </c>
      <c r="O390" s="296">
        <v>450.0</v>
      </c>
      <c r="P390" s="104"/>
      <c r="Q390" s="303">
        <f>P388</f>
        <v>450</v>
      </c>
      <c r="R390" s="299" t="s">
        <v>7223</v>
      </c>
      <c r="S390" s="300">
        <v>46141.37708089121</v>
      </c>
      <c r="T390" s="2"/>
      <c r="U390" s="289">
        <f t="shared" si="4"/>
        <v>60</v>
      </c>
      <c r="V390" s="290">
        <f t="shared" si="329"/>
        <v>-410</v>
      </c>
      <c r="W390" s="2"/>
      <c r="X390" s="289">
        <v>390.0</v>
      </c>
      <c r="Y390" s="139">
        <v>410.0</v>
      </c>
      <c r="Z390" s="2"/>
      <c r="AA390" s="2" t="s">
        <v>7221</v>
      </c>
      <c r="AB390" s="2" t="s">
        <v>7221</v>
      </c>
      <c r="AC390" s="2"/>
      <c r="AD390" s="2" t="s">
        <v>7221</v>
      </c>
      <c r="AE390" s="3" t="s">
        <v>7220</v>
      </c>
      <c r="AF390" s="2"/>
      <c r="AG390" s="1" t="s">
        <v>1582</v>
      </c>
      <c r="AH390" s="1" t="s">
        <v>6093</v>
      </c>
      <c r="AI390" s="2">
        <v>180.0</v>
      </c>
      <c r="AJ390" s="1" t="s">
        <v>1589</v>
      </c>
      <c r="AK390" s="1" t="s">
        <v>5878</v>
      </c>
      <c r="AL390" s="1" t="s">
        <v>5878</v>
      </c>
      <c r="AM390" s="2"/>
      <c r="AN390" s="2"/>
      <c r="AO390" s="2"/>
      <c r="AP390" s="2"/>
      <c r="AQ390" s="2"/>
      <c r="AR390" s="2"/>
      <c r="AS390" s="2"/>
      <c r="AT390" s="2"/>
      <c r="AU390" s="126">
        <v>410.0</v>
      </c>
      <c r="AV390" s="126">
        <v>450.0</v>
      </c>
      <c r="AW390" s="2"/>
      <c r="AX390" s="2"/>
      <c r="AY390" s="2"/>
      <c r="AZ390" s="2"/>
      <c r="BA390" s="2"/>
      <c r="BB390" s="2"/>
      <c r="BC390" s="2"/>
      <c r="BD390" s="2"/>
      <c r="BE390" s="2"/>
    </row>
    <row r="391" hidden="1">
      <c r="A391" s="2"/>
      <c r="B391" s="312" t="s">
        <v>7224</v>
      </c>
      <c r="C391" s="220" t="s">
        <v>7225</v>
      </c>
      <c r="D391" s="11">
        <v>180.0</v>
      </c>
      <c r="E391" s="11" t="s">
        <v>238</v>
      </c>
      <c r="F391" s="11" t="s">
        <v>6969</v>
      </c>
      <c r="G391" s="295" t="s">
        <v>7226</v>
      </c>
      <c r="H391" s="296"/>
      <c r="I391" s="156">
        <v>390.0</v>
      </c>
      <c r="J391" s="301"/>
      <c r="K391" s="296"/>
      <c r="L391" s="156">
        <v>410.0</v>
      </c>
      <c r="M391" s="301">
        <v>410.0</v>
      </c>
      <c r="N391" s="284">
        <v>0.12</v>
      </c>
      <c r="O391" s="296">
        <v>450.0</v>
      </c>
      <c r="P391" s="104"/>
      <c r="Q391" s="303">
        <f>P388</f>
        <v>450</v>
      </c>
      <c r="R391" s="299" t="s">
        <v>7227</v>
      </c>
      <c r="S391" s="300">
        <v>46141.37712993055</v>
      </c>
      <c r="T391" s="2"/>
      <c r="U391" s="289">
        <f t="shared" si="4"/>
        <v>60</v>
      </c>
      <c r="V391" s="290">
        <f t="shared" si="329"/>
        <v>-410</v>
      </c>
      <c r="W391" s="2"/>
      <c r="X391" s="289">
        <v>390.0</v>
      </c>
      <c r="Y391" s="139">
        <v>410.0</v>
      </c>
      <c r="Z391" s="2"/>
      <c r="AA391" s="2" t="s">
        <v>7225</v>
      </c>
      <c r="AB391" s="2" t="s">
        <v>7225</v>
      </c>
      <c r="AC391" s="2"/>
      <c r="AD391" s="2" t="s">
        <v>7225</v>
      </c>
      <c r="AE391" s="3" t="s">
        <v>7224</v>
      </c>
      <c r="AF391" s="2"/>
      <c r="AG391" s="1" t="s">
        <v>1582</v>
      </c>
      <c r="AH391" s="1" t="s">
        <v>6093</v>
      </c>
      <c r="AI391" s="2">
        <v>180.0</v>
      </c>
      <c r="AJ391" s="1" t="s">
        <v>1589</v>
      </c>
      <c r="AK391" s="1" t="s">
        <v>5878</v>
      </c>
      <c r="AL391" s="1" t="s">
        <v>5878</v>
      </c>
      <c r="AM391" s="2"/>
      <c r="AN391" s="2"/>
      <c r="AO391" s="2"/>
      <c r="AP391" s="2"/>
      <c r="AQ391" s="2"/>
      <c r="AR391" s="2"/>
      <c r="AS391" s="2"/>
      <c r="AT391" s="2"/>
      <c r="AU391" s="126">
        <v>410.0</v>
      </c>
      <c r="AV391" s="126">
        <v>450.0</v>
      </c>
      <c r="AW391" s="2"/>
      <c r="AX391" s="2"/>
      <c r="AY391" s="2"/>
      <c r="AZ391" s="2"/>
      <c r="BA391" s="2"/>
      <c r="BB391" s="2"/>
      <c r="BC391" s="2"/>
      <c r="BD391" s="2"/>
      <c r="BE391" s="2"/>
    </row>
    <row r="392" hidden="1">
      <c r="A392" s="2"/>
      <c r="B392" s="312" t="s">
        <v>7228</v>
      </c>
      <c r="C392" s="220" t="s">
        <v>7229</v>
      </c>
      <c r="D392" s="11">
        <v>180.0</v>
      </c>
      <c r="E392" s="11" t="s">
        <v>238</v>
      </c>
      <c r="F392" s="11" t="s">
        <v>6969</v>
      </c>
      <c r="G392" s="295" t="s">
        <v>7230</v>
      </c>
      <c r="H392" s="296"/>
      <c r="I392" s="156">
        <v>390.0</v>
      </c>
      <c r="J392" s="301"/>
      <c r="K392" s="296"/>
      <c r="L392" s="156">
        <v>410.0</v>
      </c>
      <c r="M392" s="301">
        <v>410.0</v>
      </c>
      <c r="N392" s="284">
        <v>0.12</v>
      </c>
      <c r="O392" s="296">
        <v>450.0</v>
      </c>
      <c r="P392" s="104"/>
      <c r="Q392" s="303">
        <f>P388</f>
        <v>450</v>
      </c>
      <c r="R392" s="299" t="s">
        <v>7231</v>
      </c>
      <c r="S392" s="300">
        <v>46141.37717857639</v>
      </c>
      <c r="T392" s="2"/>
      <c r="U392" s="289">
        <f t="shared" si="4"/>
        <v>60</v>
      </c>
      <c r="V392" s="290">
        <f t="shared" si="329"/>
        <v>-410</v>
      </c>
      <c r="W392" s="2"/>
      <c r="X392" s="289">
        <v>390.0</v>
      </c>
      <c r="Y392" s="139">
        <v>410.0</v>
      </c>
      <c r="Z392" s="2"/>
      <c r="AA392" s="2" t="s">
        <v>7229</v>
      </c>
      <c r="AB392" s="2" t="s">
        <v>7229</v>
      </c>
      <c r="AC392" s="2"/>
      <c r="AD392" s="2" t="s">
        <v>7229</v>
      </c>
      <c r="AE392" s="3" t="s">
        <v>7228</v>
      </c>
      <c r="AF392" s="2"/>
      <c r="AG392" s="1" t="s">
        <v>1582</v>
      </c>
      <c r="AH392" s="1" t="s">
        <v>6093</v>
      </c>
      <c r="AI392" s="2">
        <v>180.0</v>
      </c>
      <c r="AJ392" s="1" t="s">
        <v>1589</v>
      </c>
      <c r="AK392" s="1" t="s">
        <v>5878</v>
      </c>
      <c r="AL392" s="1" t="s">
        <v>5878</v>
      </c>
      <c r="AM392" s="2"/>
      <c r="AN392" s="2"/>
      <c r="AO392" s="2"/>
      <c r="AP392" s="2"/>
      <c r="AQ392" s="2"/>
      <c r="AR392" s="2"/>
      <c r="AS392" s="2"/>
      <c r="AT392" s="2"/>
      <c r="AU392" s="126">
        <v>410.0</v>
      </c>
      <c r="AV392" s="126">
        <v>450.0</v>
      </c>
      <c r="AW392" s="2"/>
      <c r="AX392" s="2"/>
      <c r="AY392" s="2"/>
      <c r="AZ392" s="2"/>
      <c r="BA392" s="2"/>
      <c r="BB392" s="2"/>
      <c r="BC392" s="2"/>
      <c r="BD392" s="2"/>
      <c r="BE392" s="2"/>
    </row>
    <row r="393" hidden="1">
      <c r="A393" s="2"/>
      <c r="B393" s="312" t="s">
        <v>7232</v>
      </c>
      <c r="C393" s="220" t="s">
        <v>7233</v>
      </c>
      <c r="D393" s="11">
        <v>180.0</v>
      </c>
      <c r="E393" s="11" t="s">
        <v>238</v>
      </c>
      <c r="F393" s="11" t="s">
        <v>6969</v>
      </c>
      <c r="G393" s="295" t="s">
        <v>7234</v>
      </c>
      <c r="H393" s="296"/>
      <c r="I393" s="156">
        <v>390.0</v>
      </c>
      <c r="J393" s="301"/>
      <c r="K393" s="296"/>
      <c r="L393" s="156">
        <v>410.0</v>
      </c>
      <c r="M393" s="301">
        <v>410.0</v>
      </c>
      <c r="N393" s="284">
        <v>0.12</v>
      </c>
      <c r="O393" s="296">
        <v>450.0</v>
      </c>
      <c r="P393" s="67"/>
      <c r="Q393" s="303">
        <f>P388</f>
        <v>450</v>
      </c>
      <c r="R393" s="299" t="s">
        <v>7235</v>
      </c>
      <c r="S393" s="300">
        <v>46141.37722899306</v>
      </c>
      <c r="T393" s="2"/>
      <c r="U393" s="289">
        <f t="shared" si="4"/>
        <v>60</v>
      </c>
      <c r="V393" s="290">
        <f t="shared" si="329"/>
        <v>-410</v>
      </c>
      <c r="W393" s="2"/>
      <c r="X393" s="289">
        <v>390.0</v>
      </c>
      <c r="Y393" s="139">
        <v>410.0</v>
      </c>
      <c r="Z393" s="2"/>
      <c r="AA393" s="2" t="s">
        <v>7233</v>
      </c>
      <c r="AB393" s="2" t="s">
        <v>7233</v>
      </c>
      <c r="AC393" s="2"/>
      <c r="AD393" s="2" t="s">
        <v>7233</v>
      </c>
      <c r="AE393" s="3" t="s">
        <v>7232</v>
      </c>
      <c r="AF393" s="2"/>
      <c r="AG393" s="1" t="s">
        <v>1582</v>
      </c>
      <c r="AH393" s="1" t="s">
        <v>6093</v>
      </c>
      <c r="AI393" s="2">
        <v>180.0</v>
      </c>
      <c r="AJ393" s="1" t="s">
        <v>1589</v>
      </c>
      <c r="AK393" s="1" t="s">
        <v>5878</v>
      </c>
      <c r="AL393" s="1" t="s">
        <v>5878</v>
      </c>
      <c r="AM393" s="2"/>
      <c r="AN393" s="2"/>
      <c r="AO393" s="2"/>
      <c r="AP393" s="2"/>
      <c r="AQ393" s="2"/>
      <c r="AR393" s="2"/>
      <c r="AS393" s="2"/>
      <c r="AT393" s="2"/>
      <c r="AU393" s="126">
        <v>410.0</v>
      </c>
      <c r="AV393" s="126">
        <v>450.0</v>
      </c>
      <c r="AW393" s="2"/>
      <c r="AX393" s="2"/>
      <c r="AY393" s="2"/>
      <c r="AZ393" s="2"/>
      <c r="BA393" s="2"/>
      <c r="BB393" s="2"/>
      <c r="BC393" s="2"/>
      <c r="BD393" s="2"/>
      <c r="BE393" s="2"/>
    </row>
    <row r="394" hidden="1">
      <c r="A394" s="2"/>
      <c r="B394" s="312" t="s">
        <v>7236</v>
      </c>
      <c r="C394" s="220" t="s">
        <v>7237</v>
      </c>
      <c r="D394" s="11">
        <v>180.0</v>
      </c>
      <c r="E394" s="11" t="s">
        <v>246</v>
      </c>
      <c r="F394" s="11" t="s">
        <v>6969</v>
      </c>
      <c r="G394" s="295" t="s">
        <v>7238</v>
      </c>
      <c r="H394" s="296"/>
      <c r="I394" s="156">
        <v>550.0</v>
      </c>
      <c r="J394" s="301"/>
      <c r="K394" s="296"/>
      <c r="L394" s="156">
        <v>640.0</v>
      </c>
      <c r="M394" s="301">
        <v>640.0</v>
      </c>
      <c r="N394" s="284">
        <v>0.12</v>
      </c>
      <c r="O394" s="296">
        <v>700.0</v>
      </c>
      <c r="P394" s="313">
        <f>MAX(O394:O398)</f>
        <v>700</v>
      </c>
      <c r="Q394" s="303">
        <f>P394</f>
        <v>700</v>
      </c>
      <c r="R394" s="299" t="s">
        <v>7239</v>
      </c>
      <c r="S394" s="300">
        <v>46141.3772772338</v>
      </c>
      <c r="T394" s="2"/>
      <c r="U394" s="289">
        <f t="shared" si="4"/>
        <v>150</v>
      </c>
      <c r="V394" s="290">
        <f t="shared" ref="V394:V398" si="330">IF(L394&gt;0, Q1474 - L394, "нет з/ч")</f>
        <v>-640</v>
      </c>
      <c r="W394" s="2"/>
      <c r="X394" s="289">
        <v>550.0</v>
      </c>
      <c r="Y394" s="139">
        <v>640.0</v>
      </c>
      <c r="Z394" s="2"/>
      <c r="AA394" s="2" t="s">
        <v>7237</v>
      </c>
      <c r="AB394" s="2" t="s">
        <v>7237</v>
      </c>
      <c r="AC394" s="2"/>
      <c r="AD394" s="2" t="s">
        <v>7237</v>
      </c>
      <c r="AE394" s="3" t="s">
        <v>7236</v>
      </c>
      <c r="AF394" s="2"/>
      <c r="AG394" s="1" t="s">
        <v>1582</v>
      </c>
      <c r="AH394" s="1" t="s">
        <v>6113</v>
      </c>
      <c r="AI394" s="2">
        <v>180.0</v>
      </c>
      <c r="AJ394" s="1" t="s">
        <v>1589</v>
      </c>
      <c r="AK394" s="1" t="s">
        <v>5878</v>
      </c>
      <c r="AL394" s="1" t="s">
        <v>5878</v>
      </c>
      <c r="AM394" s="2"/>
      <c r="AN394" s="2"/>
      <c r="AO394" s="2"/>
      <c r="AP394" s="2"/>
      <c r="AQ394" s="2"/>
      <c r="AR394" s="2"/>
      <c r="AS394" s="2"/>
      <c r="AT394" s="2"/>
      <c r="AU394" s="126">
        <v>640.0</v>
      </c>
      <c r="AV394" s="126">
        <v>700.0</v>
      </c>
      <c r="AW394" s="2"/>
      <c r="AX394" s="2"/>
      <c r="AY394" s="2"/>
      <c r="AZ394" s="2"/>
      <c r="BA394" s="2"/>
      <c r="BB394" s="2"/>
      <c r="BC394" s="2"/>
      <c r="BD394" s="2"/>
      <c r="BE394" s="2"/>
    </row>
    <row r="395" hidden="1">
      <c r="A395" s="2"/>
      <c r="B395" s="312" t="s">
        <v>7240</v>
      </c>
      <c r="C395" s="220" t="s">
        <v>7241</v>
      </c>
      <c r="D395" s="11">
        <v>180.0</v>
      </c>
      <c r="E395" s="11" t="s">
        <v>246</v>
      </c>
      <c r="F395" s="11" t="s">
        <v>6969</v>
      </c>
      <c r="G395" s="295" t="s">
        <v>7242</v>
      </c>
      <c r="H395" s="296"/>
      <c r="I395" s="156">
        <v>550.0</v>
      </c>
      <c r="J395" s="301"/>
      <c r="K395" s="296"/>
      <c r="L395" s="156">
        <v>640.0</v>
      </c>
      <c r="M395" s="301">
        <v>640.0</v>
      </c>
      <c r="N395" s="284">
        <v>0.12</v>
      </c>
      <c r="O395" s="296">
        <v>700.0</v>
      </c>
      <c r="P395" s="104"/>
      <c r="Q395" s="303">
        <f>P394</f>
        <v>700</v>
      </c>
      <c r="R395" s="299" t="s">
        <v>7243</v>
      </c>
      <c r="S395" s="300">
        <v>46141.37732612269</v>
      </c>
      <c r="T395" s="2"/>
      <c r="U395" s="289">
        <f t="shared" si="4"/>
        <v>150</v>
      </c>
      <c r="V395" s="290">
        <f t="shared" si="330"/>
        <v>-640</v>
      </c>
      <c r="W395" s="2"/>
      <c r="X395" s="289">
        <v>550.0</v>
      </c>
      <c r="Y395" s="139">
        <v>640.0</v>
      </c>
      <c r="Z395" s="2"/>
      <c r="AA395" s="2" t="s">
        <v>7241</v>
      </c>
      <c r="AB395" s="2" t="s">
        <v>7241</v>
      </c>
      <c r="AC395" s="2"/>
      <c r="AD395" s="2" t="s">
        <v>7241</v>
      </c>
      <c r="AE395" s="3" t="s">
        <v>7240</v>
      </c>
      <c r="AF395" s="2"/>
      <c r="AG395" s="1" t="s">
        <v>1582</v>
      </c>
      <c r="AH395" s="1" t="s">
        <v>6113</v>
      </c>
      <c r="AI395" s="2">
        <v>180.0</v>
      </c>
      <c r="AJ395" s="1" t="s">
        <v>1589</v>
      </c>
      <c r="AK395" s="1" t="s">
        <v>5878</v>
      </c>
      <c r="AL395" s="1" t="s">
        <v>5878</v>
      </c>
      <c r="AM395" s="2"/>
      <c r="AN395" s="2"/>
      <c r="AO395" s="2"/>
      <c r="AP395" s="2"/>
      <c r="AQ395" s="2"/>
      <c r="AR395" s="2"/>
      <c r="AS395" s="2"/>
      <c r="AT395" s="2"/>
      <c r="AU395" s="126">
        <v>640.0</v>
      </c>
      <c r="AV395" s="126">
        <v>700.0</v>
      </c>
      <c r="AW395" s="2"/>
      <c r="AX395" s="2"/>
      <c r="AY395" s="2"/>
      <c r="AZ395" s="2"/>
      <c r="BA395" s="2"/>
      <c r="BB395" s="2"/>
      <c r="BC395" s="2"/>
      <c r="BD395" s="2"/>
      <c r="BE395" s="2"/>
    </row>
    <row r="396" hidden="1">
      <c r="A396" s="2"/>
      <c r="B396" s="312" t="s">
        <v>7244</v>
      </c>
      <c r="C396" s="220" t="s">
        <v>7245</v>
      </c>
      <c r="D396" s="11">
        <v>180.0</v>
      </c>
      <c r="E396" s="11" t="s">
        <v>246</v>
      </c>
      <c r="F396" s="11" t="s">
        <v>6969</v>
      </c>
      <c r="G396" s="295" t="s">
        <v>7246</v>
      </c>
      <c r="H396" s="296"/>
      <c r="I396" s="156">
        <v>550.0</v>
      </c>
      <c r="J396" s="301"/>
      <c r="K396" s="296"/>
      <c r="L396" s="156">
        <v>640.0</v>
      </c>
      <c r="M396" s="301">
        <v>640.0</v>
      </c>
      <c r="N396" s="284">
        <v>0.12</v>
      </c>
      <c r="O396" s="296">
        <v>700.0</v>
      </c>
      <c r="P396" s="104"/>
      <c r="Q396" s="303">
        <f>P394</f>
        <v>700</v>
      </c>
      <c r="R396" s="299" t="s">
        <v>7247</v>
      </c>
      <c r="S396" s="300">
        <v>46141.37737715278</v>
      </c>
      <c r="T396" s="2"/>
      <c r="U396" s="289">
        <f t="shared" si="4"/>
        <v>150</v>
      </c>
      <c r="V396" s="290">
        <f t="shared" si="330"/>
        <v>-640</v>
      </c>
      <c r="W396" s="2"/>
      <c r="X396" s="289">
        <v>550.0</v>
      </c>
      <c r="Y396" s="139">
        <v>640.0</v>
      </c>
      <c r="Z396" s="2"/>
      <c r="AA396" s="2" t="s">
        <v>7245</v>
      </c>
      <c r="AB396" s="2" t="s">
        <v>7245</v>
      </c>
      <c r="AC396" s="2"/>
      <c r="AD396" s="2" t="s">
        <v>7245</v>
      </c>
      <c r="AE396" s="3" t="s">
        <v>7244</v>
      </c>
      <c r="AF396" s="2"/>
      <c r="AG396" s="1" t="s">
        <v>1582</v>
      </c>
      <c r="AH396" s="1" t="s">
        <v>6113</v>
      </c>
      <c r="AI396" s="2">
        <v>180.0</v>
      </c>
      <c r="AJ396" s="1" t="s">
        <v>1589</v>
      </c>
      <c r="AK396" s="1" t="s">
        <v>5878</v>
      </c>
      <c r="AL396" s="1" t="s">
        <v>5878</v>
      </c>
      <c r="AM396" s="2"/>
      <c r="AN396" s="2"/>
      <c r="AO396" s="2"/>
      <c r="AP396" s="2"/>
      <c r="AQ396" s="2"/>
      <c r="AR396" s="2"/>
      <c r="AS396" s="2"/>
      <c r="AT396" s="2"/>
      <c r="AU396" s="126">
        <v>640.0</v>
      </c>
      <c r="AV396" s="126">
        <v>700.0</v>
      </c>
      <c r="AW396" s="2"/>
      <c r="AX396" s="2"/>
      <c r="AY396" s="2"/>
      <c r="AZ396" s="2"/>
      <c r="BA396" s="2"/>
      <c r="BB396" s="2"/>
      <c r="BC396" s="2"/>
      <c r="BD396" s="2"/>
      <c r="BE396" s="2"/>
    </row>
    <row r="397" hidden="1">
      <c r="A397" s="2"/>
      <c r="B397" s="312" t="s">
        <v>7248</v>
      </c>
      <c r="C397" s="220" t="s">
        <v>7249</v>
      </c>
      <c r="D397" s="11">
        <v>180.0</v>
      </c>
      <c r="E397" s="11" t="s">
        <v>246</v>
      </c>
      <c r="F397" s="11" t="s">
        <v>6969</v>
      </c>
      <c r="G397" s="295" t="s">
        <v>7250</v>
      </c>
      <c r="H397" s="296"/>
      <c r="I397" s="156">
        <v>550.0</v>
      </c>
      <c r="J397" s="301"/>
      <c r="K397" s="296"/>
      <c r="L397" s="156">
        <v>640.0</v>
      </c>
      <c r="M397" s="301">
        <v>640.0</v>
      </c>
      <c r="N397" s="284">
        <v>0.12</v>
      </c>
      <c r="O397" s="296">
        <v>700.0</v>
      </c>
      <c r="P397" s="104"/>
      <c r="Q397" s="303">
        <f>P394</f>
        <v>700</v>
      </c>
      <c r="R397" s="299" t="s">
        <v>7251</v>
      </c>
      <c r="S397" s="300">
        <v>46141.37742682871</v>
      </c>
      <c r="T397" s="2"/>
      <c r="U397" s="289">
        <f t="shared" si="4"/>
        <v>150</v>
      </c>
      <c r="V397" s="290">
        <f t="shared" si="330"/>
        <v>-640</v>
      </c>
      <c r="W397" s="2"/>
      <c r="X397" s="289">
        <v>550.0</v>
      </c>
      <c r="Y397" s="139">
        <v>640.0</v>
      </c>
      <c r="Z397" s="2"/>
      <c r="AA397" s="2" t="s">
        <v>7249</v>
      </c>
      <c r="AB397" s="2" t="s">
        <v>7249</v>
      </c>
      <c r="AC397" s="2"/>
      <c r="AD397" s="2" t="s">
        <v>7249</v>
      </c>
      <c r="AE397" s="3" t="s">
        <v>7248</v>
      </c>
      <c r="AF397" s="2"/>
      <c r="AG397" s="1" t="s">
        <v>1582</v>
      </c>
      <c r="AH397" s="1" t="s">
        <v>6113</v>
      </c>
      <c r="AI397" s="2">
        <v>180.0</v>
      </c>
      <c r="AJ397" s="1" t="s">
        <v>1589</v>
      </c>
      <c r="AK397" s="1" t="s">
        <v>5878</v>
      </c>
      <c r="AL397" s="1" t="s">
        <v>5878</v>
      </c>
      <c r="AM397" s="2"/>
      <c r="AN397" s="2"/>
      <c r="AO397" s="2"/>
      <c r="AP397" s="2"/>
      <c r="AQ397" s="2"/>
      <c r="AR397" s="2"/>
      <c r="AS397" s="2"/>
      <c r="AT397" s="2"/>
      <c r="AU397" s="126">
        <v>640.0</v>
      </c>
      <c r="AV397" s="126">
        <v>700.0</v>
      </c>
      <c r="AW397" s="2"/>
      <c r="AX397" s="2"/>
      <c r="AY397" s="2"/>
      <c r="AZ397" s="2"/>
      <c r="BA397" s="2"/>
      <c r="BB397" s="2"/>
      <c r="BC397" s="2"/>
      <c r="BD397" s="2"/>
      <c r="BE397" s="2"/>
    </row>
    <row r="398" hidden="1">
      <c r="A398" s="2"/>
      <c r="B398" s="312" t="s">
        <v>7252</v>
      </c>
      <c r="C398" s="220" t="s">
        <v>7253</v>
      </c>
      <c r="D398" s="11">
        <v>180.0</v>
      </c>
      <c r="E398" s="11" t="s">
        <v>246</v>
      </c>
      <c r="F398" s="11" t="s">
        <v>6969</v>
      </c>
      <c r="G398" s="295" t="s">
        <v>7254</v>
      </c>
      <c r="H398" s="296"/>
      <c r="I398" s="156">
        <v>550.0</v>
      </c>
      <c r="J398" s="301"/>
      <c r="K398" s="296"/>
      <c r="L398" s="156">
        <v>640.0</v>
      </c>
      <c r="M398" s="301">
        <v>640.0</v>
      </c>
      <c r="N398" s="284">
        <v>0.12</v>
      </c>
      <c r="O398" s="296">
        <v>700.0</v>
      </c>
      <c r="P398" s="67"/>
      <c r="Q398" s="303">
        <f>P394</f>
        <v>700</v>
      </c>
      <c r="R398" s="299" t="s">
        <v>7255</v>
      </c>
      <c r="S398" s="300">
        <v>46141.37747528935</v>
      </c>
      <c r="T398" s="2"/>
      <c r="U398" s="289">
        <f t="shared" si="4"/>
        <v>150</v>
      </c>
      <c r="V398" s="290">
        <f t="shared" si="330"/>
        <v>-640</v>
      </c>
      <c r="W398" s="2"/>
      <c r="X398" s="289">
        <v>550.0</v>
      </c>
      <c r="Y398" s="139">
        <v>640.0</v>
      </c>
      <c r="Z398" s="2"/>
      <c r="AA398" s="2" t="s">
        <v>7253</v>
      </c>
      <c r="AB398" s="2" t="s">
        <v>7253</v>
      </c>
      <c r="AC398" s="2"/>
      <c r="AD398" s="2" t="s">
        <v>7253</v>
      </c>
      <c r="AE398" s="3" t="s">
        <v>7252</v>
      </c>
      <c r="AF398" s="2"/>
      <c r="AG398" s="1" t="s">
        <v>1582</v>
      </c>
      <c r="AH398" s="1" t="s">
        <v>6113</v>
      </c>
      <c r="AI398" s="2">
        <v>180.0</v>
      </c>
      <c r="AJ398" s="1" t="s">
        <v>1589</v>
      </c>
      <c r="AK398" s="1" t="s">
        <v>5878</v>
      </c>
      <c r="AL398" s="1" t="s">
        <v>5878</v>
      </c>
      <c r="AM398" s="2"/>
      <c r="AN398" s="2"/>
      <c r="AO398" s="2"/>
      <c r="AP398" s="2"/>
      <c r="AQ398" s="2"/>
      <c r="AR398" s="2"/>
      <c r="AS398" s="2"/>
      <c r="AT398" s="2"/>
      <c r="AU398" s="126">
        <v>640.0</v>
      </c>
      <c r="AV398" s="126">
        <v>700.0</v>
      </c>
      <c r="AW398" s="2"/>
      <c r="AX398" s="2"/>
      <c r="AY398" s="2"/>
      <c r="AZ398" s="2"/>
      <c r="BA398" s="2"/>
      <c r="BB398" s="2"/>
      <c r="BC398" s="2"/>
      <c r="BD398" s="2"/>
      <c r="BE398" s="2"/>
    </row>
    <row r="399" hidden="1">
      <c r="A399" s="2"/>
      <c r="B399" s="312" t="s">
        <v>7256</v>
      </c>
      <c r="C399" s="220" t="s">
        <v>7257</v>
      </c>
      <c r="D399" s="11">
        <v>180.0</v>
      </c>
      <c r="E399" s="11" t="s">
        <v>254</v>
      </c>
      <c r="F399" s="11" t="s">
        <v>6969</v>
      </c>
      <c r="G399" s="295" t="s">
        <v>7258</v>
      </c>
      <c r="H399" s="296"/>
      <c r="I399" s="156">
        <v>580.0</v>
      </c>
      <c r="J399" s="301"/>
      <c r="K399" s="296"/>
      <c r="L399" s="156">
        <v>680.0</v>
      </c>
      <c r="M399" s="301">
        <v>680.0</v>
      </c>
      <c r="N399" s="284">
        <v>0.12</v>
      </c>
      <c r="O399" s="296">
        <v>750.0</v>
      </c>
      <c r="P399" s="313">
        <f>MAX(O399:O403)</f>
        <v>750</v>
      </c>
      <c r="Q399" s="303">
        <f>P399</f>
        <v>750</v>
      </c>
      <c r="R399" s="299" t="s">
        <v>7259</v>
      </c>
      <c r="S399" s="300">
        <v>46141.3775249537</v>
      </c>
      <c r="T399" s="2"/>
      <c r="U399" s="289">
        <f t="shared" si="4"/>
        <v>170</v>
      </c>
      <c r="V399" s="290">
        <f t="shared" ref="V399:V427" si="331">IF(L399&gt;0, Q1484 - L399, "нет з/ч")</f>
        <v>-680</v>
      </c>
      <c r="W399" s="2"/>
      <c r="X399" s="289">
        <v>580.0</v>
      </c>
      <c r="Y399" s="139">
        <v>680.0</v>
      </c>
      <c r="Z399" s="2"/>
      <c r="AA399" s="2" t="s">
        <v>7257</v>
      </c>
      <c r="AB399" s="2" t="s">
        <v>7257</v>
      </c>
      <c r="AC399" s="2"/>
      <c r="AD399" s="2" t="s">
        <v>7257</v>
      </c>
      <c r="AE399" s="3" t="s">
        <v>7256</v>
      </c>
      <c r="AF399" s="2"/>
      <c r="AG399" s="1" t="s">
        <v>1582</v>
      </c>
      <c r="AH399" s="1" t="s">
        <v>6137</v>
      </c>
      <c r="AI399" s="2">
        <v>180.0</v>
      </c>
      <c r="AJ399" s="1" t="s">
        <v>1589</v>
      </c>
      <c r="AK399" s="1" t="s">
        <v>5878</v>
      </c>
      <c r="AL399" s="1" t="s">
        <v>5878</v>
      </c>
      <c r="AM399" s="2"/>
      <c r="AN399" s="2"/>
      <c r="AO399" s="2"/>
      <c r="AP399" s="2"/>
      <c r="AQ399" s="2"/>
      <c r="AR399" s="2"/>
      <c r="AS399" s="2"/>
      <c r="AT399" s="2"/>
      <c r="AU399" s="126">
        <v>680.0</v>
      </c>
      <c r="AV399" s="126">
        <v>750.0</v>
      </c>
      <c r="AW399" s="2"/>
      <c r="AX399" s="2"/>
      <c r="AY399" s="2"/>
      <c r="AZ399" s="2"/>
      <c r="BA399" s="2"/>
      <c r="BB399" s="2"/>
      <c r="BC399" s="2"/>
      <c r="BD399" s="2"/>
      <c r="BE399" s="2"/>
    </row>
    <row r="400" hidden="1">
      <c r="A400" s="2"/>
      <c r="B400" s="312" t="s">
        <v>7260</v>
      </c>
      <c r="C400" s="220" t="s">
        <v>7261</v>
      </c>
      <c r="D400" s="11">
        <v>180.0</v>
      </c>
      <c r="E400" s="11" t="s">
        <v>254</v>
      </c>
      <c r="F400" s="11" t="s">
        <v>6969</v>
      </c>
      <c r="G400" s="295" t="s">
        <v>7262</v>
      </c>
      <c r="H400" s="296"/>
      <c r="I400" s="156">
        <v>580.0</v>
      </c>
      <c r="J400" s="301"/>
      <c r="K400" s="296"/>
      <c r="L400" s="156">
        <v>680.0</v>
      </c>
      <c r="M400" s="301">
        <v>680.0</v>
      </c>
      <c r="N400" s="284">
        <v>0.12</v>
      </c>
      <c r="O400" s="296">
        <v>750.0</v>
      </c>
      <c r="P400" s="104"/>
      <c r="Q400" s="303">
        <f>P399</f>
        <v>750</v>
      </c>
      <c r="R400" s="299" t="s">
        <v>7263</v>
      </c>
      <c r="S400" s="300">
        <v>46141.37825790509</v>
      </c>
      <c r="T400" s="2"/>
      <c r="U400" s="289">
        <f t="shared" si="4"/>
        <v>170</v>
      </c>
      <c r="V400" s="290">
        <f t="shared" si="331"/>
        <v>-680</v>
      </c>
      <c r="W400" s="2"/>
      <c r="X400" s="289">
        <v>580.0</v>
      </c>
      <c r="Y400" s="139">
        <v>680.0</v>
      </c>
      <c r="Z400" s="2"/>
      <c r="AA400" s="2" t="s">
        <v>7261</v>
      </c>
      <c r="AB400" s="2" t="s">
        <v>7261</v>
      </c>
      <c r="AC400" s="2"/>
      <c r="AD400" s="2" t="s">
        <v>7261</v>
      </c>
      <c r="AE400" s="3" t="s">
        <v>7260</v>
      </c>
      <c r="AF400" s="2"/>
      <c r="AG400" s="1" t="s">
        <v>1582</v>
      </c>
      <c r="AH400" s="1" t="s">
        <v>6137</v>
      </c>
      <c r="AI400" s="2">
        <v>180.0</v>
      </c>
      <c r="AJ400" s="1" t="s">
        <v>1589</v>
      </c>
      <c r="AK400" s="1" t="s">
        <v>5878</v>
      </c>
      <c r="AL400" s="1" t="s">
        <v>5878</v>
      </c>
      <c r="AM400" s="2"/>
      <c r="AN400" s="2"/>
      <c r="AO400" s="2"/>
      <c r="AP400" s="2"/>
      <c r="AQ400" s="2"/>
      <c r="AR400" s="2"/>
      <c r="AS400" s="2"/>
      <c r="AT400" s="2"/>
      <c r="AU400" s="126">
        <v>680.0</v>
      </c>
      <c r="AV400" s="126">
        <v>750.0</v>
      </c>
      <c r="AW400" s="2"/>
      <c r="AX400" s="2"/>
      <c r="AY400" s="2"/>
      <c r="AZ400" s="2"/>
      <c r="BA400" s="2"/>
      <c r="BB400" s="2"/>
      <c r="BC400" s="2"/>
      <c r="BD400" s="2"/>
      <c r="BE400" s="2"/>
    </row>
    <row r="401" hidden="1">
      <c r="A401" s="2"/>
      <c r="B401" s="312" t="s">
        <v>7264</v>
      </c>
      <c r="C401" s="220" t="s">
        <v>7265</v>
      </c>
      <c r="D401" s="11">
        <v>180.0</v>
      </c>
      <c r="E401" s="11" t="s">
        <v>254</v>
      </c>
      <c r="F401" s="11" t="s">
        <v>6969</v>
      </c>
      <c r="G401" s="295" t="s">
        <v>7266</v>
      </c>
      <c r="H401" s="296"/>
      <c r="I401" s="156">
        <v>580.0</v>
      </c>
      <c r="J401" s="301"/>
      <c r="K401" s="296"/>
      <c r="L401" s="156">
        <v>680.0</v>
      </c>
      <c r="M401" s="301">
        <v>680.0</v>
      </c>
      <c r="N401" s="284">
        <v>0.12</v>
      </c>
      <c r="O401" s="296">
        <v>750.0</v>
      </c>
      <c r="P401" s="104"/>
      <c r="Q401" s="303">
        <f>P399</f>
        <v>750</v>
      </c>
      <c r="R401" s="299" t="s">
        <v>7267</v>
      </c>
      <c r="S401" s="300">
        <v>46141.37831494213</v>
      </c>
      <c r="T401" s="2"/>
      <c r="U401" s="289">
        <f t="shared" si="4"/>
        <v>170</v>
      </c>
      <c r="V401" s="290">
        <f t="shared" si="331"/>
        <v>-680</v>
      </c>
      <c r="W401" s="2"/>
      <c r="X401" s="289">
        <v>580.0</v>
      </c>
      <c r="Y401" s="139">
        <v>680.0</v>
      </c>
      <c r="Z401" s="2"/>
      <c r="AA401" s="2" t="s">
        <v>7265</v>
      </c>
      <c r="AB401" s="2" t="s">
        <v>7265</v>
      </c>
      <c r="AC401" s="2"/>
      <c r="AD401" s="2" t="s">
        <v>7265</v>
      </c>
      <c r="AE401" s="3" t="s">
        <v>7264</v>
      </c>
      <c r="AF401" s="2"/>
      <c r="AG401" s="1" t="s">
        <v>1582</v>
      </c>
      <c r="AH401" s="1" t="s">
        <v>6137</v>
      </c>
      <c r="AI401" s="2">
        <v>180.0</v>
      </c>
      <c r="AJ401" s="1" t="s">
        <v>1589</v>
      </c>
      <c r="AK401" s="1" t="s">
        <v>5878</v>
      </c>
      <c r="AL401" s="1" t="s">
        <v>5878</v>
      </c>
      <c r="AM401" s="2"/>
      <c r="AN401" s="2"/>
      <c r="AO401" s="2"/>
      <c r="AP401" s="2"/>
      <c r="AQ401" s="2"/>
      <c r="AR401" s="2"/>
      <c r="AS401" s="2"/>
      <c r="AT401" s="2"/>
      <c r="AU401" s="126">
        <v>680.0</v>
      </c>
      <c r="AV401" s="126">
        <v>750.0</v>
      </c>
      <c r="AW401" s="2"/>
      <c r="AX401" s="2"/>
      <c r="AY401" s="2"/>
      <c r="AZ401" s="2"/>
      <c r="BA401" s="2"/>
      <c r="BB401" s="2"/>
      <c r="BC401" s="2"/>
      <c r="BD401" s="2"/>
      <c r="BE401" s="2"/>
    </row>
    <row r="402" hidden="1">
      <c r="A402" s="2"/>
      <c r="B402" s="312" t="s">
        <v>7268</v>
      </c>
      <c r="C402" s="220" t="s">
        <v>7269</v>
      </c>
      <c r="D402" s="11">
        <v>180.0</v>
      </c>
      <c r="E402" s="11" t="s">
        <v>254</v>
      </c>
      <c r="F402" s="11" t="s">
        <v>6969</v>
      </c>
      <c r="G402" s="295" t="s">
        <v>7270</v>
      </c>
      <c r="H402" s="296"/>
      <c r="I402" s="156">
        <v>580.0</v>
      </c>
      <c r="J402" s="301"/>
      <c r="K402" s="296"/>
      <c r="L402" s="156">
        <v>680.0</v>
      </c>
      <c r="M402" s="301">
        <v>680.0</v>
      </c>
      <c r="N402" s="284">
        <v>0.12</v>
      </c>
      <c r="O402" s="296">
        <v>750.0</v>
      </c>
      <c r="P402" s="104"/>
      <c r="Q402" s="303">
        <f>P399</f>
        <v>750</v>
      </c>
      <c r="R402" s="299" t="s">
        <v>7271</v>
      </c>
      <c r="S402" s="300">
        <v>46141.37836306713</v>
      </c>
      <c r="T402" s="2"/>
      <c r="U402" s="289">
        <f t="shared" si="4"/>
        <v>170</v>
      </c>
      <c r="V402" s="290">
        <f t="shared" si="331"/>
        <v>-680</v>
      </c>
      <c r="W402" s="2"/>
      <c r="X402" s="289">
        <v>580.0</v>
      </c>
      <c r="Y402" s="139">
        <v>680.0</v>
      </c>
      <c r="Z402" s="2"/>
      <c r="AA402" s="2" t="s">
        <v>7269</v>
      </c>
      <c r="AB402" s="2" t="s">
        <v>7269</v>
      </c>
      <c r="AC402" s="2"/>
      <c r="AD402" s="2" t="s">
        <v>7269</v>
      </c>
      <c r="AE402" s="3" t="s">
        <v>7268</v>
      </c>
      <c r="AF402" s="2"/>
      <c r="AG402" s="1" t="s">
        <v>1582</v>
      </c>
      <c r="AH402" s="1" t="s">
        <v>6137</v>
      </c>
      <c r="AI402" s="2">
        <v>180.0</v>
      </c>
      <c r="AJ402" s="1" t="s">
        <v>1589</v>
      </c>
      <c r="AK402" s="1" t="s">
        <v>5878</v>
      </c>
      <c r="AL402" s="1" t="s">
        <v>5878</v>
      </c>
      <c r="AM402" s="2"/>
      <c r="AN402" s="2"/>
      <c r="AO402" s="2"/>
      <c r="AP402" s="2"/>
      <c r="AQ402" s="2"/>
      <c r="AR402" s="2"/>
      <c r="AS402" s="2"/>
      <c r="AT402" s="2"/>
      <c r="AU402" s="126">
        <v>680.0</v>
      </c>
      <c r="AV402" s="126">
        <v>750.0</v>
      </c>
      <c r="AW402" s="2"/>
      <c r="AX402" s="2"/>
      <c r="AY402" s="2"/>
      <c r="AZ402" s="2"/>
      <c r="BA402" s="2"/>
      <c r="BB402" s="2"/>
      <c r="BC402" s="2"/>
      <c r="BD402" s="2"/>
      <c r="BE402" s="2"/>
    </row>
    <row r="403" hidden="1">
      <c r="A403" s="2"/>
      <c r="B403" s="312" t="s">
        <v>7272</v>
      </c>
      <c r="C403" s="220" t="s">
        <v>7273</v>
      </c>
      <c r="D403" s="11">
        <v>180.0</v>
      </c>
      <c r="E403" s="11" t="s">
        <v>254</v>
      </c>
      <c r="F403" s="11" t="s">
        <v>6969</v>
      </c>
      <c r="G403" s="295" t="s">
        <v>7274</v>
      </c>
      <c r="H403" s="296"/>
      <c r="I403" s="156">
        <v>580.0</v>
      </c>
      <c r="J403" s="301"/>
      <c r="K403" s="296"/>
      <c r="L403" s="156">
        <v>680.0</v>
      </c>
      <c r="M403" s="301">
        <v>680.0</v>
      </c>
      <c r="N403" s="284">
        <v>0.12</v>
      </c>
      <c r="O403" s="296">
        <v>750.0</v>
      </c>
      <c r="P403" s="67"/>
      <c r="Q403" s="303">
        <f>P399</f>
        <v>750</v>
      </c>
      <c r="R403" s="299" t="s">
        <v>7275</v>
      </c>
      <c r="S403" s="300">
        <v>46141.3784171875</v>
      </c>
      <c r="T403" s="2"/>
      <c r="U403" s="289">
        <f t="shared" si="4"/>
        <v>170</v>
      </c>
      <c r="V403" s="290">
        <f t="shared" si="331"/>
        <v>-680</v>
      </c>
      <c r="W403" s="2"/>
      <c r="X403" s="289">
        <v>580.0</v>
      </c>
      <c r="Y403" s="139">
        <v>680.0</v>
      </c>
      <c r="Z403" s="2"/>
      <c r="AA403" s="2" t="s">
        <v>7273</v>
      </c>
      <c r="AB403" s="2" t="s">
        <v>7273</v>
      </c>
      <c r="AC403" s="2"/>
      <c r="AD403" s="2" t="s">
        <v>7273</v>
      </c>
      <c r="AE403" s="3" t="s">
        <v>7272</v>
      </c>
      <c r="AF403" s="2"/>
      <c r="AG403" s="1" t="s">
        <v>1582</v>
      </c>
      <c r="AH403" s="1" t="s">
        <v>6137</v>
      </c>
      <c r="AI403" s="2">
        <v>180.0</v>
      </c>
      <c r="AJ403" s="1" t="s">
        <v>1589</v>
      </c>
      <c r="AK403" s="1" t="s">
        <v>5878</v>
      </c>
      <c r="AL403" s="1" t="s">
        <v>5878</v>
      </c>
      <c r="AM403" s="2"/>
      <c r="AN403" s="2"/>
      <c r="AO403" s="2"/>
      <c r="AP403" s="2"/>
      <c r="AQ403" s="2"/>
      <c r="AR403" s="2"/>
      <c r="AS403" s="2"/>
      <c r="AT403" s="2"/>
      <c r="AU403" s="126">
        <v>680.0</v>
      </c>
      <c r="AV403" s="126">
        <v>750.0</v>
      </c>
      <c r="AW403" s="2"/>
      <c r="AX403" s="2"/>
      <c r="AY403" s="2"/>
      <c r="AZ403" s="2"/>
      <c r="BA403" s="2"/>
      <c r="BB403" s="2"/>
      <c r="BC403" s="2"/>
      <c r="BD403" s="2"/>
      <c r="BE403" s="2"/>
    </row>
    <row r="404" hidden="1">
      <c r="A404" s="2"/>
      <c r="B404" s="312" t="s">
        <v>7276</v>
      </c>
      <c r="C404" s="84"/>
      <c r="D404" s="11">
        <v>180.0</v>
      </c>
      <c r="E404" s="11" t="s">
        <v>262</v>
      </c>
      <c r="F404" s="11" t="s">
        <v>6969</v>
      </c>
      <c r="G404" s="306"/>
      <c r="H404" s="296"/>
      <c r="I404" s="139"/>
      <c r="J404" s="301"/>
      <c r="K404" s="296"/>
      <c r="L404" s="156"/>
      <c r="M404" s="301" t="s">
        <v>22</v>
      </c>
      <c r="N404" s="284">
        <v>0.12</v>
      </c>
      <c r="O404" s="296" t="s">
        <v>22</v>
      </c>
      <c r="P404" s="313">
        <f>MAX(O404:O409)</f>
        <v>0</v>
      </c>
      <c r="Q404" s="303">
        <f>P404</f>
        <v>0</v>
      </c>
      <c r="R404" s="307"/>
      <c r="S404" s="308"/>
      <c r="T404" s="2"/>
      <c r="U404" s="59" t="str">
        <f t="shared" si="4"/>
        <v>нет з/ч</v>
      </c>
      <c r="V404" s="304" t="str">
        <f t="shared" si="331"/>
        <v>нет з/ч</v>
      </c>
      <c r="W404" s="2"/>
      <c r="X404" s="289"/>
      <c r="Y404" s="139"/>
      <c r="Z404" s="2"/>
      <c r="AA404" s="2"/>
      <c r="AB404" s="2"/>
      <c r="AC404" s="2"/>
      <c r="AD404" s="2"/>
      <c r="AE404" s="3" t="s">
        <v>7276</v>
      </c>
      <c r="AF404" s="2"/>
      <c r="AG404" s="1" t="s">
        <v>1582</v>
      </c>
      <c r="AH404" s="1" t="s">
        <v>6161</v>
      </c>
      <c r="AI404" s="2">
        <v>180.0</v>
      </c>
      <c r="AJ404" s="1" t="s">
        <v>1589</v>
      </c>
      <c r="AK404" s="1" t="s">
        <v>5878</v>
      </c>
      <c r="AL404" s="1" t="s">
        <v>5878</v>
      </c>
      <c r="AM404" s="2"/>
      <c r="AN404" s="2"/>
      <c r="AO404" s="2"/>
      <c r="AP404" s="2"/>
      <c r="AQ404" s="2"/>
      <c r="AR404" s="2"/>
      <c r="AS404" s="2"/>
      <c r="AT404" s="2"/>
      <c r="AU404" s="126" t="s">
        <v>22</v>
      </c>
      <c r="AV404" s="126">
        <v>0.0</v>
      </c>
      <c r="AW404" s="2"/>
      <c r="AX404" s="2"/>
      <c r="AY404" s="2"/>
      <c r="AZ404" s="2"/>
      <c r="BA404" s="2"/>
      <c r="BB404" s="2"/>
      <c r="BC404" s="2"/>
      <c r="BD404" s="2"/>
      <c r="BE404" s="2"/>
    </row>
    <row r="405" hidden="1">
      <c r="A405" s="2"/>
      <c r="B405" s="312" t="s">
        <v>7277</v>
      </c>
      <c r="C405" s="84"/>
      <c r="D405" s="11">
        <v>180.0</v>
      </c>
      <c r="E405" s="11" t="s">
        <v>262</v>
      </c>
      <c r="F405" s="11" t="s">
        <v>6969</v>
      </c>
      <c r="G405" s="306"/>
      <c r="H405" s="296"/>
      <c r="I405" s="139"/>
      <c r="J405" s="301"/>
      <c r="K405" s="296"/>
      <c r="L405" s="139"/>
      <c r="M405" s="301" t="s">
        <v>22</v>
      </c>
      <c r="N405" s="284">
        <v>0.12</v>
      </c>
      <c r="O405" s="296" t="s">
        <v>22</v>
      </c>
      <c r="P405" s="104"/>
      <c r="Q405" s="303">
        <f>P404</f>
        <v>0</v>
      </c>
      <c r="R405" s="307"/>
      <c r="S405" s="308"/>
      <c r="T405" s="2"/>
      <c r="U405" s="59" t="str">
        <f t="shared" si="4"/>
        <v>нет з/ч</v>
      </c>
      <c r="V405" s="304" t="str">
        <f t="shared" si="331"/>
        <v>нет з/ч</v>
      </c>
      <c r="W405" s="2"/>
      <c r="X405" s="289"/>
      <c r="Y405" s="139"/>
      <c r="Z405" s="2"/>
      <c r="AA405" s="2"/>
      <c r="AB405" s="2"/>
      <c r="AC405" s="2"/>
      <c r="AD405" s="2"/>
      <c r="AE405" s="3" t="s">
        <v>7277</v>
      </c>
      <c r="AF405" s="2"/>
      <c r="AG405" s="1" t="s">
        <v>1582</v>
      </c>
      <c r="AH405" s="1" t="s">
        <v>6161</v>
      </c>
      <c r="AI405" s="2">
        <v>180.0</v>
      </c>
      <c r="AJ405" s="1" t="s">
        <v>1589</v>
      </c>
      <c r="AK405" s="1" t="s">
        <v>5878</v>
      </c>
      <c r="AL405" s="1" t="s">
        <v>5878</v>
      </c>
      <c r="AM405" s="2"/>
      <c r="AN405" s="2"/>
      <c r="AO405" s="2"/>
      <c r="AP405" s="2"/>
      <c r="AQ405" s="2"/>
      <c r="AR405" s="2"/>
      <c r="AS405" s="2"/>
      <c r="AT405" s="2"/>
      <c r="AU405" s="126" t="s">
        <v>22</v>
      </c>
      <c r="AV405" s="126">
        <v>0.0</v>
      </c>
      <c r="AW405" s="2"/>
      <c r="AX405" s="2"/>
      <c r="AY405" s="2"/>
      <c r="AZ405" s="2"/>
      <c r="BA405" s="2"/>
      <c r="BB405" s="2"/>
      <c r="BC405" s="2"/>
      <c r="BD405" s="2"/>
      <c r="BE405" s="2"/>
    </row>
    <row r="406" hidden="1">
      <c r="A406" s="2"/>
      <c r="B406" s="312" t="s">
        <v>7278</v>
      </c>
      <c r="C406" s="220"/>
      <c r="D406" s="11">
        <v>180.0</v>
      </c>
      <c r="E406" s="11" t="s">
        <v>262</v>
      </c>
      <c r="F406" s="11" t="s">
        <v>6969</v>
      </c>
      <c r="G406" s="306"/>
      <c r="H406" s="296"/>
      <c r="I406" s="139"/>
      <c r="J406" s="301"/>
      <c r="K406" s="296"/>
      <c r="L406" s="139"/>
      <c r="M406" s="301" t="s">
        <v>22</v>
      </c>
      <c r="N406" s="284">
        <v>0.12</v>
      </c>
      <c r="O406" s="296" t="s">
        <v>22</v>
      </c>
      <c r="P406" s="104"/>
      <c r="Q406" s="303">
        <f>P404</f>
        <v>0</v>
      </c>
      <c r="R406" s="307"/>
      <c r="S406" s="308"/>
      <c r="T406" s="2"/>
      <c r="U406" s="59" t="str">
        <f t="shared" si="4"/>
        <v>нет з/ч</v>
      </c>
      <c r="V406" s="304" t="str">
        <f t="shared" si="331"/>
        <v>нет з/ч</v>
      </c>
      <c r="W406" s="2"/>
      <c r="X406" s="289"/>
      <c r="Y406" s="139"/>
      <c r="Z406" s="2"/>
      <c r="AA406" s="2"/>
      <c r="AB406" s="2"/>
      <c r="AC406" s="2"/>
      <c r="AD406" s="2"/>
      <c r="AE406" s="3" t="s">
        <v>7278</v>
      </c>
      <c r="AF406" s="2"/>
      <c r="AG406" s="1" t="s">
        <v>1582</v>
      </c>
      <c r="AH406" s="1" t="s">
        <v>6161</v>
      </c>
      <c r="AI406" s="2">
        <v>180.0</v>
      </c>
      <c r="AJ406" s="1" t="s">
        <v>1589</v>
      </c>
      <c r="AK406" s="1" t="s">
        <v>5878</v>
      </c>
      <c r="AL406" s="1" t="s">
        <v>5878</v>
      </c>
      <c r="AM406" s="2"/>
      <c r="AN406" s="2"/>
      <c r="AO406" s="2"/>
      <c r="AP406" s="2"/>
      <c r="AQ406" s="2"/>
      <c r="AR406" s="2"/>
      <c r="AS406" s="2"/>
      <c r="AT406" s="2"/>
      <c r="AU406" s="126" t="s">
        <v>22</v>
      </c>
      <c r="AV406" s="126">
        <v>0.0</v>
      </c>
      <c r="AW406" s="2"/>
      <c r="AX406" s="2"/>
      <c r="AY406" s="2"/>
      <c r="AZ406" s="2"/>
      <c r="BA406" s="2"/>
      <c r="BB406" s="2"/>
      <c r="BC406" s="2"/>
      <c r="BD406" s="2"/>
      <c r="BE406" s="2"/>
    </row>
    <row r="407" hidden="1">
      <c r="A407" s="2"/>
      <c r="B407" s="312" t="s">
        <v>7279</v>
      </c>
      <c r="C407" s="84"/>
      <c r="D407" s="11">
        <v>180.0</v>
      </c>
      <c r="E407" s="11" t="s">
        <v>262</v>
      </c>
      <c r="F407" s="11" t="s">
        <v>6969</v>
      </c>
      <c r="G407" s="306"/>
      <c r="H407" s="296"/>
      <c r="I407" s="139"/>
      <c r="J407" s="301"/>
      <c r="K407" s="296"/>
      <c r="L407" s="139"/>
      <c r="M407" s="301" t="s">
        <v>22</v>
      </c>
      <c r="N407" s="284">
        <v>0.12</v>
      </c>
      <c r="O407" s="296" t="s">
        <v>22</v>
      </c>
      <c r="P407" s="104"/>
      <c r="Q407" s="303">
        <f>P404</f>
        <v>0</v>
      </c>
      <c r="R407" s="307"/>
      <c r="S407" s="308"/>
      <c r="T407" s="2"/>
      <c r="U407" s="59" t="str">
        <f t="shared" si="4"/>
        <v>нет з/ч</v>
      </c>
      <c r="V407" s="304" t="str">
        <f t="shared" si="331"/>
        <v>нет з/ч</v>
      </c>
      <c r="W407" s="2"/>
      <c r="X407" s="289"/>
      <c r="Y407" s="139"/>
      <c r="Z407" s="2"/>
      <c r="AA407" s="2"/>
      <c r="AB407" s="2"/>
      <c r="AC407" s="2"/>
      <c r="AD407" s="2"/>
      <c r="AE407" s="3" t="s">
        <v>7279</v>
      </c>
      <c r="AF407" s="2"/>
      <c r="AG407" s="1" t="s">
        <v>1582</v>
      </c>
      <c r="AH407" s="1" t="s">
        <v>6161</v>
      </c>
      <c r="AI407" s="2">
        <v>180.0</v>
      </c>
      <c r="AJ407" s="1" t="s">
        <v>1589</v>
      </c>
      <c r="AK407" s="1" t="s">
        <v>5878</v>
      </c>
      <c r="AL407" s="1" t="s">
        <v>5878</v>
      </c>
      <c r="AM407" s="2"/>
      <c r="AN407" s="2"/>
      <c r="AO407" s="2"/>
      <c r="AP407" s="2"/>
      <c r="AQ407" s="2"/>
      <c r="AR407" s="2"/>
      <c r="AS407" s="2"/>
      <c r="AT407" s="2"/>
      <c r="AU407" s="126" t="s">
        <v>22</v>
      </c>
      <c r="AV407" s="126">
        <v>0.0</v>
      </c>
      <c r="AW407" s="2"/>
      <c r="AX407" s="2"/>
      <c r="AY407" s="2"/>
      <c r="AZ407" s="2"/>
      <c r="BA407" s="2"/>
      <c r="BB407" s="2"/>
      <c r="BC407" s="2"/>
      <c r="BD407" s="2"/>
      <c r="BE407" s="2"/>
    </row>
    <row r="408" hidden="1">
      <c r="A408" s="2"/>
      <c r="B408" s="312" t="s">
        <v>7280</v>
      </c>
      <c r="C408" s="84"/>
      <c r="D408" s="11">
        <v>180.0</v>
      </c>
      <c r="E408" s="11" t="s">
        <v>262</v>
      </c>
      <c r="F408" s="11" t="s">
        <v>6969</v>
      </c>
      <c r="G408" s="306"/>
      <c r="H408" s="296"/>
      <c r="I408" s="139"/>
      <c r="J408" s="301"/>
      <c r="K408" s="296"/>
      <c r="L408" s="139"/>
      <c r="M408" s="301" t="s">
        <v>22</v>
      </c>
      <c r="N408" s="284">
        <v>0.12</v>
      </c>
      <c r="O408" s="296" t="s">
        <v>22</v>
      </c>
      <c r="P408" s="104"/>
      <c r="Q408" s="303">
        <f>P404</f>
        <v>0</v>
      </c>
      <c r="R408" s="307"/>
      <c r="S408" s="308"/>
      <c r="T408" s="2"/>
      <c r="U408" s="59" t="str">
        <f t="shared" si="4"/>
        <v>нет з/ч</v>
      </c>
      <c r="V408" s="304" t="str">
        <f t="shared" si="331"/>
        <v>нет з/ч</v>
      </c>
      <c r="W408" s="2"/>
      <c r="X408" s="289"/>
      <c r="Y408" s="139"/>
      <c r="Z408" s="2"/>
      <c r="AA408" s="2"/>
      <c r="AB408" s="2"/>
      <c r="AC408" s="2"/>
      <c r="AD408" s="2"/>
      <c r="AE408" s="3" t="s">
        <v>7280</v>
      </c>
      <c r="AF408" s="2"/>
      <c r="AG408" s="1" t="s">
        <v>1582</v>
      </c>
      <c r="AH408" s="1" t="s">
        <v>6161</v>
      </c>
      <c r="AI408" s="2">
        <v>180.0</v>
      </c>
      <c r="AJ408" s="1" t="s">
        <v>1589</v>
      </c>
      <c r="AK408" s="1" t="s">
        <v>5878</v>
      </c>
      <c r="AL408" s="1" t="s">
        <v>5878</v>
      </c>
      <c r="AM408" s="2"/>
      <c r="AN408" s="2"/>
      <c r="AO408" s="2"/>
      <c r="AP408" s="2"/>
      <c r="AQ408" s="2"/>
      <c r="AR408" s="2"/>
      <c r="AS408" s="2"/>
      <c r="AT408" s="2"/>
      <c r="AU408" s="126" t="s">
        <v>22</v>
      </c>
      <c r="AV408" s="126">
        <v>0.0</v>
      </c>
      <c r="AW408" s="2"/>
      <c r="AX408" s="2"/>
      <c r="AY408" s="2"/>
      <c r="AZ408" s="2"/>
      <c r="BA408" s="2"/>
      <c r="BB408" s="2"/>
      <c r="BC408" s="2"/>
      <c r="BD408" s="2"/>
      <c r="BE408" s="2"/>
    </row>
    <row r="409" hidden="1">
      <c r="A409" s="2"/>
      <c r="B409" s="312" t="s">
        <v>7281</v>
      </c>
      <c r="C409" s="220"/>
      <c r="D409" s="11">
        <v>180.0</v>
      </c>
      <c r="E409" s="11" t="s">
        <v>262</v>
      </c>
      <c r="F409" s="11" t="s">
        <v>6969</v>
      </c>
      <c r="G409" s="306"/>
      <c r="H409" s="296"/>
      <c r="I409" s="139"/>
      <c r="J409" s="301"/>
      <c r="K409" s="296"/>
      <c r="L409" s="139"/>
      <c r="M409" s="301" t="s">
        <v>22</v>
      </c>
      <c r="N409" s="284">
        <v>0.12</v>
      </c>
      <c r="O409" s="296" t="s">
        <v>22</v>
      </c>
      <c r="P409" s="67"/>
      <c r="Q409" s="303">
        <f>P404</f>
        <v>0</v>
      </c>
      <c r="R409" s="307"/>
      <c r="S409" s="308"/>
      <c r="T409" s="2"/>
      <c r="U409" s="59" t="str">
        <f t="shared" si="4"/>
        <v>нет з/ч</v>
      </c>
      <c r="V409" s="304" t="str">
        <f t="shared" si="331"/>
        <v>нет з/ч</v>
      </c>
      <c r="W409" s="2"/>
      <c r="X409" s="289"/>
      <c r="Y409" s="139"/>
      <c r="Z409" s="2"/>
      <c r="AA409" s="2"/>
      <c r="AB409" s="2"/>
      <c r="AC409" s="2"/>
      <c r="AD409" s="2"/>
      <c r="AE409" s="3" t="s">
        <v>7281</v>
      </c>
      <c r="AF409" s="2"/>
      <c r="AG409" s="1" t="s">
        <v>1582</v>
      </c>
      <c r="AH409" s="1" t="s">
        <v>6161</v>
      </c>
      <c r="AI409" s="2">
        <v>180.0</v>
      </c>
      <c r="AJ409" s="1" t="s">
        <v>1589</v>
      </c>
      <c r="AK409" s="1" t="s">
        <v>5878</v>
      </c>
      <c r="AL409" s="1" t="s">
        <v>5878</v>
      </c>
      <c r="AM409" s="2"/>
      <c r="AN409" s="2"/>
      <c r="AO409" s="2"/>
      <c r="AP409" s="2"/>
      <c r="AQ409" s="2"/>
      <c r="AR409" s="2"/>
      <c r="AS409" s="2"/>
      <c r="AT409" s="2"/>
      <c r="AU409" s="126" t="s">
        <v>22</v>
      </c>
      <c r="AV409" s="126">
        <v>0.0</v>
      </c>
      <c r="AW409" s="2"/>
      <c r="AX409" s="2"/>
      <c r="AY409" s="2"/>
      <c r="AZ409" s="2"/>
      <c r="BA409" s="2"/>
      <c r="BB409" s="2"/>
      <c r="BC409" s="2"/>
      <c r="BD409" s="2"/>
      <c r="BE409" s="2"/>
    </row>
    <row r="410" hidden="1">
      <c r="A410" s="2"/>
      <c r="B410" s="312" t="s">
        <v>7282</v>
      </c>
      <c r="C410" s="220" t="s">
        <v>7283</v>
      </c>
      <c r="D410" s="11">
        <v>180.0</v>
      </c>
      <c r="E410" s="11" t="s">
        <v>262</v>
      </c>
      <c r="F410" s="11" t="s">
        <v>6969</v>
      </c>
      <c r="G410" s="295" t="s">
        <v>7284</v>
      </c>
      <c r="H410" s="296"/>
      <c r="I410" s="156">
        <v>750.0</v>
      </c>
      <c r="J410" s="301"/>
      <c r="K410" s="296"/>
      <c r="L410" s="156">
        <v>690.0</v>
      </c>
      <c r="M410" s="301">
        <v>750.0</v>
      </c>
      <c r="N410" s="284">
        <v>3.8</v>
      </c>
      <c r="O410" s="296">
        <v>3600.0</v>
      </c>
      <c r="P410" s="313">
        <f>MAX(O410:O415)</f>
        <v>3600</v>
      </c>
      <c r="Q410" s="303">
        <f>P410</f>
        <v>3600</v>
      </c>
      <c r="R410" s="299" t="s">
        <v>7285</v>
      </c>
      <c r="S410" s="300">
        <v>46141.37846995371</v>
      </c>
      <c r="T410" s="2"/>
      <c r="U410" s="289">
        <f t="shared" si="4"/>
        <v>2850</v>
      </c>
      <c r="V410" s="290">
        <f t="shared" si="331"/>
        <v>-690</v>
      </c>
      <c r="W410" s="2"/>
      <c r="X410" s="289">
        <v>750.0</v>
      </c>
      <c r="Y410" s="139">
        <v>690.0</v>
      </c>
      <c r="Z410" s="2"/>
      <c r="AA410" s="2" t="s">
        <v>7283</v>
      </c>
      <c r="AB410" s="2" t="s">
        <v>7283</v>
      </c>
      <c r="AC410" s="2"/>
      <c r="AD410" s="2" t="s">
        <v>7283</v>
      </c>
      <c r="AE410" s="3" t="s">
        <v>7282</v>
      </c>
      <c r="AF410" s="2"/>
      <c r="AG410" s="1" t="s">
        <v>1582</v>
      </c>
      <c r="AH410" s="1" t="s">
        <v>6161</v>
      </c>
      <c r="AI410" s="2">
        <v>180.0</v>
      </c>
      <c r="AJ410" s="1" t="s">
        <v>1589</v>
      </c>
      <c r="AK410" s="1" t="s">
        <v>5878</v>
      </c>
      <c r="AL410" s="1" t="s">
        <v>5878</v>
      </c>
      <c r="AM410" s="2"/>
      <c r="AN410" s="2"/>
      <c r="AO410" s="2"/>
      <c r="AP410" s="2"/>
      <c r="AQ410" s="2"/>
      <c r="AR410" s="2"/>
      <c r="AS410" s="2"/>
      <c r="AT410" s="2"/>
      <c r="AU410" s="126">
        <v>750.0</v>
      </c>
      <c r="AV410" s="126">
        <v>3600.0</v>
      </c>
      <c r="AW410" s="2"/>
      <c r="AX410" s="2"/>
      <c r="AY410" s="2"/>
      <c r="AZ410" s="2"/>
      <c r="BA410" s="2"/>
      <c r="BB410" s="2"/>
      <c r="BC410" s="2"/>
      <c r="BD410" s="2"/>
      <c r="BE410" s="2"/>
    </row>
    <row r="411" hidden="1">
      <c r="A411" s="2"/>
      <c r="B411" s="312" t="s">
        <v>7286</v>
      </c>
      <c r="C411" s="220" t="s">
        <v>7287</v>
      </c>
      <c r="D411" s="11">
        <v>180.0</v>
      </c>
      <c r="E411" s="11" t="s">
        <v>262</v>
      </c>
      <c r="F411" s="11" t="s">
        <v>6969</v>
      </c>
      <c r="G411" s="295" t="s">
        <v>7288</v>
      </c>
      <c r="H411" s="296"/>
      <c r="I411" s="156">
        <v>750.0</v>
      </c>
      <c r="J411" s="301"/>
      <c r="K411" s="296"/>
      <c r="L411" s="156">
        <v>690.0</v>
      </c>
      <c r="M411" s="301">
        <v>750.0</v>
      </c>
      <c r="N411" s="284">
        <v>3.8</v>
      </c>
      <c r="O411" s="296">
        <v>3600.0</v>
      </c>
      <c r="P411" s="104"/>
      <c r="Q411" s="303">
        <f>P410</f>
        <v>3600</v>
      </c>
      <c r="R411" s="299" t="s">
        <v>7289</v>
      </c>
      <c r="S411" s="300">
        <v>46141.37851840278</v>
      </c>
      <c r="T411" s="2"/>
      <c r="U411" s="289">
        <f t="shared" si="4"/>
        <v>2850</v>
      </c>
      <c r="V411" s="290">
        <f t="shared" si="331"/>
        <v>-690</v>
      </c>
      <c r="W411" s="2"/>
      <c r="X411" s="289">
        <v>750.0</v>
      </c>
      <c r="Y411" s="139">
        <v>690.0</v>
      </c>
      <c r="Z411" s="2"/>
      <c r="AA411" s="2" t="s">
        <v>7287</v>
      </c>
      <c r="AB411" s="2" t="s">
        <v>7287</v>
      </c>
      <c r="AC411" s="2"/>
      <c r="AD411" s="2" t="s">
        <v>7287</v>
      </c>
      <c r="AE411" s="3" t="s">
        <v>7286</v>
      </c>
      <c r="AF411" s="2"/>
      <c r="AG411" s="1" t="s">
        <v>1582</v>
      </c>
      <c r="AH411" s="1" t="s">
        <v>6161</v>
      </c>
      <c r="AI411" s="2">
        <v>180.0</v>
      </c>
      <c r="AJ411" s="1" t="s">
        <v>1589</v>
      </c>
      <c r="AK411" s="1" t="s">
        <v>5878</v>
      </c>
      <c r="AL411" s="1" t="s">
        <v>5878</v>
      </c>
      <c r="AM411" s="2"/>
      <c r="AN411" s="2"/>
      <c r="AO411" s="2"/>
      <c r="AP411" s="2"/>
      <c r="AQ411" s="2"/>
      <c r="AR411" s="2"/>
      <c r="AS411" s="2"/>
      <c r="AT411" s="2"/>
      <c r="AU411" s="126">
        <v>750.0</v>
      </c>
      <c r="AV411" s="126">
        <v>3600.0</v>
      </c>
      <c r="AW411" s="2"/>
      <c r="AX411" s="2"/>
      <c r="AY411" s="2"/>
      <c r="AZ411" s="2"/>
      <c r="BA411" s="2"/>
      <c r="BB411" s="2"/>
      <c r="BC411" s="2"/>
      <c r="BD411" s="2"/>
      <c r="BE411" s="2"/>
    </row>
    <row r="412" hidden="1">
      <c r="A412" s="2"/>
      <c r="B412" s="312" t="s">
        <v>7290</v>
      </c>
      <c r="C412" s="220" t="s">
        <v>7291</v>
      </c>
      <c r="D412" s="11">
        <v>180.0</v>
      </c>
      <c r="E412" s="11" t="s">
        <v>262</v>
      </c>
      <c r="F412" s="11" t="s">
        <v>6969</v>
      </c>
      <c r="G412" s="295" t="s">
        <v>7292</v>
      </c>
      <c r="H412" s="296"/>
      <c r="I412" s="156">
        <v>750.0</v>
      </c>
      <c r="J412" s="301"/>
      <c r="K412" s="296"/>
      <c r="L412" s="156">
        <v>690.0</v>
      </c>
      <c r="M412" s="301">
        <v>750.0</v>
      </c>
      <c r="N412" s="284">
        <v>3.8</v>
      </c>
      <c r="O412" s="296">
        <v>3600.0</v>
      </c>
      <c r="P412" s="104"/>
      <c r="Q412" s="303">
        <f>P410</f>
        <v>3600</v>
      </c>
      <c r="R412" s="299" t="s">
        <v>7293</v>
      </c>
      <c r="S412" s="300">
        <v>46141.37856810185</v>
      </c>
      <c r="T412" s="2"/>
      <c r="U412" s="289">
        <f t="shared" si="4"/>
        <v>2850</v>
      </c>
      <c r="V412" s="290">
        <f t="shared" si="331"/>
        <v>-690</v>
      </c>
      <c r="W412" s="2"/>
      <c r="X412" s="289">
        <v>750.0</v>
      </c>
      <c r="Y412" s="139">
        <v>690.0</v>
      </c>
      <c r="Z412" s="2"/>
      <c r="AA412" s="2" t="s">
        <v>7291</v>
      </c>
      <c r="AB412" s="2" t="s">
        <v>7291</v>
      </c>
      <c r="AC412" s="2"/>
      <c r="AD412" s="2" t="s">
        <v>7291</v>
      </c>
      <c r="AE412" s="3" t="s">
        <v>7290</v>
      </c>
      <c r="AF412" s="2"/>
      <c r="AG412" s="1" t="s">
        <v>1582</v>
      </c>
      <c r="AH412" s="1" t="s">
        <v>6161</v>
      </c>
      <c r="AI412" s="2">
        <v>180.0</v>
      </c>
      <c r="AJ412" s="1" t="s">
        <v>1589</v>
      </c>
      <c r="AK412" s="1" t="s">
        <v>5878</v>
      </c>
      <c r="AL412" s="1" t="s">
        <v>5878</v>
      </c>
      <c r="AM412" s="2"/>
      <c r="AN412" s="2"/>
      <c r="AO412" s="2"/>
      <c r="AP412" s="2"/>
      <c r="AQ412" s="2"/>
      <c r="AR412" s="2"/>
      <c r="AS412" s="2"/>
      <c r="AT412" s="2"/>
      <c r="AU412" s="126">
        <v>750.0</v>
      </c>
      <c r="AV412" s="126">
        <v>3600.0</v>
      </c>
      <c r="AW412" s="2"/>
      <c r="AX412" s="2"/>
      <c r="AY412" s="2"/>
      <c r="AZ412" s="2"/>
      <c r="BA412" s="2"/>
      <c r="BB412" s="2"/>
      <c r="BC412" s="2"/>
      <c r="BD412" s="2"/>
      <c r="BE412" s="2"/>
    </row>
    <row r="413" hidden="1">
      <c r="A413" s="2"/>
      <c r="B413" s="312" t="s">
        <v>7294</v>
      </c>
      <c r="C413" s="220" t="s">
        <v>7295</v>
      </c>
      <c r="D413" s="11">
        <v>180.0</v>
      </c>
      <c r="E413" s="11" t="s">
        <v>262</v>
      </c>
      <c r="F413" s="11" t="s">
        <v>6969</v>
      </c>
      <c r="G413" s="295" t="s">
        <v>7296</v>
      </c>
      <c r="H413" s="296"/>
      <c r="I413" s="156">
        <v>750.0</v>
      </c>
      <c r="J413" s="301"/>
      <c r="K413" s="296"/>
      <c r="L413" s="156">
        <v>690.0</v>
      </c>
      <c r="M413" s="301">
        <v>750.0</v>
      </c>
      <c r="N413" s="284">
        <v>3.8</v>
      </c>
      <c r="O413" s="296">
        <v>3600.0</v>
      </c>
      <c r="P413" s="104"/>
      <c r="Q413" s="303">
        <f>P410</f>
        <v>3600</v>
      </c>
      <c r="R413" s="299" t="s">
        <v>7297</v>
      </c>
      <c r="S413" s="300">
        <v>46141.378620358795</v>
      </c>
      <c r="T413" s="2"/>
      <c r="U413" s="289">
        <f t="shared" si="4"/>
        <v>2850</v>
      </c>
      <c r="V413" s="290">
        <f t="shared" si="331"/>
        <v>-690</v>
      </c>
      <c r="W413" s="2"/>
      <c r="X413" s="289">
        <v>750.0</v>
      </c>
      <c r="Y413" s="139">
        <v>690.0</v>
      </c>
      <c r="Z413" s="2"/>
      <c r="AA413" s="2" t="s">
        <v>7295</v>
      </c>
      <c r="AB413" s="2" t="s">
        <v>7295</v>
      </c>
      <c r="AC413" s="2"/>
      <c r="AD413" s="2" t="s">
        <v>7295</v>
      </c>
      <c r="AE413" s="3" t="s">
        <v>7294</v>
      </c>
      <c r="AF413" s="2"/>
      <c r="AG413" s="1" t="s">
        <v>1582</v>
      </c>
      <c r="AH413" s="1" t="s">
        <v>6161</v>
      </c>
      <c r="AI413" s="2">
        <v>180.0</v>
      </c>
      <c r="AJ413" s="1" t="s">
        <v>1589</v>
      </c>
      <c r="AK413" s="1" t="s">
        <v>5878</v>
      </c>
      <c r="AL413" s="1" t="s">
        <v>5878</v>
      </c>
      <c r="AM413" s="2"/>
      <c r="AN413" s="2"/>
      <c r="AO413" s="2"/>
      <c r="AP413" s="2"/>
      <c r="AQ413" s="2"/>
      <c r="AR413" s="2"/>
      <c r="AS413" s="2"/>
      <c r="AT413" s="2"/>
      <c r="AU413" s="126">
        <v>750.0</v>
      </c>
      <c r="AV413" s="126">
        <v>3600.0</v>
      </c>
      <c r="AW413" s="2"/>
      <c r="AX413" s="2"/>
      <c r="AY413" s="2"/>
      <c r="AZ413" s="2"/>
      <c r="BA413" s="2"/>
      <c r="BB413" s="2"/>
      <c r="BC413" s="2"/>
      <c r="BD413" s="2"/>
      <c r="BE413" s="2"/>
    </row>
    <row r="414" hidden="1">
      <c r="A414" s="2"/>
      <c r="B414" s="312" t="s">
        <v>7298</v>
      </c>
      <c r="C414" s="220" t="s">
        <v>7299</v>
      </c>
      <c r="D414" s="11">
        <v>180.0</v>
      </c>
      <c r="E414" s="11" t="s">
        <v>262</v>
      </c>
      <c r="F414" s="11" t="s">
        <v>6969</v>
      </c>
      <c r="G414" s="295" t="s">
        <v>7300</v>
      </c>
      <c r="H414" s="296"/>
      <c r="I414" s="156">
        <v>750.0</v>
      </c>
      <c r="J414" s="301"/>
      <c r="K414" s="296"/>
      <c r="L414" s="156">
        <v>690.0</v>
      </c>
      <c r="M414" s="301">
        <v>750.0</v>
      </c>
      <c r="N414" s="284">
        <v>3.8</v>
      </c>
      <c r="O414" s="296">
        <v>3600.0</v>
      </c>
      <c r="P414" s="104"/>
      <c r="Q414" s="303">
        <f>P410</f>
        <v>3600</v>
      </c>
      <c r="R414" s="299" t="s">
        <v>7301</v>
      </c>
      <c r="S414" s="300">
        <v>46141.37866984954</v>
      </c>
      <c r="T414" s="2"/>
      <c r="U414" s="289">
        <f t="shared" si="4"/>
        <v>2850</v>
      </c>
      <c r="V414" s="290">
        <f t="shared" si="331"/>
        <v>-690</v>
      </c>
      <c r="W414" s="2"/>
      <c r="X414" s="289">
        <v>750.0</v>
      </c>
      <c r="Y414" s="139">
        <v>690.0</v>
      </c>
      <c r="Z414" s="2"/>
      <c r="AA414" s="2" t="s">
        <v>7299</v>
      </c>
      <c r="AB414" s="2" t="s">
        <v>7299</v>
      </c>
      <c r="AC414" s="2"/>
      <c r="AD414" s="2" t="s">
        <v>7299</v>
      </c>
      <c r="AE414" s="3" t="s">
        <v>7298</v>
      </c>
      <c r="AF414" s="2"/>
      <c r="AG414" s="1" t="s">
        <v>1582</v>
      </c>
      <c r="AH414" s="1" t="s">
        <v>6161</v>
      </c>
      <c r="AI414" s="2">
        <v>180.0</v>
      </c>
      <c r="AJ414" s="1" t="s">
        <v>1589</v>
      </c>
      <c r="AK414" s="1" t="s">
        <v>5878</v>
      </c>
      <c r="AL414" s="1" t="s">
        <v>5878</v>
      </c>
      <c r="AM414" s="2"/>
      <c r="AN414" s="2"/>
      <c r="AO414" s="2"/>
      <c r="AP414" s="2"/>
      <c r="AQ414" s="2"/>
      <c r="AR414" s="2"/>
      <c r="AS414" s="2"/>
      <c r="AT414" s="2"/>
      <c r="AU414" s="126">
        <v>750.0</v>
      </c>
      <c r="AV414" s="126">
        <v>3600.0</v>
      </c>
      <c r="AW414" s="2"/>
      <c r="AX414" s="2"/>
      <c r="AY414" s="2"/>
      <c r="AZ414" s="2"/>
      <c r="BA414" s="2"/>
      <c r="BB414" s="2"/>
      <c r="BC414" s="2"/>
      <c r="BD414" s="2"/>
      <c r="BE414" s="2"/>
    </row>
    <row r="415" hidden="1">
      <c r="A415" s="2"/>
      <c r="B415" s="312" t="s">
        <v>7302</v>
      </c>
      <c r="C415" s="220" t="s">
        <v>7303</v>
      </c>
      <c r="D415" s="11">
        <v>180.0</v>
      </c>
      <c r="E415" s="11" t="s">
        <v>262</v>
      </c>
      <c r="F415" s="11" t="s">
        <v>6969</v>
      </c>
      <c r="G415" s="295" t="s">
        <v>7304</v>
      </c>
      <c r="H415" s="296"/>
      <c r="I415" s="156">
        <v>750.0</v>
      </c>
      <c r="J415" s="301"/>
      <c r="K415" s="296"/>
      <c r="L415" s="156">
        <v>690.0</v>
      </c>
      <c r="M415" s="301">
        <v>750.0</v>
      </c>
      <c r="N415" s="284">
        <v>3.8</v>
      </c>
      <c r="O415" s="296">
        <v>3600.0</v>
      </c>
      <c r="P415" s="67"/>
      <c r="Q415" s="303">
        <f>P410</f>
        <v>3600</v>
      </c>
      <c r="R415" s="299" t="s">
        <v>7305</v>
      </c>
      <c r="S415" s="300">
        <v>46141.37871773148</v>
      </c>
      <c r="T415" s="2"/>
      <c r="U415" s="289">
        <f t="shared" si="4"/>
        <v>2850</v>
      </c>
      <c r="V415" s="290">
        <f t="shared" si="331"/>
        <v>-690</v>
      </c>
      <c r="W415" s="2"/>
      <c r="X415" s="289">
        <v>750.0</v>
      </c>
      <c r="Y415" s="139">
        <v>690.0</v>
      </c>
      <c r="Z415" s="2"/>
      <c r="AA415" s="2" t="s">
        <v>7303</v>
      </c>
      <c r="AB415" s="2" t="s">
        <v>7303</v>
      </c>
      <c r="AC415" s="2"/>
      <c r="AD415" s="2" t="s">
        <v>7303</v>
      </c>
      <c r="AE415" s="3" t="s">
        <v>7302</v>
      </c>
      <c r="AF415" s="2"/>
      <c r="AG415" s="1" t="s">
        <v>1582</v>
      </c>
      <c r="AH415" s="1" t="s">
        <v>6161</v>
      </c>
      <c r="AI415" s="2">
        <v>180.0</v>
      </c>
      <c r="AJ415" s="1" t="s">
        <v>1589</v>
      </c>
      <c r="AK415" s="1" t="s">
        <v>5878</v>
      </c>
      <c r="AL415" s="1" t="s">
        <v>5878</v>
      </c>
      <c r="AM415" s="2"/>
      <c r="AN415" s="2"/>
      <c r="AO415" s="2"/>
      <c r="AP415" s="2"/>
      <c r="AQ415" s="2"/>
      <c r="AR415" s="2"/>
      <c r="AS415" s="2"/>
      <c r="AT415" s="2"/>
      <c r="AU415" s="126">
        <v>750.0</v>
      </c>
      <c r="AV415" s="126">
        <v>3600.0</v>
      </c>
      <c r="AW415" s="2"/>
      <c r="AX415" s="2"/>
      <c r="AY415" s="2"/>
      <c r="AZ415" s="2"/>
      <c r="BA415" s="2"/>
      <c r="BB415" s="2"/>
      <c r="BC415" s="2"/>
      <c r="BD415" s="2"/>
      <c r="BE415" s="2"/>
    </row>
    <row r="416" hidden="1">
      <c r="A416" s="2"/>
      <c r="B416" s="312" t="s">
        <v>7306</v>
      </c>
      <c r="C416" s="84"/>
      <c r="D416" s="11">
        <v>180.0</v>
      </c>
      <c r="E416" s="11" t="s">
        <v>269</v>
      </c>
      <c r="F416" s="11" t="s">
        <v>6969</v>
      </c>
      <c r="G416" s="306"/>
      <c r="H416" s="296"/>
      <c r="I416" s="139"/>
      <c r="J416" s="301"/>
      <c r="K416" s="296"/>
      <c r="L416" s="139"/>
      <c r="M416" s="301" t="s">
        <v>22</v>
      </c>
      <c r="N416" s="284">
        <v>0.12</v>
      </c>
      <c r="O416" s="296" t="s">
        <v>22</v>
      </c>
      <c r="P416" s="313">
        <f>MAX(O416:O421)</f>
        <v>0</v>
      </c>
      <c r="Q416" s="303">
        <f>P416</f>
        <v>0</v>
      </c>
      <c r="R416" s="307"/>
      <c r="S416" s="308"/>
      <c r="T416" s="2"/>
      <c r="U416" s="59" t="str">
        <f t="shared" si="4"/>
        <v>нет з/ч</v>
      </c>
      <c r="V416" s="304" t="str">
        <f t="shared" si="331"/>
        <v>нет з/ч</v>
      </c>
      <c r="W416" s="2"/>
      <c r="X416" s="289"/>
      <c r="Y416" s="139"/>
      <c r="Z416" s="2"/>
      <c r="AA416" s="2"/>
      <c r="AB416" s="2"/>
      <c r="AC416" s="2"/>
      <c r="AD416" s="2"/>
      <c r="AE416" s="3" t="s">
        <v>7306</v>
      </c>
      <c r="AF416" s="2"/>
      <c r="AG416" s="1" t="s">
        <v>1582</v>
      </c>
      <c r="AH416" s="1" t="s">
        <v>6185</v>
      </c>
      <c r="AI416" s="2">
        <v>180.0</v>
      </c>
      <c r="AJ416" s="1" t="s">
        <v>1589</v>
      </c>
      <c r="AK416" s="1" t="s">
        <v>5878</v>
      </c>
      <c r="AL416" s="1" t="s">
        <v>5878</v>
      </c>
      <c r="AM416" s="2"/>
      <c r="AN416" s="2"/>
      <c r="AO416" s="2"/>
      <c r="AP416" s="2"/>
      <c r="AQ416" s="2"/>
      <c r="AR416" s="2"/>
      <c r="AS416" s="2"/>
      <c r="AT416" s="2"/>
      <c r="AU416" s="126" t="s">
        <v>22</v>
      </c>
      <c r="AV416" s="126">
        <v>0.0</v>
      </c>
      <c r="AW416" s="2"/>
      <c r="AX416" s="2"/>
      <c r="AY416" s="2"/>
      <c r="AZ416" s="2"/>
      <c r="BA416" s="2"/>
      <c r="BB416" s="2"/>
      <c r="BC416" s="2"/>
      <c r="BD416" s="2"/>
      <c r="BE416" s="2"/>
    </row>
    <row r="417" hidden="1">
      <c r="A417" s="2"/>
      <c r="B417" s="312" t="s">
        <v>7307</v>
      </c>
      <c r="C417" s="84"/>
      <c r="D417" s="11">
        <v>180.0</v>
      </c>
      <c r="E417" s="11" t="s">
        <v>269</v>
      </c>
      <c r="F417" s="11" t="s">
        <v>6969</v>
      </c>
      <c r="G417" s="306"/>
      <c r="H417" s="296"/>
      <c r="I417" s="139"/>
      <c r="J417" s="301"/>
      <c r="K417" s="296"/>
      <c r="L417" s="139"/>
      <c r="M417" s="301" t="s">
        <v>22</v>
      </c>
      <c r="N417" s="284">
        <v>0.12</v>
      </c>
      <c r="O417" s="296" t="s">
        <v>22</v>
      </c>
      <c r="P417" s="104"/>
      <c r="Q417" s="303">
        <f>P416</f>
        <v>0</v>
      </c>
      <c r="R417" s="307"/>
      <c r="S417" s="308"/>
      <c r="T417" s="2"/>
      <c r="U417" s="59" t="str">
        <f t="shared" si="4"/>
        <v>нет з/ч</v>
      </c>
      <c r="V417" s="304" t="str">
        <f t="shared" si="331"/>
        <v>нет з/ч</v>
      </c>
      <c r="W417" s="2"/>
      <c r="X417" s="289"/>
      <c r="Y417" s="139"/>
      <c r="Z417" s="2"/>
      <c r="AA417" s="2"/>
      <c r="AB417" s="2"/>
      <c r="AC417" s="2"/>
      <c r="AD417" s="2"/>
      <c r="AE417" s="3" t="s">
        <v>7307</v>
      </c>
      <c r="AF417" s="2"/>
      <c r="AG417" s="1" t="s">
        <v>1582</v>
      </c>
      <c r="AH417" s="1" t="s">
        <v>6185</v>
      </c>
      <c r="AI417" s="2">
        <v>180.0</v>
      </c>
      <c r="AJ417" s="1" t="s">
        <v>1589</v>
      </c>
      <c r="AK417" s="1" t="s">
        <v>5878</v>
      </c>
      <c r="AL417" s="1" t="s">
        <v>5878</v>
      </c>
      <c r="AM417" s="2"/>
      <c r="AN417" s="2"/>
      <c r="AO417" s="2"/>
      <c r="AP417" s="2"/>
      <c r="AQ417" s="2"/>
      <c r="AR417" s="2"/>
      <c r="AS417" s="2"/>
      <c r="AT417" s="2"/>
      <c r="AU417" s="126" t="s">
        <v>22</v>
      </c>
      <c r="AV417" s="126">
        <v>0.0</v>
      </c>
      <c r="AW417" s="2"/>
      <c r="AX417" s="2"/>
      <c r="AY417" s="2"/>
      <c r="AZ417" s="2"/>
      <c r="BA417" s="2"/>
      <c r="BB417" s="2"/>
      <c r="BC417" s="2"/>
      <c r="BD417" s="2"/>
      <c r="BE417" s="2"/>
    </row>
    <row r="418" hidden="1">
      <c r="A418" s="2"/>
      <c r="B418" s="312" t="s">
        <v>7308</v>
      </c>
      <c r="C418" s="84"/>
      <c r="D418" s="11">
        <v>180.0</v>
      </c>
      <c r="E418" s="11" t="s">
        <v>269</v>
      </c>
      <c r="F418" s="11" t="s">
        <v>6969</v>
      </c>
      <c r="G418" s="306"/>
      <c r="H418" s="296"/>
      <c r="I418" s="139"/>
      <c r="J418" s="301"/>
      <c r="K418" s="296"/>
      <c r="L418" s="139"/>
      <c r="M418" s="301" t="s">
        <v>22</v>
      </c>
      <c r="N418" s="284">
        <v>0.12</v>
      </c>
      <c r="O418" s="296" t="s">
        <v>22</v>
      </c>
      <c r="P418" s="104"/>
      <c r="Q418" s="303">
        <f>P416</f>
        <v>0</v>
      </c>
      <c r="R418" s="307"/>
      <c r="S418" s="308"/>
      <c r="T418" s="2"/>
      <c r="U418" s="59" t="str">
        <f t="shared" si="4"/>
        <v>нет з/ч</v>
      </c>
      <c r="V418" s="304" t="str">
        <f t="shared" si="331"/>
        <v>нет з/ч</v>
      </c>
      <c r="W418" s="2"/>
      <c r="X418" s="289"/>
      <c r="Y418" s="139"/>
      <c r="Z418" s="2"/>
      <c r="AA418" s="2"/>
      <c r="AB418" s="2"/>
      <c r="AC418" s="2"/>
      <c r="AD418" s="2"/>
      <c r="AE418" s="3" t="s">
        <v>7308</v>
      </c>
      <c r="AF418" s="2"/>
      <c r="AG418" s="1" t="s">
        <v>1582</v>
      </c>
      <c r="AH418" s="1" t="s">
        <v>6185</v>
      </c>
      <c r="AI418" s="2">
        <v>180.0</v>
      </c>
      <c r="AJ418" s="1" t="s">
        <v>1589</v>
      </c>
      <c r="AK418" s="1" t="s">
        <v>5878</v>
      </c>
      <c r="AL418" s="1" t="s">
        <v>5878</v>
      </c>
      <c r="AM418" s="2"/>
      <c r="AN418" s="2"/>
      <c r="AO418" s="2"/>
      <c r="AP418" s="2"/>
      <c r="AQ418" s="2"/>
      <c r="AR418" s="2"/>
      <c r="AS418" s="2"/>
      <c r="AT418" s="2"/>
      <c r="AU418" s="126" t="s">
        <v>22</v>
      </c>
      <c r="AV418" s="126">
        <v>0.0</v>
      </c>
      <c r="AW418" s="2"/>
      <c r="AX418" s="2"/>
      <c r="AY418" s="2"/>
      <c r="AZ418" s="2"/>
      <c r="BA418" s="2"/>
      <c r="BB418" s="2"/>
      <c r="BC418" s="2"/>
      <c r="BD418" s="2"/>
      <c r="BE418" s="2"/>
    </row>
    <row r="419" hidden="1">
      <c r="A419" s="2"/>
      <c r="B419" s="312" t="s">
        <v>7309</v>
      </c>
      <c r="C419" s="84"/>
      <c r="D419" s="11">
        <v>180.0</v>
      </c>
      <c r="E419" s="11" t="s">
        <v>269</v>
      </c>
      <c r="F419" s="11" t="s">
        <v>6969</v>
      </c>
      <c r="G419" s="306"/>
      <c r="H419" s="296"/>
      <c r="I419" s="139"/>
      <c r="J419" s="301"/>
      <c r="K419" s="296"/>
      <c r="L419" s="139"/>
      <c r="M419" s="301" t="s">
        <v>22</v>
      </c>
      <c r="N419" s="284">
        <v>0.12</v>
      </c>
      <c r="O419" s="296" t="s">
        <v>22</v>
      </c>
      <c r="P419" s="104"/>
      <c r="Q419" s="303">
        <f>P416</f>
        <v>0</v>
      </c>
      <c r="R419" s="307"/>
      <c r="S419" s="308"/>
      <c r="T419" s="2"/>
      <c r="U419" s="59" t="str">
        <f t="shared" si="4"/>
        <v>нет з/ч</v>
      </c>
      <c r="V419" s="304" t="str">
        <f t="shared" si="331"/>
        <v>нет з/ч</v>
      </c>
      <c r="W419" s="2"/>
      <c r="X419" s="289"/>
      <c r="Y419" s="139"/>
      <c r="Z419" s="2"/>
      <c r="AA419" s="2"/>
      <c r="AB419" s="2"/>
      <c r="AC419" s="2"/>
      <c r="AD419" s="2"/>
      <c r="AE419" s="3" t="s">
        <v>7309</v>
      </c>
      <c r="AF419" s="2"/>
      <c r="AG419" s="1" t="s">
        <v>1582</v>
      </c>
      <c r="AH419" s="1" t="s">
        <v>6185</v>
      </c>
      <c r="AI419" s="2">
        <v>180.0</v>
      </c>
      <c r="AJ419" s="1" t="s">
        <v>1589</v>
      </c>
      <c r="AK419" s="1" t="s">
        <v>5878</v>
      </c>
      <c r="AL419" s="1" t="s">
        <v>5878</v>
      </c>
      <c r="AM419" s="2"/>
      <c r="AN419" s="2"/>
      <c r="AO419" s="2"/>
      <c r="AP419" s="2"/>
      <c r="AQ419" s="2"/>
      <c r="AR419" s="2"/>
      <c r="AS419" s="2"/>
      <c r="AT419" s="2"/>
      <c r="AU419" s="126" t="s">
        <v>22</v>
      </c>
      <c r="AV419" s="126">
        <v>0.0</v>
      </c>
      <c r="AW419" s="2"/>
      <c r="AX419" s="2"/>
      <c r="AY419" s="2"/>
      <c r="AZ419" s="2"/>
      <c r="BA419" s="2"/>
      <c r="BB419" s="2"/>
      <c r="BC419" s="2"/>
      <c r="BD419" s="2"/>
      <c r="BE419" s="2"/>
    </row>
    <row r="420" hidden="1">
      <c r="A420" s="2"/>
      <c r="B420" s="312" t="s">
        <v>7310</v>
      </c>
      <c r="C420" s="84"/>
      <c r="D420" s="11">
        <v>180.0</v>
      </c>
      <c r="E420" s="11" t="s">
        <v>269</v>
      </c>
      <c r="F420" s="11" t="s">
        <v>6969</v>
      </c>
      <c r="G420" s="306"/>
      <c r="H420" s="296"/>
      <c r="I420" s="139"/>
      <c r="J420" s="301"/>
      <c r="K420" s="296"/>
      <c r="L420" s="139"/>
      <c r="M420" s="301" t="s">
        <v>22</v>
      </c>
      <c r="N420" s="284">
        <v>0.12</v>
      </c>
      <c r="O420" s="296" t="s">
        <v>22</v>
      </c>
      <c r="P420" s="104"/>
      <c r="Q420" s="303">
        <f>P416</f>
        <v>0</v>
      </c>
      <c r="R420" s="307"/>
      <c r="S420" s="308"/>
      <c r="T420" s="2"/>
      <c r="U420" s="59" t="str">
        <f t="shared" si="4"/>
        <v>нет з/ч</v>
      </c>
      <c r="V420" s="304" t="str">
        <f t="shared" si="331"/>
        <v>нет з/ч</v>
      </c>
      <c r="W420" s="2"/>
      <c r="X420" s="289"/>
      <c r="Y420" s="139"/>
      <c r="Z420" s="2"/>
      <c r="AA420" s="2"/>
      <c r="AB420" s="2"/>
      <c r="AC420" s="2"/>
      <c r="AD420" s="2"/>
      <c r="AE420" s="3" t="s">
        <v>7310</v>
      </c>
      <c r="AF420" s="2"/>
      <c r="AG420" s="1" t="s">
        <v>1582</v>
      </c>
      <c r="AH420" s="1" t="s">
        <v>6185</v>
      </c>
      <c r="AI420" s="2">
        <v>180.0</v>
      </c>
      <c r="AJ420" s="1" t="s">
        <v>1589</v>
      </c>
      <c r="AK420" s="1" t="s">
        <v>5878</v>
      </c>
      <c r="AL420" s="1" t="s">
        <v>5878</v>
      </c>
      <c r="AM420" s="2"/>
      <c r="AN420" s="2"/>
      <c r="AO420" s="2"/>
      <c r="AP420" s="2"/>
      <c r="AQ420" s="2"/>
      <c r="AR420" s="2"/>
      <c r="AS420" s="2"/>
      <c r="AT420" s="2"/>
      <c r="AU420" s="126" t="s">
        <v>22</v>
      </c>
      <c r="AV420" s="126">
        <v>0.0</v>
      </c>
      <c r="AW420" s="2"/>
      <c r="AX420" s="2"/>
      <c r="AY420" s="2"/>
      <c r="AZ420" s="2"/>
      <c r="BA420" s="2"/>
      <c r="BB420" s="2"/>
      <c r="BC420" s="2"/>
      <c r="BD420" s="2"/>
      <c r="BE420" s="2"/>
    </row>
    <row r="421" hidden="1">
      <c r="A421" s="2"/>
      <c r="B421" s="312" t="s">
        <v>7311</v>
      </c>
      <c r="C421" s="84"/>
      <c r="D421" s="11">
        <v>180.0</v>
      </c>
      <c r="E421" s="11" t="s">
        <v>269</v>
      </c>
      <c r="F421" s="11" t="s">
        <v>6969</v>
      </c>
      <c r="G421" s="306"/>
      <c r="H421" s="296"/>
      <c r="I421" s="139"/>
      <c r="J421" s="301"/>
      <c r="K421" s="296"/>
      <c r="L421" s="139"/>
      <c r="M421" s="301" t="s">
        <v>22</v>
      </c>
      <c r="N421" s="284">
        <v>0.12</v>
      </c>
      <c r="O421" s="296" t="s">
        <v>22</v>
      </c>
      <c r="P421" s="67"/>
      <c r="Q421" s="303">
        <f>P416</f>
        <v>0</v>
      </c>
      <c r="R421" s="307"/>
      <c r="S421" s="308"/>
      <c r="T421" s="2"/>
      <c r="U421" s="59" t="str">
        <f t="shared" si="4"/>
        <v>нет з/ч</v>
      </c>
      <c r="V421" s="304" t="str">
        <f t="shared" si="331"/>
        <v>нет з/ч</v>
      </c>
      <c r="W421" s="2"/>
      <c r="X421" s="289"/>
      <c r="Y421" s="139"/>
      <c r="Z421" s="2"/>
      <c r="AA421" s="2"/>
      <c r="AB421" s="2"/>
      <c r="AC421" s="2"/>
      <c r="AD421" s="2"/>
      <c r="AE421" s="3" t="s">
        <v>7311</v>
      </c>
      <c r="AF421" s="2"/>
      <c r="AG421" s="1" t="s">
        <v>1582</v>
      </c>
      <c r="AH421" s="1" t="s">
        <v>6185</v>
      </c>
      <c r="AI421" s="2">
        <v>180.0</v>
      </c>
      <c r="AJ421" s="1" t="s">
        <v>1589</v>
      </c>
      <c r="AK421" s="1" t="s">
        <v>5878</v>
      </c>
      <c r="AL421" s="1" t="s">
        <v>5878</v>
      </c>
      <c r="AM421" s="2"/>
      <c r="AN421" s="2"/>
      <c r="AO421" s="2"/>
      <c r="AP421" s="2"/>
      <c r="AQ421" s="2"/>
      <c r="AR421" s="2"/>
      <c r="AS421" s="2"/>
      <c r="AT421" s="2"/>
      <c r="AU421" s="126" t="s">
        <v>22</v>
      </c>
      <c r="AV421" s="126">
        <v>0.0</v>
      </c>
      <c r="AW421" s="2"/>
      <c r="AX421" s="2"/>
      <c r="AY421" s="2"/>
      <c r="AZ421" s="2"/>
      <c r="BA421" s="2"/>
      <c r="BB421" s="2"/>
      <c r="BC421" s="2"/>
      <c r="BD421" s="2"/>
      <c r="BE421" s="2"/>
    </row>
    <row r="422" hidden="1">
      <c r="A422" s="2"/>
      <c r="B422" s="312" t="s">
        <v>7312</v>
      </c>
      <c r="C422" s="220" t="s">
        <v>7313</v>
      </c>
      <c r="D422" s="11">
        <v>180.0</v>
      </c>
      <c r="E422" s="11" t="s">
        <v>269</v>
      </c>
      <c r="F422" s="11" t="s">
        <v>6969</v>
      </c>
      <c r="G422" s="295" t="s">
        <v>7314</v>
      </c>
      <c r="H422" s="296"/>
      <c r="I422" s="156">
        <v>750.0</v>
      </c>
      <c r="J422" s="301"/>
      <c r="K422" s="296"/>
      <c r="L422" s="156">
        <v>690.0</v>
      </c>
      <c r="M422" s="301">
        <v>750.0</v>
      </c>
      <c r="N422" s="284">
        <v>3.8</v>
      </c>
      <c r="O422" s="296">
        <v>3600.0</v>
      </c>
      <c r="P422" s="313">
        <f>MAX(O422:O427)</f>
        <v>3600</v>
      </c>
      <c r="Q422" s="303">
        <f>P422</f>
        <v>3600</v>
      </c>
      <c r="R422" s="299" t="s">
        <v>7315</v>
      </c>
      <c r="S422" s="300">
        <v>46141.37876795139</v>
      </c>
      <c r="T422" s="2"/>
      <c r="U422" s="289">
        <f t="shared" si="4"/>
        <v>2850</v>
      </c>
      <c r="V422" s="290">
        <f t="shared" si="331"/>
        <v>-690</v>
      </c>
      <c r="W422" s="2"/>
      <c r="X422" s="289">
        <v>750.0</v>
      </c>
      <c r="Y422" s="139">
        <v>690.0</v>
      </c>
      <c r="Z422" s="2"/>
      <c r="AA422" s="2" t="s">
        <v>7313</v>
      </c>
      <c r="AB422" s="2" t="s">
        <v>7313</v>
      </c>
      <c r="AC422" s="2"/>
      <c r="AD422" s="2" t="s">
        <v>7313</v>
      </c>
      <c r="AE422" s="3" t="s">
        <v>7312</v>
      </c>
      <c r="AF422" s="2"/>
      <c r="AG422" s="1" t="s">
        <v>1582</v>
      </c>
      <c r="AH422" s="1" t="s">
        <v>6185</v>
      </c>
      <c r="AI422" s="2">
        <v>180.0</v>
      </c>
      <c r="AJ422" s="1" t="s">
        <v>1589</v>
      </c>
      <c r="AK422" s="1" t="s">
        <v>5878</v>
      </c>
      <c r="AL422" s="1" t="s">
        <v>5878</v>
      </c>
      <c r="AM422" s="2"/>
      <c r="AN422" s="2"/>
      <c r="AO422" s="2"/>
      <c r="AP422" s="2"/>
      <c r="AQ422" s="2"/>
      <c r="AR422" s="2"/>
      <c r="AS422" s="2"/>
      <c r="AT422" s="2"/>
      <c r="AU422" s="126">
        <v>750.0</v>
      </c>
      <c r="AV422" s="126">
        <v>3600.0</v>
      </c>
      <c r="AW422" s="2"/>
      <c r="AX422" s="2"/>
      <c r="AY422" s="2"/>
      <c r="AZ422" s="2"/>
      <c r="BA422" s="2"/>
      <c r="BB422" s="2"/>
      <c r="BC422" s="2"/>
      <c r="BD422" s="2"/>
      <c r="BE422" s="2"/>
    </row>
    <row r="423" hidden="1">
      <c r="A423" s="2"/>
      <c r="B423" s="312" t="s">
        <v>7316</v>
      </c>
      <c r="C423" s="220" t="s">
        <v>7317</v>
      </c>
      <c r="D423" s="11">
        <v>180.0</v>
      </c>
      <c r="E423" s="11" t="s">
        <v>269</v>
      </c>
      <c r="F423" s="11" t="s">
        <v>6969</v>
      </c>
      <c r="G423" s="295" t="s">
        <v>7318</v>
      </c>
      <c r="H423" s="296"/>
      <c r="I423" s="156">
        <v>750.0</v>
      </c>
      <c r="J423" s="301"/>
      <c r="K423" s="296"/>
      <c r="L423" s="156">
        <v>690.0</v>
      </c>
      <c r="M423" s="301">
        <v>750.0</v>
      </c>
      <c r="N423" s="284">
        <v>3.8</v>
      </c>
      <c r="O423" s="296">
        <v>3600.0</v>
      </c>
      <c r="P423" s="104"/>
      <c r="Q423" s="303">
        <f>P422</f>
        <v>3600</v>
      </c>
      <c r="R423" s="299" t="s">
        <v>7319</v>
      </c>
      <c r="S423" s="300">
        <v>46141.37881775463</v>
      </c>
      <c r="T423" s="2"/>
      <c r="U423" s="289">
        <f t="shared" si="4"/>
        <v>2850</v>
      </c>
      <c r="V423" s="290">
        <f t="shared" si="331"/>
        <v>-690</v>
      </c>
      <c r="W423" s="2"/>
      <c r="X423" s="289">
        <v>750.0</v>
      </c>
      <c r="Y423" s="139">
        <v>690.0</v>
      </c>
      <c r="Z423" s="2"/>
      <c r="AA423" s="2" t="s">
        <v>7317</v>
      </c>
      <c r="AB423" s="2" t="s">
        <v>7317</v>
      </c>
      <c r="AC423" s="2"/>
      <c r="AD423" s="2" t="s">
        <v>7317</v>
      </c>
      <c r="AE423" s="3" t="s">
        <v>7316</v>
      </c>
      <c r="AF423" s="2"/>
      <c r="AG423" s="1" t="s">
        <v>1582</v>
      </c>
      <c r="AH423" s="1" t="s">
        <v>6185</v>
      </c>
      <c r="AI423" s="2">
        <v>180.0</v>
      </c>
      <c r="AJ423" s="1" t="s">
        <v>1589</v>
      </c>
      <c r="AK423" s="1" t="s">
        <v>5878</v>
      </c>
      <c r="AL423" s="1" t="s">
        <v>5878</v>
      </c>
      <c r="AM423" s="2"/>
      <c r="AN423" s="2"/>
      <c r="AO423" s="2"/>
      <c r="AP423" s="2"/>
      <c r="AQ423" s="2"/>
      <c r="AR423" s="2"/>
      <c r="AS423" s="2"/>
      <c r="AT423" s="2"/>
      <c r="AU423" s="126">
        <v>750.0</v>
      </c>
      <c r="AV423" s="126">
        <v>3600.0</v>
      </c>
      <c r="AW423" s="2"/>
      <c r="AX423" s="2"/>
      <c r="AY423" s="2"/>
      <c r="AZ423" s="2"/>
      <c r="BA423" s="2"/>
      <c r="BB423" s="2"/>
      <c r="BC423" s="2"/>
      <c r="BD423" s="2"/>
      <c r="BE423" s="2"/>
    </row>
    <row r="424" hidden="1">
      <c r="A424" s="2"/>
      <c r="B424" s="312" t="s">
        <v>7320</v>
      </c>
      <c r="C424" s="220" t="s">
        <v>7321</v>
      </c>
      <c r="D424" s="11">
        <v>180.0</v>
      </c>
      <c r="E424" s="11" t="s">
        <v>269</v>
      </c>
      <c r="F424" s="11" t="s">
        <v>6969</v>
      </c>
      <c r="G424" s="295" t="s">
        <v>7322</v>
      </c>
      <c r="H424" s="296"/>
      <c r="I424" s="156">
        <v>750.0</v>
      </c>
      <c r="J424" s="301"/>
      <c r="K424" s="296"/>
      <c r="L424" s="156">
        <v>690.0</v>
      </c>
      <c r="M424" s="301">
        <v>750.0</v>
      </c>
      <c r="N424" s="284">
        <v>3.8</v>
      </c>
      <c r="O424" s="296">
        <v>3600.0</v>
      </c>
      <c r="P424" s="104"/>
      <c r="Q424" s="303">
        <f>P422</f>
        <v>3600</v>
      </c>
      <c r="R424" s="299" t="s">
        <v>7323</v>
      </c>
      <c r="S424" s="300">
        <v>46141.378868182874</v>
      </c>
      <c r="T424" s="2"/>
      <c r="U424" s="289">
        <f t="shared" si="4"/>
        <v>2850</v>
      </c>
      <c r="V424" s="290">
        <f t="shared" si="331"/>
        <v>-690</v>
      </c>
      <c r="W424" s="2"/>
      <c r="X424" s="289">
        <v>750.0</v>
      </c>
      <c r="Y424" s="139">
        <v>690.0</v>
      </c>
      <c r="Z424" s="2"/>
      <c r="AA424" s="2" t="s">
        <v>7321</v>
      </c>
      <c r="AB424" s="2" t="s">
        <v>7321</v>
      </c>
      <c r="AC424" s="2"/>
      <c r="AD424" s="2" t="s">
        <v>7321</v>
      </c>
      <c r="AE424" s="3" t="s">
        <v>7320</v>
      </c>
      <c r="AF424" s="2"/>
      <c r="AG424" s="1" t="s">
        <v>1582</v>
      </c>
      <c r="AH424" s="1" t="s">
        <v>6185</v>
      </c>
      <c r="AI424" s="2">
        <v>180.0</v>
      </c>
      <c r="AJ424" s="1" t="s">
        <v>1589</v>
      </c>
      <c r="AK424" s="1" t="s">
        <v>5878</v>
      </c>
      <c r="AL424" s="1" t="s">
        <v>5878</v>
      </c>
      <c r="AM424" s="2"/>
      <c r="AN424" s="2"/>
      <c r="AO424" s="2"/>
      <c r="AP424" s="2"/>
      <c r="AQ424" s="2"/>
      <c r="AR424" s="2"/>
      <c r="AS424" s="2"/>
      <c r="AT424" s="2"/>
      <c r="AU424" s="126">
        <v>750.0</v>
      </c>
      <c r="AV424" s="126">
        <v>3600.0</v>
      </c>
      <c r="AW424" s="2"/>
      <c r="AX424" s="2"/>
      <c r="AY424" s="2"/>
      <c r="AZ424" s="2"/>
      <c r="BA424" s="2"/>
      <c r="BB424" s="2"/>
      <c r="BC424" s="2"/>
      <c r="BD424" s="2"/>
      <c r="BE424" s="2"/>
    </row>
    <row r="425" hidden="1">
      <c r="A425" s="2"/>
      <c r="B425" s="312" t="s">
        <v>7324</v>
      </c>
      <c r="C425" s="220" t="s">
        <v>7325</v>
      </c>
      <c r="D425" s="11">
        <v>180.0</v>
      </c>
      <c r="E425" s="11" t="s">
        <v>269</v>
      </c>
      <c r="F425" s="11" t="s">
        <v>6969</v>
      </c>
      <c r="G425" s="306"/>
      <c r="H425" s="296"/>
      <c r="I425" s="139"/>
      <c r="J425" s="301"/>
      <c r="K425" s="296"/>
      <c r="L425" s="156">
        <v>690.0</v>
      </c>
      <c r="M425" s="301">
        <v>690.0</v>
      </c>
      <c r="N425" s="284">
        <v>3.8</v>
      </c>
      <c r="O425" s="296">
        <v>3300.0</v>
      </c>
      <c r="P425" s="104"/>
      <c r="Q425" s="303">
        <f>P422</f>
        <v>3600</v>
      </c>
      <c r="R425" s="307"/>
      <c r="S425" s="308"/>
      <c r="T425" s="2"/>
      <c r="U425" s="59" t="str">
        <f t="shared" si="4"/>
        <v>нет з/ч</v>
      </c>
      <c r="V425" s="290">
        <f t="shared" si="331"/>
        <v>-690</v>
      </c>
      <c r="W425" s="2"/>
      <c r="X425" s="289"/>
      <c r="Y425" s="139">
        <v>690.0</v>
      </c>
      <c r="Z425" s="2"/>
      <c r="AA425" s="2" t="s">
        <v>7325</v>
      </c>
      <c r="AB425" s="2" t="s">
        <v>7325</v>
      </c>
      <c r="AC425" s="2"/>
      <c r="AD425" s="2" t="s">
        <v>7325</v>
      </c>
      <c r="AE425" s="3" t="s">
        <v>7324</v>
      </c>
      <c r="AF425" s="2"/>
      <c r="AG425" s="1" t="s">
        <v>1582</v>
      </c>
      <c r="AH425" s="1" t="s">
        <v>6185</v>
      </c>
      <c r="AI425" s="2">
        <v>180.0</v>
      </c>
      <c r="AJ425" s="1" t="s">
        <v>1589</v>
      </c>
      <c r="AK425" s="1" t="s">
        <v>5878</v>
      </c>
      <c r="AL425" s="1" t="s">
        <v>5878</v>
      </c>
      <c r="AM425" s="2"/>
      <c r="AN425" s="2"/>
      <c r="AO425" s="2"/>
      <c r="AP425" s="2"/>
      <c r="AQ425" s="2"/>
      <c r="AR425" s="2"/>
      <c r="AS425" s="2"/>
      <c r="AT425" s="2"/>
      <c r="AU425" s="126">
        <v>690.0</v>
      </c>
      <c r="AV425" s="126">
        <v>3600.0</v>
      </c>
      <c r="AW425" s="2"/>
      <c r="AX425" s="2"/>
      <c r="AY425" s="2"/>
      <c r="AZ425" s="2"/>
      <c r="BA425" s="2"/>
      <c r="BB425" s="2"/>
      <c r="BC425" s="2"/>
      <c r="BD425" s="2"/>
      <c r="BE425" s="2"/>
    </row>
    <row r="426" hidden="1">
      <c r="A426" s="2"/>
      <c r="B426" s="312" t="s">
        <v>7326</v>
      </c>
      <c r="C426" s="220" t="s">
        <v>7327</v>
      </c>
      <c r="D426" s="11">
        <v>180.0</v>
      </c>
      <c r="E426" s="11" t="s">
        <v>269</v>
      </c>
      <c r="F426" s="11" t="s">
        <v>6969</v>
      </c>
      <c r="G426" s="295" t="s">
        <v>7328</v>
      </c>
      <c r="H426" s="296"/>
      <c r="I426" s="156">
        <v>750.0</v>
      </c>
      <c r="J426" s="301"/>
      <c r="K426" s="296"/>
      <c r="L426" s="156">
        <v>690.0</v>
      </c>
      <c r="M426" s="301">
        <v>750.0</v>
      </c>
      <c r="N426" s="284">
        <v>3.8</v>
      </c>
      <c r="O426" s="296">
        <v>3600.0</v>
      </c>
      <c r="P426" s="104"/>
      <c r="Q426" s="303">
        <f>P422</f>
        <v>3600</v>
      </c>
      <c r="R426" s="299" t="s">
        <v>7329</v>
      </c>
      <c r="S426" s="300">
        <v>46141.37891802083</v>
      </c>
      <c r="T426" s="2"/>
      <c r="U426" s="289">
        <f t="shared" si="4"/>
        <v>2850</v>
      </c>
      <c r="V426" s="290">
        <f t="shared" si="331"/>
        <v>-690</v>
      </c>
      <c r="W426" s="2"/>
      <c r="X426" s="289">
        <v>750.0</v>
      </c>
      <c r="Y426" s="139">
        <v>690.0</v>
      </c>
      <c r="Z426" s="2"/>
      <c r="AA426" s="2" t="s">
        <v>7327</v>
      </c>
      <c r="AB426" s="2" t="s">
        <v>7327</v>
      </c>
      <c r="AC426" s="2"/>
      <c r="AD426" s="2" t="s">
        <v>7327</v>
      </c>
      <c r="AE426" s="3" t="s">
        <v>7326</v>
      </c>
      <c r="AF426" s="2"/>
      <c r="AG426" s="1" t="s">
        <v>1582</v>
      </c>
      <c r="AH426" s="1" t="s">
        <v>6185</v>
      </c>
      <c r="AI426" s="2">
        <v>180.0</v>
      </c>
      <c r="AJ426" s="1" t="s">
        <v>1589</v>
      </c>
      <c r="AK426" s="1" t="s">
        <v>5878</v>
      </c>
      <c r="AL426" s="1" t="s">
        <v>5878</v>
      </c>
      <c r="AM426" s="2"/>
      <c r="AN426" s="2"/>
      <c r="AO426" s="2"/>
      <c r="AP426" s="2"/>
      <c r="AQ426" s="2"/>
      <c r="AR426" s="2"/>
      <c r="AS426" s="2"/>
      <c r="AT426" s="2"/>
      <c r="AU426" s="126">
        <v>750.0</v>
      </c>
      <c r="AV426" s="126">
        <v>3600.0</v>
      </c>
      <c r="AW426" s="2"/>
      <c r="AX426" s="2"/>
      <c r="AY426" s="2"/>
      <c r="AZ426" s="2"/>
      <c r="BA426" s="2"/>
      <c r="BB426" s="2"/>
      <c r="BC426" s="2"/>
      <c r="BD426" s="2"/>
      <c r="BE426" s="2"/>
    </row>
    <row r="427" hidden="1">
      <c r="A427" s="2"/>
      <c r="B427" s="312" t="s">
        <v>7330</v>
      </c>
      <c r="C427" s="84"/>
      <c r="D427" s="11">
        <v>180.0</v>
      </c>
      <c r="E427" s="11" t="s">
        <v>269</v>
      </c>
      <c r="F427" s="11" t="s">
        <v>6969</v>
      </c>
      <c r="G427" s="295" t="s">
        <v>7331</v>
      </c>
      <c r="H427" s="296"/>
      <c r="I427" s="156">
        <v>750.0</v>
      </c>
      <c r="J427" s="301"/>
      <c r="K427" s="296"/>
      <c r="L427" s="156">
        <v>690.0</v>
      </c>
      <c r="M427" s="301">
        <v>750.0</v>
      </c>
      <c r="N427" s="284">
        <v>3.8</v>
      </c>
      <c r="O427" s="296">
        <v>3600.0</v>
      </c>
      <c r="P427" s="67"/>
      <c r="Q427" s="303">
        <f>P422</f>
        <v>3600</v>
      </c>
      <c r="R427" s="299" t="s">
        <v>7332</v>
      </c>
      <c r="S427" s="300">
        <v>46141.37897109953</v>
      </c>
      <c r="T427" s="2"/>
      <c r="U427" s="289">
        <f t="shared" si="4"/>
        <v>2850</v>
      </c>
      <c r="V427" s="290">
        <f t="shared" si="331"/>
        <v>-690</v>
      </c>
      <c r="W427" s="2"/>
      <c r="X427" s="289">
        <v>750.0</v>
      </c>
      <c r="Y427" s="139">
        <v>690.0</v>
      </c>
      <c r="Z427" s="2"/>
      <c r="AA427" s="2"/>
      <c r="AB427" s="2"/>
      <c r="AC427" s="2"/>
      <c r="AD427" s="2"/>
      <c r="AE427" s="3" t="s">
        <v>7330</v>
      </c>
      <c r="AF427" s="2"/>
      <c r="AG427" s="1" t="s">
        <v>1582</v>
      </c>
      <c r="AH427" s="1" t="s">
        <v>6185</v>
      </c>
      <c r="AI427" s="2">
        <v>180.0</v>
      </c>
      <c r="AJ427" s="1" t="s">
        <v>1589</v>
      </c>
      <c r="AK427" s="1" t="s">
        <v>5878</v>
      </c>
      <c r="AL427" s="1" t="s">
        <v>5878</v>
      </c>
      <c r="AM427" s="2"/>
      <c r="AN427" s="2"/>
      <c r="AO427" s="2"/>
      <c r="AP427" s="2"/>
      <c r="AQ427" s="2"/>
      <c r="AR427" s="2"/>
      <c r="AS427" s="2"/>
      <c r="AT427" s="2"/>
      <c r="AU427" s="126">
        <v>750.0</v>
      </c>
      <c r="AV427" s="126">
        <v>3600.0</v>
      </c>
      <c r="AW427" s="2"/>
      <c r="AX427" s="2"/>
      <c r="AY427" s="2"/>
      <c r="AZ427" s="2"/>
      <c r="BA427" s="2"/>
      <c r="BB427" s="2"/>
      <c r="BC427" s="2"/>
      <c r="BD427" s="2"/>
      <c r="BE427" s="2"/>
    </row>
    <row r="428" hidden="1">
      <c r="A428" s="2"/>
      <c r="B428" s="312" t="s">
        <v>7333</v>
      </c>
      <c r="C428" s="220" t="s">
        <v>7334</v>
      </c>
      <c r="D428" s="11">
        <v>180.0</v>
      </c>
      <c r="E428" s="11" t="s">
        <v>276</v>
      </c>
      <c r="F428" s="11" t="s">
        <v>6969</v>
      </c>
      <c r="G428" s="295" t="s">
        <v>7335</v>
      </c>
      <c r="H428" s="296"/>
      <c r="I428" s="156">
        <v>700.0</v>
      </c>
      <c r="J428" s="301"/>
      <c r="K428" s="296"/>
      <c r="L428" s="156">
        <v>750.0</v>
      </c>
      <c r="M428" s="301">
        <v>750.0</v>
      </c>
      <c r="N428" s="284">
        <v>0.12</v>
      </c>
      <c r="O428" s="296">
        <v>850.0</v>
      </c>
      <c r="P428" s="313">
        <f>MAX(O428:O431)</f>
        <v>850</v>
      </c>
      <c r="Q428" s="303">
        <f>P428</f>
        <v>850</v>
      </c>
      <c r="R428" s="299" t="s">
        <v>7336</v>
      </c>
      <c r="S428" s="300">
        <v>46141.379019189815</v>
      </c>
      <c r="T428" s="2"/>
      <c r="U428" s="289">
        <f t="shared" si="4"/>
        <v>150</v>
      </c>
      <c r="V428" s="290">
        <f t="shared" ref="V428:V431" si="332">IF(L428&gt;0, Q1517 - L428, "нет з/ч")</f>
        <v>-750</v>
      </c>
      <c r="W428" s="2"/>
      <c r="X428" s="289">
        <v>700.0</v>
      </c>
      <c r="Y428" s="139">
        <v>750.0</v>
      </c>
      <c r="Z428" s="2"/>
      <c r="AA428" s="2" t="s">
        <v>7334</v>
      </c>
      <c r="AB428" s="2" t="s">
        <v>7334</v>
      </c>
      <c r="AC428" s="2"/>
      <c r="AD428" s="2" t="s">
        <v>7334</v>
      </c>
      <c r="AE428" s="3" t="s">
        <v>7333</v>
      </c>
      <c r="AF428" s="2"/>
      <c r="AG428" s="1" t="s">
        <v>1582</v>
      </c>
      <c r="AH428" s="1" t="s">
        <v>6205</v>
      </c>
      <c r="AI428" s="2">
        <v>180.0</v>
      </c>
      <c r="AJ428" s="1" t="s">
        <v>1589</v>
      </c>
      <c r="AK428" s="1" t="s">
        <v>5878</v>
      </c>
      <c r="AL428" s="1" t="s">
        <v>5878</v>
      </c>
      <c r="AM428" s="2"/>
      <c r="AN428" s="2"/>
      <c r="AO428" s="2"/>
      <c r="AP428" s="2"/>
      <c r="AQ428" s="2"/>
      <c r="AR428" s="2"/>
      <c r="AS428" s="2"/>
      <c r="AT428" s="2"/>
      <c r="AU428" s="126">
        <v>750.0</v>
      </c>
      <c r="AV428" s="126">
        <v>850.0</v>
      </c>
      <c r="AW428" s="2"/>
      <c r="AX428" s="2"/>
      <c r="AY428" s="2"/>
      <c r="AZ428" s="2"/>
      <c r="BA428" s="2"/>
      <c r="BB428" s="2"/>
      <c r="BC428" s="2"/>
      <c r="BD428" s="2"/>
      <c r="BE428" s="2"/>
    </row>
    <row r="429" hidden="1">
      <c r="A429" s="2"/>
      <c r="B429" s="312" t="s">
        <v>7337</v>
      </c>
      <c r="C429" s="220" t="s">
        <v>7338</v>
      </c>
      <c r="D429" s="11">
        <v>180.0</v>
      </c>
      <c r="E429" s="11" t="s">
        <v>276</v>
      </c>
      <c r="F429" s="11" t="s">
        <v>6969</v>
      </c>
      <c r="G429" s="295" t="s">
        <v>7339</v>
      </c>
      <c r="H429" s="296"/>
      <c r="I429" s="156">
        <v>700.0</v>
      </c>
      <c r="J429" s="301"/>
      <c r="K429" s="296"/>
      <c r="L429" s="156">
        <v>750.0</v>
      </c>
      <c r="M429" s="301">
        <v>750.0</v>
      </c>
      <c r="N429" s="284">
        <v>0.12</v>
      </c>
      <c r="O429" s="296">
        <v>850.0</v>
      </c>
      <c r="P429" s="104"/>
      <c r="Q429" s="303">
        <f>P428</f>
        <v>850</v>
      </c>
      <c r="R429" s="299" t="s">
        <v>7340</v>
      </c>
      <c r="S429" s="300">
        <v>46141.37906777777</v>
      </c>
      <c r="T429" s="2"/>
      <c r="U429" s="289">
        <f t="shared" si="4"/>
        <v>150</v>
      </c>
      <c r="V429" s="290">
        <f t="shared" si="332"/>
        <v>-750</v>
      </c>
      <c r="W429" s="2"/>
      <c r="X429" s="289">
        <v>700.0</v>
      </c>
      <c r="Y429" s="139">
        <v>750.0</v>
      </c>
      <c r="Z429" s="2"/>
      <c r="AA429" s="2" t="s">
        <v>7338</v>
      </c>
      <c r="AB429" s="2" t="s">
        <v>7338</v>
      </c>
      <c r="AC429" s="2"/>
      <c r="AD429" s="2" t="s">
        <v>7338</v>
      </c>
      <c r="AE429" s="3" t="s">
        <v>7337</v>
      </c>
      <c r="AF429" s="2"/>
      <c r="AG429" s="1" t="s">
        <v>1582</v>
      </c>
      <c r="AH429" s="1" t="s">
        <v>6205</v>
      </c>
      <c r="AI429" s="2">
        <v>180.0</v>
      </c>
      <c r="AJ429" s="1" t="s">
        <v>1589</v>
      </c>
      <c r="AK429" s="1" t="s">
        <v>5878</v>
      </c>
      <c r="AL429" s="1" t="s">
        <v>5878</v>
      </c>
      <c r="AM429" s="2"/>
      <c r="AN429" s="2"/>
      <c r="AO429" s="2"/>
      <c r="AP429" s="2"/>
      <c r="AQ429" s="2"/>
      <c r="AR429" s="2"/>
      <c r="AS429" s="2"/>
      <c r="AT429" s="2"/>
      <c r="AU429" s="126">
        <v>750.0</v>
      </c>
      <c r="AV429" s="126">
        <v>850.0</v>
      </c>
      <c r="AW429" s="2"/>
      <c r="AX429" s="2"/>
      <c r="AY429" s="2"/>
      <c r="AZ429" s="2"/>
      <c r="BA429" s="2"/>
      <c r="BB429" s="2"/>
      <c r="BC429" s="2"/>
      <c r="BD429" s="2"/>
      <c r="BE429" s="2"/>
    </row>
    <row r="430" hidden="1">
      <c r="A430" s="2"/>
      <c r="B430" s="312" t="s">
        <v>7341</v>
      </c>
      <c r="C430" s="220" t="s">
        <v>7342</v>
      </c>
      <c r="D430" s="11">
        <v>180.0</v>
      </c>
      <c r="E430" s="11" t="s">
        <v>276</v>
      </c>
      <c r="F430" s="11" t="s">
        <v>6969</v>
      </c>
      <c r="G430" s="295" t="s">
        <v>7343</v>
      </c>
      <c r="H430" s="296"/>
      <c r="I430" s="156">
        <v>700.0</v>
      </c>
      <c r="J430" s="301"/>
      <c r="K430" s="296"/>
      <c r="L430" s="156">
        <v>750.0</v>
      </c>
      <c r="M430" s="301">
        <v>750.0</v>
      </c>
      <c r="N430" s="284">
        <v>0.12</v>
      </c>
      <c r="O430" s="296">
        <v>850.0</v>
      </c>
      <c r="P430" s="104"/>
      <c r="Q430" s="303">
        <f>P428</f>
        <v>850</v>
      </c>
      <c r="R430" s="299" t="s">
        <v>7344</v>
      </c>
      <c r="S430" s="300">
        <v>46141.37912814815</v>
      </c>
      <c r="T430" s="2"/>
      <c r="U430" s="289">
        <f t="shared" si="4"/>
        <v>150</v>
      </c>
      <c r="V430" s="290">
        <f t="shared" si="332"/>
        <v>-750</v>
      </c>
      <c r="W430" s="2"/>
      <c r="X430" s="289">
        <v>700.0</v>
      </c>
      <c r="Y430" s="139">
        <v>750.0</v>
      </c>
      <c r="Z430" s="2"/>
      <c r="AA430" s="2" t="s">
        <v>7342</v>
      </c>
      <c r="AB430" s="2" t="s">
        <v>7342</v>
      </c>
      <c r="AC430" s="2"/>
      <c r="AD430" s="2" t="s">
        <v>7342</v>
      </c>
      <c r="AE430" s="3" t="s">
        <v>7341</v>
      </c>
      <c r="AF430" s="2"/>
      <c r="AG430" s="1" t="s">
        <v>1582</v>
      </c>
      <c r="AH430" s="1" t="s">
        <v>6205</v>
      </c>
      <c r="AI430" s="2">
        <v>180.0</v>
      </c>
      <c r="AJ430" s="1" t="s">
        <v>1589</v>
      </c>
      <c r="AK430" s="1" t="s">
        <v>5878</v>
      </c>
      <c r="AL430" s="1" t="s">
        <v>5878</v>
      </c>
      <c r="AM430" s="2"/>
      <c r="AN430" s="2"/>
      <c r="AO430" s="2"/>
      <c r="AP430" s="2"/>
      <c r="AQ430" s="2"/>
      <c r="AR430" s="2"/>
      <c r="AS430" s="2"/>
      <c r="AT430" s="2"/>
      <c r="AU430" s="126">
        <v>750.0</v>
      </c>
      <c r="AV430" s="126">
        <v>850.0</v>
      </c>
      <c r="AW430" s="2"/>
      <c r="AX430" s="2"/>
      <c r="AY430" s="2"/>
      <c r="AZ430" s="2"/>
      <c r="BA430" s="2"/>
      <c r="BB430" s="2"/>
      <c r="BC430" s="2"/>
      <c r="BD430" s="2"/>
      <c r="BE430" s="2"/>
    </row>
    <row r="431" hidden="1">
      <c r="A431" s="2"/>
      <c r="B431" s="312" t="s">
        <v>7345</v>
      </c>
      <c r="C431" s="220" t="s">
        <v>7346</v>
      </c>
      <c r="D431" s="11">
        <v>180.0</v>
      </c>
      <c r="E431" s="11" t="s">
        <v>276</v>
      </c>
      <c r="F431" s="11" t="s">
        <v>6969</v>
      </c>
      <c r="G431" s="295" t="s">
        <v>7347</v>
      </c>
      <c r="H431" s="296"/>
      <c r="I431" s="156">
        <v>700.0</v>
      </c>
      <c r="J431" s="301"/>
      <c r="K431" s="296"/>
      <c r="L431" s="156">
        <v>750.0</v>
      </c>
      <c r="M431" s="301">
        <v>750.0</v>
      </c>
      <c r="N431" s="284">
        <v>0.12</v>
      </c>
      <c r="O431" s="296">
        <v>850.0</v>
      </c>
      <c r="P431" s="67"/>
      <c r="Q431" s="303">
        <f>P428</f>
        <v>850</v>
      </c>
      <c r="R431" s="299" t="s">
        <v>7348</v>
      </c>
      <c r="S431" s="300">
        <v>46141.37917622685</v>
      </c>
      <c r="T431" s="2"/>
      <c r="U431" s="289">
        <f t="shared" si="4"/>
        <v>150</v>
      </c>
      <c r="V431" s="290">
        <f t="shared" si="332"/>
        <v>-750</v>
      </c>
      <c r="W431" s="2"/>
      <c r="X431" s="289">
        <v>700.0</v>
      </c>
      <c r="Y431" s="139">
        <v>750.0</v>
      </c>
      <c r="Z431" s="2"/>
      <c r="AA431" s="2" t="s">
        <v>7346</v>
      </c>
      <c r="AB431" s="2" t="s">
        <v>7346</v>
      </c>
      <c r="AC431" s="2"/>
      <c r="AD431" s="2" t="s">
        <v>7346</v>
      </c>
      <c r="AE431" s="3" t="s">
        <v>7345</v>
      </c>
      <c r="AF431" s="2"/>
      <c r="AG431" s="1" t="s">
        <v>1582</v>
      </c>
      <c r="AH431" s="1" t="s">
        <v>6205</v>
      </c>
      <c r="AI431" s="2">
        <v>180.0</v>
      </c>
      <c r="AJ431" s="1" t="s">
        <v>1589</v>
      </c>
      <c r="AK431" s="1" t="s">
        <v>5878</v>
      </c>
      <c r="AL431" s="1" t="s">
        <v>5878</v>
      </c>
      <c r="AM431" s="2"/>
      <c r="AN431" s="2"/>
      <c r="AO431" s="2"/>
      <c r="AP431" s="2"/>
      <c r="AQ431" s="2"/>
      <c r="AR431" s="2"/>
      <c r="AS431" s="2"/>
      <c r="AT431" s="2"/>
      <c r="AU431" s="126">
        <v>750.0</v>
      </c>
      <c r="AV431" s="126">
        <v>850.0</v>
      </c>
      <c r="AW431" s="2"/>
      <c r="AX431" s="2"/>
      <c r="AY431" s="2"/>
      <c r="AZ431" s="2"/>
      <c r="BA431" s="2"/>
      <c r="BB431" s="2"/>
      <c r="BC431" s="2"/>
      <c r="BD431" s="2"/>
      <c r="BE431" s="2"/>
    </row>
    <row r="432" hidden="1">
      <c r="A432" s="2"/>
      <c r="B432" s="312" t="s">
        <v>7349</v>
      </c>
      <c r="C432" s="220" t="s">
        <v>7350</v>
      </c>
      <c r="D432" s="11">
        <v>180.0</v>
      </c>
      <c r="E432" s="11" t="s">
        <v>283</v>
      </c>
      <c r="F432" s="11" t="s">
        <v>6969</v>
      </c>
      <c r="G432" s="295" t="s">
        <v>7351</v>
      </c>
      <c r="H432" s="296"/>
      <c r="I432" s="156">
        <v>720.0</v>
      </c>
      <c r="J432" s="301"/>
      <c r="K432" s="296"/>
      <c r="L432" s="156">
        <v>790.0</v>
      </c>
      <c r="M432" s="301">
        <v>790.0</v>
      </c>
      <c r="N432" s="284">
        <v>0.12</v>
      </c>
      <c r="O432" s="296">
        <v>900.0</v>
      </c>
      <c r="P432" s="313">
        <f>MAX(O432:O435)</f>
        <v>900</v>
      </c>
      <c r="Q432" s="303">
        <f>P432</f>
        <v>900</v>
      </c>
      <c r="R432" s="299" t="s">
        <v>7352</v>
      </c>
      <c r="S432" s="300">
        <v>46141.379225763885</v>
      </c>
      <c r="T432" s="2"/>
      <c r="U432" s="289">
        <f t="shared" si="4"/>
        <v>180</v>
      </c>
      <c r="V432" s="290">
        <f t="shared" ref="V432:V551" si="333">IF(L432&gt;0, Q1525 - L432, "нет з/ч")</f>
        <v>-790</v>
      </c>
      <c r="W432" s="2"/>
      <c r="X432" s="289">
        <v>720.0</v>
      </c>
      <c r="Y432" s="139">
        <v>790.0</v>
      </c>
      <c r="Z432" s="2"/>
      <c r="AA432" s="2" t="s">
        <v>7350</v>
      </c>
      <c r="AB432" s="2" t="s">
        <v>7350</v>
      </c>
      <c r="AC432" s="2"/>
      <c r="AD432" s="2" t="s">
        <v>7350</v>
      </c>
      <c r="AE432" s="3" t="s">
        <v>7349</v>
      </c>
      <c r="AF432" s="2"/>
      <c r="AG432" s="1" t="s">
        <v>1582</v>
      </c>
      <c r="AH432" s="1" t="s">
        <v>6229</v>
      </c>
      <c r="AI432" s="2">
        <v>180.0</v>
      </c>
      <c r="AJ432" s="1" t="s">
        <v>1589</v>
      </c>
      <c r="AK432" s="1" t="s">
        <v>5878</v>
      </c>
      <c r="AL432" s="1" t="s">
        <v>5878</v>
      </c>
      <c r="AM432" s="2"/>
      <c r="AN432" s="2"/>
      <c r="AO432" s="2"/>
      <c r="AP432" s="2"/>
      <c r="AQ432" s="2"/>
      <c r="AR432" s="2"/>
      <c r="AS432" s="2"/>
      <c r="AT432" s="2"/>
      <c r="AU432" s="126">
        <v>790.0</v>
      </c>
      <c r="AV432" s="126">
        <v>900.0</v>
      </c>
      <c r="AW432" s="2"/>
      <c r="AX432" s="2"/>
      <c r="AY432" s="2"/>
      <c r="AZ432" s="2"/>
      <c r="BA432" s="2"/>
      <c r="BB432" s="2"/>
      <c r="BC432" s="2"/>
      <c r="BD432" s="2"/>
      <c r="BE432" s="2"/>
    </row>
    <row r="433" hidden="1">
      <c r="A433" s="2"/>
      <c r="B433" s="312" t="s">
        <v>7353</v>
      </c>
      <c r="C433" s="220" t="s">
        <v>7354</v>
      </c>
      <c r="D433" s="11">
        <v>180.0</v>
      </c>
      <c r="E433" s="11" t="s">
        <v>283</v>
      </c>
      <c r="F433" s="11" t="s">
        <v>6969</v>
      </c>
      <c r="G433" s="295" t="s">
        <v>7355</v>
      </c>
      <c r="H433" s="296"/>
      <c r="I433" s="156">
        <v>720.0</v>
      </c>
      <c r="J433" s="301"/>
      <c r="K433" s="296"/>
      <c r="L433" s="156">
        <v>790.0</v>
      </c>
      <c r="M433" s="301">
        <v>790.0</v>
      </c>
      <c r="N433" s="284">
        <v>0.12</v>
      </c>
      <c r="O433" s="296">
        <v>900.0</v>
      </c>
      <c r="P433" s="104"/>
      <c r="Q433" s="303">
        <f>P432</f>
        <v>900</v>
      </c>
      <c r="R433" s="299" t="s">
        <v>7356</v>
      </c>
      <c r="S433" s="300">
        <v>46141.37927479167</v>
      </c>
      <c r="T433" s="2"/>
      <c r="U433" s="289">
        <f t="shared" si="4"/>
        <v>180</v>
      </c>
      <c r="V433" s="290">
        <f t="shared" si="333"/>
        <v>-790</v>
      </c>
      <c r="W433" s="2"/>
      <c r="X433" s="289">
        <v>720.0</v>
      </c>
      <c r="Y433" s="139">
        <v>790.0</v>
      </c>
      <c r="Z433" s="2"/>
      <c r="AA433" s="2" t="s">
        <v>7354</v>
      </c>
      <c r="AB433" s="2" t="s">
        <v>7354</v>
      </c>
      <c r="AC433" s="2"/>
      <c r="AD433" s="2" t="s">
        <v>7354</v>
      </c>
      <c r="AE433" s="3" t="s">
        <v>7353</v>
      </c>
      <c r="AF433" s="2"/>
      <c r="AG433" s="1" t="s">
        <v>1582</v>
      </c>
      <c r="AH433" s="1" t="s">
        <v>6229</v>
      </c>
      <c r="AI433" s="2">
        <v>180.0</v>
      </c>
      <c r="AJ433" s="1" t="s">
        <v>1589</v>
      </c>
      <c r="AK433" s="1" t="s">
        <v>5878</v>
      </c>
      <c r="AL433" s="1" t="s">
        <v>5878</v>
      </c>
      <c r="AM433" s="2"/>
      <c r="AN433" s="2"/>
      <c r="AO433" s="2"/>
      <c r="AP433" s="2"/>
      <c r="AQ433" s="2"/>
      <c r="AR433" s="2"/>
      <c r="AS433" s="2"/>
      <c r="AT433" s="2"/>
      <c r="AU433" s="126">
        <v>790.0</v>
      </c>
      <c r="AV433" s="126">
        <v>900.0</v>
      </c>
      <c r="AW433" s="2"/>
      <c r="AX433" s="2"/>
      <c r="AY433" s="2"/>
      <c r="AZ433" s="2"/>
      <c r="BA433" s="2"/>
      <c r="BB433" s="2"/>
      <c r="BC433" s="2"/>
      <c r="BD433" s="2"/>
      <c r="BE433" s="2"/>
    </row>
    <row r="434" hidden="1">
      <c r="A434" s="2"/>
      <c r="B434" s="312" t="s">
        <v>7357</v>
      </c>
      <c r="C434" s="220" t="s">
        <v>7358</v>
      </c>
      <c r="D434" s="11">
        <v>180.0</v>
      </c>
      <c r="E434" s="11" t="s">
        <v>283</v>
      </c>
      <c r="F434" s="11" t="s">
        <v>6969</v>
      </c>
      <c r="G434" s="295" t="s">
        <v>7359</v>
      </c>
      <c r="H434" s="296"/>
      <c r="I434" s="156">
        <v>720.0</v>
      </c>
      <c r="J434" s="301"/>
      <c r="K434" s="296"/>
      <c r="L434" s="156">
        <v>790.0</v>
      </c>
      <c r="M434" s="301">
        <v>790.0</v>
      </c>
      <c r="N434" s="284">
        <v>0.12</v>
      </c>
      <c r="O434" s="296">
        <v>900.0</v>
      </c>
      <c r="P434" s="104"/>
      <c r="Q434" s="303">
        <f>P432</f>
        <v>900</v>
      </c>
      <c r="R434" s="299" t="s">
        <v>7360</v>
      </c>
      <c r="S434" s="300">
        <v>46141.37932501157</v>
      </c>
      <c r="T434" s="2"/>
      <c r="U434" s="289">
        <f t="shared" si="4"/>
        <v>180</v>
      </c>
      <c r="V434" s="290">
        <f t="shared" si="333"/>
        <v>-790</v>
      </c>
      <c r="W434" s="2"/>
      <c r="X434" s="289">
        <v>720.0</v>
      </c>
      <c r="Y434" s="139">
        <v>790.0</v>
      </c>
      <c r="Z434" s="2"/>
      <c r="AA434" s="2" t="s">
        <v>7358</v>
      </c>
      <c r="AB434" s="2" t="s">
        <v>7358</v>
      </c>
      <c r="AC434" s="2"/>
      <c r="AD434" s="2" t="s">
        <v>7358</v>
      </c>
      <c r="AE434" s="3" t="s">
        <v>7357</v>
      </c>
      <c r="AF434" s="2"/>
      <c r="AG434" s="1" t="s">
        <v>1582</v>
      </c>
      <c r="AH434" s="1" t="s">
        <v>6229</v>
      </c>
      <c r="AI434" s="2">
        <v>180.0</v>
      </c>
      <c r="AJ434" s="1" t="s">
        <v>1589</v>
      </c>
      <c r="AK434" s="1" t="s">
        <v>5878</v>
      </c>
      <c r="AL434" s="1" t="s">
        <v>5878</v>
      </c>
      <c r="AM434" s="2"/>
      <c r="AN434" s="2"/>
      <c r="AO434" s="2"/>
      <c r="AP434" s="2"/>
      <c r="AQ434" s="2"/>
      <c r="AR434" s="2"/>
      <c r="AS434" s="2"/>
      <c r="AT434" s="2"/>
      <c r="AU434" s="126">
        <v>790.0</v>
      </c>
      <c r="AV434" s="126">
        <v>900.0</v>
      </c>
      <c r="AW434" s="2"/>
      <c r="AX434" s="2"/>
      <c r="AY434" s="2"/>
      <c r="AZ434" s="2"/>
      <c r="BA434" s="2"/>
      <c r="BB434" s="2"/>
      <c r="BC434" s="2"/>
      <c r="BD434" s="2"/>
      <c r="BE434" s="2"/>
    </row>
    <row r="435" hidden="1">
      <c r="A435" s="2"/>
      <c r="B435" s="312" t="s">
        <v>7361</v>
      </c>
      <c r="C435" s="220" t="s">
        <v>7362</v>
      </c>
      <c r="D435" s="11">
        <v>180.0</v>
      </c>
      <c r="E435" s="11" t="s">
        <v>283</v>
      </c>
      <c r="F435" s="11" t="s">
        <v>6969</v>
      </c>
      <c r="G435" s="295" t="s">
        <v>7363</v>
      </c>
      <c r="H435" s="296"/>
      <c r="I435" s="156">
        <v>720.0</v>
      </c>
      <c r="J435" s="301"/>
      <c r="K435" s="296"/>
      <c r="L435" s="156">
        <v>790.0</v>
      </c>
      <c r="M435" s="301">
        <v>790.0</v>
      </c>
      <c r="N435" s="284">
        <v>0.12</v>
      </c>
      <c r="O435" s="296">
        <v>900.0</v>
      </c>
      <c r="P435" s="67"/>
      <c r="Q435" s="303">
        <f>P432</f>
        <v>900</v>
      </c>
      <c r="R435" s="299" t="s">
        <v>7364</v>
      </c>
      <c r="S435" s="300">
        <v>46141.37937329861</v>
      </c>
      <c r="T435" s="2"/>
      <c r="U435" s="289">
        <f t="shared" si="4"/>
        <v>180</v>
      </c>
      <c r="V435" s="290">
        <f t="shared" si="333"/>
        <v>-790</v>
      </c>
      <c r="W435" s="2"/>
      <c r="X435" s="289">
        <v>720.0</v>
      </c>
      <c r="Y435" s="139">
        <v>790.0</v>
      </c>
      <c r="Z435" s="2"/>
      <c r="AA435" s="2" t="s">
        <v>7362</v>
      </c>
      <c r="AB435" s="2" t="s">
        <v>7362</v>
      </c>
      <c r="AC435" s="2"/>
      <c r="AD435" s="2" t="s">
        <v>7362</v>
      </c>
      <c r="AE435" s="3" t="s">
        <v>7361</v>
      </c>
      <c r="AF435" s="2"/>
      <c r="AG435" s="1" t="s">
        <v>1582</v>
      </c>
      <c r="AH435" s="1" t="s">
        <v>6229</v>
      </c>
      <c r="AI435" s="2">
        <v>180.0</v>
      </c>
      <c r="AJ435" s="1" t="s">
        <v>1589</v>
      </c>
      <c r="AK435" s="1" t="s">
        <v>5878</v>
      </c>
      <c r="AL435" s="1" t="s">
        <v>5878</v>
      </c>
      <c r="AM435" s="2"/>
      <c r="AN435" s="2"/>
      <c r="AO435" s="2"/>
      <c r="AP435" s="2"/>
      <c r="AQ435" s="2"/>
      <c r="AR435" s="2"/>
      <c r="AS435" s="2"/>
      <c r="AT435" s="2"/>
      <c r="AU435" s="126">
        <v>790.0</v>
      </c>
      <c r="AV435" s="126">
        <v>900.0</v>
      </c>
      <c r="AW435" s="2"/>
      <c r="AX435" s="2"/>
      <c r="AY435" s="2"/>
      <c r="AZ435" s="2"/>
      <c r="BA435" s="2"/>
      <c r="BB435" s="2"/>
      <c r="BC435" s="2"/>
      <c r="BD435" s="2"/>
      <c r="BE435" s="2"/>
    </row>
    <row r="436" hidden="1">
      <c r="A436" s="2"/>
      <c r="B436" s="312" t="s">
        <v>7365</v>
      </c>
      <c r="C436" s="84"/>
      <c r="D436" s="11">
        <v>180.0</v>
      </c>
      <c r="E436" s="11" t="s">
        <v>290</v>
      </c>
      <c r="F436" s="11" t="s">
        <v>6969</v>
      </c>
      <c r="G436" s="295" t="s">
        <v>7366</v>
      </c>
      <c r="H436" s="296"/>
      <c r="I436" s="156">
        <v>3900.0</v>
      </c>
      <c r="J436" s="301"/>
      <c r="K436" s="296"/>
      <c r="L436" s="139"/>
      <c r="M436" s="301">
        <v>3900.0</v>
      </c>
      <c r="N436" s="284">
        <v>0.9</v>
      </c>
      <c r="O436" s="296">
        <v>7400.0</v>
      </c>
      <c r="P436" s="313">
        <f>MAX(O436:O440)</f>
        <v>7400</v>
      </c>
      <c r="Q436" s="303">
        <f>P436</f>
        <v>7400</v>
      </c>
      <c r="R436" s="299" t="s">
        <v>7367</v>
      </c>
      <c r="S436" s="300">
        <v>46141.379420833335</v>
      </c>
      <c r="T436" s="2"/>
      <c r="U436" s="289">
        <f t="shared" si="4"/>
        <v>3500</v>
      </c>
      <c r="V436" s="304" t="str">
        <f t="shared" si="333"/>
        <v>нет з/ч</v>
      </c>
      <c r="W436" s="2"/>
      <c r="X436" s="289">
        <v>3900.0</v>
      </c>
      <c r="Y436" s="139"/>
      <c r="Z436" s="2"/>
      <c r="AA436" s="2"/>
      <c r="AB436" s="2"/>
      <c r="AC436" s="2"/>
      <c r="AD436" s="2"/>
      <c r="AE436" s="3" t="s">
        <v>7365</v>
      </c>
      <c r="AF436" s="2"/>
      <c r="AG436" s="1" t="s">
        <v>1582</v>
      </c>
      <c r="AH436" s="1" t="s">
        <v>6253</v>
      </c>
      <c r="AI436" s="2">
        <v>180.0</v>
      </c>
      <c r="AJ436" s="1" t="s">
        <v>1589</v>
      </c>
      <c r="AK436" s="1" t="s">
        <v>5878</v>
      </c>
      <c r="AL436" s="1" t="s">
        <v>5878</v>
      </c>
      <c r="AM436" s="2"/>
      <c r="AN436" s="2"/>
      <c r="AO436" s="2"/>
      <c r="AP436" s="2"/>
      <c r="AQ436" s="2"/>
      <c r="AR436" s="2"/>
      <c r="AS436" s="2"/>
      <c r="AT436" s="2"/>
      <c r="AU436" s="126">
        <v>3900.0</v>
      </c>
      <c r="AV436" s="126">
        <v>7400.0</v>
      </c>
      <c r="AW436" s="2"/>
      <c r="AX436" s="2"/>
      <c r="AY436" s="2"/>
      <c r="AZ436" s="2"/>
      <c r="BA436" s="2"/>
      <c r="BB436" s="2"/>
      <c r="BC436" s="2"/>
      <c r="BD436" s="2"/>
      <c r="BE436" s="2"/>
    </row>
    <row r="437" hidden="1">
      <c r="A437" s="2"/>
      <c r="B437" s="312" t="s">
        <v>7368</v>
      </c>
      <c r="C437" s="84"/>
      <c r="D437" s="11">
        <v>180.0</v>
      </c>
      <c r="E437" s="11" t="s">
        <v>290</v>
      </c>
      <c r="F437" s="11" t="s">
        <v>6969</v>
      </c>
      <c r="G437" s="295" t="s">
        <v>7369</v>
      </c>
      <c r="H437" s="296"/>
      <c r="I437" s="156">
        <v>3900.0</v>
      </c>
      <c r="J437" s="301"/>
      <c r="K437" s="296"/>
      <c r="L437" s="139"/>
      <c r="M437" s="301">
        <v>3900.0</v>
      </c>
      <c r="N437" s="284">
        <v>0.9</v>
      </c>
      <c r="O437" s="296">
        <v>7400.0</v>
      </c>
      <c r="P437" s="104"/>
      <c r="Q437" s="303">
        <f>P436</f>
        <v>7400</v>
      </c>
      <c r="R437" s="299" t="s">
        <v>7370</v>
      </c>
      <c r="S437" s="300">
        <v>46141.37947244213</v>
      </c>
      <c r="T437" s="2"/>
      <c r="U437" s="289">
        <f t="shared" si="4"/>
        <v>3500</v>
      </c>
      <c r="V437" s="304" t="str">
        <f t="shared" si="333"/>
        <v>нет з/ч</v>
      </c>
      <c r="W437" s="2"/>
      <c r="X437" s="289">
        <v>3900.0</v>
      </c>
      <c r="Y437" s="139"/>
      <c r="Z437" s="2"/>
      <c r="AA437" s="2"/>
      <c r="AB437" s="2"/>
      <c r="AC437" s="2"/>
      <c r="AD437" s="2"/>
      <c r="AE437" s="3" t="s">
        <v>7368</v>
      </c>
      <c r="AF437" s="2"/>
      <c r="AG437" s="1" t="s">
        <v>1582</v>
      </c>
      <c r="AH437" s="1" t="s">
        <v>6253</v>
      </c>
      <c r="AI437" s="2">
        <v>180.0</v>
      </c>
      <c r="AJ437" s="1" t="s">
        <v>1589</v>
      </c>
      <c r="AK437" s="1" t="s">
        <v>5878</v>
      </c>
      <c r="AL437" s="1" t="s">
        <v>5878</v>
      </c>
      <c r="AM437" s="2"/>
      <c r="AN437" s="2"/>
      <c r="AO437" s="2"/>
      <c r="AP437" s="2"/>
      <c r="AQ437" s="2"/>
      <c r="AR437" s="2"/>
      <c r="AS437" s="2"/>
      <c r="AT437" s="2"/>
      <c r="AU437" s="126">
        <v>3900.0</v>
      </c>
      <c r="AV437" s="126">
        <v>7400.0</v>
      </c>
      <c r="AW437" s="2"/>
      <c r="AX437" s="2"/>
      <c r="AY437" s="2"/>
      <c r="AZ437" s="2"/>
      <c r="BA437" s="2"/>
      <c r="BB437" s="2"/>
      <c r="BC437" s="2"/>
      <c r="BD437" s="2"/>
      <c r="BE437" s="2"/>
    </row>
    <row r="438" hidden="1">
      <c r="A438" s="2"/>
      <c r="B438" s="312" t="s">
        <v>7371</v>
      </c>
      <c r="C438" s="84"/>
      <c r="D438" s="11">
        <v>180.0</v>
      </c>
      <c r="E438" s="11" t="s">
        <v>290</v>
      </c>
      <c r="F438" s="11" t="s">
        <v>6969</v>
      </c>
      <c r="G438" s="295" t="s">
        <v>7372</v>
      </c>
      <c r="H438" s="296"/>
      <c r="I438" s="156">
        <v>3900.0</v>
      </c>
      <c r="J438" s="301"/>
      <c r="K438" s="296"/>
      <c r="L438" s="139"/>
      <c r="M438" s="301">
        <v>3900.0</v>
      </c>
      <c r="N438" s="284">
        <v>0.9</v>
      </c>
      <c r="O438" s="296">
        <v>7400.0</v>
      </c>
      <c r="P438" s="104"/>
      <c r="Q438" s="303">
        <f>P436</f>
        <v>7400</v>
      </c>
      <c r="R438" s="299" t="s">
        <v>7373</v>
      </c>
      <c r="S438" s="300">
        <v>46141.37952152778</v>
      </c>
      <c r="T438" s="2"/>
      <c r="U438" s="289">
        <f t="shared" si="4"/>
        <v>3500</v>
      </c>
      <c r="V438" s="304" t="str">
        <f t="shared" si="333"/>
        <v>нет з/ч</v>
      </c>
      <c r="W438" s="2"/>
      <c r="X438" s="289">
        <v>3900.0</v>
      </c>
      <c r="Y438" s="139"/>
      <c r="Z438" s="2"/>
      <c r="AA438" s="2"/>
      <c r="AB438" s="2"/>
      <c r="AC438" s="2"/>
      <c r="AD438" s="2"/>
      <c r="AE438" s="3" t="s">
        <v>7371</v>
      </c>
      <c r="AF438" s="2"/>
      <c r="AG438" s="1" t="s">
        <v>1582</v>
      </c>
      <c r="AH438" s="1" t="s">
        <v>6253</v>
      </c>
      <c r="AI438" s="2">
        <v>180.0</v>
      </c>
      <c r="AJ438" s="1" t="s">
        <v>1589</v>
      </c>
      <c r="AK438" s="1" t="s">
        <v>5878</v>
      </c>
      <c r="AL438" s="1" t="s">
        <v>5878</v>
      </c>
      <c r="AM438" s="2"/>
      <c r="AN438" s="2"/>
      <c r="AO438" s="2"/>
      <c r="AP438" s="2"/>
      <c r="AQ438" s="2"/>
      <c r="AR438" s="2"/>
      <c r="AS438" s="2"/>
      <c r="AT438" s="2"/>
      <c r="AU438" s="126">
        <v>3900.0</v>
      </c>
      <c r="AV438" s="126">
        <v>7400.0</v>
      </c>
      <c r="AW438" s="2"/>
      <c r="AX438" s="2"/>
      <c r="AY438" s="2"/>
      <c r="AZ438" s="2"/>
      <c r="BA438" s="2"/>
      <c r="BB438" s="2"/>
      <c r="BC438" s="2"/>
      <c r="BD438" s="2"/>
      <c r="BE438" s="2"/>
    </row>
    <row r="439" hidden="1">
      <c r="A439" s="2"/>
      <c r="B439" s="312" t="s">
        <v>7374</v>
      </c>
      <c r="C439" s="84"/>
      <c r="D439" s="11">
        <v>180.0</v>
      </c>
      <c r="E439" s="11" t="s">
        <v>290</v>
      </c>
      <c r="F439" s="11" t="s">
        <v>6969</v>
      </c>
      <c r="G439" s="295" t="s">
        <v>7375</v>
      </c>
      <c r="H439" s="296"/>
      <c r="I439" s="156">
        <v>3900.0</v>
      </c>
      <c r="J439" s="301"/>
      <c r="K439" s="296"/>
      <c r="L439" s="139"/>
      <c r="M439" s="301">
        <v>3900.0</v>
      </c>
      <c r="N439" s="284">
        <v>0.9</v>
      </c>
      <c r="O439" s="296">
        <v>7400.0</v>
      </c>
      <c r="P439" s="104"/>
      <c r="Q439" s="303">
        <f>P436</f>
        <v>7400</v>
      </c>
      <c r="R439" s="299" t="s">
        <v>7376</v>
      </c>
      <c r="S439" s="300">
        <v>46141.379572245365</v>
      </c>
      <c r="T439" s="2"/>
      <c r="U439" s="289">
        <f t="shared" si="4"/>
        <v>3500</v>
      </c>
      <c r="V439" s="304" t="str">
        <f t="shared" si="333"/>
        <v>нет з/ч</v>
      </c>
      <c r="W439" s="2"/>
      <c r="X439" s="289">
        <v>3900.0</v>
      </c>
      <c r="Y439" s="139"/>
      <c r="Z439" s="2"/>
      <c r="AA439" s="2"/>
      <c r="AB439" s="2"/>
      <c r="AC439" s="2"/>
      <c r="AD439" s="2"/>
      <c r="AE439" s="3" t="s">
        <v>7374</v>
      </c>
      <c r="AF439" s="2"/>
      <c r="AG439" s="1" t="s">
        <v>1582</v>
      </c>
      <c r="AH439" s="1" t="s">
        <v>6253</v>
      </c>
      <c r="AI439" s="2">
        <v>180.0</v>
      </c>
      <c r="AJ439" s="1" t="s">
        <v>1589</v>
      </c>
      <c r="AK439" s="1" t="s">
        <v>5878</v>
      </c>
      <c r="AL439" s="1" t="s">
        <v>5878</v>
      </c>
      <c r="AM439" s="2"/>
      <c r="AN439" s="2"/>
      <c r="AO439" s="2"/>
      <c r="AP439" s="2"/>
      <c r="AQ439" s="2"/>
      <c r="AR439" s="2"/>
      <c r="AS439" s="2"/>
      <c r="AT439" s="2"/>
      <c r="AU439" s="126">
        <v>3900.0</v>
      </c>
      <c r="AV439" s="126">
        <v>7400.0</v>
      </c>
      <c r="AW439" s="2"/>
      <c r="AX439" s="2"/>
      <c r="AY439" s="2"/>
      <c r="AZ439" s="2"/>
      <c r="BA439" s="2"/>
      <c r="BB439" s="2"/>
      <c r="BC439" s="2"/>
      <c r="BD439" s="2"/>
      <c r="BE439" s="2"/>
    </row>
    <row r="440" hidden="1">
      <c r="A440" s="2"/>
      <c r="B440" s="312" t="s">
        <v>7377</v>
      </c>
      <c r="C440" s="84"/>
      <c r="D440" s="11">
        <v>180.0</v>
      </c>
      <c r="E440" s="11" t="s">
        <v>290</v>
      </c>
      <c r="F440" s="11" t="s">
        <v>6969</v>
      </c>
      <c r="G440" s="295" t="s">
        <v>7378</v>
      </c>
      <c r="H440" s="296"/>
      <c r="I440" s="156">
        <v>3900.0</v>
      </c>
      <c r="J440" s="301"/>
      <c r="K440" s="296"/>
      <c r="L440" s="139"/>
      <c r="M440" s="301">
        <v>3900.0</v>
      </c>
      <c r="N440" s="284">
        <v>0.9</v>
      </c>
      <c r="O440" s="296">
        <v>7400.0</v>
      </c>
      <c r="P440" s="67"/>
      <c r="Q440" s="303">
        <f>P436</f>
        <v>7400</v>
      </c>
      <c r="R440" s="299" t="s">
        <v>7379</v>
      </c>
      <c r="S440" s="300">
        <v>46141.37962402777</v>
      </c>
      <c r="T440" s="2"/>
      <c r="U440" s="289">
        <f t="shared" si="4"/>
        <v>3500</v>
      </c>
      <c r="V440" s="304" t="str">
        <f t="shared" si="333"/>
        <v>нет з/ч</v>
      </c>
      <c r="W440" s="2"/>
      <c r="X440" s="289">
        <v>3900.0</v>
      </c>
      <c r="Y440" s="139"/>
      <c r="Z440" s="2"/>
      <c r="AA440" s="2"/>
      <c r="AB440" s="2"/>
      <c r="AC440" s="2"/>
      <c r="AD440" s="2"/>
      <c r="AE440" s="3" t="s">
        <v>7377</v>
      </c>
      <c r="AF440" s="2"/>
      <c r="AG440" s="1" t="s">
        <v>1582</v>
      </c>
      <c r="AH440" s="1" t="s">
        <v>6253</v>
      </c>
      <c r="AI440" s="2">
        <v>180.0</v>
      </c>
      <c r="AJ440" s="1" t="s">
        <v>1589</v>
      </c>
      <c r="AK440" s="1" t="s">
        <v>5878</v>
      </c>
      <c r="AL440" s="1" t="s">
        <v>5878</v>
      </c>
      <c r="AM440" s="2"/>
      <c r="AN440" s="2"/>
      <c r="AO440" s="2"/>
      <c r="AP440" s="2"/>
      <c r="AQ440" s="2"/>
      <c r="AR440" s="2"/>
      <c r="AS440" s="2"/>
      <c r="AT440" s="2"/>
      <c r="AU440" s="126">
        <v>3900.0</v>
      </c>
      <c r="AV440" s="126">
        <v>7400.0</v>
      </c>
      <c r="AW440" s="2"/>
      <c r="AX440" s="2"/>
      <c r="AY440" s="2"/>
      <c r="AZ440" s="2"/>
      <c r="BA440" s="2"/>
      <c r="BB440" s="2"/>
      <c r="BC440" s="2"/>
      <c r="BD440" s="2"/>
      <c r="BE440" s="2"/>
    </row>
    <row r="441" hidden="1">
      <c r="A441" s="2"/>
      <c r="B441" s="312" t="s">
        <v>7380</v>
      </c>
      <c r="C441" s="220" t="s">
        <v>7381</v>
      </c>
      <c r="D441" s="11">
        <v>180.0</v>
      </c>
      <c r="E441" s="11" t="s">
        <v>290</v>
      </c>
      <c r="F441" s="11" t="s">
        <v>6969</v>
      </c>
      <c r="G441" s="295" t="s">
        <v>7382</v>
      </c>
      <c r="H441" s="296"/>
      <c r="I441" s="156">
        <v>850.0</v>
      </c>
      <c r="J441" s="301"/>
      <c r="K441" s="296"/>
      <c r="L441" s="156">
        <v>990.0</v>
      </c>
      <c r="M441" s="301">
        <v>990.0</v>
      </c>
      <c r="N441" s="284">
        <v>2.45</v>
      </c>
      <c r="O441" s="296">
        <v>3400.0</v>
      </c>
      <c r="P441" s="313">
        <f>MAX(O441:O445)</f>
        <v>3400</v>
      </c>
      <c r="Q441" s="303">
        <f>P441</f>
        <v>3400</v>
      </c>
      <c r="R441" s="299" t="s">
        <v>7383</v>
      </c>
      <c r="S441" s="300">
        <v>46141.37967230324</v>
      </c>
      <c r="T441" s="2"/>
      <c r="U441" s="289">
        <f t="shared" si="4"/>
        <v>2550</v>
      </c>
      <c r="V441" s="290">
        <f t="shared" si="333"/>
        <v>-990</v>
      </c>
      <c r="W441" s="2"/>
      <c r="X441" s="289">
        <v>850.0</v>
      </c>
      <c r="Y441" s="139">
        <v>990.0</v>
      </c>
      <c r="Z441" s="2"/>
      <c r="AA441" s="2" t="s">
        <v>7381</v>
      </c>
      <c r="AB441" s="2" t="s">
        <v>7381</v>
      </c>
      <c r="AC441" s="2"/>
      <c r="AD441" s="2" t="s">
        <v>7381</v>
      </c>
      <c r="AE441" s="3" t="s">
        <v>7380</v>
      </c>
      <c r="AF441" s="2"/>
      <c r="AG441" s="1" t="s">
        <v>1582</v>
      </c>
      <c r="AH441" s="1" t="s">
        <v>6253</v>
      </c>
      <c r="AI441" s="2">
        <v>180.0</v>
      </c>
      <c r="AJ441" s="1" t="s">
        <v>1589</v>
      </c>
      <c r="AK441" s="1" t="s">
        <v>5878</v>
      </c>
      <c r="AL441" s="1" t="s">
        <v>5878</v>
      </c>
      <c r="AM441" s="2"/>
      <c r="AN441" s="2"/>
      <c r="AO441" s="2"/>
      <c r="AP441" s="2"/>
      <c r="AQ441" s="2"/>
      <c r="AR441" s="2"/>
      <c r="AS441" s="2"/>
      <c r="AT441" s="2"/>
      <c r="AU441" s="126">
        <v>990.0</v>
      </c>
      <c r="AV441" s="126">
        <v>3400.0</v>
      </c>
      <c r="AW441" s="2"/>
      <c r="AX441" s="2"/>
      <c r="AY441" s="2"/>
      <c r="AZ441" s="2"/>
      <c r="BA441" s="2"/>
      <c r="BB441" s="2"/>
      <c r="BC441" s="2"/>
      <c r="BD441" s="2"/>
      <c r="BE441" s="2"/>
    </row>
    <row r="442" hidden="1">
      <c r="A442" s="2"/>
      <c r="B442" s="312" t="s">
        <v>7384</v>
      </c>
      <c r="C442" s="220" t="s">
        <v>7385</v>
      </c>
      <c r="D442" s="11">
        <v>180.0</v>
      </c>
      <c r="E442" s="11" t="s">
        <v>290</v>
      </c>
      <c r="F442" s="11" t="s">
        <v>6969</v>
      </c>
      <c r="G442" s="295" t="s">
        <v>7386</v>
      </c>
      <c r="H442" s="296"/>
      <c r="I442" s="156">
        <v>850.0</v>
      </c>
      <c r="J442" s="301"/>
      <c r="K442" s="296"/>
      <c r="L442" s="156">
        <v>990.0</v>
      </c>
      <c r="M442" s="301">
        <v>990.0</v>
      </c>
      <c r="N442" s="284">
        <v>2.45</v>
      </c>
      <c r="O442" s="296">
        <v>3400.0</v>
      </c>
      <c r="P442" s="104"/>
      <c r="Q442" s="303">
        <f>P441</f>
        <v>3400</v>
      </c>
      <c r="R442" s="299" t="s">
        <v>7387</v>
      </c>
      <c r="S442" s="300">
        <v>46141.37972091435</v>
      </c>
      <c r="T442" s="2"/>
      <c r="U442" s="289">
        <f t="shared" si="4"/>
        <v>2550</v>
      </c>
      <c r="V442" s="290">
        <f t="shared" si="333"/>
        <v>-990</v>
      </c>
      <c r="W442" s="2"/>
      <c r="X442" s="289">
        <v>850.0</v>
      </c>
      <c r="Y442" s="139">
        <v>990.0</v>
      </c>
      <c r="Z442" s="2"/>
      <c r="AA442" s="2" t="s">
        <v>7385</v>
      </c>
      <c r="AB442" s="2" t="s">
        <v>7385</v>
      </c>
      <c r="AC442" s="2"/>
      <c r="AD442" s="2" t="s">
        <v>7385</v>
      </c>
      <c r="AE442" s="3" t="s">
        <v>7384</v>
      </c>
      <c r="AF442" s="2"/>
      <c r="AG442" s="1" t="s">
        <v>1582</v>
      </c>
      <c r="AH442" s="1" t="s">
        <v>6253</v>
      </c>
      <c r="AI442" s="2">
        <v>180.0</v>
      </c>
      <c r="AJ442" s="1" t="s">
        <v>1589</v>
      </c>
      <c r="AK442" s="1" t="s">
        <v>5878</v>
      </c>
      <c r="AL442" s="1" t="s">
        <v>5878</v>
      </c>
      <c r="AM442" s="2"/>
      <c r="AN442" s="2"/>
      <c r="AO442" s="2"/>
      <c r="AP442" s="2"/>
      <c r="AQ442" s="2"/>
      <c r="AR442" s="2"/>
      <c r="AS442" s="2"/>
      <c r="AT442" s="2"/>
      <c r="AU442" s="126">
        <v>990.0</v>
      </c>
      <c r="AV442" s="126">
        <v>3400.0</v>
      </c>
      <c r="AW442" s="2"/>
      <c r="AX442" s="2"/>
      <c r="AY442" s="2"/>
      <c r="AZ442" s="2"/>
      <c r="BA442" s="2"/>
      <c r="BB442" s="2"/>
      <c r="BC442" s="2"/>
      <c r="BD442" s="2"/>
      <c r="BE442" s="2"/>
    </row>
    <row r="443" hidden="1">
      <c r="A443" s="2"/>
      <c r="B443" s="312" t="s">
        <v>7388</v>
      </c>
      <c r="C443" s="220" t="s">
        <v>7389</v>
      </c>
      <c r="D443" s="11">
        <v>180.0</v>
      </c>
      <c r="E443" s="11" t="s">
        <v>290</v>
      </c>
      <c r="F443" s="11" t="s">
        <v>6969</v>
      </c>
      <c r="G443" s="295" t="s">
        <v>7390</v>
      </c>
      <c r="H443" s="296"/>
      <c r="I443" s="156">
        <v>850.0</v>
      </c>
      <c r="J443" s="301"/>
      <c r="K443" s="296"/>
      <c r="L443" s="156">
        <v>990.0</v>
      </c>
      <c r="M443" s="301">
        <v>990.0</v>
      </c>
      <c r="N443" s="284">
        <v>2.45</v>
      </c>
      <c r="O443" s="296">
        <v>3400.0</v>
      </c>
      <c r="P443" s="104"/>
      <c r="Q443" s="303">
        <f>P441</f>
        <v>3400</v>
      </c>
      <c r="R443" s="299" t="s">
        <v>7391</v>
      </c>
      <c r="S443" s="300">
        <v>46141.379769120365</v>
      </c>
      <c r="T443" s="2"/>
      <c r="U443" s="289">
        <f t="shared" si="4"/>
        <v>2550</v>
      </c>
      <c r="V443" s="290">
        <f t="shared" si="333"/>
        <v>-990</v>
      </c>
      <c r="W443" s="2"/>
      <c r="X443" s="289">
        <v>850.0</v>
      </c>
      <c r="Y443" s="139">
        <v>990.0</v>
      </c>
      <c r="Z443" s="2"/>
      <c r="AA443" s="2" t="s">
        <v>7389</v>
      </c>
      <c r="AB443" s="2" t="s">
        <v>7389</v>
      </c>
      <c r="AC443" s="2"/>
      <c r="AD443" s="2" t="s">
        <v>7389</v>
      </c>
      <c r="AE443" s="3" t="s">
        <v>7388</v>
      </c>
      <c r="AF443" s="2"/>
      <c r="AG443" s="1" t="s">
        <v>1582</v>
      </c>
      <c r="AH443" s="1" t="s">
        <v>6253</v>
      </c>
      <c r="AI443" s="2">
        <v>180.0</v>
      </c>
      <c r="AJ443" s="1" t="s">
        <v>1589</v>
      </c>
      <c r="AK443" s="1" t="s">
        <v>5878</v>
      </c>
      <c r="AL443" s="1" t="s">
        <v>5878</v>
      </c>
      <c r="AM443" s="2"/>
      <c r="AN443" s="2"/>
      <c r="AO443" s="2"/>
      <c r="AP443" s="2"/>
      <c r="AQ443" s="2"/>
      <c r="AR443" s="2"/>
      <c r="AS443" s="2"/>
      <c r="AT443" s="2"/>
      <c r="AU443" s="126">
        <v>990.0</v>
      </c>
      <c r="AV443" s="126">
        <v>3400.0</v>
      </c>
      <c r="AW443" s="2"/>
      <c r="AX443" s="2"/>
      <c r="AY443" s="2"/>
      <c r="AZ443" s="2"/>
      <c r="BA443" s="2"/>
      <c r="BB443" s="2"/>
      <c r="BC443" s="2"/>
      <c r="BD443" s="2"/>
      <c r="BE443" s="2"/>
    </row>
    <row r="444" hidden="1">
      <c r="A444" s="2"/>
      <c r="B444" s="312" t="s">
        <v>7392</v>
      </c>
      <c r="C444" s="220" t="s">
        <v>7393</v>
      </c>
      <c r="D444" s="11">
        <v>180.0</v>
      </c>
      <c r="E444" s="11" t="s">
        <v>290</v>
      </c>
      <c r="F444" s="11" t="s">
        <v>6969</v>
      </c>
      <c r="G444" s="295" t="s">
        <v>7394</v>
      </c>
      <c r="H444" s="296"/>
      <c r="I444" s="156">
        <v>850.0</v>
      </c>
      <c r="J444" s="301"/>
      <c r="K444" s="296"/>
      <c r="L444" s="156">
        <v>990.0</v>
      </c>
      <c r="M444" s="301">
        <v>990.0</v>
      </c>
      <c r="N444" s="284">
        <v>2.45</v>
      </c>
      <c r="O444" s="296">
        <v>3400.0</v>
      </c>
      <c r="P444" s="104"/>
      <c r="Q444" s="303">
        <f>P441</f>
        <v>3400</v>
      </c>
      <c r="R444" s="299" t="s">
        <v>7395</v>
      </c>
      <c r="S444" s="300">
        <v>46141.37981805556</v>
      </c>
      <c r="T444" s="2"/>
      <c r="U444" s="289">
        <f t="shared" si="4"/>
        <v>2550</v>
      </c>
      <c r="V444" s="290">
        <f t="shared" si="333"/>
        <v>-990</v>
      </c>
      <c r="W444" s="2"/>
      <c r="X444" s="289">
        <v>850.0</v>
      </c>
      <c r="Y444" s="139">
        <v>990.0</v>
      </c>
      <c r="Z444" s="2"/>
      <c r="AA444" s="2" t="s">
        <v>7393</v>
      </c>
      <c r="AB444" s="2" t="s">
        <v>7393</v>
      </c>
      <c r="AC444" s="2"/>
      <c r="AD444" s="2" t="s">
        <v>7393</v>
      </c>
      <c r="AE444" s="3" t="s">
        <v>7392</v>
      </c>
      <c r="AF444" s="2"/>
      <c r="AG444" s="1" t="s">
        <v>1582</v>
      </c>
      <c r="AH444" s="1" t="s">
        <v>6253</v>
      </c>
      <c r="AI444" s="2">
        <v>180.0</v>
      </c>
      <c r="AJ444" s="1" t="s">
        <v>1589</v>
      </c>
      <c r="AK444" s="1" t="s">
        <v>5878</v>
      </c>
      <c r="AL444" s="1" t="s">
        <v>5878</v>
      </c>
      <c r="AM444" s="2"/>
      <c r="AN444" s="2"/>
      <c r="AO444" s="2"/>
      <c r="AP444" s="2"/>
      <c r="AQ444" s="2"/>
      <c r="AR444" s="2"/>
      <c r="AS444" s="2"/>
      <c r="AT444" s="2"/>
      <c r="AU444" s="126">
        <v>990.0</v>
      </c>
      <c r="AV444" s="126">
        <v>3400.0</v>
      </c>
      <c r="AW444" s="2"/>
      <c r="AX444" s="2"/>
      <c r="AY444" s="2"/>
      <c r="AZ444" s="2"/>
      <c r="BA444" s="2"/>
      <c r="BB444" s="2"/>
      <c r="BC444" s="2"/>
      <c r="BD444" s="2"/>
      <c r="BE444" s="2"/>
    </row>
    <row r="445" hidden="1">
      <c r="A445" s="2"/>
      <c r="B445" s="312" t="s">
        <v>7396</v>
      </c>
      <c r="C445" s="220" t="s">
        <v>7397</v>
      </c>
      <c r="D445" s="11">
        <v>180.0</v>
      </c>
      <c r="E445" s="11" t="s">
        <v>290</v>
      </c>
      <c r="F445" s="11" t="s">
        <v>6969</v>
      </c>
      <c r="G445" s="295" t="s">
        <v>7398</v>
      </c>
      <c r="H445" s="296"/>
      <c r="I445" s="156">
        <v>850.0</v>
      </c>
      <c r="J445" s="301"/>
      <c r="K445" s="296"/>
      <c r="L445" s="156">
        <v>990.0</v>
      </c>
      <c r="M445" s="301">
        <v>990.0</v>
      </c>
      <c r="N445" s="284">
        <v>2.45</v>
      </c>
      <c r="O445" s="296">
        <v>3400.0</v>
      </c>
      <c r="P445" s="67"/>
      <c r="Q445" s="303">
        <f>P441</f>
        <v>3400</v>
      </c>
      <c r="R445" s="299" t="s">
        <v>7399</v>
      </c>
      <c r="S445" s="300">
        <v>46141.379907766204</v>
      </c>
      <c r="T445" s="2"/>
      <c r="U445" s="289">
        <f t="shared" si="4"/>
        <v>2550</v>
      </c>
      <c r="V445" s="290">
        <f t="shared" si="333"/>
        <v>-990</v>
      </c>
      <c r="W445" s="2"/>
      <c r="X445" s="289">
        <v>850.0</v>
      </c>
      <c r="Y445" s="139">
        <v>990.0</v>
      </c>
      <c r="Z445" s="2"/>
      <c r="AA445" s="2" t="s">
        <v>7397</v>
      </c>
      <c r="AB445" s="2" t="s">
        <v>7397</v>
      </c>
      <c r="AC445" s="2"/>
      <c r="AD445" s="2" t="s">
        <v>7397</v>
      </c>
      <c r="AE445" s="3" t="s">
        <v>7396</v>
      </c>
      <c r="AF445" s="2"/>
      <c r="AG445" s="1" t="s">
        <v>1582</v>
      </c>
      <c r="AH445" s="1" t="s">
        <v>6253</v>
      </c>
      <c r="AI445" s="2">
        <v>180.0</v>
      </c>
      <c r="AJ445" s="1" t="s">
        <v>1589</v>
      </c>
      <c r="AK445" s="1" t="s">
        <v>5878</v>
      </c>
      <c r="AL445" s="1" t="s">
        <v>5878</v>
      </c>
      <c r="AM445" s="2"/>
      <c r="AN445" s="2"/>
      <c r="AO445" s="2"/>
      <c r="AP445" s="2"/>
      <c r="AQ445" s="2"/>
      <c r="AR445" s="2"/>
      <c r="AS445" s="2"/>
      <c r="AT445" s="2"/>
      <c r="AU445" s="126">
        <v>990.0</v>
      </c>
      <c r="AV445" s="126">
        <v>3400.0</v>
      </c>
      <c r="AW445" s="2"/>
      <c r="AX445" s="2"/>
      <c r="AY445" s="2"/>
      <c r="AZ445" s="2"/>
      <c r="BA445" s="2"/>
      <c r="BB445" s="2"/>
      <c r="BC445" s="2"/>
      <c r="BD445" s="2"/>
      <c r="BE445" s="2"/>
    </row>
    <row r="446" hidden="1">
      <c r="A446" s="2"/>
      <c r="B446" s="312" t="s">
        <v>7400</v>
      </c>
      <c r="C446" s="220" t="s">
        <v>7401</v>
      </c>
      <c r="D446" s="11">
        <v>180.0</v>
      </c>
      <c r="E446" s="11" t="s">
        <v>297</v>
      </c>
      <c r="F446" s="11" t="s">
        <v>6969</v>
      </c>
      <c r="G446" s="306"/>
      <c r="H446" s="296"/>
      <c r="I446" s="139"/>
      <c r="J446" s="301"/>
      <c r="K446" s="296"/>
      <c r="L446" s="139"/>
      <c r="M446" s="301" t="s">
        <v>22</v>
      </c>
      <c r="N446" s="284">
        <v>0.12</v>
      </c>
      <c r="O446" s="296" t="s">
        <v>22</v>
      </c>
      <c r="P446" s="313">
        <f>MAX(O446:O450)</f>
        <v>0</v>
      </c>
      <c r="Q446" s="303">
        <f>P446</f>
        <v>0</v>
      </c>
      <c r="R446" s="307"/>
      <c r="S446" s="308"/>
      <c r="T446" s="2"/>
      <c r="U446" s="59" t="str">
        <f t="shared" si="4"/>
        <v>нет з/ч</v>
      </c>
      <c r="V446" s="304" t="str">
        <f t="shared" si="333"/>
        <v>нет з/ч</v>
      </c>
      <c r="W446" s="2"/>
      <c r="X446" s="289"/>
      <c r="Y446" s="139"/>
      <c r="Z446" s="2"/>
      <c r="AA446" s="2" t="s">
        <v>7401</v>
      </c>
      <c r="AB446" s="2" t="s">
        <v>7401</v>
      </c>
      <c r="AC446" s="2"/>
      <c r="AD446" s="2" t="s">
        <v>7401</v>
      </c>
      <c r="AE446" s="3" t="s">
        <v>7400</v>
      </c>
      <c r="AF446" s="2"/>
      <c r="AG446" s="1" t="s">
        <v>1582</v>
      </c>
      <c r="AH446" s="1" t="s">
        <v>6277</v>
      </c>
      <c r="AI446" s="2">
        <v>180.0</v>
      </c>
      <c r="AJ446" s="1" t="s">
        <v>1589</v>
      </c>
      <c r="AK446" s="1" t="s">
        <v>5878</v>
      </c>
      <c r="AL446" s="1" t="s">
        <v>5878</v>
      </c>
      <c r="AM446" s="2"/>
      <c r="AN446" s="2"/>
      <c r="AO446" s="2"/>
      <c r="AP446" s="2"/>
      <c r="AQ446" s="2"/>
      <c r="AR446" s="2"/>
      <c r="AS446" s="2"/>
      <c r="AT446" s="2"/>
      <c r="AU446" s="126" t="s">
        <v>22</v>
      </c>
      <c r="AV446" s="126">
        <v>0.0</v>
      </c>
      <c r="AW446" s="2"/>
      <c r="AX446" s="2"/>
      <c r="AY446" s="2"/>
      <c r="AZ446" s="2"/>
      <c r="BA446" s="2"/>
      <c r="BB446" s="2"/>
      <c r="BC446" s="2"/>
      <c r="BD446" s="2"/>
      <c r="BE446" s="2"/>
    </row>
    <row r="447" hidden="1">
      <c r="A447" s="2"/>
      <c r="B447" s="312" t="s">
        <v>7402</v>
      </c>
      <c r="C447" s="220" t="s">
        <v>7403</v>
      </c>
      <c r="D447" s="11">
        <v>180.0</v>
      </c>
      <c r="E447" s="11" t="s">
        <v>297</v>
      </c>
      <c r="F447" s="11" t="s">
        <v>6969</v>
      </c>
      <c r="G447" s="306"/>
      <c r="H447" s="296"/>
      <c r="I447" s="139"/>
      <c r="J447" s="301"/>
      <c r="K447" s="296"/>
      <c r="L447" s="139"/>
      <c r="M447" s="301" t="s">
        <v>22</v>
      </c>
      <c r="N447" s="284">
        <v>0.12</v>
      </c>
      <c r="O447" s="296" t="s">
        <v>22</v>
      </c>
      <c r="P447" s="104"/>
      <c r="Q447" s="303">
        <f>P446</f>
        <v>0</v>
      </c>
      <c r="R447" s="307"/>
      <c r="S447" s="308"/>
      <c r="T447" s="2"/>
      <c r="U447" s="59" t="str">
        <f t="shared" si="4"/>
        <v>нет з/ч</v>
      </c>
      <c r="V447" s="304" t="str">
        <f t="shared" si="333"/>
        <v>нет з/ч</v>
      </c>
      <c r="W447" s="2"/>
      <c r="X447" s="289"/>
      <c r="Y447" s="139"/>
      <c r="Z447" s="2"/>
      <c r="AA447" s="2" t="s">
        <v>7403</v>
      </c>
      <c r="AB447" s="2" t="s">
        <v>7403</v>
      </c>
      <c r="AC447" s="2"/>
      <c r="AD447" s="2" t="s">
        <v>7403</v>
      </c>
      <c r="AE447" s="3" t="s">
        <v>7402</v>
      </c>
      <c r="AF447" s="2"/>
      <c r="AG447" s="1" t="s">
        <v>1582</v>
      </c>
      <c r="AH447" s="1" t="s">
        <v>6277</v>
      </c>
      <c r="AI447" s="2">
        <v>180.0</v>
      </c>
      <c r="AJ447" s="1" t="s">
        <v>1589</v>
      </c>
      <c r="AK447" s="1" t="s">
        <v>5878</v>
      </c>
      <c r="AL447" s="1" t="s">
        <v>5878</v>
      </c>
      <c r="AM447" s="2"/>
      <c r="AN447" s="2"/>
      <c r="AO447" s="2"/>
      <c r="AP447" s="2"/>
      <c r="AQ447" s="2"/>
      <c r="AR447" s="2"/>
      <c r="AS447" s="2"/>
      <c r="AT447" s="2"/>
      <c r="AU447" s="126" t="s">
        <v>22</v>
      </c>
      <c r="AV447" s="126">
        <v>0.0</v>
      </c>
      <c r="AW447" s="2"/>
      <c r="AX447" s="2"/>
      <c r="AY447" s="2"/>
      <c r="AZ447" s="2"/>
      <c r="BA447" s="2"/>
      <c r="BB447" s="2"/>
      <c r="BC447" s="2"/>
      <c r="BD447" s="2"/>
      <c r="BE447" s="2"/>
    </row>
    <row r="448" hidden="1">
      <c r="A448" s="2"/>
      <c r="B448" s="312" t="s">
        <v>7404</v>
      </c>
      <c r="C448" s="220" t="s">
        <v>7405</v>
      </c>
      <c r="D448" s="11">
        <v>180.0</v>
      </c>
      <c r="E448" s="11" t="s">
        <v>297</v>
      </c>
      <c r="F448" s="11" t="s">
        <v>6969</v>
      </c>
      <c r="G448" s="306"/>
      <c r="H448" s="296"/>
      <c r="I448" s="139"/>
      <c r="J448" s="301"/>
      <c r="K448" s="296"/>
      <c r="L448" s="139"/>
      <c r="M448" s="301" t="s">
        <v>22</v>
      </c>
      <c r="N448" s="284">
        <v>0.12</v>
      </c>
      <c r="O448" s="296" t="s">
        <v>22</v>
      </c>
      <c r="P448" s="104"/>
      <c r="Q448" s="303">
        <f>P446</f>
        <v>0</v>
      </c>
      <c r="R448" s="307"/>
      <c r="S448" s="308"/>
      <c r="T448" s="2"/>
      <c r="U448" s="59" t="str">
        <f t="shared" si="4"/>
        <v>нет з/ч</v>
      </c>
      <c r="V448" s="304" t="str">
        <f t="shared" si="333"/>
        <v>нет з/ч</v>
      </c>
      <c r="W448" s="2"/>
      <c r="X448" s="289"/>
      <c r="Y448" s="139"/>
      <c r="Z448" s="2"/>
      <c r="AA448" s="2" t="s">
        <v>7405</v>
      </c>
      <c r="AB448" s="2" t="s">
        <v>7405</v>
      </c>
      <c r="AC448" s="2"/>
      <c r="AD448" s="2" t="s">
        <v>7405</v>
      </c>
      <c r="AE448" s="3" t="s">
        <v>7404</v>
      </c>
      <c r="AF448" s="2"/>
      <c r="AG448" s="1" t="s">
        <v>1582</v>
      </c>
      <c r="AH448" s="1" t="s">
        <v>6277</v>
      </c>
      <c r="AI448" s="2">
        <v>180.0</v>
      </c>
      <c r="AJ448" s="1" t="s">
        <v>1589</v>
      </c>
      <c r="AK448" s="1" t="s">
        <v>5878</v>
      </c>
      <c r="AL448" s="1" t="s">
        <v>5878</v>
      </c>
      <c r="AM448" s="2"/>
      <c r="AN448" s="2"/>
      <c r="AO448" s="2"/>
      <c r="AP448" s="2"/>
      <c r="AQ448" s="2"/>
      <c r="AR448" s="2"/>
      <c r="AS448" s="2"/>
      <c r="AT448" s="2"/>
      <c r="AU448" s="126" t="s">
        <v>22</v>
      </c>
      <c r="AV448" s="126">
        <v>0.0</v>
      </c>
      <c r="AW448" s="2"/>
      <c r="AX448" s="2"/>
      <c r="AY448" s="2"/>
      <c r="AZ448" s="2"/>
      <c r="BA448" s="2"/>
      <c r="BB448" s="2"/>
      <c r="BC448" s="2"/>
      <c r="BD448" s="2"/>
      <c r="BE448" s="2"/>
    </row>
    <row r="449" hidden="1">
      <c r="A449" s="2"/>
      <c r="B449" s="312" t="s">
        <v>7406</v>
      </c>
      <c r="C449" s="220" t="s">
        <v>7407</v>
      </c>
      <c r="D449" s="11">
        <v>180.0</v>
      </c>
      <c r="E449" s="11" t="s">
        <v>297</v>
      </c>
      <c r="F449" s="11" t="s">
        <v>6969</v>
      </c>
      <c r="G449" s="306"/>
      <c r="H449" s="296"/>
      <c r="I449" s="139"/>
      <c r="J449" s="301"/>
      <c r="K449" s="296"/>
      <c r="L449" s="139"/>
      <c r="M449" s="301" t="s">
        <v>22</v>
      </c>
      <c r="N449" s="284">
        <v>0.12</v>
      </c>
      <c r="O449" s="296" t="s">
        <v>22</v>
      </c>
      <c r="P449" s="104"/>
      <c r="Q449" s="303">
        <f>P446</f>
        <v>0</v>
      </c>
      <c r="R449" s="307"/>
      <c r="S449" s="308"/>
      <c r="T449" s="2"/>
      <c r="U449" s="59" t="str">
        <f t="shared" si="4"/>
        <v>нет з/ч</v>
      </c>
      <c r="V449" s="304" t="str">
        <f t="shared" si="333"/>
        <v>нет з/ч</v>
      </c>
      <c r="W449" s="2"/>
      <c r="X449" s="289"/>
      <c r="Y449" s="139"/>
      <c r="Z449" s="2"/>
      <c r="AA449" s="2" t="s">
        <v>7407</v>
      </c>
      <c r="AB449" s="2" t="s">
        <v>7407</v>
      </c>
      <c r="AC449" s="2"/>
      <c r="AD449" s="2" t="s">
        <v>7407</v>
      </c>
      <c r="AE449" s="3" t="s">
        <v>7406</v>
      </c>
      <c r="AF449" s="2"/>
      <c r="AG449" s="1" t="s">
        <v>1582</v>
      </c>
      <c r="AH449" s="1" t="s">
        <v>6277</v>
      </c>
      <c r="AI449" s="2">
        <v>180.0</v>
      </c>
      <c r="AJ449" s="1" t="s">
        <v>1589</v>
      </c>
      <c r="AK449" s="1" t="s">
        <v>5878</v>
      </c>
      <c r="AL449" s="1" t="s">
        <v>5878</v>
      </c>
      <c r="AM449" s="2"/>
      <c r="AN449" s="2"/>
      <c r="AO449" s="2"/>
      <c r="AP449" s="2"/>
      <c r="AQ449" s="2"/>
      <c r="AR449" s="2"/>
      <c r="AS449" s="2"/>
      <c r="AT449" s="2"/>
      <c r="AU449" s="126" t="s">
        <v>22</v>
      </c>
      <c r="AV449" s="126">
        <v>0.0</v>
      </c>
      <c r="AW449" s="2"/>
      <c r="AX449" s="2"/>
      <c r="AY449" s="2"/>
      <c r="AZ449" s="2"/>
      <c r="BA449" s="2"/>
      <c r="BB449" s="2"/>
      <c r="BC449" s="2"/>
      <c r="BD449" s="2"/>
      <c r="BE449" s="2"/>
    </row>
    <row r="450" hidden="1">
      <c r="A450" s="2"/>
      <c r="B450" s="312" t="s">
        <v>7408</v>
      </c>
      <c r="C450" s="220" t="s">
        <v>7409</v>
      </c>
      <c r="D450" s="11">
        <v>180.0</v>
      </c>
      <c r="E450" s="11" t="s">
        <v>297</v>
      </c>
      <c r="F450" s="11" t="s">
        <v>6969</v>
      </c>
      <c r="G450" s="306"/>
      <c r="H450" s="296"/>
      <c r="I450" s="139"/>
      <c r="J450" s="301"/>
      <c r="K450" s="296"/>
      <c r="L450" s="139"/>
      <c r="M450" s="301" t="s">
        <v>22</v>
      </c>
      <c r="N450" s="284">
        <v>0.12</v>
      </c>
      <c r="O450" s="296" t="s">
        <v>22</v>
      </c>
      <c r="P450" s="67"/>
      <c r="Q450" s="303">
        <f>P446</f>
        <v>0</v>
      </c>
      <c r="R450" s="307"/>
      <c r="S450" s="308"/>
      <c r="T450" s="2"/>
      <c r="U450" s="59" t="str">
        <f t="shared" si="4"/>
        <v>нет з/ч</v>
      </c>
      <c r="V450" s="304" t="str">
        <f t="shared" si="333"/>
        <v>нет з/ч</v>
      </c>
      <c r="W450" s="2"/>
      <c r="X450" s="289"/>
      <c r="Y450" s="139"/>
      <c r="Z450" s="2"/>
      <c r="AA450" s="2" t="s">
        <v>7409</v>
      </c>
      <c r="AB450" s="2" t="s">
        <v>7409</v>
      </c>
      <c r="AC450" s="2"/>
      <c r="AD450" s="2" t="s">
        <v>7409</v>
      </c>
      <c r="AE450" s="3" t="s">
        <v>7408</v>
      </c>
      <c r="AF450" s="2"/>
      <c r="AG450" s="1" t="s">
        <v>1582</v>
      </c>
      <c r="AH450" s="1" t="s">
        <v>6277</v>
      </c>
      <c r="AI450" s="2">
        <v>180.0</v>
      </c>
      <c r="AJ450" s="1" t="s">
        <v>1589</v>
      </c>
      <c r="AK450" s="1" t="s">
        <v>5878</v>
      </c>
      <c r="AL450" s="1" t="s">
        <v>5878</v>
      </c>
      <c r="AM450" s="2"/>
      <c r="AN450" s="2"/>
      <c r="AO450" s="2"/>
      <c r="AP450" s="2"/>
      <c r="AQ450" s="2"/>
      <c r="AR450" s="2"/>
      <c r="AS450" s="2"/>
      <c r="AT450" s="2"/>
      <c r="AU450" s="126" t="s">
        <v>22</v>
      </c>
      <c r="AV450" s="126">
        <v>0.0</v>
      </c>
      <c r="AW450" s="2"/>
      <c r="AX450" s="2"/>
      <c r="AY450" s="2"/>
      <c r="AZ450" s="2"/>
      <c r="BA450" s="2"/>
      <c r="BB450" s="2"/>
      <c r="BC450" s="2"/>
      <c r="BD450" s="2"/>
      <c r="BE450" s="2"/>
    </row>
    <row r="451" hidden="1">
      <c r="A451" s="2"/>
      <c r="B451" s="312" t="s">
        <v>7410</v>
      </c>
      <c r="C451" s="84"/>
      <c r="D451" s="11">
        <v>180.0</v>
      </c>
      <c r="E451" s="11" t="s">
        <v>297</v>
      </c>
      <c r="F451" s="11" t="s">
        <v>6969</v>
      </c>
      <c r="G451" s="306"/>
      <c r="H451" s="296"/>
      <c r="I451" s="139"/>
      <c r="J451" s="301"/>
      <c r="K451" s="296"/>
      <c r="L451" s="156">
        <v>990.0</v>
      </c>
      <c r="M451" s="301">
        <v>990.0</v>
      </c>
      <c r="N451" s="284">
        <v>2.45</v>
      </c>
      <c r="O451" s="296">
        <v>3400.0</v>
      </c>
      <c r="P451" s="313">
        <f>MAX(O451:O455)</f>
        <v>3400</v>
      </c>
      <c r="Q451" s="303">
        <f>P451</f>
        <v>3400</v>
      </c>
      <c r="R451" s="307"/>
      <c r="S451" s="300">
        <v>46080.67715856481</v>
      </c>
      <c r="T451" s="2"/>
      <c r="U451" s="59" t="str">
        <f t="shared" si="4"/>
        <v>нет з/ч</v>
      </c>
      <c r="V451" s="290">
        <f t="shared" si="333"/>
        <v>-990</v>
      </c>
      <c r="W451" s="2"/>
      <c r="X451" s="289"/>
      <c r="Y451" s="139">
        <v>990.0</v>
      </c>
      <c r="Z451" s="2"/>
      <c r="AA451" s="2"/>
      <c r="AB451" s="2"/>
      <c r="AC451" s="2"/>
      <c r="AD451" s="2"/>
      <c r="AE451" s="3" t="s">
        <v>7410</v>
      </c>
      <c r="AF451" s="2"/>
      <c r="AG451" s="1" t="s">
        <v>1582</v>
      </c>
      <c r="AH451" s="1" t="s">
        <v>6277</v>
      </c>
      <c r="AI451" s="2">
        <v>180.0</v>
      </c>
      <c r="AJ451" s="1" t="s">
        <v>1589</v>
      </c>
      <c r="AK451" s="1" t="s">
        <v>5878</v>
      </c>
      <c r="AL451" s="1" t="s">
        <v>5878</v>
      </c>
      <c r="AM451" s="2"/>
      <c r="AN451" s="2"/>
      <c r="AO451" s="2"/>
      <c r="AP451" s="2"/>
      <c r="AQ451" s="2"/>
      <c r="AR451" s="2"/>
      <c r="AS451" s="2"/>
      <c r="AT451" s="2"/>
      <c r="AU451" s="126">
        <v>990.0</v>
      </c>
      <c r="AV451" s="126">
        <v>3400.0</v>
      </c>
      <c r="AW451" s="2"/>
      <c r="AX451" s="2"/>
      <c r="AY451" s="2"/>
      <c r="AZ451" s="2"/>
      <c r="BA451" s="2"/>
      <c r="BB451" s="2"/>
      <c r="BC451" s="2"/>
      <c r="BD451" s="2"/>
      <c r="BE451" s="2"/>
    </row>
    <row r="452" hidden="1">
      <c r="A452" s="2"/>
      <c r="B452" s="312" t="s">
        <v>7411</v>
      </c>
      <c r="C452" s="84"/>
      <c r="D452" s="11">
        <v>180.0</v>
      </c>
      <c r="E452" s="11" t="s">
        <v>297</v>
      </c>
      <c r="F452" s="11" t="s">
        <v>6969</v>
      </c>
      <c r="G452" s="306"/>
      <c r="H452" s="296"/>
      <c r="I452" s="139"/>
      <c r="J452" s="301"/>
      <c r="K452" s="296"/>
      <c r="L452" s="156">
        <v>990.0</v>
      </c>
      <c r="M452" s="301">
        <v>990.0</v>
      </c>
      <c r="N452" s="284">
        <v>2.45</v>
      </c>
      <c r="O452" s="296">
        <v>3400.0</v>
      </c>
      <c r="P452" s="104"/>
      <c r="Q452" s="303">
        <f>P451</f>
        <v>3400</v>
      </c>
      <c r="R452" s="307"/>
      <c r="S452" s="300">
        <v>46080.677188217596</v>
      </c>
      <c r="T452" s="2"/>
      <c r="U452" s="59" t="str">
        <f t="shared" si="4"/>
        <v>нет з/ч</v>
      </c>
      <c r="V452" s="290">
        <f t="shared" si="333"/>
        <v>-990</v>
      </c>
      <c r="W452" s="2"/>
      <c r="X452" s="289"/>
      <c r="Y452" s="139">
        <v>990.0</v>
      </c>
      <c r="Z452" s="2"/>
      <c r="AA452" s="2"/>
      <c r="AB452" s="2"/>
      <c r="AC452" s="2"/>
      <c r="AD452" s="2"/>
      <c r="AE452" s="3" t="s">
        <v>7411</v>
      </c>
      <c r="AF452" s="2"/>
      <c r="AG452" s="1" t="s">
        <v>1582</v>
      </c>
      <c r="AH452" s="1" t="s">
        <v>6277</v>
      </c>
      <c r="AI452" s="2">
        <v>180.0</v>
      </c>
      <c r="AJ452" s="1" t="s">
        <v>1589</v>
      </c>
      <c r="AK452" s="1" t="s">
        <v>5878</v>
      </c>
      <c r="AL452" s="1" t="s">
        <v>5878</v>
      </c>
      <c r="AM452" s="2"/>
      <c r="AN452" s="2"/>
      <c r="AO452" s="2"/>
      <c r="AP452" s="2"/>
      <c r="AQ452" s="2"/>
      <c r="AR452" s="2"/>
      <c r="AS452" s="2"/>
      <c r="AT452" s="2"/>
      <c r="AU452" s="126">
        <v>990.0</v>
      </c>
      <c r="AV452" s="126">
        <v>3400.0</v>
      </c>
      <c r="AW452" s="2"/>
      <c r="AX452" s="2"/>
      <c r="AY452" s="2"/>
      <c r="AZ452" s="2"/>
      <c r="BA452" s="2"/>
      <c r="BB452" s="2"/>
      <c r="BC452" s="2"/>
      <c r="BD452" s="2"/>
      <c r="BE452" s="2"/>
    </row>
    <row r="453" hidden="1">
      <c r="A453" s="2"/>
      <c r="B453" s="312" t="s">
        <v>7412</v>
      </c>
      <c r="C453" s="84"/>
      <c r="D453" s="11">
        <v>180.0</v>
      </c>
      <c r="E453" s="11" t="s">
        <v>297</v>
      </c>
      <c r="F453" s="11" t="s">
        <v>6969</v>
      </c>
      <c r="G453" s="306"/>
      <c r="H453" s="296"/>
      <c r="I453" s="139"/>
      <c r="J453" s="301"/>
      <c r="K453" s="296"/>
      <c r="L453" s="156">
        <v>990.0</v>
      </c>
      <c r="M453" s="301">
        <v>990.0</v>
      </c>
      <c r="N453" s="284">
        <v>2.45</v>
      </c>
      <c r="O453" s="296">
        <v>3400.0</v>
      </c>
      <c r="P453" s="104"/>
      <c r="Q453" s="303">
        <f>P451</f>
        <v>3400</v>
      </c>
      <c r="R453" s="307"/>
      <c r="S453" s="308"/>
      <c r="T453" s="2"/>
      <c r="U453" s="59" t="str">
        <f t="shared" si="4"/>
        <v>нет з/ч</v>
      </c>
      <c r="V453" s="290">
        <f t="shared" si="333"/>
        <v>-990</v>
      </c>
      <c r="W453" s="2"/>
      <c r="X453" s="289"/>
      <c r="Y453" s="139">
        <v>990.0</v>
      </c>
      <c r="Z453" s="2"/>
      <c r="AA453" s="2"/>
      <c r="AB453" s="2"/>
      <c r="AC453" s="2"/>
      <c r="AD453" s="2"/>
      <c r="AE453" s="3" t="s">
        <v>7412</v>
      </c>
      <c r="AF453" s="2"/>
      <c r="AG453" s="1" t="s">
        <v>1582</v>
      </c>
      <c r="AH453" s="1" t="s">
        <v>6277</v>
      </c>
      <c r="AI453" s="2">
        <v>180.0</v>
      </c>
      <c r="AJ453" s="1" t="s">
        <v>1589</v>
      </c>
      <c r="AK453" s="1" t="s">
        <v>5878</v>
      </c>
      <c r="AL453" s="1" t="s">
        <v>5878</v>
      </c>
      <c r="AM453" s="2"/>
      <c r="AN453" s="2"/>
      <c r="AO453" s="2"/>
      <c r="AP453" s="2"/>
      <c r="AQ453" s="2"/>
      <c r="AR453" s="2"/>
      <c r="AS453" s="2"/>
      <c r="AT453" s="2"/>
      <c r="AU453" s="126">
        <v>990.0</v>
      </c>
      <c r="AV453" s="126">
        <v>3400.0</v>
      </c>
      <c r="AW453" s="2"/>
      <c r="AX453" s="2"/>
      <c r="AY453" s="2"/>
      <c r="AZ453" s="2"/>
      <c r="BA453" s="2"/>
      <c r="BB453" s="2"/>
      <c r="BC453" s="2"/>
      <c r="BD453" s="2"/>
      <c r="BE453" s="2"/>
    </row>
    <row r="454" hidden="1">
      <c r="A454" s="2"/>
      <c r="B454" s="312" t="s">
        <v>7413</v>
      </c>
      <c r="C454" s="84"/>
      <c r="D454" s="11">
        <v>180.0</v>
      </c>
      <c r="E454" s="11" t="s">
        <v>297</v>
      </c>
      <c r="F454" s="11" t="s">
        <v>6969</v>
      </c>
      <c r="G454" s="306"/>
      <c r="H454" s="296"/>
      <c r="I454" s="139"/>
      <c r="J454" s="301"/>
      <c r="K454" s="296"/>
      <c r="L454" s="156">
        <v>990.0</v>
      </c>
      <c r="M454" s="301">
        <v>990.0</v>
      </c>
      <c r="N454" s="284">
        <v>2.45</v>
      </c>
      <c r="O454" s="296">
        <v>3400.0</v>
      </c>
      <c r="P454" s="104"/>
      <c r="Q454" s="303">
        <f>P451</f>
        <v>3400</v>
      </c>
      <c r="R454" s="307"/>
      <c r="S454" s="308"/>
      <c r="T454" s="2"/>
      <c r="U454" s="59" t="str">
        <f t="shared" si="4"/>
        <v>нет з/ч</v>
      </c>
      <c r="V454" s="290">
        <f t="shared" si="333"/>
        <v>-990</v>
      </c>
      <c r="W454" s="2"/>
      <c r="X454" s="289"/>
      <c r="Y454" s="139">
        <v>990.0</v>
      </c>
      <c r="Z454" s="2"/>
      <c r="AA454" s="2"/>
      <c r="AB454" s="2"/>
      <c r="AC454" s="2"/>
      <c r="AD454" s="2"/>
      <c r="AE454" s="3" t="s">
        <v>7413</v>
      </c>
      <c r="AF454" s="2"/>
      <c r="AG454" s="1" t="s">
        <v>1582</v>
      </c>
      <c r="AH454" s="1" t="s">
        <v>6277</v>
      </c>
      <c r="AI454" s="2">
        <v>180.0</v>
      </c>
      <c r="AJ454" s="1" t="s">
        <v>1589</v>
      </c>
      <c r="AK454" s="1" t="s">
        <v>5878</v>
      </c>
      <c r="AL454" s="1" t="s">
        <v>5878</v>
      </c>
      <c r="AM454" s="2"/>
      <c r="AN454" s="2"/>
      <c r="AO454" s="2"/>
      <c r="AP454" s="2"/>
      <c r="AQ454" s="2"/>
      <c r="AR454" s="2"/>
      <c r="AS454" s="2"/>
      <c r="AT454" s="2"/>
      <c r="AU454" s="126">
        <v>990.0</v>
      </c>
      <c r="AV454" s="126">
        <v>3400.0</v>
      </c>
      <c r="AW454" s="2"/>
      <c r="AX454" s="2"/>
      <c r="AY454" s="2"/>
      <c r="AZ454" s="2"/>
      <c r="BA454" s="2"/>
      <c r="BB454" s="2"/>
      <c r="BC454" s="2"/>
      <c r="BD454" s="2"/>
      <c r="BE454" s="2"/>
    </row>
    <row r="455" hidden="1">
      <c r="A455" s="2"/>
      <c r="B455" s="312" t="s">
        <v>7414</v>
      </c>
      <c r="C455" s="84"/>
      <c r="D455" s="11">
        <v>180.0</v>
      </c>
      <c r="E455" s="11" t="s">
        <v>297</v>
      </c>
      <c r="F455" s="11" t="s">
        <v>6969</v>
      </c>
      <c r="G455" s="306"/>
      <c r="H455" s="296"/>
      <c r="I455" s="139"/>
      <c r="J455" s="301"/>
      <c r="K455" s="296"/>
      <c r="L455" s="156">
        <v>990.0</v>
      </c>
      <c r="M455" s="301">
        <v>990.0</v>
      </c>
      <c r="N455" s="284">
        <v>2.45</v>
      </c>
      <c r="O455" s="296">
        <v>3400.0</v>
      </c>
      <c r="P455" s="67"/>
      <c r="Q455" s="303">
        <f>P451</f>
        <v>3400</v>
      </c>
      <c r="R455" s="307"/>
      <c r="S455" s="308"/>
      <c r="T455" s="2"/>
      <c r="U455" s="59" t="str">
        <f t="shared" si="4"/>
        <v>нет з/ч</v>
      </c>
      <c r="V455" s="290">
        <f t="shared" si="333"/>
        <v>-990</v>
      </c>
      <c r="W455" s="2"/>
      <c r="X455" s="289"/>
      <c r="Y455" s="139">
        <v>990.0</v>
      </c>
      <c r="Z455" s="2"/>
      <c r="AA455" s="2"/>
      <c r="AB455" s="2"/>
      <c r="AC455" s="2"/>
      <c r="AD455" s="2"/>
      <c r="AE455" s="3" t="s">
        <v>7414</v>
      </c>
      <c r="AF455" s="2"/>
      <c r="AG455" s="1" t="s">
        <v>1582</v>
      </c>
      <c r="AH455" s="1" t="s">
        <v>6277</v>
      </c>
      <c r="AI455" s="2">
        <v>180.0</v>
      </c>
      <c r="AJ455" s="1" t="s">
        <v>1589</v>
      </c>
      <c r="AK455" s="1" t="s">
        <v>5878</v>
      </c>
      <c r="AL455" s="1" t="s">
        <v>5878</v>
      </c>
      <c r="AM455" s="2"/>
      <c r="AN455" s="2"/>
      <c r="AO455" s="2"/>
      <c r="AP455" s="2"/>
      <c r="AQ455" s="2"/>
      <c r="AR455" s="2"/>
      <c r="AS455" s="2"/>
      <c r="AT455" s="2"/>
      <c r="AU455" s="126">
        <v>990.0</v>
      </c>
      <c r="AV455" s="126">
        <v>3400.0</v>
      </c>
      <c r="AW455" s="2"/>
      <c r="AX455" s="2"/>
      <c r="AY455" s="2"/>
      <c r="AZ455" s="2"/>
      <c r="BA455" s="2"/>
      <c r="BB455" s="2"/>
      <c r="BC455" s="2"/>
      <c r="BD455" s="2"/>
      <c r="BE455" s="2"/>
    </row>
    <row r="456" hidden="1">
      <c r="A456" s="2"/>
      <c r="B456" s="312" t="s">
        <v>7415</v>
      </c>
      <c r="C456" s="220" t="s">
        <v>7416</v>
      </c>
      <c r="D456" s="11">
        <v>180.0</v>
      </c>
      <c r="E456" s="11" t="s">
        <v>304</v>
      </c>
      <c r="F456" s="11" t="s">
        <v>6969</v>
      </c>
      <c r="G456" s="295" t="s">
        <v>7417</v>
      </c>
      <c r="H456" s="296"/>
      <c r="I456" s="156">
        <v>6400.0</v>
      </c>
      <c r="J456" s="301"/>
      <c r="K456" s="296"/>
      <c r="L456" s="139"/>
      <c r="M456" s="301">
        <v>6400.0</v>
      </c>
      <c r="N456" s="284">
        <v>0.3</v>
      </c>
      <c r="O456" s="296">
        <v>8300.0</v>
      </c>
      <c r="P456" s="313">
        <f>MAX(O456:O459)</f>
        <v>8300</v>
      </c>
      <c r="Q456" s="303">
        <f>P456</f>
        <v>8300</v>
      </c>
      <c r="R456" s="299" t="s">
        <v>7418</v>
      </c>
      <c r="S456" s="300">
        <v>46141.379958414356</v>
      </c>
      <c r="T456" s="2"/>
      <c r="U456" s="289">
        <f t="shared" si="4"/>
        <v>1900</v>
      </c>
      <c r="V456" s="304" t="str">
        <f t="shared" si="333"/>
        <v>нет з/ч</v>
      </c>
      <c r="W456" s="2"/>
      <c r="X456" s="289">
        <v>6400.0</v>
      </c>
      <c r="Y456" s="139"/>
      <c r="Z456" s="2"/>
      <c r="AA456" s="2" t="s">
        <v>7416</v>
      </c>
      <c r="AB456" s="2" t="s">
        <v>7416</v>
      </c>
      <c r="AC456" s="2"/>
      <c r="AD456" s="2" t="s">
        <v>7416</v>
      </c>
      <c r="AE456" s="3" t="s">
        <v>7415</v>
      </c>
      <c r="AF456" s="2"/>
      <c r="AG456" s="1" t="s">
        <v>1582</v>
      </c>
      <c r="AH456" s="1" t="s">
        <v>6295</v>
      </c>
      <c r="AI456" s="2">
        <v>180.0</v>
      </c>
      <c r="AJ456" s="1" t="s">
        <v>1589</v>
      </c>
      <c r="AK456" s="1" t="s">
        <v>5878</v>
      </c>
      <c r="AL456" s="1" t="s">
        <v>5878</v>
      </c>
      <c r="AM456" s="2"/>
      <c r="AN456" s="2"/>
      <c r="AO456" s="2"/>
      <c r="AP456" s="2"/>
      <c r="AQ456" s="2"/>
      <c r="AR456" s="2"/>
      <c r="AS456" s="2"/>
      <c r="AT456" s="2"/>
      <c r="AU456" s="126">
        <v>6400.0</v>
      </c>
      <c r="AV456" s="126">
        <v>8300.0</v>
      </c>
      <c r="AW456" s="2"/>
      <c r="AX456" s="2"/>
      <c r="AY456" s="2"/>
      <c r="AZ456" s="2"/>
      <c r="BA456" s="2"/>
      <c r="BB456" s="2"/>
      <c r="BC456" s="2"/>
      <c r="BD456" s="2"/>
      <c r="BE456" s="2"/>
    </row>
    <row r="457" hidden="1">
      <c r="A457" s="2"/>
      <c r="B457" s="312" t="s">
        <v>7419</v>
      </c>
      <c r="C457" s="220" t="s">
        <v>7420</v>
      </c>
      <c r="D457" s="11">
        <v>180.0</v>
      </c>
      <c r="E457" s="11" t="s">
        <v>304</v>
      </c>
      <c r="F457" s="11" t="s">
        <v>6969</v>
      </c>
      <c r="G457" s="295" t="s">
        <v>7421</v>
      </c>
      <c r="H457" s="296"/>
      <c r="I457" s="156">
        <v>5900.0</v>
      </c>
      <c r="J457" s="301"/>
      <c r="K457" s="296"/>
      <c r="L457" s="139"/>
      <c r="M457" s="301">
        <v>5900.0</v>
      </c>
      <c r="N457" s="284">
        <v>0.3</v>
      </c>
      <c r="O457" s="296">
        <v>7650.0</v>
      </c>
      <c r="P457" s="104"/>
      <c r="Q457" s="303">
        <f>P456</f>
        <v>8300</v>
      </c>
      <c r="R457" s="299" t="s">
        <v>7422</v>
      </c>
      <c r="S457" s="300">
        <v>46141.38001075231</v>
      </c>
      <c r="T457" s="2"/>
      <c r="U457" s="289">
        <f t="shared" si="4"/>
        <v>2400</v>
      </c>
      <c r="V457" s="304" t="str">
        <f t="shared" si="333"/>
        <v>нет з/ч</v>
      </c>
      <c r="W457" s="2"/>
      <c r="X457" s="289">
        <v>5900.0</v>
      </c>
      <c r="Y457" s="139"/>
      <c r="Z457" s="2"/>
      <c r="AA457" s="2" t="s">
        <v>7420</v>
      </c>
      <c r="AB457" s="2" t="s">
        <v>7420</v>
      </c>
      <c r="AC457" s="2"/>
      <c r="AD457" s="2" t="s">
        <v>7420</v>
      </c>
      <c r="AE457" s="3" t="s">
        <v>7419</v>
      </c>
      <c r="AF457" s="2"/>
      <c r="AG457" s="1" t="s">
        <v>1582</v>
      </c>
      <c r="AH457" s="1" t="s">
        <v>6295</v>
      </c>
      <c r="AI457" s="2">
        <v>180.0</v>
      </c>
      <c r="AJ457" s="1" t="s">
        <v>1589</v>
      </c>
      <c r="AK457" s="1" t="s">
        <v>5878</v>
      </c>
      <c r="AL457" s="1" t="s">
        <v>5878</v>
      </c>
      <c r="AM457" s="2"/>
      <c r="AN457" s="2"/>
      <c r="AO457" s="2"/>
      <c r="AP457" s="2"/>
      <c r="AQ457" s="2"/>
      <c r="AR457" s="2"/>
      <c r="AS457" s="2"/>
      <c r="AT457" s="2"/>
      <c r="AU457" s="126">
        <v>5900.0</v>
      </c>
      <c r="AV457" s="126">
        <v>8300.0</v>
      </c>
      <c r="AW457" s="2"/>
      <c r="AX457" s="2"/>
      <c r="AY457" s="2"/>
      <c r="AZ457" s="2"/>
      <c r="BA457" s="2"/>
      <c r="BB457" s="2"/>
      <c r="BC457" s="2"/>
      <c r="BD457" s="2"/>
      <c r="BE457" s="2"/>
    </row>
    <row r="458" hidden="1">
      <c r="A458" s="2"/>
      <c r="B458" s="312" t="s">
        <v>7423</v>
      </c>
      <c r="C458" s="220" t="s">
        <v>7424</v>
      </c>
      <c r="D458" s="11">
        <v>180.0</v>
      </c>
      <c r="E458" s="11" t="s">
        <v>304</v>
      </c>
      <c r="F458" s="11" t="s">
        <v>6969</v>
      </c>
      <c r="G458" s="295" t="s">
        <v>7425</v>
      </c>
      <c r="H458" s="296"/>
      <c r="I458" s="156">
        <v>5900.0</v>
      </c>
      <c r="J458" s="301"/>
      <c r="K458" s="296"/>
      <c r="L458" s="139"/>
      <c r="M458" s="301">
        <v>5900.0</v>
      </c>
      <c r="N458" s="284">
        <v>0.3</v>
      </c>
      <c r="O458" s="296">
        <v>7650.0</v>
      </c>
      <c r="P458" s="104"/>
      <c r="Q458" s="303">
        <f>P456</f>
        <v>8300</v>
      </c>
      <c r="R458" s="299" t="s">
        <v>7426</v>
      </c>
      <c r="S458" s="300">
        <v>46141.38006053241</v>
      </c>
      <c r="T458" s="2"/>
      <c r="U458" s="289">
        <f t="shared" si="4"/>
        <v>2400</v>
      </c>
      <c r="V458" s="304" t="str">
        <f t="shared" si="333"/>
        <v>нет з/ч</v>
      </c>
      <c r="W458" s="2"/>
      <c r="X458" s="289">
        <v>5900.0</v>
      </c>
      <c r="Y458" s="139"/>
      <c r="Z458" s="2"/>
      <c r="AA458" s="2" t="s">
        <v>7424</v>
      </c>
      <c r="AB458" s="2" t="s">
        <v>7424</v>
      </c>
      <c r="AC458" s="2"/>
      <c r="AD458" s="2" t="s">
        <v>7424</v>
      </c>
      <c r="AE458" s="3" t="s">
        <v>7423</v>
      </c>
      <c r="AF458" s="2"/>
      <c r="AG458" s="1" t="s">
        <v>1582</v>
      </c>
      <c r="AH458" s="1" t="s">
        <v>6295</v>
      </c>
      <c r="AI458" s="2">
        <v>180.0</v>
      </c>
      <c r="AJ458" s="1" t="s">
        <v>1589</v>
      </c>
      <c r="AK458" s="1" t="s">
        <v>5878</v>
      </c>
      <c r="AL458" s="1" t="s">
        <v>5878</v>
      </c>
      <c r="AM458" s="2"/>
      <c r="AN458" s="2"/>
      <c r="AO458" s="2"/>
      <c r="AP458" s="2"/>
      <c r="AQ458" s="2"/>
      <c r="AR458" s="2"/>
      <c r="AS458" s="2"/>
      <c r="AT458" s="2"/>
      <c r="AU458" s="126">
        <v>5900.0</v>
      </c>
      <c r="AV458" s="126">
        <v>8300.0</v>
      </c>
      <c r="AW458" s="2"/>
      <c r="AX458" s="2"/>
      <c r="AY458" s="2"/>
      <c r="AZ458" s="2"/>
      <c r="BA458" s="2"/>
      <c r="BB458" s="2"/>
      <c r="BC458" s="2"/>
      <c r="BD458" s="2"/>
      <c r="BE458" s="2"/>
    </row>
    <row r="459" hidden="1">
      <c r="A459" s="2"/>
      <c r="B459" s="312" t="s">
        <v>7427</v>
      </c>
      <c r="C459" s="220" t="s">
        <v>7428</v>
      </c>
      <c r="D459" s="11">
        <v>180.0</v>
      </c>
      <c r="E459" s="11" t="s">
        <v>304</v>
      </c>
      <c r="F459" s="11" t="s">
        <v>6969</v>
      </c>
      <c r="G459" s="295" t="s">
        <v>7429</v>
      </c>
      <c r="H459" s="296"/>
      <c r="I459" s="156">
        <v>5900.0</v>
      </c>
      <c r="J459" s="301"/>
      <c r="K459" s="296"/>
      <c r="L459" s="139"/>
      <c r="M459" s="301">
        <v>5900.0</v>
      </c>
      <c r="N459" s="284">
        <v>0.3</v>
      </c>
      <c r="O459" s="296">
        <v>7650.0</v>
      </c>
      <c r="P459" s="67"/>
      <c r="Q459" s="303">
        <f>P456</f>
        <v>8300</v>
      </c>
      <c r="R459" s="299" t="s">
        <v>7430</v>
      </c>
      <c r="S459" s="300">
        <v>46141.380107372686</v>
      </c>
      <c r="T459" s="2"/>
      <c r="U459" s="289">
        <f t="shared" si="4"/>
        <v>2400</v>
      </c>
      <c r="V459" s="304" t="str">
        <f t="shared" si="333"/>
        <v>нет з/ч</v>
      </c>
      <c r="W459" s="2"/>
      <c r="X459" s="289">
        <v>5900.0</v>
      </c>
      <c r="Y459" s="139"/>
      <c r="Z459" s="2"/>
      <c r="AA459" s="2" t="s">
        <v>7428</v>
      </c>
      <c r="AB459" s="2" t="s">
        <v>7428</v>
      </c>
      <c r="AC459" s="2"/>
      <c r="AD459" s="2" t="s">
        <v>7428</v>
      </c>
      <c r="AE459" s="3" t="s">
        <v>7427</v>
      </c>
      <c r="AF459" s="2"/>
      <c r="AG459" s="1" t="s">
        <v>1582</v>
      </c>
      <c r="AH459" s="1" t="s">
        <v>6295</v>
      </c>
      <c r="AI459" s="2">
        <v>180.0</v>
      </c>
      <c r="AJ459" s="1" t="s">
        <v>1589</v>
      </c>
      <c r="AK459" s="1" t="s">
        <v>5878</v>
      </c>
      <c r="AL459" s="1" t="s">
        <v>5878</v>
      </c>
      <c r="AM459" s="2"/>
      <c r="AN459" s="2"/>
      <c r="AO459" s="2"/>
      <c r="AP459" s="2"/>
      <c r="AQ459" s="2"/>
      <c r="AR459" s="2"/>
      <c r="AS459" s="2"/>
      <c r="AT459" s="2"/>
      <c r="AU459" s="126">
        <v>5900.0</v>
      </c>
      <c r="AV459" s="126">
        <v>8300.0</v>
      </c>
      <c r="AW459" s="2"/>
      <c r="AX459" s="2"/>
      <c r="AY459" s="2"/>
      <c r="AZ459" s="2"/>
      <c r="BA459" s="2"/>
      <c r="BB459" s="2"/>
      <c r="BC459" s="2"/>
      <c r="BD459" s="2"/>
      <c r="BE459" s="2"/>
    </row>
    <row r="460" hidden="1">
      <c r="A460" s="2"/>
      <c r="B460" s="312" t="s">
        <v>7431</v>
      </c>
      <c r="C460" s="220" t="s">
        <v>7432</v>
      </c>
      <c r="D460" s="11">
        <v>180.0</v>
      </c>
      <c r="E460" s="11" t="s">
        <v>304</v>
      </c>
      <c r="F460" s="11" t="s">
        <v>6969</v>
      </c>
      <c r="G460" s="295" t="s">
        <v>7433</v>
      </c>
      <c r="H460" s="296"/>
      <c r="I460" s="156">
        <v>1200.0</v>
      </c>
      <c r="J460" s="301"/>
      <c r="K460" s="296"/>
      <c r="L460" s="156">
        <v>1590.0</v>
      </c>
      <c r="M460" s="301">
        <v>1590.0</v>
      </c>
      <c r="N460" s="284">
        <v>1.08</v>
      </c>
      <c r="O460" s="296">
        <v>3300.0</v>
      </c>
      <c r="P460" s="313">
        <f>MAX(O460:O463)</f>
        <v>3300</v>
      </c>
      <c r="Q460" s="303">
        <f>P460</f>
        <v>3300</v>
      </c>
      <c r="R460" s="299" t="s">
        <v>7434</v>
      </c>
      <c r="S460" s="300">
        <v>46141.380157499996</v>
      </c>
      <c r="T460" s="2"/>
      <c r="U460" s="289">
        <f t="shared" si="4"/>
        <v>2100</v>
      </c>
      <c r="V460" s="290">
        <f t="shared" si="333"/>
        <v>-1590</v>
      </c>
      <c r="W460" s="2"/>
      <c r="X460" s="289">
        <v>1200.0</v>
      </c>
      <c r="Y460" s="139">
        <v>1590.0</v>
      </c>
      <c r="Z460" s="2"/>
      <c r="AA460" s="2" t="s">
        <v>7432</v>
      </c>
      <c r="AB460" s="2" t="s">
        <v>7432</v>
      </c>
      <c r="AC460" s="2"/>
      <c r="AD460" s="2" t="s">
        <v>7432</v>
      </c>
      <c r="AE460" s="3" t="s">
        <v>7431</v>
      </c>
      <c r="AF460" s="2"/>
      <c r="AG460" s="1" t="s">
        <v>1582</v>
      </c>
      <c r="AH460" s="1" t="s">
        <v>6295</v>
      </c>
      <c r="AI460" s="2">
        <v>180.0</v>
      </c>
      <c r="AJ460" s="1" t="s">
        <v>1589</v>
      </c>
      <c r="AK460" s="1" t="s">
        <v>5878</v>
      </c>
      <c r="AL460" s="1" t="s">
        <v>5878</v>
      </c>
      <c r="AM460" s="2"/>
      <c r="AN460" s="2"/>
      <c r="AO460" s="2"/>
      <c r="AP460" s="2"/>
      <c r="AQ460" s="2"/>
      <c r="AR460" s="2"/>
      <c r="AS460" s="2"/>
      <c r="AT460" s="2"/>
      <c r="AU460" s="126">
        <v>1590.0</v>
      </c>
      <c r="AV460" s="126">
        <v>3300.0</v>
      </c>
      <c r="AW460" s="2"/>
      <c r="AX460" s="2"/>
      <c r="AY460" s="2"/>
      <c r="AZ460" s="2"/>
      <c r="BA460" s="2"/>
      <c r="BB460" s="2"/>
      <c r="BC460" s="2"/>
      <c r="BD460" s="2"/>
      <c r="BE460" s="2"/>
    </row>
    <row r="461" hidden="1">
      <c r="A461" s="2"/>
      <c r="B461" s="312" t="s">
        <v>7435</v>
      </c>
      <c r="C461" s="220" t="s">
        <v>7436</v>
      </c>
      <c r="D461" s="11">
        <v>180.0</v>
      </c>
      <c r="E461" s="11" t="s">
        <v>304</v>
      </c>
      <c r="F461" s="11" t="s">
        <v>6969</v>
      </c>
      <c r="G461" s="295" t="s">
        <v>7437</v>
      </c>
      <c r="H461" s="296"/>
      <c r="I461" s="156">
        <v>1200.0</v>
      </c>
      <c r="J461" s="301"/>
      <c r="K461" s="296"/>
      <c r="L461" s="156">
        <v>1590.0</v>
      </c>
      <c r="M461" s="301">
        <v>1590.0</v>
      </c>
      <c r="N461" s="284">
        <v>1.08</v>
      </c>
      <c r="O461" s="296">
        <v>3300.0</v>
      </c>
      <c r="P461" s="104"/>
      <c r="Q461" s="303">
        <f>P460</f>
        <v>3300</v>
      </c>
      <c r="R461" s="299" t="s">
        <v>7438</v>
      </c>
      <c r="S461" s="300">
        <v>46141.380206030095</v>
      </c>
      <c r="T461" s="2"/>
      <c r="U461" s="289">
        <f t="shared" si="4"/>
        <v>2100</v>
      </c>
      <c r="V461" s="290">
        <f t="shared" si="333"/>
        <v>-1590</v>
      </c>
      <c r="W461" s="2"/>
      <c r="X461" s="289">
        <v>1200.0</v>
      </c>
      <c r="Y461" s="139">
        <v>1590.0</v>
      </c>
      <c r="Z461" s="2"/>
      <c r="AA461" s="2" t="s">
        <v>7436</v>
      </c>
      <c r="AB461" s="2" t="s">
        <v>7436</v>
      </c>
      <c r="AC461" s="2"/>
      <c r="AD461" s="2" t="s">
        <v>7436</v>
      </c>
      <c r="AE461" s="3" t="s">
        <v>7435</v>
      </c>
      <c r="AF461" s="2"/>
      <c r="AG461" s="1" t="s">
        <v>1582</v>
      </c>
      <c r="AH461" s="1" t="s">
        <v>6295</v>
      </c>
      <c r="AI461" s="2">
        <v>180.0</v>
      </c>
      <c r="AJ461" s="1" t="s">
        <v>1589</v>
      </c>
      <c r="AK461" s="1" t="s">
        <v>5878</v>
      </c>
      <c r="AL461" s="1" t="s">
        <v>5878</v>
      </c>
      <c r="AM461" s="2"/>
      <c r="AN461" s="2"/>
      <c r="AO461" s="2"/>
      <c r="AP461" s="2"/>
      <c r="AQ461" s="2"/>
      <c r="AR461" s="2"/>
      <c r="AS461" s="2"/>
      <c r="AT461" s="2"/>
      <c r="AU461" s="126">
        <v>1590.0</v>
      </c>
      <c r="AV461" s="126">
        <v>3300.0</v>
      </c>
      <c r="AW461" s="2"/>
      <c r="AX461" s="2"/>
      <c r="AY461" s="2"/>
      <c r="AZ461" s="2"/>
      <c r="BA461" s="2"/>
      <c r="BB461" s="2"/>
      <c r="BC461" s="2"/>
      <c r="BD461" s="2"/>
      <c r="BE461" s="2"/>
    </row>
    <row r="462" hidden="1">
      <c r="A462" s="2"/>
      <c r="B462" s="312" t="s">
        <v>7439</v>
      </c>
      <c r="C462" s="220" t="s">
        <v>7440</v>
      </c>
      <c r="D462" s="11">
        <v>180.0</v>
      </c>
      <c r="E462" s="11" t="s">
        <v>304</v>
      </c>
      <c r="F462" s="11" t="s">
        <v>6969</v>
      </c>
      <c r="G462" s="295" t="s">
        <v>7441</v>
      </c>
      <c r="H462" s="296"/>
      <c r="I462" s="156">
        <v>1200.0</v>
      </c>
      <c r="J462" s="301"/>
      <c r="K462" s="296"/>
      <c r="L462" s="156">
        <v>1590.0</v>
      </c>
      <c r="M462" s="301">
        <v>1590.0</v>
      </c>
      <c r="N462" s="284">
        <v>1.08</v>
      </c>
      <c r="O462" s="296">
        <v>3300.0</v>
      </c>
      <c r="P462" s="104"/>
      <c r="Q462" s="303">
        <f>P460</f>
        <v>3300</v>
      </c>
      <c r="R462" s="287" t="s">
        <v>7442</v>
      </c>
      <c r="S462" s="300">
        <v>46141.38025548611</v>
      </c>
      <c r="T462" s="2"/>
      <c r="U462" s="289">
        <f t="shared" si="4"/>
        <v>2100</v>
      </c>
      <c r="V462" s="290">
        <f t="shared" si="333"/>
        <v>-1590</v>
      </c>
      <c r="W462" s="2"/>
      <c r="X462" s="289">
        <v>1200.0</v>
      </c>
      <c r="Y462" s="139">
        <v>1590.0</v>
      </c>
      <c r="Z462" s="2"/>
      <c r="AA462" s="2" t="s">
        <v>7440</v>
      </c>
      <c r="AB462" s="2" t="s">
        <v>7440</v>
      </c>
      <c r="AC462" s="2"/>
      <c r="AD462" s="2" t="s">
        <v>7440</v>
      </c>
      <c r="AE462" s="3" t="s">
        <v>7439</v>
      </c>
      <c r="AF462" s="2"/>
      <c r="AG462" s="1" t="s">
        <v>1582</v>
      </c>
      <c r="AH462" s="1" t="s">
        <v>6295</v>
      </c>
      <c r="AI462" s="2">
        <v>180.0</v>
      </c>
      <c r="AJ462" s="1" t="s">
        <v>1589</v>
      </c>
      <c r="AK462" s="1" t="s">
        <v>5878</v>
      </c>
      <c r="AL462" s="1" t="s">
        <v>5878</v>
      </c>
      <c r="AM462" s="2"/>
      <c r="AN462" s="2"/>
      <c r="AO462" s="2"/>
      <c r="AP462" s="2"/>
      <c r="AQ462" s="2"/>
      <c r="AR462" s="2"/>
      <c r="AS462" s="2"/>
      <c r="AT462" s="2"/>
      <c r="AU462" s="126">
        <v>1590.0</v>
      </c>
      <c r="AV462" s="126">
        <v>3300.0</v>
      </c>
      <c r="AW462" s="2"/>
      <c r="AX462" s="2"/>
      <c r="AY462" s="2"/>
      <c r="AZ462" s="2"/>
      <c r="BA462" s="2"/>
      <c r="BB462" s="2"/>
      <c r="BC462" s="2"/>
      <c r="BD462" s="2"/>
      <c r="BE462" s="2"/>
    </row>
    <row r="463" hidden="1">
      <c r="A463" s="2"/>
      <c r="B463" s="312" t="s">
        <v>7443</v>
      </c>
      <c r="C463" s="220" t="s">
        <v>7444</v>
      </c>
      <c r="D463" s="11">
        <v>180.0</v>
      </c>
      <c r="E463" s="11" t="s">
        <v>304</v>
      </c>
      <c r="F463" s="11" t="s">
        <v>6969</v>
      </c>
      <c r="G463" s="295" t="s">
        <v>7445</v>
      </c>
      <c r="H463" s="296"/>
      <c r="I463" s="156">
        <v>1200.0</v>
      </c>
      <c r="J463" s="301"/>
      <c r="K463" s="296"/>
      <c r="L463" s="156">
        <v>1590.0</v>
      </c>
      <c r="M463" s="301">
        <v>1590.0</v>
      </c>
      <c r="N463" s="284">
        <v>1.08</v>
      </c>
      <c r="O463" s="296">
        <v>3300.0</v>
      </c>
      <c r="P463" s="67"/>
      <c r="Q463" s="303">
        <f>P460</f>
        <v>3300</v>
      </c>
      <c r="R463" s="299" t="s">
        <v>7446</v>
      </c>
      <c r="S463" s="300">
        <v>46141.38030643518</v>
      </c>
      <c r="T463" s="2"/>
      <c r="U463" s="289">
        <f t="shared" si="4"/>
        <v>2100</v>
      </c>
      <c r="V463" s="290">
        <f t="shared" si="333"/>
        <v>-1590</v>
      </c>
      <c r="W463" s="2"/>
      <c r="X463" s="289">
        <v>1200.0</v>
      </c>
      <c r="Y463" s="139">
        <v>1590.0</v>
      </c>
      <c r="Z463" s="2"/>
      <c r="AA463" s="2" t="s">
        <v>7444</v>
      </c>
      <c r="AB463" s="2" t="s">
        <v>7444</v>
      </c>
      <c r="AC463" s="2"/>
      <c r="AD463" s="2" t="s">
        <v>7444</v>
      </c>
      <c r="AE463" s="3" t="s">
        <v>7443</v>
      </c>
      <c r="AF463" s="2"/>
      <c r="AG463" s="1" t="s">
        <v>1582</v>
      </c>
      <c r="AH463" s="1" t="s">
        <v>6295</v>
      </c>
      <c r="AI463" s="2">
        <v>180.0</v>
      </c>
      <c r="AJ463" s="1" t="s">
        <v>1589</v>
      </c>
      <c r="AK463" s="1" t="s">
        <v>5878</v>
      </c>
      <c r="AL463" s="1" t="s">
        <v>5878</v>
      </c>
      <c r="AM463" s="2"/>
      <c r="AN463" s="2"/>
      <c r="AO463" s="2"/>
      <c r="AP463" s="2"/>
      <c r="AQ463" s="2"/>
      <c r="AR463" s="2"/>
      <c r="AS463" s="2"/>
      <c r="AT463" s="2"/>
      <c r="AU463" s="126">
        <v>1590.0</v>
      </c>
      <c r="AV463" s="126">
        <v>3300.0</v>
      </c>
      <c r="AW463" s="2"/>
      <c r="AX463" s="2"/>
      <c r="AY463" s="2"/>
      <c r="AZ463" s="2"/>
      <c r="BA463" s="2"/>
      <c r="BB463" s="2"/>
      <c r="BC463" s="2"/>
      <c r="BD463" s="2"/>
      <c r="BE463" s="2"/>
    </row>
    <row r="464" hidden="1">
      <c r="A464" s="2"/>
      <c r="B464" s="312" t="s">
        <v>7447</v>
      </c>
      <c r="C464" s="220" t="s">
        <v>7448</v>
      </c>
      <c r="D464" s="11">
        <v>180.0</v>
      </c>
      <c r="E464" s="11" t="s">
        <v>311</v>
      </c>
      <c r="F464" s="11" t="s">
        <v>6969</v>
      </c>
      <c r="G464" s="295" t="s">
        <v>7449</v>
      </c>
      <c r="H464" s="296"/>
      <c r="I464" s="156">
        <v>7000.0</v>
      </c>
      <c r="J464" s="301"/>
      <c r="K464" s="296"/>
      <c r="L464" s="139"/>
      <c r="M464" s="301">
        <v>7000.0</v>
      </c>
      <c r="N464" s="284">
        <v>0.33</v>
      </c>
      <c r="O464" s="296">
        <v>9300.0</v>
      </c>
      <c r="P464" s="313">
        <f>MAX(O464:O467)</f>
        <v>9300</v>
      </c>
      <c r="Q464" s="303">
        <f>P464</f>
        <v>9300</v>
      </c>
      <c r="R464" s="299" t="s">
        <v>7450</v>
      </c>
      <c r="S464" s="300">
        <v>46141.38035579861</v>
      </c>
      <c r="T464" s="2"/>
      <c r="U464" s="289">
        <f t="shared" si="4"/>
        <v>2300</v>
      </c>
      <c r="V464" s="304" t="str">
        <f t="shared" si="333"/>
        <v>нет з/ч</v>
      </c>
      <c r="W464" s="2"/>
      <c r="X464" s="289">
        <v>7000.0</v>
      </c>
      <c r="Y464" s="139"/>
      <c r="Z464" s="2"/>
      <c r="AA464" s="2" t="s">
        <v>7448</v>
      </c>
      <c r="AB464" s="2" t="s">
        <v>7448</v>
      </c>
      <c r="AC464" s="2"/>
      <c r="AD464" s="2" t="s">
        <v>7448</v>
      </c>
      <c r="AE464" s="3" t="s">
        <v>7447</v>
      </c>
      <c r="AF464" s="2"/>
      <c r="AG464" s="1" t="s">
        <v>1582</v>
      </c>
      <c r="AH464" s="1" t="s">
        <v>6319</v>
      </c>
      <c r="AI464" s="2">
        <v>180.0</v>
      </c>
      <c r="AJ464" s="1" t="s">
        <v>1589</v>
      </c>
      <c r="AK464" s="1" t="s">
        <v>5878</v>
      </c>
      <c r="AL464" s="1" t="s">
        <v>5878</v>
      </c>
      <c r="AM464" s="2"/>
      <c r="AN464" s="2"/>
      <c r="AO464" s="2"/>
      <c r="AP464" s="2"/>
      <c r="AQ464" s="2"/>
      <c r="AR464" s="2"/>
      <c r="AS464" s="2"/>
      <c r="AT464" s="2"/>
      <c r="AU464" s="126">
        <v>7000.0</v>
      </c>
      <c r="AV464" s="126">
        <v>9300.0</v>
      </c>
      <c r="AW464" s="2"/>
      <c r="AX464" s="2"/>
      <c r="AY464" s="2"/>
      <c r="AZ464" s="2"/>
      <c r="BA464" s="2"/>
      <c r="BB464" s="2"/>
      <c r="BC464" s="2"/>
      <c r="BD464" s="2"/>
      <c r="BE464" s="2"/>
    </row>
    <row r="465" hidden="1">
      <c r="A465" s="2"/>
      <c r="B465" s="312" t="s">
        <v>7451</v>
      </c>
      <c r="C465" s="220" t="s">
        <v>7452</v>
      </c>
      <c r="D465" s="11">
        <v>180.0</v>
      </c>
      <c r="E465" s="11" t="s">
        <v>311</v>
      </c>
      <c r="F465" s="11" t="s">
        <v>6969</v>
      </c>
      <c r="G465" s="295" t="s">
        <v>7453</v>
      </c>
      <c r="H465" s="296"/>
      <c r="I465" s="156">
        <v>6200.0</v>
      </c>
      <c r="J465" s="301"/>
      <c r="K465" s="296"/>
      <c r="L465" s="139"/>
      <c r="M465" s="301">
        <v>6200.0</v>
      </c>
      <c r="N465" s="284">
        <v>0.33</v>
      </c>
      <c r="O465" s="296">
        <v>8250.0</v>
      </c>
      <c r="P465" s="104"/>
      <c r="Q465" s="303">
        <f>P464</f>
        <v>9300</v>
      </c>
      <c r="R465" s="299" t="s">
        <v>7454</v>
      </c>
      <c r="S465" s="300">
        <v>46141.38040556713</v>
      </c>
      <c r="T465" s="2"/>
      <c r="U465" s="289">
        <f t="shared" si="4"/>
        <v>3100</v>
      </c>
      <c r="V465" s="304" t="str">
        <f t="shared" si="333"/>
        <v>нет з/ч</v>
      </c>
      <c r="W465" s="2"/>
      <c r="X465" s="289">
        <v>6200.0</v>
      </c>
      <c r="Y465" s="139"/>
      <c r="Z465" s="2"/>
      <c r="AA465" s="2" t="s">
        <v>7452</v>
      </c>
      <c r="AB465" s="2" t="s">
        <v>7452</v>
      </c>
      <c r="AC465" s="2"/>
      <c r="AD465" s="2" t="s">
        <v>7452</v>
      </c>
      <c r="AE465" s="3" t="s">
        <v>7451</v>
      </c>
      <c r="AF465" s="2"/>
      <c r="AG465" s="1" t="s">
        <v>1582</v>
      </c>
      <c r="AH465" s="1" t="s">
        <v>6319</v>
      </c>
      <c r="AI465" s="2">
        <v>180.0</v>
      </c>
      <c r="AJ465" s="1" t="s">
        <v>1589</v>
      </c>
      <c r="AK465" s="1" t="s">
        <v>5878</v>
      </c>
      <c r="AL465" s="1" t="s">
        <v>5878</v>
      </c>
      <c r="AM465" s="2"/>
      <c r="AN465" s="2"/>
      <c r="AO465" s="2"/>
      <c r="AP465" s="2"/>
      <c r="AQ465" s="2"/>
      <c r="AR465" s="2"/>
      <c r="AS465" s="2"/>
      <c r="AT465" s="2"/>
      <c r="AU465" s="126">
        <v>6200.0</v>
      </c>
      <c r="AV465" s="126">
        <v>9300.0</v>
      </c>
      <c r="AW465" s="2"/>
      <c r="AX465" s="2"/>
      <c r="AY465" s="2"/>
      <c r="AZ465" s="2"/>
      <c r="BA465" s="2"/>
      <c r="BB465" s="2"/>
      <c r="BC465" s="2"/>
      <c r="BD465" s="2"/>
      <c r="BE465" s="2"/>
    </row>
    <row r="466" hidden="1">
      <c r="A466" s="2"/>
      <c r="B466" s="312" t="s">
        <v>7455</v>
      </c>
      <c r="C466" s="220" t="s">
        <v>7456</v>
      </c>
      <c r="D466" s="11">
        <v>180.0</v>
      </c>
      <c r="E466" s="11" t="s">
        <v>311</v>
      </c>
      <c r="F466" s="11" t="s">
        <v>6969</v>
      </c>
      <c r="G466" s="295" t="s">
        <v>7457</v>
      </c>
      <c r="H466" s="296"/>
      <c r="I466" s="156">
        <v>6200.0</v>
      </c>
      <c r="J466" s="301"/>
      <c r="K466" s="296"/>
      <c r="L466" s="139"/>
      <c r="M466" s="301">
        <v>6200.0</v>
      </c>
      <c r="N466" s="284">
        <v>0.33</v>
      </c>
      <c r="O466" s="296">
        <v>8250.0</v>
      </c>
      <c r="P466" s="104"/>
      <c r="Q466" s="303">
        <f>P464</f>
        <v>9300</v>
      </c>
      <c r="R466" s="299" t="s">
        <v>7458</v>
      </c>
      <c r="S466" s="300">
        <v>46141.38045880787</v>
      </c>
      <c r="T466" s="2"/>
      <c r="U466" s="289">
        <f t="shared" si="4"/>
        <v>3100</v>
      </c>
      <c r="V466" s="304" t="str">
        <f t="shared" si="333"/>
        <v>нет з/ч</v>
      </c>
      <c r="W466" s="2"/>
      <c r="X466" s="289">
        <v>6200.0</v>
      </c>
      <c r="Y466" s="139"/>
      <c r="Z466" s="2"/>
      <c r="AA466" s="2" t="s">
        <v>7456</v>
      </c>
      <c r="AB466" s="2" t="s">
        <v>7456</v>
      </c>
      <c r="AC466" s="2"/>
      <c r="AD466" s="2" t="s">
        <v>7456</v>
      </c>
      <c r="AE466" s="3" t="s">
        <v>7455</v>
      </c>
      <c r="AF466" s="2"/>
      <c r="AG466" s="1" t="s">
        <v>1582</v>
      </c>
      <c r="AH466" s="1" t="s">
        <v>6319</v>
      </c>
      <c r="AI466" s="2">
        <v>180.0</v>
      </c>
      <c r="AJ466" s="1" t="s">
        <v>1589</v>
      </c>
      <c r="AK466" s="1" t="s">
        <v>5878</v>
      </c>
      <c r="AL466" s="1" t="s">
        <v>5878</v>
      </c>
      <c r="AM466" s="2"/>
      <c r="AN466" s="2"/>
      <c r="AO466" s="2"/>
      <c r="AP466" s="2"/>
      <c r="AQ466" s="2"/>
      <c r="AR466" s="2"/>
      <c r="AS466" s="2"/>
      <c r="AT466" s="2"/>
      <c r="AU466" s="126">
        <v>6200.0</v>
      </c>
      <c r="AV466" s="126">
        <v>9300.0</v>
      </c>
      <c r="AW466" s="2"/>
      <c r="AX466" s="2"/>
      <c r="AY466" s="2"/>
      <c r="AZ466" s="2"/>
      <c r="BA466" s="2"/>
      <c r="BB466" s="2"/>
      <c r="BC466" s="2"/>
      <c r="BD466" s="2"/>
      <c r="BE466" s="2"/>
    </row>
    <row r="467" hidden="1">
      <c r="A467" s="2"/>
      <c r="B467" s="312" t="s">
        <v>7459</v>
      </c>
      <c r="C467" s="220" t="s">
        <v>7460</v>
      </c>
      <c r="D467" s="11">
        <v>180.0</v>
      </c>
      <c r="E467" s="11" t="s">
        <v>311</v>
      </c>
      <c r="F467" s="11" t="s">
        <v>6969</v>
      </c>
      <c r="G467" s="295" t="s">
        <v>7461</v>
      </c>
      <c r="H467" s="296"/>
      <c r="I467" s="156">
        <v>6200.0</v>
      </c>
      <c r="J467" s="301"/>
      <c r="K467" s="296"/>
      <c r="L467" s="139"/>
      <c r="M467" s="301">
        <v>6200.0</v>
      </c>
      <c r="N467" s="284">
        <v>0.33</v>
      </c>
      <c r="O467" s="296">
        <v>8250.0</v>
      </c>
      <c r="P467" s="67"/>
      <c r="Q467" s="303">
        <f>P464</f>
        <v>9300</v>
      </c>
      <c r="R467" s="299" t="s">
        <v>7462</v>
      </c>
      <c r="S467" s="300">
        <v>46141.3805078125</v>
      </c>
      <c r="T467" s="2"/>
      <c r="U467" s="289">
        <f t="shared" si="4"/>
        <v>3100</v>
      </c>
      <c r="V467" s="304" t="str">
        <f t="shared" si="333"/>
        <v>нет з/ч</v>
      </c>
      <c r="W467" s="2"/>
      <c r="X467" s="289">
        <v>6200.0</v>
      </c>
      <c r="Y467" s="139"/>
      <c r="Z467" s="2"/>
      <c r="AA467" s="2" t="s">
        <v>7460</v>
      </c>
      <c r="AB467" s="2" t="s">
        <v>7460</v>
      </c>
      <c r="AC467" s="2"/>
      <c r="AD467" s="2" t="s">
        <v>7460</v>
      </c>
      <c r="AE467" s="3" t="s">
        <v>7459</v>
      </c>
      <c r="AF467" s="2"/>
      <c r="AG467" s="1" t="s">
        <v>1582</v>
      </c>
      <c r="AH467" s="1" t="s">
        <v>6319</v>
      </c>
      <c r="AI467" s="2">
        <v>180.0</v>
      </c>
      <c r="AJ467" s="1" t="s">
        <v>1589</v>
      </c>
      <c r="AK467" s="1" t="s">
        <v>5878</v>
      </c>
      <c r="AL467" s="1" t="s">
        <v>5878</v>
      </c>
      <c r="AM467" s="2"/>
      <c r="AN467" s="2"/>
      <c r="AO467" s="2"/>
      <c r="AP467" s="2"/>
      <c r="AQ467" s="2"/>
      <c r="AR467" s="2"/>
      <c r="AS467" s="2"/>
      <c r="AT467" s="2"/>
      <c r="AU467" s="126">
        <v>6200.0</v>
      </c>
      <c r="AV467" s="126">
        <v>9300.0</v>
      </c>
      <c r="AW467" s="2"/>
      <c r="AX467" s="2"/>
      <c r="AY467" s="2"/>
      <c r="AZ467" s="2"/>
      <c r="BA467" s="2"/>
      <c r="BB467" s="2"/>
      <c r="BC467" s="2"/>
      <c r="BD467" s="2"/>
      <c r="BE467" s="2"/>
    </row>
    <row r="468" hidden="1">
      <c r="A468" s="2"/>
      <c r="B468" s="312" t="s">
        <v>7463</v>
      </c>
      <c r="C468" s="220" t="s">
        <v>7464</v>
      </c>
      <c r="D468" s="11">
        <v>180.0</v>
      </c>
      <c r="E468" s="11" t="s">
        <v>311</v>
      </c>
      <c r="F468" s="11" t="s">
        <v>6969</v>
      </c>
      <c r="G468" s="295" t="s">
        <v>7465</v>
      </c>
      <c r="H468" s="296"/>
      <c r="I468" s="156">
        <v>1200.0</v>
      </c>
      <c r="J468" s="301"/>
      <c r="K468" s="296"/>
      <c r="L468" s="156">
        <v>1590.0</v>
      </c>
      <c r="M468" s="301">
        <v>1590.0</v>
      </c>
      <c r="N468" s="284">
        <v>1.08</v>
      </c>
      <c r="O468" s="296">
        <v>3300.0</v>
      </c>
      <c r="P468" s="313">
        <f>MAX(O468:O471)</f>
        <v>3300</v>
      </c>
      <c r="Q468" s="303">
        <f>P468</f>
        <v>3300</v>
      </c>
      <c r="R468" s="299" t="s">
        <v>7466</v>
      </c>
      <c r="S468" s="300">
        <v>46141.38055752315</v>
      </c>
      <c r="T468" s="2"/>
      <c r="U468" s="289">
        <f t="shared" si="4"/>
        <v>2100</v>
      </c>
      <c r="V468" s="290">
        <f t="shared" si="333"/>
        <v>-1590</v>
      </c>
      <c r="W468" s="2"/>
      <c r="X468" s="289">
        <v>1200.0</v>
      </c>
      <c r="Y468" s="139">
        <v>1590.0</v>
      </c>
      <c r="Z468" s="2"/>
      <c r="AA468" s="2" t="s">
        <v>7464</v>
      </c>
      <c r="AB468" s="2" t="s">
        <v>7464</v>
      </c>
      <c r="AC468" s="2"/>
      <c r="AD468" s="2" t="s">
        <v>7464</v>
      </c>
      <c r="AE468" s="3" t="s">
        <v>7463</v>
      </c>
      <c r="AF468" s="2"/>
      <c r="AG468" s="1" t="s">
        <v>1582</v>
      </c>
      <c r="AH468" s="1" t="s">
        <v>6319</v>
      </c>
      <c r="AI468" s="2">
        <v>180.0</v>
      </c>
      <c r="AJ468" s="1" t="s">
        <v>1589</v>
      </c>
      <c r="AK468" s="1" t="s">
        <v>5878</v>
      </c>
      <c r="AL468" s="1" t="s">
        <v>5878</v>
      </c>
      <c r="AM468" s="2"/>
      <c r="AN468" s="2"/>
      <c r="AO468" s="2"/>
      <c r="AP468" s="2"/>
      <c r="AQ468" s="2"/>
      <c r="AR468" s="2"/>
      <c r="AS468" s="2"/>
      <c r="AT468" s="2"/>
      <c r="AU468" s="126">
        <v>1590.0</v>
      </c>
      <c r="AV468" s="126">
        <v>3300.0</v>
      </c>
      <c r="AW468" s="2"/>
      <c r="AX468" s="2"/>
      <c r="AY468" s="2"/>
      <c r="AZ468" s="2"/>
      <c r="BA468" s="2"/>
      <c r="BB468" s="2"/>
      <c r="BC468" s="2"/>
      <c r="BD468" s="2"/>
      <c r="BE468" s="2"/>
    </row>
    <row r="469" hidden="1">
      <c r="A469" s="2"/>
      <c r="B469" s="312" t="s">
        <v>7467</v>
      </c>
      <c r="C469" s="220" t="s">
        <v>7468</v>
      </c>
      <c r="D469" s="11">
        <v>180.0</v>
      </c>
      <c r="E469" s="11" t="s">
        <v>311</v>
      </c>
      <c r="F469" s="11" t="s">
        <v>6969</v>
      </c>
      <c r="G469" s="295" t="s">
        <v>7469</v>
      </c>
      <c r="H469" s="296"/>
      <c r="I469" s="156">
        <v>1200.0</v>
      </c>
      <c r="J469" s="301"/>
      <c r="K469" s="296"/>
      <c r="L469" s="156">
        <v>1590.0</v>
      </c>
      <c r="M469" s="301">
        <v>1590.0</v>
      </c>
      <c r="N469" s="284">
        <v>1.08</v>
      </c>
      <c r="O469" s="296">
        <v>3300.0</v>
      </c>
      <c r="P469" s="104"/>
      <c r="Q469" s="303">
        <f>P468</f>
        <v>3300</v>
      </c>
      <c r="R469" s="299" t="s">
        <v>7470</v>
      </c>
      <c r="S469" s="300">
        <v>46141.38060765046</v>
      </c>
      <c r="T469" s="2"/>
      <c r="U469" s="289">
        <f t="shared" si="4"/>
        <v>2100</v>
      </c>
      <c r="V469" s="290">
        <f t="shared" si="333"/>
        <v>-1590</v>
      </c>
      <c r="W469" s="2"/>
      <c r="X469" s="289">
        <v>1200.0</v>
      </c>
      <c r="Y469" s="139">
        <v>1590.0</v>
      </c>
      <c r="Z469" s="2"/>
      <c r="AA469" s="2" t="s">
        <v>7468</v>
      </c>
      <c r="AB469" s="2" t="s">
        <v>7468</v>
      </c>
      <c r="AC469" s="2"/>
      <c r="AD469" s="2" t="s">
        <v>7468</v>
      </c>
      <c r="AE469" s="3" t="s">
        <v>7467</v>
      </c>
      <c r="AF469" s="2"/>
      <c r="AG469" s="1" t="s">
        <v>1582</v>
      </c>
      <c r="AH469" s="1" t="s">
        <v>6319</v>
      </c>
      <c r="AI469" s="2">
        <v>180.0</v>
      </c>
      <c r="AJ469" s="1" t="s">
        <v>1589</v>
      </c>
      <c r="AK469" s="1" t="s">
        <v>5878</v>
      </c>
      <c r="AL469" s="1" t="s">
        <v>5878</v>
      </c>
      <c r="AM469" s="2"/>
      <c r="AN469" s="2"/>
      <c r="AO469" s="2"/>
      <c r="AP469" s="2"/>
      <c r="AQ469" s="2"/>
      <c r="AR469" s="2"/>
      <c r="AS469" s="2"/>
      <c r="AT469" s="2"/>
      <c r="AU469" s="126">
        <v>1590.0</v>
      </c>
      <c r="AV469" s="126">
        <v>3300.0</v>
      </c>
      <c r="AW469" s="2"/>
      <c r="AX469" s="2"/>
      <c r="AY469" s="2"/>
      <c r="AZ469" s="2"/>
      <c r="BA469" s="2"/>
      <c r="BB469" s="2"/>
      <c r="BC469" s="2"/>
      <c r="BD469" s="2"/>
      <c r="BE469" s="2"/>
    </row>
    <row r="470" hidden="1">
      <c r="A470" s="2"/>
      <c r="B470" s="312" t="s">
        <v>7471</v>
      </c>
      <c r="C470" s="220" t="s">
        <v>7472</v>
      </c>
      <c r="D470" s="11">
        <v>180.0</v>
      </c>
      <c r="E470" s="11" t="s">
        <v>311</v>
      </c>
      <c r="F470" s="11" t="s">
        <v>6969</v>
      </c>
      <c r="G470" s="295" t="s">
        <v>7473</v>
      </c>
      <c r="H470" s="296"/>
      <c r="I470" s="156">
        <v>1200.0</v>
      </c>
      <c r="J470" s="301"/>
      <c r="K470" s="296"/>
      <c r="L470" s="156">
        <v>1590.0</v>
      </c>
      <c r="M470" s="301">
        <v>1590.0</v>
      </c>
      <c r="N470" s="284">
        <v>1.08</v>
      </c>
      <c r="O470" s="296">
        <v>3300.0</v>
      </c>
      <c r="P470" s="104"/>
      <c r="Q470" s="303">
        <f>P468</f>
        <v>3300</v>
      </c>
      <c r="R470" s="299" t="s">
        <v>7474</v>
      </c>
      <c r="S470" s="300">
        <v>46141.38065847222</v>
      </c>
      <c r="T470" s="2"/>
      <c r="U470" s="289">
        <f t="shared" si="4"/>
        <v>2100</v>
      </c>
      <c r="V470" s="290">
        <f t="shared" si="333"/>
        <v>-1590</v>
      </c>
      <c r="W470" s="2"/>
      <c r="X470" s="289">
        <v>1200.0</v>
      </c>
      <c r="Y470" s="139">
        <v>1590.0</v>
      </c>
      <c r="Z470" s="2"/>
      <c r="AA470" s="2" t="s">
        <v>7472</v>
      </c>
      <c r="AB470" s="2" t="s">
        <v>7472</v>
      </c>
      <c r="AC470" s="2"/>
      <c r="AD470" s="2" t="s">
        <v>7472</v>
      </c>
      <c r="AE470" s="3" t="s">
        <v>7471</v>
      </c>
      <c r="AF470" s="2"/>
      <c r="AG470" s="1" t="s">
        <v>1582</v>
      </c>
      <c r="AH470" s="1" t="s">
        <v>6319</v>
      </c>
      <c r="AI470" s="2">
        <v>180.0</v>
      </c>
      <c r="AJ470" s="1" t="s">
        <v>1589</v>
      </c>
      <c r="AK470" s="1" t="s">
        <v>5878</v>
      </c>
      <c r="AL470" s="1" t="s">
        <v>5878</v>
      </c>
      <c r="AM470" s="2"/>
      <c r="AN470" s="2"/>
      <c r="AO470" s="2"/>
      <c r="AP470" s="2"/>
      <c r="AQ470" s="2"/>
      <c r="AR470" s="2"/>
      <c r="AS470" s="2"/>
      <c r="AT470" s="2"/>
      <c r="AU470" s="126">
        <v>1590.0</v>
      </c>
      <c r="AV470" s="126">
        <v>3300.0</v>
      </c>
      <c r="AW470" s="2"/>
      <c r="AX470" s="2"/>
      <c r="AY470" s="2"/>
      <c r="AZ470" s="2"/>
      <c r="BA470" s="2"/>
      <c r="BB470" s="2"/>
      <c r="BC470" s="2"/>
      <c r="BD470" s="2"/>
      <c r="BE470" s="2"/>
    </row>
    <row r="471" hidden="1">
      <c r="A471" s="2"/>
      <c r="B471" s="312" t="s">
        <v>7475</v>
      </c>
      <c r="C471" s="220" t="s">
        <v>7476</v>
      </c>
      <c r="D471" s="11">
        <v>180.0</v>
      </c>
      <c r="E471" s="11" t="s">
        <v>311</v>
      </c>
      <c r="F471" s="11" t="s">
        <v>6969</v>
      </c>
      <c r="G471" s="295" t="s">
        <v>7477</v>
      </c>
      <c r="H471" s="296"/>
      <c r="I471" s="156">
        <v>1200.0</v>
      </c>
      <c r="J471" s="301"/>
      <c r="K471" s="296"/>
      <c r="L471" s="156">
        <v>1590.0</v>
      </c>
      <c r="M471" s="301">
        <v>1590.0</v>
      </c>
      <c r="N471" s="284">
        <v>1.08</v>
      </c>
      <c r="O471" s="296">
        <v>3300.0</v>
      </c>
      <c r="P471" s="67"/>
      <c r="Q471" s="303">
        <f>P468</f>
        <v>3300</v>
      </c>
      <c r="R471" s="299" t="s">
        <v>7478</v>
      </c>
      <c r="S471" s="300">
        <v>46141.38071185185</v>
      </c>
      <c r="T471" s="2"/>
      <c r="U471" s="289">
        <f t="shared" si="4"/>
        <v>2100</v>
      </c>
      <c r="V471" s="290">
        <f t="shared" si="333"/>
        <v>-1590</v>
      </c>
      <c r="W471" s="2"/>
      <c r="X471" s="289">
        <v>1200.0</v>
      </c>
      <c r="Y471" s="139">
        <v>1590.0</v>
      </c>
      <c r="Z471" s="2"/>
      <c r="AA471" s="2" t="s">
        <v>7476</v>
      </c>
      <c r="AB471" s="2" t="s">
        <v>7476</v>
      </c>
      <c r="AC471" s="2"/>
      <c r="AD471" s="2" t="s">
        <v>7476</v>
      </c>
      <c r="AE471" s="3" t="s">
        <v>7475</v>
      </c>
      <c r="AF471" s="2"/>
      <c r="AG471" s="1" t="s">
        <v>1582</v>
      </c>
      <c r="AH471" s="1" t="s">
        <v>6319</v>
      </c>
      <c r="AI471" s="2">
        <v>180.0</v>
      </c>
      <c r="AJ471" s="1" t="s">
        <v>1589</v>
      </c>
      <c r="AK471" s="1" t="s">
        <v>5878</v>
      </c>
      <c r="AL471" s="1" t="s">
        <v>5878</v>
      </c>
      <c r="AM471" s="2"/>
      <c r="AN471" s="2"/>
      <c r="AO471" s="2"/>
      <c r="AP471" s="2"/>
      <c r="AQ471" s="2"/>
      <c r="AR471" s="2"/>
      <c r="AS471" s="2"/>
      <c r="AT471" s="2"/>
      <c r="AU471" s="126">
        <v>1590.0</v>
      </c>
      <c r="AV471" s="126">
        <v>3300.0</v>
      </c>
      <c r="AW471" s="2"/>
      <c r="AX471" s="2"/>
      <c r="AY471" s="2"/>
      <c r="AZ471" s="2"/>
      <c r="BA471" s="2"/>
      <c r="BB471" s="2"/>
      <c r="BC471" s="2"/>
      <c r="BD471" s="2"/>
      <c r="BE471" s="2"/>
    </row>
    <row r="472" hidden="1">
      <c r="A472" s="2"/>
      <c r="B472" s="312" t="s">
        <v>7479</v>
      </c>
      <c r="C472" s="84"/>
      <c r="D472" s="11">
        <v>180.0</v>
      </c>
      <c r="E472" s="11" t="s">
        <v>318</v>
      </c>
      <c r="F472" s="11" t="s">
        <v>6969</v>
      </c>
      <c r="G472" s="295" t="s">
        <v>7480</v>
      </c>
      <c r="H472" s="296"/>
      <c r="I472" s="156">
        <v>4900.0</v>
      </c>
      <c r="J472" s="301"/>
      <c r="K472" s="296"/>
      <c r="L472" s="139"/>
      <c r="M472" s="301">
        <v>4900.0</v>
      </c>
      <c r="N472" s="284">
        <v>0.45</v>
      </c>
      <c r="O472" s="296">
        <v>7100.0</v>
      </c>
      <c r="P472" s="313">
        <f>MAX(O472:O476)</f>
        <v>7100</v>
      </c>
      <c r="Q472" s="303">
        <f>P472</f>
        <v>7100</v>
      </c>
      <c r="R472" s="299" t="s">
        <v>7481</v>
      </c>
      <c r="S472" s="300">
        <v>46141.380761099535</v>
      </c>
      <c r="T472" s="2"/>
      <c r="U472" s="289">
        <f t="shared" si="4"/>
        <v>2200</v>
      </c>
      <c r="V472" s="304" t="str">
        <f t="shared" si="333"/>
        <v>нет з/ч</v>
      </c>
      <c r="W472" s="2"/>
      <c r="X472" s="289">
        <v>4900.0</v>
      </c>
      <c r="Y472" s="139"/>
      <c r="Z472" s="2"/>
      <c r="AA472" s="2"/>
      <c r="AB472" s="2"/>
      <c r="AC472" s="2"/>
      <c r="AD472" s="2"/>
      <c r="AE472" s="3" t="s">
        <v>7479</v>
      </c>
      <c r="AF472" s="2"/>
      <c r="AG472" s="1" t="s">
        <v>1582</v>
      </c>
      <c r="AH472" s="1" t="s">
        <v>6343</v>
      </c>
      <c r="AI472" s="2">
        <v>180.0</v>
      </c>
      <c r="AJ472" s="1" t="s">
        <v>1589</v>
      </c>
      <c r="AK472" s="1" t="s">
        <v>5878</v>
      </c>
      <c r="AL472" s="1" t="s">
        <v>5878</v>
      </c>
      <c r="AM472" s="2"/>
      <c r="AN472" s="2"/>
      <c r="AO472" s="2"/>
      <c r="AP472" s="2"/>
      <c r="AQ472" s="2"/>
      <c r="AR472" s="2"/>
      <c r="AS472" s="2"/>
      <c r="AT472" s="2"/>
      <c r="AU472" s="126">
        <v>4900.0</v>
      </c>
      <c r="AV472" s="126">
        <v>7100.0</v>
      </c>
      <c r="AW472" s="2"/>
      <c r="AX472" s="2"/>
      <c r="AY472" s="2"/>
      <c r="AZ472" s="2"/>
      <c r="BA472" s="2"/>
      <c r="BB472" s="2"/>
      <c r="BC472" s="2"/>
      <c r="BD472" s="2"/>
      <c r="BE472" s="2"/>
    </row>
    <row r="473" hidden="1">
      <c r="A473" s="2"/>
      <c r="B473" s="312" t="s">
        <v>7482</v>
      </c>
      <c r="C473" s="84"/>
      <c r="D473" s="11">
        <v>180.0</v>
      </c>
      <c r="E473" s="11" t="s">
        <v>318</v>
      </c>
      <c r="F473" s="11" t="s">
        <v>6969</v>
      </c>
      <c r="G473" s="295" t="s">
        <v>7483</v>
      </c>
      <c r="H473" s="296"/>
      <c r="I473" s="156">
        <v>4900.0</v>
      </c>
      <c r="J473" s="301"/>
      <c r="K473" s="296"/>
      <c r="L473" s="139"/>
      <c r="M473" s="301">
        <v>4900.0</v>
      </c>
      <c r="N473" s="284">
        <v>0.45</v>
      </c>
      <c r="O473" s="296">
        <v>7100.0</v>
      </c>
      <c r="P473" s="104"/>
      <c r="Q473" s="303">
        <f>P472</f>
        <v>7100</v>
      </c>
      <c r="R473" s="299" t="s">
        <v>7484</v>
      </c>
      <c r="S473" s="300">
        <v>46141.38081322917</v>
      </c>
      <c r="T473" s="2"/>
      <c r="U473" s="289">
        <f t="shared" si="4"/>
        <v>2200</v>
      </c>
      <c r="V473" s="304" t="str">
        <f t="shared" si="333"/>
        <v>нет з/ч</v>
      </c>
      <c r="W473" s="2"/>
      <c r="X473" s="289">
        <v>4900.0</v>
      </c>
      <c r="Y473" s="139"/>
      <c r="Z473" s="2"/>
      <c r="AA473" s="2"/>
      <c r="AB473" s="2"/>
      <c r="AC473" s="2"/>
      <c r="AD473" s="2"/>
      <c r="AE473" s="3" t="s">
        <v>7482</v>
      </c>
      <c r="AF473" s="2"/>
      <c r="AG473" s="1" t="s">
        <v>1582</v>
      </c>
      <c r="AH473" s="1" t="s">
        <v>6343</v>
      </c>
      <c r="AI473" s="2">
        <v>180.0</v>
      </c>
      <c r="AJ473" s="1" t="s">
        <v>1589</v>
      </c>
      <c r="AK473" s="1" t="s">
        <v>5878</v>
      </c>
      <c r="AL473" s="1" t="s">
        <v>5878</v>
      </c>
      <c r="AM473" s="2"/>
      <c r="AN473" s="2"/>
      <c r="AO473" s="2"/>
      <c r="AP473" s="2"/>
      <c r="AQ473" s="2"/>
      <c r="AR473" s="2"/>
      <c r="AS473" s="2"/>
      <c r="AT473" s="2"/>
      <c r="AU473" s="126">
        <v>4900.0</v>
      </c>
      <c r="AV473" s="126">
        <v>7100.0</v>
      </c>
      <c r="AW473" s="2"/>
      <c r="AX473" s="2"/>
      <c r="AY473" s="2"/>
      <c r="AZ473" s="2"/>
      <c r="BA473" s="2"/>
      <c r="BB473" s="2"/>
      <c r="BC473" s="2"/>
      <c r="BD473" s="2"/>
      <c r="BE473" s="2"/>
    </row>
    <row r="474" hidden="1">
      <c r="A474" s="2"/>
      <c r="B474" s="312" t="s">
        <v>7485</v>
      </c>
      <c r="C474" s="84"/>
      <c r="D474" s="11">
        <v>180.0</v>
      </c>
      <c r="E474" s="11" t="s">
        <v>318</v>
      </c>
      <c r="F474" s="11" t="s">
        <v>6969</v>
      </c>
      <c r="G474" s="295" t="s">
        <v>7486</v>
      </c>
      <c r="H474" s="296"/>
      <c r="I474" s="156">
        <v>4900.0</v>
      </c>
      <c r="J474" s="301"/>
      <c r="K474" s="296"/>
      <c r="L474" s="139"/>
      <c r="M474" s="301">
        <v>4900.0</v>
      </c>
      <c r="N474" s="284">
        <v>0.45</v>
      </c>
      <c r="O474" s="296">
        <v>7100.0</v>
      </c>
      <c r="P474" s="104"/>
      <c r="Q474" s="303">
        <f>P472</f>
        <v>7100</v>
      </c>
      <c r="R474" s="299" t="s">
        <v>7487</v>
      </c>
      <c r="S474" s="300">
        <v>46141.38086150463</v>
      </c>
      <c r="T474" s="2"/>
      <c r="U474" s="289">
        <f t="shared" si="4"/>
        <v>2200</v>
      </c>
      <c r="V474" s="304" t="str">
        <f t="shared" si="333"/>
        <v>нет з/ч</v>
      </c>
      <c r="W474" s="2"/>
      <c r="X474" s="289">
        <v>4900.0</v>
      </c>
      <c r="Y474" s="139"/>
      <c r="Z474" s="2"/>
      <c r="AA474" s="2"/>
      <c r="AB474" s="2"/>
      <c r="AC474" s="2"/>
      <c r="AD474" s="2"/>
      <c r="AE474" s="3" t="s">
        <v>7485</v>
      </c>
      <c r="AF474" s="2"/>
      <c r="AG474" s="1" t="s">
        <v>1582</v>
      </c>
      <c r="AH474" s="1" t="s">
        <v>6343</v>
      </c>
      <c r="AI474" s="2">
        <v>180.0</v>
      </c>
      <c r="AJ474" s="1" t="s">
        <v>1589</v>
      </c>
      <c r="AK474" s="1" t="s">
        <v>5878</v>
      </c>
      <c r="AL474" s="1" t="s">
        <v>5878</v>
      </c>
      <c r="AM474" s="2"/>
      <c r="AN474" s="2"/>
      <c r="AO474" s="2"/>
      <c r="AP474" s="2"/>
      <c r="AQ474" s="2"/>
      <c r="AR474" s="2"/>
      <c r="AS474" s="2"/>
      <c r="AT474" s="2"/>
      <c r="AU474" s="126">
        <v>4900.0</v>
      </c>
      <c r="AV474" s="126">
        <v>7100.0</v>
      </c>
      <c r="AW474" s="2"/>
      <c r="AX474" s="2"/>
      <c r="AY474" s="2"/>
      <c r="AZ474" s="2"/>
      <c r="BA474" s="2"/>
      <c r="BB474" s="2"/>
      <c r="BC474" s="2"/>
      <c r="BD474" s="2"/>
      <c r="BE474" s="2"/>
    </row>
    <row r="475" hidden="1">
      <c r="A475" s="2"/>
      <c r="B475" s="312" t="s">
        <v>7488</v>
      </c>
      <c r="C475" s="84"/>
      <c r="D475" s="11">
        <v>180.0</v>
      </c>
      <c r="E475" s="11" t="s">
        <v>318</v>
      </c>
      <c r="F475" s="11" t="s">
        <v>6969</v>
      </c>
      <c r="G475" s="295" t="s">
        <v>7489</v>
      </c>
      <c r="H475" s="296"/>
      <c r="I475" s="156">
        <v>4900.0</v>
      </c>
      <c r="J475" s="301"/>
      <c r="K475" s="296"/>
      <c r="L475" s="139"/>
      <c r="M475" s="301">
        <v>4900.0</v>
      </c>
      <c r="N475" s="284">
        <v>0.45</v>
      </c>
      <c r="O475" s="296">
        <v>7100.0</v>
      </c>
      <c r="P475" s="104"/>
      <c r="Q475" s="303">
        <f>P472</f>
        <v>7100</v>
      </c>
      <c r="R475" s="299" t="s">
        <v>7490</v>
      </c>
      <c r="S475" s="300">
        <v>46141.380909837964</v>
      </c>
      <c r="T475" s="2"/>
      <c r="U475" s="289">
        <f t="shared" si="4"/>
        <v>2200</v>
      </c>
      <c r="V475" s="304" t="str">
        <f t="shared" si="333"/>
        <v>нет з/ч</v>
      </c>
      <c r="W475" s="2"/>
      <c r="X475" s="289">
        <v>4900.0</v>
      </c>
      <c r="Y475" s="139"/>
      <c r="Z475" s="2"/>
      <c r="AA475" s="2"/>
      <c r="AB475" s="2"/>
      <c r="AC475" s="2"/>
      <c r="AD475" s="2"/>
      <c r="AE475" s="3" t="s">
        <v>7488</v>
      </c>
      <c r="AF475" s="2"/>
      <c r="AG475" s="1" t="s">
        <v>1582</v>
      </c>
      <c r="AH475" s="1" t="s">
        <v>6343</v>
      </c>
      <c r="AI475" s="2">
        <v>180.0</v>
      </c>
      <c r="AJ475" s="1" t="s">
        <v>1589</v>
      </c>
      <c r="AK475" s="1" t="s">
        <v>5878</v>
      </c>
      <c r="AL475" s="1" t="s">
        <v>5878</v>
      </c>
      <c r="AM475" s="2"/>
      <c r="AN475" s="2"/>
      <c r="AO475" s="2"/>
      <c r="AP475" s="2"/>
      <c r="AQ475" s="2"/>
      <c r="AR475" s="2"/>
      <c r="AS475" s="2"/>
      <c r="AT475" s="2"/>
      <c r="AU475" s="126">
        <v>4900.0</v>
      </c>
      <c r="AV475" s="126">
        <v>7100.0</v>
      </c>
      <c r="AW475" s="2"/>
      <c r="AX475" s="2"/>
      <c r="AY475" s="2"/>
      <c r="AZ475" s="2"/>
      <c r="BA475" s="2"/>
      <c r="BB475" s="2"/>
      <c r="BC475" s="2"/>
      <c r="BD475" s="2"/>
      <c r="BE475" s="2"/>
    </row>
    <row r="476" hidden="1">
      <c r="A476" s="2"/>
      <c r="B476" s="312" t="s">
        <v>7491</v>
      </c>
      <c r="C476" s="84"/>
      <c r="D476" s="11">
        <v>180.0</v>
      </c>
      <c r="E476" s="11" t="s">
        <v>318</v>
      </c>
      <c r="F476" s="11" t="s">
        <v>6969</v>
      </c>
      <c r="G476" s="295" t="s">
        <v>7492</v>
      </c>
      <c r="H476" s="296"/>
      <c r="I476" s="156">
        <v>4900.0</v>
      </c>
      <c r="J476" s="301"/>
      <c r="K476" s="296"/>
      <c r="L476" s="139"/>
      <c r="M476" s="301">
        <v>4900.0</v>
      </c>
      <c r="N476" s="284">
        <v>0.45</v>
      </c>
      <c r="O476" s="296">
        <v>7100.0</v>
      </c>
      <c r="P476" s="67"/>
      <c r="Q476" s="303">
        <f>P472</f>
        <v>7100</v>
      </c>
      <c r="R476" s="299" t="s">
        <v>7493</v>
      </c>
      <c r="S476" s="300">
        <v>46141.38095777778</v>
      </c>
      <c r="T476" s="2"/>
      <c r="U476" s="289">
        <f t="shared" si="4"/>
        <v>2200</v>
      </c>
      <c r="V476" s="304" t="str">
        <f t="shared" si="333"/>
        <v>нет з/ч</v>
      </c>
      <c r="W476" s="2"/>
      <c r="X476" s="289">
        <v>4900.0</v>
      </c>
      <c r="Y476" s="139"/>
      <c r="Z476" s="2"/>
      <c r="AA476" s="2"/>
      <c r="AB476" s="2"/>
      <c r="AC476" s="2"/>
      <c r="AD476" s="2"/>
      <c r="AE476" s="3" t="s">
        <v>7491</v>
      </c>
      <c r="AF476" s="2"/>
      <c r="AG476" s="1" t="s">
        <v>1582</v>
      </c>
      <c r="AH476" s="1" t="s">
        <v>6343</v>
      </c>
      <c r="AI476" s="2">
        <v>180.0</v>
      </c>
      <c r="AJ476" s="1" t="s">
        <v>1589</v>
      </c>
      <c r="AK476" s="1" t="s">
        <v>5878</v>
      </c>
      <c r="AL476" s="1" t="s">
        <v>5878</v>
      </c>
      <c r="AM476" s="2"/>
      <c r="AN476" s="2"/>
      <c r="AO476" s="2"/>
      <c r="AP476" s="2"/>
      <c r="AQ476" s="2"/>
      <c r="AR476" s="2"/>
      <c r="AS476" s="2"/>
      <c r="AT476" s="2"/>
      <c r="AU476" s="126">
        <v>4900.0</v>
      </c>
      <c r="AV476" s="126">
        <v>7100.0</v>
      </c>
      <c r="AW476" s="2"/>
      <c r="AX476" s="2"/>
      <c r="AY476" s="2"/>
      <c r="AZ476" s="2"/>
      <c r="BA476" s="2"/>
      <c r="BB476" s="2"/>
      <c r="BC476" s="2"/>
      <c r="BD476" s="2"/>
      <c r="BE476" s="2"/>
    </row>
    <row r="477" hidden="1">
      <c r="A477" s="2"/>
      <c r="B477" s="312" t="s">
        <v>7494</v>
      </c>
      <c r="C477" s="220" t="s">
        <v>7495</v>
      </c>
      <c r="D477" s="11">
        <v>180.0</v>
      </c>
      <c r="E477" s="11" t="s">
        <v>318</v>
      </c>
      <c r="F477" s="11" t="s">
        <v>6969</v>
      </c>
      <c r="G477" s="295" t="s">
        <v>7496</v>
      </c>
      <c r="H477" s="296"/>
      <c r="I477" s="156">
        <v>1300.0</v>
      </c>
      <c r="J477" s="301"/>
      <c r="K477" s="296"/>
      <c r="L477" s="156">
        <v>1290.0</v>
      </c>
      <c r="M477" s="301">
        <v>1300.0</v>
      </c>
      <c r="N477" s="284">
        <v>1.4</v>
      </c>
      <c r="O477" s="296">
        <v>3100.0</v>
      </c>
      <c r="P477" s="313">
        <f>MAX(O477:O481)</f>
        <v>3100</v>
      </c>
      <c r="Q477" s="303">
        <f>P477</f>
        <v>3100</v>
      </c>
      <c r="R477" s="299" t="s">
        <v>7497</v>
      </c>
      <c r="S477" s="300">
        <v>46141.381005972224</v>
      </c>
      <c r="T477" s="2"/>
      <c r="U477" s="289">
        <f t="shared" si="4"/>
        <v>1800</v>
      </c>
      <c r="V477" s="290">
        <f t="shared" si="333"/>
        <v>-1290</v>
      </c>
      <c r="W477" s="2"/>
      <c r="X477" s="289">
        <v>1300.0</v>
      </c>
      <c r="Y477" s="139">
        <v>1290.0</v>
      </c>
      <c r="Z477" s="2"/>
      <c r="AA477" s="2" t="s">
        <v>7495</v>
      </c>
      <c r="AB477" s="2" t="s">
        <v>7495</v>
      </c>
      <c r="AC477" s="2"/>
      <c r="AD477" s="2" t="s">
        <v>7495</v>
      </c>
      <c r="AE477" s="3" t="s">
        <v>7494</v>
      </c>
      <c r="AF477" s="2"/>
      <c r="AG477" s="1" t="s">
        <v>1582</v>
      </c>
      <c r="AH477" s="1" t="s">
        <v>6343</v>
      </c>
      <c r="AI477" s="2">
        <v>180.0</v>
      </c>
      <c r="AJ477" s="1" t="s">
        <v>1589</v>
      </c>
      <c r="AK477" s="1" t="s">
        <v>5878</v>
      </c>
      <c r="AL477" s="1" t="s">
        <v>5878</v>
      </c>
      <c r="AM477" s="2"/>
      <c r="AN477" s="2"/>
      <c r="AO477" s="2"/>
      <c r="AP477" s="2"/>
      <c r="AQ477" s="2"/>
      <c r="AR477" s="2"/>
      <c r="AS477" s="2"/>
      <c r="AT477" s="2"/>
      <c r="AU477" s="126">
        <v>1300.0</v>
      </c>
      <c r="AV477" s="126">
        <v>3100.0</v>
      </c>
      <c r="AW477" s="2"/>
      <c r="AX477" s="2"/>
      <c r="AY477" s="2"/>
      <c r="AZ477" s="2"/>
      <c r="BA477" s="2"/>
      <c r="BB477" s="2"/>
      <c r="BC477" s="2"/>
      <c r="BD477" s="2"/>
      <c r="BE477" s="2"/>
    </row>
    <row r="478" hidden="1">
      <c r="A478" s="2"/>
      <c r="B478" s="312" t="s">
        <v>7498</v>
      </c>
      <c r="C478" s="220" t="s">
        <v>7499</v>
      </c>
      <c r="D478" s="11">
        <v>180.0</v>
      </c>
      <c r="E478" s="11" t="s">
        <v>318</v>
      </c>
      <c r="F478" s="11" t="s">
        <v>6969</v>
      </c>
      <c r="G478" s="295" t="s">
        <v>7500</v>
      </c>
      <c r="H478" s="296"/>
      <c r="I478" s="156">
        <v>1300.0</v>
      </c>
      <c r="J478" s="301"/>
      <c r="K478" s="296"/>
      <c r="L478" s="156">
        <v>1290.0</v>
      </c>
      <c r="M478" s="301">
        <v>1300.0</v>
      </c>
      <c r="N478" s="284">
        <v>1.4</v>
      </c>
      <c r="O478" s="296">
        <v>3100.0</v>
      </c>
      <c r="P478" s="104"/>
      <c r="Q478" s="303">
        <f>P477</f>
        <v>3100</v>
      </c>
      <c r="R478" s="299" t="s">
        <v>7501</v>
      </c>
      <c r="S478" s="300">
        <v>46141.381055000005</v>
      </c>
      <c r="T478" s="2"/>
      <c r="U478" s="289">
        <f t="shared" si="4"/>
        <v>1800</v>
      </c>
      <c r="V478" s="290">
        <f t="shared" si="333"/>
        <v>-1290</v>
      </c>
      <c r="W478" s="2"/>
      <c r="X478" s="289">
        <v>1300.0</v>
      </c>
      <c r="Y478" s="139">
        <v>1290.0</v>
      </c>
      <c r="Z478" s="2"/>
      <c r="AA478" s="2" t="s">
        <v>7499</v>
      </c>
      <c r="AB478" s="2" t="s">
        <v>7499</v>
      </c>
      <c r="AC478" s="2"/>
      <c r="AD478" s="2" t="s">
        <v>7499</v>
      </c>
      <c r="AE478" s="3" t="s">
        <v>7498</v>
      </c>
      <c r="AF478" s="2"/>
      <c r="AG478" s="1" t="s">
        <v>1582</v>
      </c>
      <c r="AH478" s="1" t="s">
        <v>6343</v>
      </c>
      <c r="AI478" s="2">
        <v>180.0</v>
      </c>
      <c r="AJ478" s="1" t="s">
        <v>1589</v>
      </c>
      <c r="AK478" s="1" t="s">
        <v>5878</v>
      </c>
      <c r="AL478" s="1" t="s">
        <v>5878</v>
      </c>
      <c r="AM478" s="2"/>
      <c r="AN478" s="2"/>
      <c r="AO478" s="2"/>
      <c r="AP478" s="2"/>
      <c r="AQ478" s="2"/>
      <c r="AR478" s="2"/>
      <c r="AS478" s="2"/>
      <c r="AT478" s="2"/>
      <c r="AU478" s="126">
        <v>1300.0</v>
      </c>
      <c r="AV478" s="126">
        <v>3100.0</v>
      </c>
      <c r="AW478" s="2"/>
      <c r="AX478" s="2"/>
      <c r="AY478" s="2"/>
      <c r="AZ478" s="2"/>
      <c r="BA478" s="2"/>
      <c r="BB478" s="2"/>
      <c r="BC478" s="2"/>
      <c r="BD478" s="2"/>
      <c r="BE478" s="2"/>
    </row>
    <row r="479" hidden="1">
      <c r="A479" s="2"/>
      <c r="B479" s="312" t="s">
        <v>7502</v>
      </c>
      <c r="C479" s="220" t="s">
        <v>7503</v>
      </c>
      <c r="D479" s="11">
        <v>180.0</v>
      </c>
      <c r="E479" s="11" t="s">
        <v>318</v>
      </c>
      <c r="F479" s="11" t="s">
        <v>6969</v>
      </c>
      <c r="G479" s="295" t="s">
        <v>7504</v>
      </c>
      <c r="H479" s="296"/>
      <c r="I479" s="156">
        <v>1300.0</v>
      </c>
      <c r="J479" s="301"/>
      <c r="K479" s="296"/>
      <c r="L479" s="156">
        <v>1290.0</v>
      </c>
      <c r="M479" s="301">
        <v>1300.0</v>
      </c>
      <c r="N479" s="284">
        <v>1.4</v>
      </c>
      <c r="O479" s="296">
        <v>3100.0</v>
      </c>
      <c r="P479" s="104"/>
      <c r="Q479" s="303">
        <f>P477</f>
        <v>3100</v>
      </c>
      <c r="R479" s="299" t="s">
        <v>7505</v>
      </c>
      <c r="S479" s="300">
        <v>46141.38110478009</v>
      </c>
      <c r="T479" s="2"/>
      <c r="U479" s="289">
        <f t="shared" si="4"/>
        <v>1800</v>
      </c>
      <c r="V479" s="290">
        <f t="shared" si="333"/>
        <v>-1290</v>
      </c>
      <c r="W479" s="2"/>
      <c r="X479" s="289">
        <v>1300.0</v>
      </c>
      <c r="Y479" s="139">
        <v>1290.0</v>
      </c>
      <c r="Z479" s="2"/>
      <c r="AA479" s="2" t="s">
        <v>7503</v>
      </c>
      <c r="AB479" s="2" t="s">
        <v>7503</v>
      </c>
      <c r="AC479" s="2"/>
      <c r="AD479" s="2" t="s">
        <v>7503</v>
      </c>
      <c r="AE479" s="3" t="s">
        <v>7502</v>
      </c>
      <c r="AF479" s="2"/>
      <c r="AG479" s="1" t="s">
        <v>1582</v>
      </c>
      <c r="AH479" s="1" t="s">
        <v>6343</v>
      </c>
      <c r="AI479" s="2">
        <v>180.0</v>
      </c>
      <c r="AJ479" s="1" t="s">
        <v>1589</v>
      </c>
      <c r="AK479" s="1" t="s">
        <v>5878</v>
      </c>
      <c r="AL479" s="1" t="s">
        <v>5878</v>
      </c>
      <c r="AM479" s="2"/>
      <c r="AN479" s="2"/>
      <c r="AO479" s="2"/>
      <c r="AP479" s="2"/>
      <c r="AQ479" s="2"/>
      <c r="AR479" s="2"/>
      <c r="AS479" s="2"/>
      <c r="AT479" s="2"/>
      <c r="AU479" s="126">
        <v>1300.0</v>
      </c>
      <c r="AV479" s="126">
        <v>3100.0</v>
      </c>
      <c r="AW479" s="2"/>
      <c r="AX479" s="2"/>
      <c r="AY479" s="2"/>
      <c r="AZ479" s="2"/>
      <c r="BA479" s="2"/>
      <c r="BB479" s="2"/>
      <c r="BC479" s="2"/>
      <c r="BD479" s="2"/>
      <c r="BE479" s="2"/>
    </row>
    <row r="480" hidden="1">
      <c r="A480" s="2"/>
      <c r="B480" s="312" t="s">
        <v>7506</v>
      </c>
      <c r="C480" s="220" t="s">
        <v>7507</v>
      </c>
      <c r="D480" s="11">
        <v>180.0</v>
      </c>
      <c r="E480" s="11" t="s">
        <v>318</v>
      </c>
      <c r="F480" s="11" t="s">
        <v>6969</v>
      </c>
      <c r="G480" s="295" t="s">
        <v>7508</v>
      </c>
      <c r="H480" s="296"/>
      <c r="I480" s="156">
        <v>1300.0</v>
      </c>
      <c r="J480" s="301"/>
      <c r="K480" s="296"/>
      <c r="L480" s="156">
        <v>1290.0</v>
      </c>
      <c r="M480" s="301">
        <v>1300.0</v>
      </c>
      <c r="N480" s="284">
        <v>1.4</v>
      </c>
      <c r="O480" s="296">
        <v>3100.0</v>
      </c>
      <c r="P480" s="104"/>
      <c r="Q480" s="303">
        <f>P477</f>
        <v>3100</v>
      </c>
      <c r="R480" s="299" t="s">
        <v>7509</v>
      </c>
      <c r="S480" s="300">
        <v>46141.38115298611</v>
      </c>
      <c r="T480" s="2"/>
      <c r="U480" s="289">
        <f t="shared" si="4"/>
        <v>1800</v>
      </c>
      <c r="V480" s="290">
        <f t="shared" si="333"/>
        <v>-1290</v>
      </c>
      <c r="W480" s="2"/>
      <c r="X480" s="289">
        <v>1300.0</v>
      </c>
      <c r="Y480" s="139">
        <v>1290.0</v>
      </c>
      <c r="Z480" s="2"/>
      <c r="AA480" s="2" t="s">
        <v>7507</v>
      </c>
      <c r="AB480" s="2" t="s">
        <v>7507</v>
      </c>
      <c r="AC480" s="2"/>
      <c r="AD480" s="2" t="s">
        <v>7507</v>
      </c>
      <c r="AE480" s="3" t="s">
        <v>7506</v>
      </c>
      <c r="AF480" s="2"/>
      <c r="AG480" s="1" t="s">
        <v>1582</v>
      </c>
      <c r="AH480" s="1" t="s">
        <v>6343</v>
      </c>
      <c r="AI480" s="2">
        <v>180.0</v>
      </c>
      <c r="AJ480" s="1" t="s">
        <v>1589</v>
      </c>
      <c r="AK480" s="1" t="s">
        <v>5878</v>
      </c>
      <c r="AL480" s="1" t="s">
        <v>5878</v>
      </c>
      <c r="AM480" s="2"/>
      <c r="AN480" s="2"/>
      <c r="AO480" s="2"/>
      <c r="AP480" s="2"/>
      <c r="AQ480" s="2"/>
      <c r="AR480" s="2"/>
      <c r="AS480" s="2"/>
      <c r="AT480" s="2"/>
      <c r="AU480" s="126">
        <v>1300.0</v>
      </c>
      <c r="AV480" s="126">
        <v>3100.0</v>
      </c>
      <c r="AW480" s="2"/>
      <c r="AX480" s="2"/>
      <c r="AY480" s="2"/>
      <c r="AZ480" s="2"/>
      <c r="BA480" s="2"/>
      <c r="BB480" s="2"/>
      <c r="BC480" s="2"/>
      <c r="BD480" s="2"/>
      <c r="BE480" s="2"/>
    </row>
    <row r="481" hidden="1">
      <c r="A481" s="2"/>
      <c r="B481" s="312" t="s">
        <v>7510</v>
      </c>
      <c r="C481" s="220" t="s">
        <v>7511</v>
      </c>
      <c r="D481" s="11">
        <v>180.0</v>
      </c>
      <c r="E481" s="11" t="s">
        <v>318</v>
      </c>
      <c r="F481" s="11" t="s">
        <v>6969</v>
      </c>
      <c r="G481" s="295" t="s">
        <v>7512</v>
      </c>
      <c r="H481" s="296"/>
      <c r="I481" s="156">
        <v>1300.0</v>
      </c>
      <c r="J481" s="301"/>
      <c r="K481" s="296"/>
      <c r="L481" s="156">
        <v>1290.0</v>
      </c>
      <c r="M481" s="301">
        <v>1300.0</v>
      </c>
      <c r="N481" s="284">
        <v>1.4</v>
      </c>
      <c r="O481" s="296">
        <v>3100.0</v>
      </c>
      <c r="P481" s="67"/>
      <c r="Q481" s="303">
        <f>P477</f>
        <v>3100</v>
      </c>
      <c r="R481" s="299" t="s">
        <v>7513</v>
      </c>
      <c r="S481" s="300">
        <v>46141.38120134259</v>
      </c>
      <c r="T481" s="2"/>
      <c r="U481" s="289">
        <f t="shared" si="4"/>
        <v>1800</v>
      </c>
      <c r="V481" s="290">
        <f t="shared" si="333"/>
        <v>-1290</v>
      </c>
      <c r="W481" s="2"/>
      <c r="X481" s="289">
        <v>1300.0</v>
      </c>
      <c r="Y481" s="139">
        <v>1290.0</v>
      </c>
      <c r="Z481" s="2"/>
      <c r="AA481" s="2" t="s">
        <v>7511</v>
      </c>
      <c r="AB481" s="2" t="s">
        <v>7511</v>
      </c>
      <c r="AC481" s="2"/>
      <c r="AD481" s="2" t="s">
        <v>7511</v>
      </c>
      <c r="AE481" s="3" t="s">
        <v>7510</v>
      </c>
      <c r="AF481" s="2"/>
      <c r="AG481" s="1" t="s">
        <v>1582</v>
      </c>
      <c r="AH481" s="1" t="s">
        <v>6343</v>
      </c>
      <c r="AI481" s="2">
        <v>180.0</v>
      </c>
      <c r="AJ481" s="1" t="s">
        <v>1589</v>
      </c>
      <c r="AK481" s="1" t="s">
        <v>5878</v>
      </c>
      <c r="AL481" s="1" t="s">
        <v>5878</v>
      </c>
      <c r="AM481" s="2"/>
      <c r="AN481" s="2"/>
      <c r="AO481" s="2"/>
      <c r="AP481" s="2"/>
      <c r="AQ481" s="2"/>
      <c r="AR481" s="2"/>
      <c r="AS481" s="2"/>
      <c r="AT481" s="2"/>
      <c r="AU481" s="126">
        <v>1300.0</v>
      </c>
      <c r="AV481" s="126">
        <v>3100.0</v>
      </c>
      <c r="AW481" s="2"/>
      <c r="AX481" s="2"/>
      <c r="AY481" s="2"/>
      <c r="AZ481" s="2"/>
      <c r="BA481" s="2"/>
      <c r="BB481" s="2"/>
      <c r="BC481" s="2"/>
      <c r="BD481" s="2"/>
      <c r="BE481" s="2"/>
    </row>
    <row r="482" hidden="1">
      <c r="A482" s="2"/>
      <c r="B482" s="315" t="s">
        <v>7514</v>
      </c>
      <c r="C482" s="84"/>
      <c r="D482" s="11">
        <v>180.0</v>
      </c>
      <c r="E482" s="11" t="s">
        <v>325</v>
      </c>
      <c r="F482" s="11" t="s">
        <v>6969</v>
      </c>
      <c r="G482" s="306"/>
      <c r="H482" s="296"/>
      <c r="I482" s="139"/>
      <c r="J482" s="301"/>
      <c r="K482" s="296"/>
      <c r="L482" s="139"/>
      <c r="M482" s="301" t="s">
        <v>22</v>
      </c>
      <c r="N482" s="284">
        <v>0.12</v>
      </c>
      <c r="O482" s="296" t="s">
        <v>22</v>
      </c>
      <c r="P482" s="313">
        <f>MAX(O482:O483)</f>
        <v>0</v>
      </c>
      <c r="Q482" s="303">
        <f>P482</f>
        <v>0</v>
      </c>
      <c r="R482" s="307"/>
      <c r="S482" s="308"/>
      <c r="T482" s="2"/>
      <c r="U482" s="59" t="str">
        <f t="shared" si="4"/>
        <v>нет з/ч</v>
      </c>
      <c r="V482" s="304" t="str">
        <f t="shared" si="333"/>
        <v>нет з/ч</v>
      </c>
      <c r="W482" s="2"/>
      <c r="X482" s="289"/>
      <c r="Y482" s="139"/>
      <c r="Z482" s="2"/>
      <c r="AA482" s="2"/>
      <c r="AB482" s="2"/>
      <c r="AC482" s="2"/>
      <c r="AD482" s="2"/>
      <c r="AE482" s="3" t="s">
        <v>7514</v>
      </c>
      <c r="AF482" s="2"/>
      <c r="AG482" s="1" t="s">
        <v>1582</v>
      </c>
      <c r="AH482" s="1" t="s">
        <v>6359</v>
      </c>
      <c r="AI482" s="2">
        <v>180.0</v>
      </c>
      <c r="AJ482" s="1" t="s">
        <v>1589</v>
      </c>
      <c r="AK482" s="1" t="s">
        <v>5878</v>
      </c>
      <c r="AL482" s="1" t="s">
        <v>5878</v>
      </c>
      <c r="AM482" s="2"/>
      <c r="AN482" s="2"/>
      <c r="AO482" s="2"/>
      <c r="AP482" s="2"/>
      <c r="AQ482" s="2"/>
      <c r="AR482" s="2"/>
      <c r="AS482" s="2"/>
      <c r="AT482" s="2"/>
      <c r="AU482" s="126" t="s">
        <v>22</v>
      </c>
      <c r="AV482" s="126">
        <v>0.0</v>
      </c>
      <c r="AW482" s="2"/>
      <c r="AX482" s="2"/>
      <c r="AY482" s="2"/>
      <c r="AZ482" s="2"/>
      <c r="BA482" s="2"/>
      <c r="BB482" s="2"/>
      <c r="BC482" s="2"/>
      <c r="BD482" s="2"/>
      <c r="BE482" s="2"/>
    </row>
    <row r="483" hidden="1">
      <c r="A483" s="2"/>
      <c r="B483" s="315" t="s">
        <v>7515</v>
      </c>
      <c r="C483" s="84"/>
      <c r="D483" s="11">
        <v>180.0</v>
      </c>
      <c r="E483" s="11" t="s">
        <v>325</v>
      </c>
      <c r="F483" s="11" t="s">
        <v>6969</v>
      </c>
      <c r="G483" s="306"/>
      <c r="H483" s="296"/>
      <c r="I483" s="139"/>
      <c r="J483" s="301"/>
      <c r="K483" s="296"/>
      <c r="L483" s="139"/>
      <c r="M483" s="301" t="s">
        <v>22</v>
      </c>
      <c r="N483" s="284">
        <v>0.12</v>
      </c>
      <c r="O483" s="296" t="s">
        <v>22</v>
      </c>
      <c r="P483" s="67"/>
      <c r="Q483" s="303">
        <f>P482</f>
        <v>0</v>
      </c>
      <c r="R483" s="307"/>
      <c r="S483" s="308"/>
      <c r="T483" s="2"/>
      <c r="U483" s="59" t="str">
        <f t="shared" si="4"/>
        <v>нет з/ч</v>
      </c>
      <c r="V483" s="304" t="str">
        <f t="shared" si="333"/>
        <v>нет з/ч</v>
      </c>
      <c r="W483" s="2"/>
      <c r="X483" s="289"/>
      <c r="Y483" s="139"/>
      <c r="Z483" s="2"/>
      <c r="AA483" s="2"/>
      <c r="AB483" s="2"/>
      <c r="AC483" s="2"/>
      <c r="AD483" s="2"/>
      <c r="AE483" s="3" t="s">
        <v>7515</v>
      </c>
      <c r="AF483" s="2"/>
      <c r="AG483" s="1" t="s">
        <v>1582</v>
      </c>
      <c r="AH483" s="1" t="s">
        <v>6359</v>
      </c>
      <c r="AI483" s="2">
        <v>180.0</v>
      </c>
      <c r="AJ483" s="1" t="s">
        <v>1589</v>
      </c>
      <c r="AK483" s="1" t="s">
        <v>5878</v>
      </c>
      <c r="AL483" s="1" t="s">
        <v>5878</v>
      </c>
      <c r="AM483" s="2"/>
      <c r="AN483" s="2"/>
      <c r="AO483" s="2"/>
      <c r="AP483" s="2"/>
      <c r="AQ483" s="2"/>
      <c r="AR483" s="2"/>
      <c r="AS483" s="2"/>
      <c r="AT483" s="2"/>
      <c r="AU483" s="126" t="s">
        <v>22</v>
      </c>
      <c r="AV483" s="126">
        <v>0.0</v>
      </c>
      <c r="AW483" s="2"/>
      <c r="AX483" s="2"/>
      <c r="AY483" s="2"/>
      <c r="AZ483" s="2"/>
      <c r="BA483" s="2"/>
      <c r="BB483" s="2"/>
      <c r="BC483" s="2"/>
      <c r="BD483" s="2"/>
      <c r="BE483" s="2"/>
    </row>
    <row r="484" hidden="1">
      <c r="A484" s="2"/>
      <c r="B484" s="315" t="s">
        <v>7516</v>
      </c>
      <c r="C484" s="84"/>
      <c r="D484" s="11">
        <v>180.0</v>
      </c>
      <c r="E484" s="11" t="s">
        <v>325</v>
      </c>
      <c r="F484" s="11" t="s">
        <v>6969</v>
      </c>
      <c r="G484" s="306"/>
      <c r="H484" s="296"/>
      <c r="I484" s="139"/>
      <c r="J484" s="301"/>
      <c r="K484" s="296"/>
      <c r="L484" s="139"/>
      <c r="M484" s="301" t="s">
        <v>22</v>
      </c>
      <c r="N484" s="284">
        <v>0.12</v>
      </c>
      <c r="O484" s="296" t="s">
        <v>22</v>
      </c>
      <c r="P484" s="313">
        <f>MAX(O484:O485)</f>
        <v>0</v>
      </c>
      <c r="Q484" s="303">
        <f>P484</f>
        <v>0</v>
      </c>
      <c r="R484" s="307"/>
      <c r="S484" s="308"/>
      <c r="T484" s="2"/>
      <c r="U484" s="59" t="str">
        <f t="shared" si="4"/>
        <v>нет з/ч</v>
      </c>
      <c r="V484" s="304" t="str">
        <f t="shared" si="333"/>
        <v>нет з/ч</v>
      </c>
      <c r="W484" s="2"/>
      <c r="X484" s="289"/>
      <c r="Y484" s="139"/>
      <c r="Z484" s="2"/>
      <c r="AA484" s="2"/>
      <c r="AB484" s="2"/>
      <c r="AC484" s="2"/>
      <c r="AD484" s="2"/>
      <c r="AE484" s="3" t="s">
        <v>7516</v>
      </c>
      <c r="AF484" s="2"/>
      <c r="AG484" s="1" t="s">
        <v>1582</v>
      </c>
      <c r="AH484" s="1" t="s">
        <v>6359</v>
      </c>
      <c r="AI484" s="2">
        <v>180.0</v>
      </c>
      <c r="AJ484" s="1" t="s">
        <v>1589</v>
      </c>
      <c r="AK484" s="1" t="s">
        <v>5878</v>
      </c>
      <c r="AL484" s="1" t="s">
        <v>5878</v>
      </c>
      <c r="AM484" s="2"/>
      <c r="AN484" s="2"/>
      <c r="AO484" s="2"/>
      <c r="AP484" s="2"/>
      <c r="AQ484" s="2"/>
      <c r="AR484" s="2"/>
      <c r="AS484" s="2"/>
      <c r="AT484" s="2"/>
      <c r="AU484" s="126" t="s">
        <v>22</v>
      </c>
      <c r="AV484" s="126">
        <v>0.0</v>
      </c>
      <c r="AW484" s="2"/>
      <c r="AX484" s="2"/>
      <c r="AY484" s="2"/>
      <c r="AZ484" s="2"/>
      <c r="BA484" s="2"/>
      <c r="BB484" s="2"/>
      <c r="BC484" s="2"/>
      <c r="BD484" s="2"/>
      <c r="BE484" s="2"/>
    </row>
    <row r="485" hidden="1">
      <c r="A485" s="2"/>
      <c r="B485" s="315" t="s">
        <v>7517</v>
      </c>
      <c r="C485" s="84"/>
      <c r="D485" s="11">
        <v>180.0</v>
      </c>
      <c r="E485" s="11" t="s">
        <v>325</v>
      </c>
      <c r="F485" s="11" t="s">
        <v>6969</v>
      </c>
      <c r="G485" s="306"/>
      <c r="H485" s="296"/>
      <c r="I485" s="139"/>
      <c r="J485" s="301"/>
      <c r="K485" s="296"/>
      <c r="L485" s="139"/>
      <c r="M485" s="301" t="s">
        <v>22</v>
      </c>
      <c r="N485" s="284">
        <v>0.12</v>
      </c>
      <c r="O485" s="296" t="s">
        <v>22</v>
      </c>
      <c r="P485" s="67"/>
      <c r="Q485" s="303">
        <f>P484</f>
        <v>0</v>
      </c>
      <c r="R485" s="307"/>
      <c r="S485" s="308"/>
      <c r="T485" s="2"/>
      <c r="U485" s="59" t="str">
        <f t="shared" si="4"/>
        <v>нет з/ч</v>
      </c>
      <c r="V485" s="304" t="str">
        <f t="shared" si="333"/>
        <v>нет з/ч</v>
      </c>
      <c r="W485" s="2"/>
      <c r="X485" s="289"/>
      <c r="Y485" s="139"/>
      <c r="Z485" s="2"/>
      <c r="AA485" s="2"/>
      <c r="AB485" s="2"/>
      <c r="AC485" s="2"/>
      <c r="AD485" s="2"/>
      <c r="AE485" s="3" t="s">
        <v>7517</v>
      </c>
      <c r="AF485" s="2"/>
      <c r="AG485" s="1" t="s">
        <v>1582</v>
      </c>
      <c r="AH485" s="1" t="s">
        <v>6359</v>
      </c>
      <c r="AI485" s="2">
        <v>180.0</v>
      </c>
      <c r="AJ485" s="1" t="s">
        <v>1589</v>
      </c>
      <c r="AK485" s="1" t="s">
        <v>5878</v>
      </c>
      <c r="AL485" s="1" t="s">
        <v>5878</v>
      </c>
      <c r="AM485" s="2"/>
      <c r="AN485" s="2"/>
      <c r="AO485" s="2"/>
      <c r="AP485" s="2"/>
      <c r="AQ485" s="2"/>
      <c r="AR485" s="2"/>
      <c r="AS485" s="2"/>
      <c r="AT485" s="2"/>
      <c r="AU485" s="126" t="s">
        <v>22</v>
      </c>
      <c r="AV485" s="126">
        <v>0.0</v>
      </c>
      <c r="AW485" s="2"/>
      <c r="AX485" s="2"/>
      <c r="AY485" s="2"/>
      <c r="AZ485" s="2"/>
      <c r="BA485" s="2"/>
      <c r="BB485" s="2"/>
      <c r="BC485" s="2"/>
      <c r="BD485" s="2"/>
      <c r="BE485" s="2"/>
    </row>
    <row r="486" hidden="1">
      <c r="A486" s="2"/>
      <c r="B486" s="312" t="s">
        <v>7518</v>
      </c>
      <c r="C486" s="84"/>
      <c r="D486" s="11">
        <v>180.0</v>
      </c>
      <c r="E486" s="11" t="s">
        <v>332</v>
      </c>
      <c r="F486" s="11" t="s">
        <v>6969</v>
      </c>
      <c r="G486" s="306"/>
      <c r="H486" s="296"/>
      <c r="I486" s="139"/>
      <c r="J486" s="301"/>
      <c r="K486" s="296"/>
      <c r="L486" s="139"/>
      <c r="M486" s="301" t="s">
        <v>22</v>
      </c>
      <c r="N486" s="284">
        <v>0.12</v>
      </c>
      <c r="O486" s="296" t="s">
        <v>22</v>
      </c>
      <c r="P486" s="313">
        <f>MAX(O486:O490)</f>
        <v>0</v>
      </c>
      <c r="Q486" s="303">
        <f>P486</f>
        <v>0</v>
      </c>
      <c r="R486" s="307"/>
      <c r="S486" s="308"/>
      <c r="T486" s="2"/>
      <c r="U486" s="59" t="str">
        <f t="shared" si="4"/>
        <v>нет з/ч</v>
      </c>
      <c r="V486" s="304" t="str">
        <f t="shared" si="333"/>
        <v>нет з/ч</v>
      </c>
      <c r="W486" s="2"/>
      <c r="X486" s="289"/>
      <c r="Y486" s="139"/>
      <c r="Z486" s="2"/>
      <c r="AA486" s="2"/>
      <c r="AB486" s="2"/>
      <c r="AC486" s="2"/>
      <c r="AD486" s="2"/>
      <c r="AE486" s="3" t="s">
        <v>7518</v>
      </c>
      <c r="AF486" s="2"/>
      <c r="AG486" s="1" t="s">
        <v>1582</v>
      </c>
      <c r="AH486" s="1" t="s">
        <v>6373</v>
      </c>
      <c r="AI486" s="2">
        <v>180.0</v>
      </c>
      <c r="AJ486" s="1" t="s">
        <v>1589</v>
      </c>
      <c r="AK486" s="1" t="s">
        <v>5878</v>
      </c>
      <c r="AL486" s="1" t="s">
        <v>5878</v>
      </c>
      <c r="AM486" s="2"/>
      <c r="AN486" s="2"/>
      <c r="AO486" s="2"/>
      <c r="AP486" s="2"/>
      <c r="AQ486" s="2"/>
      <c r="AR486" s="2"/>
      <c r="AS486" s="2"/>
      <c r="AT486" s="2"/>
      <c r="AU486" s="126" t="s">
        <v>22</v>
      </c>
      <c r="AV486" s="126">
        <v>0.0</v>
      </c>
      <c r="AW486" s="2"/>
      <c r="AX486" s="2"/>
      <c r="AY486" s="2"/>
      <c r="AZ486" s="2"/>
      <c r="BA486" s="2"/>
      <c r="BB486" s="2"/>
      <c r="BC486" s="2"/>
      <c r="BD486" s="2"/>
      <c r="BE486" s="2"/>
    </row>
    <row r="487" hidden="1">
      <c r="A487" s="2"/>
      <c r="B487" s="312" t="s">
        <v>7519</v>
      </c>
      <c r="C487" s="84"/>
      <c r="D487" s="11">
        <v>180.0</v>
      </c>
      <c r="E487" s="11" t="s">
        <v>332</v>
      </c>
      <c r="F487" s="11" t="s">
        <v>6969</v>
      </c>
      <c r="G487" s="306"/>
      <c r="H487" s="296"/>
      <c r="I487" s="139"/>
      <c r="J487" s="301"/>
      <c r="K487" s="296"/>
      <c r="L487" s="139"/>
      <c r="M487" s="301" t="s">
        <v>22</v>
      </c>
      <c r="N487" s="284">
        <v>0.12</v>
      </c>
      <c r="O487" s="296" t="s">
        <v>22</v>
      </c>
      <c r="P487" s="104"/>
      <c r="Q487" s="303">
        <f>P486</f>
        <v>0</v>
      </c>
      <c r="R487" s="307"/>
      <c r="S487" s="308"/>
      <c r="T487" s="2"/>
      <c r="U487" s="59" t="str">
        <f t="shared" si="4"/>
        <v>нет з/ч</v>
      </c>
      <c r="V487" s="304" t="str">
        <f t="shared" si="333"/>
        <v>нет з/ч</v>
      </c>
      <c r="W487" s="2"/>
      <c r="X487" s="289"/>
      <c r="Y487" s="139"/>
      <c r="Z487" s="2"/>
      <c r="AA487" s="2"/>
      <c r="AB487" s="2"/>
      <c r="AC487" s="2"/>
      <c r="AD487" s="2"/>
      <c r="AE487" s="3" t="s">
        <v>7519</v>
      </c>
      <c r="AF487" s="2"/>
      <c r="AG487" s="1" t="s">
        <v>1582</v>
      </c>
      <c r="AH487" s="1" t="s">
        <v>6373</v>
      </c>
      <c r="AI487" s="2">
        <v>180.0</v>
      </c>
      <c r="AJ487" s="1" t="s">
        <v>1589</v>
      </c>
      <c r="AK487" s="1" t="s">
        <v>5878</v>
      </c>
      <c r="AL487" s="1" t="s">
        <v>5878</v>
      </c>
      <c r="AM487" s="2"/>
      <c r="AN487" s="2"/>
      <c r="AO487" s="2"/>
      <c r="AP487" s="2"/>
      <c r="AQ487" s="2"/>
      <c r="AR487" s="2"/>
      <c r="AS487" s="2"/>
      <c r="AT487" s="2"/>
      <c r="AU487" s="126" t="s">
        <v>22</v>
      </c>
      <c r="AV487" s="126">
        <v>0.0</v>
      </c>
      <c r="AW487" s="2"/>
      <c r="AX487" s="2"/>
      <c r="AY487" s="2"/>
      <c r="AZ487" s="2"/>
      <c r="BA487" s="2"/>
      <c r="BB487" s="2"/>
      <c r="BC487" s="2"/>
      <c r="BD487" s="2"/>
      <c r="BE487" s="2"/>
    </row>
    <row r="488" hidden="1">
      <c r="A488" s="2"/>
      <c r="B488" s="312" t="s">
        <v>7520</v>
      </c>
      <c r="C488" s="84"/>
      <c r="D488" s="11">
        <v>180.0</v>
      </c>
      <c r="E488" s="11" t="s">
        <v>332</v>
      </c>
      <c r="F488" s="11" t="s">
        <v>6969</v>
      </c>
      <c r="G488" s="306"/>
      <c r="H488" s="296"/>
      <c r="I488" s="139"/>
      <c r="J488" s="301"/>
      <c r="K488" s="296"/>
      <c r="L488" s="139"/>
      <c r="M488" s="301" t="s">
        <v>22</v>
      </c>
      <c r="N488" s="284">
        <v>0.12</v>
      </c>
      <c r="O488" s="296" t="s">
        <v>22</v>
      </c>
      <c r="P488" s="104"/>
      <c r="Q488" s="303">
        <f>P486</f>
        <v>0</v>
      </c>
      <c r="R488" s="307"/>
      <c r="S488" s="308"/>
      <c r="T488" s="2"/>
      <c r="U488" s="59" t="str">
        <f t="shared" si="4"/>
        <v>нет з/ч</v>
      </c>
      <c r="V488" s="304" t="str">
        <f t="shared" si="333"/>
        <v>нет з/ч</v>
      </c>
      <c r="W488" s="2"/>
      <c r="X488" s="289"/>
      <c r="Y488" s="139"/>
      <c r="Z488" s="2"/>
      <c r="AA488" s="2"/>
      <c r="AB488" s="2"/>
      <c r="AC488" s="2"/>
      <c r="AD488" s="2"/>
      <c r="AE488" s="3" t="s">
        <v>7520</v>
      </c>
      <c r="AF488" s="2"/>
      <c r="AG488" s="1" t="s">
        <v>1582</v>
      </c>
      <c r="AH488" s="1" t="s">
        <v>6373</v>
      </c>
      <c r="AI488" s="2">
        <v>180.0</v>
      </c>
      <c r="AJ488" s="1" t="s">
        <v>1589</v>
      </c>
      <c r="AK488" s="1" t="s">
        <v>5878</v>
      </c>
      <c r="AL488" s="1" t="s">
        <v>5878</v>
      </c>
      <c r="AM488" s="2"/>
      <c r="AN488" s="2"/>
      <c r="AO488" s="2"/>
      <c r="AP488" s="2"/>
      <c r="AQ488" s="2"/>
      <c r="AR488" s="2"/>
      <c r="AS488" s="2"/>
      <c r="AT488" s="2"/>
      <c r="AU488" s="126" t="s">
        <v>22</v>
      </c>
      <c r="AV488" s="126">
        <v>0.0</v>
      </c>
      <c r="AW488" s="2"/>
      <c r="AX488" s="2"/>
      <c r="AY488" s="2"/>
      <c r="AZ488" s="2"/>
      <c r="BA488" s="2"/>
      <c r="BB488" s="2"/>
      <c r="BC488" s="2"/>
      <c r="BD488" s="2"/>
      <c r="BE488" s="2"/>
    </row>
    <row r="489" hidden="1">
      <c r="A489" s="2"/>
      <c r="B489" s="312" t="s">
        <v>7521</v>
      </c>
      <c r="C489" s="84"/>
      <c r="D489" s="11">
        <v>180.0</v>
      </c>
      <c r="E489" s="11" t="s">
        <v>332</v>
      </c>
      <c r="F489" s="11" t="s">
        <v>6969</v>
      </c>
      <c r="G489" s="306"/>
      <c r="H489" s="296"/>
      <c r="I489" s="139"/>
      <c r="J489" s="301"/>
      <c r="K489" s="296"/>
      <c r="L489" s="139"/>
      <c r="M489" s="301" t="s">
        <v>22</v>
      </c>
      <c r="N489" s="284">
        <v>0.12</v>
      </c>
      <c r="O489" s="296" t="s">
        <v>22</v>
      </c>
      <c r="P489" s="104"/>
      <c r="Q489" s="303">
        <f>P486</f>
        <v>0</v>
      </c>
      <c r="R489" s="307"/>
      <c r="S489" s="308"/>
      <c r="T489" s="2"/>
      <c r="U489" s="59" t="str">
        <f t="shared" si="4"/>
        <v>нет з/ч</v>
      </c>
      <c r="V489" s="304" t="str">
        <f t="shared" si="333"/>
        <v>нет з/ч</v>
      </c>
      <c r="W489" s="2"/>
      <c r="X489" s="289"/>
      <c r="Y489" s="139"/>
      <c r="Z489" s="2"/>
      <c r="AA489" s="2"/>
      <c r="AB489" s="2"/>
      <c r="AC489" s="2"/>
      <c r="AD489" s="2"/>
      <c r="AE489" s="3" t="s">
        <v>7521</v>
      </c>
      <c r="AF489" s="2"/>
      <c r="AG489" s="1" t="s">
        <v>1582</v>
      </c>
      <c r="AH489" s="1" t="s">
        <v>6373</v>
      </c>
      <c r="AI489" s="2">
        <v>180.0</v>
      </c>
      <c r="AJ489" s="1" t="s">
        <v>1589</v>
      </c>
      <c r="AK489" s="1" t="s">
        <v>5878</v>
      </c>
      <c r="AL489" s="1" t="s">
        <v>5878</v>
      </c>
      <c r="AM489" s="2"/>
      <c r="AN489" s="2"/>
      <c r="AO489" s="2"/>
      <c r="AP489" s="2"/>
      <c r="AQ489" s="2"/>
      <c r="AR489" s="2"/>
      <c r="AS489" s="2"/>
      <c r="AT489" s="2"/>
      <c r="AU489" s="126" t="s">
        <v>22</v>
      </c>
      <c r="AV489" s="126">
        <v>0.0</v>
      </c>
      <c r="AW489" s="2"/>
      <c r="AX489" s="2"/>
      <c r="AY489" s="2"/>
      <c r="AZ489" s="2"/>
      <c r="BA489" s="2"/>
      <c r="BB489" s="2"/>
      <c r="BC489" s="2"/>
      <c r="BD489" s="2"/>
      <c r="BE489" s="2"/>
    </row>
    <row r="490" hidden="1">
      <c r="A490" s="2"/>
      <c r="B490" s="312" t="s">
        <v>7522</v>
      </c>
      <c r="C490" s="84"/>
      <c r="D490" s="11">
        <v>180.0</v>
      </c>
      <c r="E490" s="11" t="s">
        <v>332</v>
      </c>
      <c r="F490" s="11" t="s">
        <v>6969</v>
      </c>
      <c r="G490" s="306"/>
      <c r="H490" s="296"/>
      <c r="I490" s="139"/>
      <c r="J490" s="301"/>
      <c r="K490" s="296"/>
      <c r="L490" s="139"/>
      <c r="M490" s="301" t="s">
        <v>22</v>
      </c>
      <c r="N490" s="284">
        <v>0.12</v>
      </c>
      <c r="O490" s="296" t="s">
        <v>22</v>
      </c>
      <c r="P490" s="67"/>
      <c r="Q490" s="303">
        <f>P486</f>
        <v>0</v>
      </c>
      <c r="R490" s="307"/>
      <c r="S490" s="308"/>
      <c r="T490" s="2"/>
      <c r="U490" s="59" t="str">
        <f t="shared" si="4"/>
        <v>нет з/ч</v>
      </c>
      <c r="V490" s="304" t="str">
        <f t="shared" si="333"/>
        <v>нет з/ч</v>
      </c>
      <c r="W490" s="2"/>
      <c r="X490" s="289"/>
      <c r="Y490" s="139"/>
      <c r="Z490" s="2"/>
      <c r="AA490" s="2"/>
      <c r="AB490" s="2"/>
      <c r="AC490" s="2"/>
      <c r="AD490" s="2"/>
      <c r="AE490" s="3" t="s">
        <v>7522</v>
      </c>
      <c r="AF490" s="2"/>
      <c r="AG490" s="1" t="s">
        <v>1582</v>
      </c>
      <c r="AH490" s="1" t="s">
        <v>6373</v>
      </c>
      <c r="AI490" s="2">
        <v>180.0</v>
      </c>
      <c r="AJ490" s="1" t="s">
        <v>1589</v>
      </c>
      <c r="AK490" s="1" t="s">
        <v>5878</v>
      </c>
      <c r="AL490" s="1" t="s">
        <v>5878</v>
      </c>
      <c r="AM490" s="2"/>
      <c r="AN490" s="2"/>
      <c r="AO490" s="2"/>
      <c r="AP490" s="2"/>
      <c r="AQ490" s="2"/>
      <c r="AR490" s="2"/>
      <c r="AS490" s="2"/>
      <c r="AT490" s="2"/>
      <c r="AU490" s="126" t="s">
        <v>22</v>
      </c>
      <c r="AV490" s="126">
        <v>0.0</v>
      </c>
      <c r="AW490" s="2"/>
      <c r="AX490" s="2"/>
      <c r="AY490" s="2"/>
      <c r="AZ490" s="2"/>
      <c r="BA490" s="2"/>
      <c r="BB490" s="2"/>
      <c r="BC490" s="2"/>
      <c r="BD490" s="2"/>
      <c r="BE490" s="2"/>
    </row>
    <row r="491" hidden="1">
      <c r="A491" s="2"/>
      <c r="B491" s="312" t="s">
        <v>7523</v>
      </c>
      <c r="C491" s="84"/>
      <c r="D491" s="11">
        <v>180.0</v>
      </c>
      <c r="E491" s="11" t="s">
        <v>332</v>
      </c>
      <c r="F491" s="11" t="s">
        <v>6969</v>
      </c>
      <c r="G491" s="306"/>
      <c r="H491" s="296"/>
      <c r="I491" s="139"/>
      <c r="J491" s="301"/>
      <c r="K491" s="296"/>
      <c r="L491" s="156">
        <v>1290.0</v>
      </c>
      <c r="M491" s="301">
        <v>1290.0</v>
      </c>
      <c r="N491" s="284">
        <v>1.0</v>
      </c>
      <c r="O491" s="296">
        <v>2600.0</v>
      </c>
      <c r="P491" s="313">
        <f>MAX(O491:O495)</f>
        <v>3100</v>
      </c>
      <c r="Q491" s="316">
        <f>P491</f>
        <v>3100</v>
      </c>
      <c r="R491" s="307"/>
      <c r="S491" s="300">
        <v>46080.67806518519</v>
      </c>
      <c r="T491" s="2"/>
      <c r="U491" s="59" t="str">
        <f t="shared" si="4"/>
        <v>нет з/ч</v>
      </c>
      <c r="V491" s="290">
        <f t="shared" si="333"/>
        <v>-1290</v>
      </c>
      <c r="W491" s="2"/>
      <c r="X491" s="289"/>
      <c r="Y491" s="139">
        <v>1290.0</v>
      </c>
      <c r="Z491" s="2"/>
      <c r="AA491" s="2"/>
      <c r="AB491" s="2"/>
      <c r="AC491" s="2"/>
      <c r="AD491" s="2"/>
      <c r="AE491" s="3" t="s">
        <v>7523</v>
      </c>
      <c r="AF491" s="2"/>
      <c r="AG491" s="1" t="s">
        <v>1582</v>
      </c>
      <c r="AH491" s="1" t="s">
        <v>6373</v>
      </c>
      <c r="AI491" s="2">
        <v>180.0</v>
      </c>
      <c r="AJ491" s="1" t="s">
        <v>1589</v>
      </c>
      <c r="AK491" s="1" t="s">
        <v>5878</v>
      </c>
      <c r="AL491" s="1" t="s">
        <v>5878</v>
      </c>
      <c r="AM491" s="2"/>
      <c r="AN491" s="2"/>
      <c r="AO491" s="2"/>
      <c r="AP491" s="2"/>
      <c r="AQ491" s="2"/>
      <c r="AR491" s="2"/>
      <c r="AS491" s="2"/>
      <c r="AT491" s="2"/>
      <c r="AU491" s="126">
        <v>1290.0</v>
      </c>
      <c r="AV491" s="126">
        <v>3100.0</v>
      </c>
      <c r="AW491" s="2"/>
      <c r="AX491" s="2"/>
      <c r="AY491" s="2"/>
      <c r="AZ491" s="2"/>
      <c r="BA491" s="2"/>
      <c r="BB491" s="2"/>
      <c r="BC491" s="2"/>
      <c r="BD491" s="2"/>
      <c r="BE491" s="2"/>
    </row>
    <row r="492" hidden="1">
      <c r="A492" s="2"/>
      <c r="B492" s="312" t="s">
        <v>7524</v>
      </c>
      <c r="C492" s="84"/>
      <c r="D492" s="11">
        <v>180.0</v>
      </c>
      <c r="E492" s="11" t="s">
        <v>332</v>
      </c>
      <c r="F492" s="11" t="s">
        <v>6969</v>
      </c>
      <c r="G492" s="295" t="s">
        <v>7525</v>
      </c>
      <c r="H492" s="296"/>
      <c r="I492" s="156">
        <v>1550.0</v>
      </c>
      <c r="J492" s="301"/>
      <c r="K492" s="296"/>
      <c r="L492" s="156">
        <v>1290.0</v>
      </c>
      <c r="M492" s="301">
        <v>1550.0</v>
      </c>
      <c r="N492" s="284">
        <v>1.0</v>
      </c>
      <c r="O492" s="296">
        <v>3100.0</v>
      </c>
      <c r="P492" s="104"/>
      <c r="Q492" s="303">
        <f>P491</f>
        <v>3100</v>
      </c>
      <c r="R492" s="299" t="s">
        <v>7526</v>
      </c>
      <c r="S492" s="300">
        <v>46141.38124989583</v>
      </c>
      <c r="T492" s="2"/>
      <c r="U492" s="289">
        <f t="shared" si="4"/>
        <v>1550</v>
      </c>
      <c r="V492" s="290">
        <f t="shared" si="333"/>
        <v>-1290</v>
      </c>
      <c r="W492" s="2"/>
      <c r="X492" s="289">
        <v>1550.0</v>
      </c>
      <c r="Y492" s="139">
        <v>1290.0</v>
      </c>
      <c r="Z492" s="2"/>
      <c r="AA492" s="2"/>
      <c r="AB492" s="2"/>
      <c r="AC492" s="2"/>
      <c r="AD492" s="2"/>
      <c r="AE492" s="3" t="s">
        <v>7524</v>
      </c>
      <c r="AF492" s="2"/>
      <c r="AG492" s="1" t="s">
        <v>1582</v>
      </c>
      <c r="AH492" s="1" t="s">
        <v>6373</v>
      </c>
      <c r="AI492" s="2">
        <v>180.0</v>
      </c>
      <c r="AJ492" s="1" t="s">
        <v>1589</v>
      </c>
      <c r="AK492" s="1" t="s">
        <v>5878</v>
      </c>
      <c r="AL492" s="1" t="s">
        <v>5878</v>
      </c>
      <c r="AM492" s="2"/>
      <c r="AN492" s="2"/>
      <c r="AO492" s="2"/>
      <c r="AP492" s="2"/>
      <c r="AQ492" s="2"/>
      <c r="AR492" s="2"/>
      <c r="AS492" s="2"/>
      <c r="AT492" s="2"/>
      <c r="AU492" s="126">
        <v>1550.0</v>
      </c>
      <c r="AV492" s="126">
        <v>3100.0</v>
      </c>
      <c r="AW492" s="2"/>
      <c r="AX492" s="2"/>
      <c r="AY492" s="2"/>
      <c r="AZ492" s="2"/>
      <c r="BA492" s="2"/>
      <c r="BB492" s="2"/>
      <c r="BC492" s="2"/>
      <c r="BD492" s="2"/>
      <c r="BE492" s="2"/>
    </row>
    <row r="493" hidden="1">
      <c r="A493" s="2"/>
      <c r="B493" s="312" t="s">
        <v>7527</v>
      </c>
      <c r="C493" s="84"/>
      <c r="D493" s="11">
        <v>180.0</v>
      </c>
      <c r="E493" s="11" t="s">
        <v>332</v>
      </c>
      <c r="F493" s="11" t="s">
        <v>6969</v>
      </c>
      <c r="G493" s="295" t="s">
        <v>7528</v>
      </c>
      <c r="H493" s="296"/>
      <c r="I493" s="156">
        <v>1550.0</v>
      </c>
      <c r="J493" s="301"/>
      <c r="K493" s="296"/>
      <c r="L493" s="156">
        <v>1290.0</v>
      </c>
      <c r="M493" s="301">
        <v>1550.0</v>
      </c>
      <c r="N493" s="284">
        <v>1.0</v>
      </c>
      <c r="O493" s="296">
        <v>3100.0</v>
      </c>
      <c r="P493" s="104"/>
      <c r="Q493" s="303">
        <f>P491</f>
        <v>3100</v>
      </c>
      <c r="R493" s="299" t="s">
        <v>7529</v>
      </c>
      <c r="S493" s="300">
        <v>46141.38129774306</v>
      </c>
      <c r="T493" s="2"/>
      <c r="U493" s="289">
        <f t="shared" si="4"/>
        <v>1550</v>
      </c>
      <c r="V493" s="290">
        <f t="shared" si="333"/>
        <v>-1290</v>
      </c>
      <c r="W493" s="2"/>
      <c r="X493" s="289">
        <v>1550.0</v>
      </c>
      <c r="Y493" s="139">
        <v>1290.0</v>
      </c>
      <c r="Z493" s="2"/>
      <c r="AA493" s="2"/>
      <c r="AB493" s="2"/>
      <c r="AC493" s="2"/>
      <c r="AD493" s="2"/>
      <c r="AE493" s="3" t="s">
        <v>7527</v>
      </c>
      <c r="AF493" s="2"/>
      <c r="AG493" s="1" t="s">
        <v>1582</v>
      </c>
      <c r="AH493" s="1" t="s">
        <v>6373</v>
      </c>
      <c r="AI493" s="2">
        <v>180.0</v>
      </c>
      <c r="AJ493" s="1" t="s">
        <v>1589</v>
      </c>
      <c r="AK493" s="1" t="s">
        <v>5878</v>
      </c>
      <c r="AL493" s="1" t="s">
        <v>5878</v>
      </c>
      <c r="AM493" s="2"/>
      <c r="AN493" s="2"/>
      <c r="AO493" s="2"/>
      <c r="AP493" s="2"/>
      <c r="AQ493" s="2"/>
      <c r="AR493" s="2"/>
      <c r="AS493" s="2"/>
      <c r="AT493" s="2"/>
      <c r="AU493" s="126">
        <v>1550.0</v>
      </c>
      <c r="AV493" s="126">
        <v>3100.0</v>
      </c>
      <c r="AW493" s="2"/>
      <c r="AX493" s="2"/>
      <c r="AY493" s="2"/>
      <c r="AZ493" s="2"/>
      <c r="BA493" s="2"/>
      <c r="BB493" s="2"/>
      <c r="BC493" s="2"/>
      <c r="BD493" s="2"/>
      <c r="BE493" s="2"/>
    </row>
    <row r="494" hidden="1">
      <c r="A494" s="2"/>
      <c r="B494" s="312" t="s">
        <v>7530</v>
      </c>
      <c r="C494" s="84"/>
      <c r="D494" s="11">
        <v>180.0</v>
      </c>
      <c r="E494" s="11" t="s">
        <v>332</v>
      </c>
      <c r="F494" s="11" t="s">
        <v>6969</v>
      </c>
      <c r="G494" s="295" t="s">
        <v>7531</v>
      </c>
      <c r="H494" s="296"/>
      <c r="I494" s="156">
        <v>1550.0</v>
      </c>
      <c r="J494" s="301"/>
      <c r="K494" s="296"/>
      <c r="L494" s="156">
        <v>1290.0</v>
      </c>
      <c r="M494" s="301">
        <v>1550.0</v>
      </c>
      <c r="N494" s="284">
        <v>1.0</v>
      </c>
      <c r="O494" s="296">
        <v>3100.0</v>
      </c>
      <c r="P494" s="104"/>
      <c r="Q494" s="303">
        <f>P491</f>
        <v>3100</v>
      </c>
      <c r="R494" s="299" t="s">
        <v>7532</v>
      </c>
      <c r="S494" s="300">
        <v>46141.38135098379</v>
      </c>
      <c r="T494" s="2"/>
      <c r="U494" s="289">
        <f t="shared" si="4"/>
        <v>1550</v>
      </c>
      <c r="V494" s="290">
        <f t="shared" si="333"/>
        <v>-1290</v>
      </c>
      <c r="W494" s="2"/>
      <c r="X494" s="289">
        <v>1550.0</v>
      </c>
      <c r="Y494" s="139">
        <v>1290.0</v>
      </c>
      <c r="Z494" s="2"/>
      <c r="AA494" s="2"/>
      <c r="AB494" s="2"/>
      <c r="AC494" s="2"/>
      <c r="AD494" s="2"/>
      <c r="AE494" s="3" t="s">
        <v>7530</v>
      </c>
      <c r="AF494" s="2"/>
      <c r="AG494" s="1" t="s">
        <v>1582</v>
      </c>
      <c r="AH494" s="1" t="s">
        <v>6373</v>
      </c>
      <c r="AI494" s="2">
        <v>180.0</v>
      </c>
      <c r="AJ494" s="1" t="s">
        <v>1589</v>
      </c>
      <c r="AK494" s="1" t="s">
        <v>5878</v>
      </c>
      <c r="AL494" s="1" t="s">
        <v>5878</v>
      </c>
      <c r="AM494" s="2"/>
      <c r="AN494" s="2"/>
      <c r="AO494" s="2"/>
      <c r="AP494" s="2"/>
      <c r="AQ494" s="2"/>
      <c r="AR494" s="2"/>
      <c r="AS494" s="2"/>
      <c r="AT494" s="2"/>
      <c r="AU494" s="126">
        <v>1550.0</v>
      </c>
      <c r="AV494" s="126">
        <v>3100.0</v>
      </c>
      <c r="AW494" s="2"/>
      <c r="AX494" s="2"/>
      <c r="AY494" s="2"/>
      <c r="AZ494" s="2"/>
      <c r="BA494" s="2"/>
      <c r="BB494" s="2"/>
      <c r="BC494" s="2"/>
      <c r="BD494" s="2"/>
      <c r="BE494" s="2"/>
    </row>
    <row r="495" hidden="1">
      <c r="A495" s="2"/>
      <c r="B495" s="312" t="s">
        <v>7533</v>
      </c>
      <c r="C495" s="84"/>
      <c r="D495" s="11">
        <v>180.0</v>
      </c>
      <c r="E495" s="11" t="s">
        <v>332</v>
      </c>
      <c r="F495" s="11" t="s">
        <v>6969</v>
      </c>
      <c r="G495" s="295" t="s">
        <v>7534</v>
      </c>
      <c r="H495" s="296"/>
      <c r="I495" s="156">
        <v>1550.0</v>
      </c>
      <c r="J495" s="301"/>
      <c r="K495" s="296"/>
      <c r="L495" s="156">
        <v>1290.0</v>
      </c>
      <c r="M495" s="301">
        <v>1550.0</v>
      </c>
      <c r="N495" s="284">
        <v>1.0</v>
      </c>
      <c r="O495" s="296">
        <v>3100.0</v>
      </c>
      <c r="P495" s="67"/>
      <c r="Q495" s="303">
        <f>P491</f>
        <v>3100</v>
      </c>
      <c r="R495" s="299" t="s">
        <v>7535</v>
      </c>
      <c r="S495" s="300">
        <v>46141.381400266204</v>
      </c>
      <c r="T495" s="2"/>
      <c r="U495" s="289">
        <f t="shared" si="4"/>
        <v>1550</v>
      </c>
      <c r="V495" s="290">
        <f t="shared" si="333"/>
        <v>-1290</v>
      </c>
      <c r="W495" s="2"/>
      <c r="X495" s="289">
        <v>1550.0</v>
      </c>
      <c r="Y495" s="139">
        <v>1290.0</v>
      </c>
      <c r="Z495" s="2"/>
      <c r="AA495" s="2"/>
      <c r="AB495" s="2"/>
      <c r="AC495" s="2"/>
      <c r="AD495" s="2"/>
      <c r="AE495" s="3" t="s">
        <v>7533</v>
      </c>
      <c r="AF495" s="2"/>
      <c r="AG495" s="1" t="s">
        <v>1582</v>
      </c>
      <c r="AH495" s="1" t="s">
        <v>6373</v>
      </c>
      <c r="AI495" s="2">
        <v>180.0</v>
      </c>
      <c r="AJ495" s="1" t="s">
        <v>1589</v>
      </c>
      <c r="AK495" s="1" t="s">
        <v>5878</v>
      </c>
      <c r="AL495" s="1" t="s">
        <v>5878</v>
      </c>
      <c r="AM495" s="2"/>
      <c r="AN495" s="2"/>
      <c r="AO495" s="2"/>
      <c r="AP495" s="2"/>
      <c r="AQ495" s="2"/>
      <c r="AR495" s="2"/>
      <c r="AS495" s="2"/>
      <c r="AT495" s="2"/>
      <c r="AU495" s="126">
        <v>1550.0</v>
      </c>
      <c r="AV495" s="126">
        <v>3100.0</v>
      </c>
      <c r="AW495" s="2"/>
      <c r="AX495" s="2"/>
      <c r="AY495" s="2"/>
      <c r="AZ495" s="2"/>
      <c r="BA495" s="2"/>
      <c r="BB495" s="2"/>
      <c r="BC495" s="2"/>
      <c r="BD495" s="2"/>
      <c r="BE495" s="2"/>
    </row>
    <row r="496" hidden="1">
      <c r="A496" s="2"/>
      <c r="B496" s="312" t="s">
        <v>7536</v>
      </c>
      <c r="C496" s="84"/>
      <c r="D496" s="11">
        <v>180.0</v>
      </c>
      <c r="E496" s="11" t="s">
        <v>339</v>
      </c>
      <c r="F496" s="11" t="s">
        <v>6969</v>
      </c>
      <c r="G496" s="295" t="s">
        <v>7537</v>
      </c>
      <c r="H496" s="296"/>
      <c r="I496" s="156">
        <v>5900.0</v>
      </c>
      <c r="J496" s="301"/>
      <c r="K496" s="296"/>
      <c r="L496" s="139"/>
      <c r="M496" s="301">
        <v>5900.0</v>
      </c>
      <c r="N496" s="284">
        <v>0.32</v>
      </c>
      <c r="O496" s="296">
        <v>7800.0</v>
      </c>
      <c r="P496" s="313">
        <f>MAX(O496:O499)</f>
        <v>7800</v>
      </c>
      <c r="Q496" s="303">
        <f>P496</f>
        <v>7800</v>
      </c>
      <c r="R496" s="299" t="s">
        <v>7538</v>
      </c>
      <c r="S496" s="300">
        <v>46141.38144813657</v>
      </c>
      <c r="T496" s="2"/>
      <c r="U496" s="289">
        <f t="shared" si="4"/>
        <v>1900</v>
      </c>
      <c r="V496" s="304" t="str">
        <f t="shared" si="333"/>
        <v>нет з/ч</v>
      </c>
      <c r="W496" s="2"/>
      <c r="X496" s="289">
        <v>5900.0</v>
      </c>
      <c r="Y496" s="139"/>
      <c r="Z496" s="2"/>
      <c r="AA496" s="2"/>
      <c r="AB496" s="2"/>
      <c r="AC496" s="2"/>
      <c r="AD496" s="2"/>
      <c r="AE496" s="3" t="s">
        <v>7536</v>
      </c>
      <c r="AF496" s="2"/>
      <c r="AG496" s="1" t="s">
        <v>1582</v>
      </c>
      <c r="AH496" s="1" t="s">
        <v>6389</v>
      </c>
      <c r="AI496" s="2">
        <v>180.0</v>
      </c>
      <c r="AJ496" s="1" t="s">
        <v>1589</v>
      </c>
      <c r="AK496" s="1" t="s">
        <v>5878</v>
      </c>
      <c r="AL496" s="1" t="s">
        <v>5878</v>
      </c>
      <c r="AM496" s="2"/>
      <c r="AN496" s="2"/>
      <c r="AO496" s="2"/>
      <c r="AP496" s="2"/>
      <c r="AQ496" s="2"/>
      <c r="AR496" s="2"/>
      <c r="AS496" s="2"/>
      <c r="AT496" s="2"/>
      <c r="AU496" s="126">
        <v>5900.0</v>
      </c>
      <c r="AV496" s="126">
        <v>7800.0</v>
      </c>
      <c r="AW496" s="2"/>
      <c r="AX496" s="2"/>
      <c r="AY496" s="2"/>
      <c r="AZ496" s="2"/>
      <c r="BA496" s="2"/>
      <c r="BB496" s="2"/>
      <c r="BC496" s="2"/>
      <c r="BD496" s="2"/>
      <c r="BE496" s="2"/>
    </row>
    <row r="497" hidden="1">
      <c r="A497" s="2"/>
      <c r="B497" s="312" t="s">
        <v>7539</v>
      </c>
      <c r="C497" s="84"/>
      <c r="D497" s="11">
        <v>180.0</v>
      </c>
      <c r="E497" s="11" t="s">
        <v>339</v>
      </c>
      <c r="F497" s="11" t="s">
        <v>6969</v>
      </c>
      <c r="G497" s="295" t="s">
        <v>7540</v>
      </c>
      <c r="H497" s="296"/>
      <c r="I497" s="156">
        <v>5900.0</v>
      </c>
      <c r="J497" s="301"/>
      <c r="K497" s="296"/>
      <c r="L497" s="139"/>
      <c r="M497" s="301">
        <v>5900.0</v>
      </c>
      <c r="N497" s="284">
        <v>0.32</v>
      </c>
      <c r="O497" s="296">
        <v>7800.0</v>
      </c>
      <c r="P497" s="104"/>
      <c r="Q497" s="303">
        <f>P496</f>
        <v>7800</v>
      </c>
      <c r="R497" s="299" t="s">
        <v>7541</v>
      </c>
      <c r="S497" s="300">
        <v>46141.38149969907</v>
      </c>
      <c r="T497" s="2"/>
      <c r="U497" s="289">
        <f t="shared" si="4"/>
        <v>1900</v>
      </c>
      <c r="V497" s="304" t="str">
        <f t="shared" si="333"/>
        <v>нет з/ч</v>
      </c>
      <c r="W497" s="2"/>
      <c r="X497" s="289">
        <v>5900.0</v>
      </c>
      <c r="Y497" s="139"/>
      <c r="Z497" s="2"/>
      <c r="AA497" s="2"/>
      <c r="AB497" s="2"/>
      <c r="AC497" s="2"/>
      <c r="AD497" s="2"/>
      <c r="AE497" s="3" t="s">
        <v>7539</v>
      </c>
      <c r="AF497" s="2"/>
      <c r="AG497" s="1" t="s">
        <v>1582</v>
      </c>
      <c r="AH497" s="1" t="s">
        <v>6389</v>
      </c>
      <c r="AI497" s="2">
        <v>180.0</v>
      </c>
      <c r="AJ497" s="1" t="s">
        <v>1589</v>
      </c>
      <c r="AK497" s="1" t="s">
        <v>5878</v>
      </c>
      <c r="AL497" s="1" t="s">
        <v>5878</v>
      </c>
      <c r="AM497" s="2"/>
      <c r="AN497" s="2"/>
      <c r="AO497" s="2"/>
      <c r="AP497" s="2"/>
      <c r="AQ497" s="2"/>
      <c r="AR497" s="2"/>
      <c r="AS497" s="2"/>
      <c r="AT497" s="2"/>
      <c r="AU497" s="126">
        <v>5900.0</v>
      </c>
      <c r="AV497" s="126">
        <v>7800.0</v>
      </c>
      <c r="AW497" s="2"/>
      <c r="AX497" s="2"/>
      <c r="AY497" s="2"/>
      <c r="AZ497" s="2"/>
      <c r="BA497" s="2"/>
      <c r="BB497" s="2"/>
      <c r="BC497" s="2"/>
      <c r="BD497" s="2"/>
      <c r="BE497" s="2"/>
    </row>
    <row r="498" hidden="1">
      <c r="A498" s="2"/>
      <c r="B498" s="312" t="s">
        <v>7542</v>
      </c>
      <c r="C498" s="84"/>
      <c r="D498" s="11">
        <v>180.0</v>
      </c>
      <c r="E498" s="11" t="s">
        <v>339</v>
      </c>
      <c r="F498" s="11" t="s">
        <v>6969</v>
      </c>
      <c r="G498" s="295" t="s">
        <v>7543</v>
      </c>
      <c r="H498" s="296"/>
      <c r="I498" s="156">
        <v>5900.0</v>
      </c>
      <c r="J498" s="301"/>
      <c r="K498" s="296"/>
      <c r="L498" s="139"/>
      <c r="M498" s="301">
        <v>5900.0</v>
      </c>
      <c r="N498" s="284">
        <v>0.32</v>
      </c>
      <c r="O498" s="296">
        <v>7800.0</v>
      </c>
      <c r="P498" s="104"/>
      <c r="Q498" s="303">
        <f>P496</f>
        <v>7800</v>
      </c>
      <c r="R498" s="299" t="s">
        <v>7544</v>
      </c>
      <c r="S498" s="300">
        <v>46141.381557534725</v>
      </c>
      <c r="T498" s="2"/>
      <c r="U498" s="289">
        <f t="shared" si="4"/>
        <v>1900</v>
      </c>
      <c r="V498" s="304" t="str">
        <f t="shared" si="333"/>
        <v>нет з/ч</v>
      </c>
      <c r="W498" s="2"/>
      <c r="X498" s="289">
        <v>5900.0</v>
      </c>
      <c r="Y498" s="139"/>
      <c r="Z498" s="2"/>
      <c r="AA498" s="2"/>
      <c r="AB498" s="2"/>
      <c r="AC498" s="2"/>
      <c r="AD498" s="2"/>
      <c r="AE498" s="3" t="s">
        <v>7542</v>
      </c>
      <c r="AF498" s="2"/>
      <c r="AG498" s="1" t="s">
        <v>1582</v>
      </c>
      <c r="AH498" s="1" t="s">
        <v>6389</v>
      </c>
      <c r="AI498" s="2">
        <v>180.0</v>
      </c>
      <c r="AJ498" s="1" t="s">
        <v>1589</v>
      </c>
      <c r="AK498" s="1" t="s">
        <v>5878</v>
      </c>
      <c r="AL498" s="1" t="s">
        <v>5878</v>
      </c>
      <c r="AM498" s="2"/>
      <c r="AN498" s="2"/>
      <c r="AO498" s="2"/>
      <c r="AP498" s="2"/>
      <c r="AQ498" s="2"/>
      <c r="AR498" s="2"/>
      <c r="AS498" s="2"/>
      <c r="AT498" s="2"/>
      <c r="AU498" s="126">
        <v>5900.0</v>
      </c>
      <c r="AV498" s="126">
        <v>7800.0</v>
      </c>
      <c r="AW498" s="2"/>
      <c r="AX498" s="2"/>
      <c r="AY498" s="2"/>
      <c r="AZ498" s="2"/>
      <c r="BA498" s="2"/>
      <c r="BB498" s="2"/>
      <c r="BC498" s="2"/>
      <c r="BD498" s="2"/>
      <c r="BE498" s="2"/>
    </row>
    <row r="499" hidden="1">
      <c r="A499" s="2"/>
      <c r="B499" s="312" t="s">
        <v>7545</v>
      </c>
      <c r="C499" s="84"/>
      <c r="D499" s="11">
        <v>180.0</v>
      </c>
      <c r="E499" s="11" t="s">
        <v>339</v>
      </c>
      <c r="F499" s="11" t="s">
        <v>6969</v>
      </c>
      <c r="G499" s="295" t="s">
        <v>7546</v>
      </c>
      <c r="H499" s="296"/>
      <c r="I499" s="156">
        <v>5900.0</v>
      </c>
      <c r="J499" s="301"/>
      <c r="K499" s="296"/>
      <c r="L499" s="139"/>
      <c r="M499" s="301">
        <v>5900.0</v>
      </c>
      <c r="N499" s="284">
        <v>0.32</v>
      </c>
      <c r="O499" s="296">
        <v>7800.0</v>
      </c>
      <c r="P499" s="67"/>
      <c r="Q499" s="303">
        <f>P496</f>
        <v>7800</v>
      </c>
      <c r="R499" s="299" t="s">
        <v>7547</v>
      </c>
      <c r="S499" s="300">
        <v>46141.381605625</v>
      </c>
      <c r="T499" s="2"/>
      <c r="U499" s="289">
        <f t="shared" si="4"/>
        <v>1900</v>
      </c>
      <c r="V499" s="304" t="str">
        <f t="shared" si="333"/>
        <v>нет з/ч</v>
      </c>
      <c r="W499" s="2"/>
      <c r="X499" s="289">
        <v>5900.0</v>
      </c>
      <c r="Y499" s="139"/>
      <c r="Z499" s="2"/>
      <c r="AA499" s="2"/>
      <c r="AB499" s="2"/>
      <c r="AC499" s="2"/>
      <c r="AD499" s="2"/>
      <c r="AE499" s="3" t="s">
        <v>7545</v>
      </c>
      <c r="AF499" s="2"/>
      <c r="AG499" s="1" t="s">
        <v>1582</v>
      </c>
      <c r="AH499" s="1" t="s">
        <v>6389</v>
      </c>
      <c r="AI499" s="2">
        <v>180.0</v>
      </c>
      <c r="AJ499" s="1" t="s">
        <v>1589</v>
      </c>
      <c r="AK499" s="1" t="s">
        <v>5878</v>
      </c>
      <c r="AL499" s="1" t="s">
        <v>5878</v>
      </c>
      <c r="AM499" s="2"/>
      <c r="AN499" s="2"/>
      <c r="AO499" s="2"/>
      <c r="AP499" s="2"/>
      <c r="AQ499" s="2"/>
      <c r="AR499" s="2"/>
      <c r="AS499" s="2"/>
      <c r="AT499" s="2"/>
      <c r="AU499" s="126">
        <v>5900.0</v>
      </c>
      <c r="AV499" s="126">
        <v>7800.0</v>
      </c>
      <c r="AW499" s="2"/>
      <c r="AX499" s="2"/>
      <c r="AY499" s="2"/>
      <c r="AZ499" s="2"/>
      <c r="BA499" s="2"/>
      <c r="BB499" s="2"/>
      <c r="BC499" s="2"/>
      <c r="BD499" s="2"/>
      <c r="BE499" s="2"/>
    </row>
    <row r="500" hidden="1">
      <c r="A500" s="2"/>
      <c r="B500" s="312" t="s">
        <v>7548</v>
      </c>
      <c r="C500" s="220" t="s">
        <v>7549</v>
      </c>
      <c r="D500" s="11">
        <v>180.0</v>
      </c>
      <c r="E500" s="11" t="s">
        <v>339</v>
      </c>
      <c r="F500" s="11" t="s">
        <v>6969</v>
      </c>
      <c r="G500" s="295" t="s">
        <v>7550</v>
      </c>
      <c r="H500" s="296"/>
      <c r="I500" s="156">
        <v>1350.0</v>
      </c>
      <c r="J500" s="301"/>
      <c r="K500" s="296"/>
      <c r="L500" s="156">
        <v>1790.0</v>
      </c>
      <c r="M500" s="301">
        <v>1790.0</v>
      </c>
      <c r="N500" s="284">
        <v>0.57</v>
      </c>
      <c r="O500" s="296">
        <v>2800.0</v>
      </c>
      <c r="P500" s="313">
        <f>MAX(O500:O503)</f>
        <v>2800</v>
      </c>
      <c r="Q500" s="303">
        <f>P500</f>
        <v>2800</v>
      </c>
      <c r="R500" s="299" t="s">
        <v>7551</v>
      </c>
      <c r="S500" s="300">
        <v>46141.38165523148</v>
      </c>
      <c r="T500" s="2"/>
      <c r="U500" s="289">
        <f t="shared" si="4"/>
        <v>1450</v>
      </c>
      <c r="V500" s="290">
        <f t="shared" si="333"/>
        <v>-1790</v>
      </c>
      <c r="W500" s="2"/>
      <c r="X500" s="289">
        <v>1350.0</v>
      </c>
      <c r="Y500" s="139">
        <v>1790.0</v>
      </c>
      <c r="Z500" s="2"/>
      <c r="AA500" s="2" t="s">
        <v>7549</v>
      </c>
      <c r="AB500" s="2" t="s">
        <v>7549</v>
      </c>
      <c r="AC500" s="2"/>
      <c r="AD500" s="2" t="s">
        <v>7549</v>
      </c>
      <c r="AE500" s="3" t="s">
        <v>7548</v>
      </c>
      <c r="AF500" s="2"/>
      <c r="AG500" s="1" t="s">
        <v>1582</v>
      </c>
      <c r="AH500" s="1" t="s">
        <v>6389</v>
      </c>
      <c r="AI500" s="2">
        <v>180.0</v>
      </c>
      <c r="AJ500" s="1" t="s">
        <v>1589</v>
      </c>
      <c r="AK500" s="1" t="s">
        <v>5878</v>
      </c>
      <c r="AL500" s="1" t="s">
        <v>5878</v>
      </c>
      <c r="AM500" s="2"/>
      <c r="AN500" s="2"/>
      <c r="AO500" s="2"/>
      <c r="AP500" s="2"/>
      <c r="AQ500" s="2"/>
      <c r="AR500" s="2"/>
      <c r="AS500" s="2"/>
      <c r="AT500" s="2"/>
      <c r="AU500" s="126">
        <v>1790.0</v>
      </c>
      <c r="AV500" s="126">
        <v>2800.0</v>
      </c>
      <c r="AW500" s="2"/>
      <c r="AX500" s="2"/>
      <c r="AY500" s="2"/>
      <c r="AZ500" s="2"/>
      <c r="BA500" s="2"/>
      <c r="BB500" s="2"/>
      <c r="BC500" s="2"/>
      <c r="BD500" s="2"/>
      <c r="BE500" s="2"/>
    </row>
    <row r="501" hidden="1">
      <c r="A501" s="2"/>
      <c r="B501" s="312" t="s">
        <v>7552</v>
      </c>
      <c r="C501" s="220" t="s">
        <v>7553</v>
      </c>
      <c r="D501" s="11">
        <v>180.0</v>
      </c>
      <c r="E501" s="11" t="s">
        <v>339</v>
      </c>
      <c r="F501" s="11" t="s">
        <v>6969</v>
      </c>
      <c r="G501" s="295" t="s">
        <v>7554</v>
      </c>
      <c r="H501" s="296"/>
      <c r="I501" s="156">
        <v>1350.0</v>
      </c>
      <c r="J501" s="301"/>
      <c r="K501" s="296"/>
      <c r="L501" s="156">
        <v>1790.0</v>
      </c>
      <c r="M501" s="301">
        <v>1790.0</v>
      </c>
      <c r="N501" s="284">
        <v>0.57</v>
      </c>
      <c r="O501" s="296">
        <v>2800.0</v>
      </c>
      <c r="P501" s="104"/>
      <c r="Q501" s="303">
        <f>P500</f>
        <v>2800</v>
      </c>
      <c r="R501" s="287" t="s">
        <v>7555</v>
      </c>
      <c r="S501" s="300">
        <v>46141.38170267361</v>
      </c>
      <c r="T501" s="2"/>
      <c r="U501" s="289">
        <f t="shared" si="4"/>
        <v>1450</v>
      </c>
      <c r="V501" s="290">
        <f t="shared" si="333"/>
        <v>-1790</v>
      </c>
      <c r="W501" s="2"/>
      <c r="X501" s="289">
        <v>1350.0</v>
      </c>
      <c r="Y501" s="139">
        <v>1790.0</v>
      </c>
      <c r="Z501" s="2"/>
      <c r="AA501" s="2" t="s">
        <v>7553</v>
      </c>
      <c r="AB501" s="2" t="s">
        <v>7553</v>
      </c>
      <c r="AC501" s="2"/>
      <c r="AD501" s="2" t="s">
        <v>7553</v>
      </c>
      <c r="AE501" s="3" t="s">
        <v>7552</v>
      </c>
      <c r="AF501" s="2"/>
      <c r="AG501" s="1" t="s">
        <v>1582</v>
      </c>
      <c r="AH501" s="1" t="s">
        <v>6389</v>
      </c>
      <c r="AI501" s="2">
        <v>180.0</v>
      </c>
      <c r="AJ501" s="1" t="s">
        <v>1589</v>
      </c>
      <c r="AK501" s="1" t="s">
        <v>5878</v>
      </c>
      <c r="AL501" s="1" t="s">
        <v>5878</v>
      </c>
      <c r="AM501" s="2"/>
      <c r="AN501" s="2"/>
      <c r="AO501" s="2"/>
      <c r="AP501" s="2"/>
      <c r="AQ501" s="2"/>
      <c r="AR501" s="2"/>
      <c r="AS501" s="2"/>
      <c r="AT501" s="2"/>
      <c r="AU501" s="126">
        <v>1790.0</v>
      </c>
      <c r="AV501" s="126">
        <v>2800.0</v>
      </c>
      <c r="AW501" s="2"/>
      <c r="AX501" s="2"/>
      <c r="AY501" s="2"/>
      <c r="AZ501" s="2"/>
      <c r="BA501" s="2"/>
      <c r="BB501" s="2"/>
      <c r="BC501" s="2"/>
      <c r="BD501" s="2"/>
      <c r="BE501" s="2"/>
    </row>
    <row r="502" hidden="1">
      <c r="A502" s="2"/>
      <c r="B502" s="312" t="s">
        <v>7556</v>
      </c>
      <c r="C502" s="220" t="s">
        <v>7557</v>
      </c>
      <c r="D502" s="11">
        <v>180.0</v>
      </c>
      <c r="E502" s="11" t="s">
        <v>339</v>
      </c>
      <c r="F502" s="11" t="s">
        <v>6969</v>
      </c>
      <c r="G502" s="295" t="s">
        <v>7558</v>
      </c>
      <c r="H502" s="296"/>
      <c r="I502" s="156">
        <v>1350.0</v>
      </c>
      <c r="J502" s="301"/>
      <c r="K502" s="296"/>
      <c r="L502" s="156">
        <v>1790.0</v>
      </c>
      <c r="M502" s="301">
        <v>1790.0</v>
      </c>
      <c r="N502" s="284">
        <v>0.57</v>
      </c>
      <c r="O502" s="296">
        <v>2800.0</v>
      </c>
      <c r="P502" s="104"/>
      <c r="Q502" s="303">
        <f>P500</f>
        <v>2800</v>
      </c>
      <c r="R502" s="299" t="s">
        <v>7559</v>
      </c>
      <c r="S502" s="300">
        <v>46141.38175165509</v>
      </c>
      <c r="T502" s="2"/>
      <c r="U502" s="289">
        <f t="shared" si="4"/>
        <v>1450</v>
      </c>
      <c r="V502" s="290">
        <f t="shared" si="333"/>
        <v>-1790</v>
      </c>
      <c r="W502" s="2"/>
      <c r="X502" s="289">
        <v>1350.0</v>
      </c>
      <c r="Y502" s="139">
        <v>1790.0</v>
      </c>
      <c r="Z502" s="2"/>
      <c r="AA502" s="2" t="s">
        <v>7557</v>
      </c>
      <c r="AB502" s="2" t="s">
        <v>7557</v>
      </c>
      <c r="AC502" s="2"/>
      <c r="AD502" s="2" t="s">
        <v>7557</v>
      </c>
      <c r="AE502" s="3" t="s">
        <v>7556</v>
      </c>
      <c r="AF502" s="2"/>
      <c r="AG502" s="1" t="s">
        <v>1582</v>
      </c>
      <c r="AH502" s="1" t="s">
        <v>6389</v>
      </c>
      <c r="AI502" s="2">
        <v>180.0</v>
      </c>
      <c r="AJ502" s="1" t="s">
        <v>1589</v>
      </c>
      <c r="AK502" s="1" t="s">
        <v>5878</v>
      </c>
      <c r="AL502" s="1" t="s">
        <v>5878</v>
      </c>
      <c r="AM502" s="2"/>
      <c r="AN502" s="2"/>
      <c r="AO502" s="2"/>
      <c r="AP502" s="2"/>
      <c r="AQ502" s="2"/>
      <c r="AR502" s="2"/>
      <c r="AS502" s="2"/>
      <c r="AT502" s="2"/>
      <c r="AU502" s="126">
        <v>1790.0</v>
      </c>
      <c r="AV502" s="126">
        <v>2800.0</v>
      </c>
      <c r="AW502" s="2"/>
      <c r="AX502" s="2"/>
      <c r="AY502" s="2"/>
      <c r="AZ502" s="2"/>
      <c r="BA502" s="2"/>
      <c r="BB502" s="2"/>
      <c r="BC502" s="2"/>
      <c r="BD502" s="2"/>
      <c r="BE502" s="2"/>
    </row>
    <row r="503" hidden="1">
      <c r="A503" s="2"/>
      <c r="B503" s="312" t="s">
        <v>7560</v>
      </c>
      <c r="C503" s="220" t="s">
        <v>7561</v>
      </c>
      <c r="D503" s="11">
        <v>180.0</v>
      </c>
      <c r="E503" s="11" t="s">
        <v>339</v>
      </c>
      <c r="F503" s="11" t="s">
        <v>6969</v>
      </c>
      <c r="G503" s="295" t="s">
        <v>7562</v>
      </c>
      <c r="H503" s="296"/>
      <c r="I503" s="156">
        <v>1350.0</v>
      </c>
      <c r="J503" s="301"/>
      <c r="K503" s="296"/>
      <c r="L503" s="156">
        <v>1790.0</v>
      </c>
      <c r="M503" s="301">
        <v>1790.0</v>
      </c>
      <c r="N503" s="284">
        <v>0.57</v>
      </c>
      <c r="O503" s="296">
        <v>2800.0</v>
      </c>
      <c r="P503" s="67"/>
      <c r="Q503" s="303">
        <f>P500</f>
        <v>2800</v>
      </c>
      <c r="R503" s="299" t="s">
        <v>7563</v>
      </c>
      <c r="S503" s="300">
        <v>46141.38180008101</v>
      </c>
      <c r="T503" s="2"/>
      <c r="U503" s="289">
        <f t="shared" si="4"/>
        <v>1450</v>
      </c>
      <c r="V503" s="290">
        <f t="shared" si="333"/>
        <v>-1790</v>
      </c>
      <c r="W503" s="2"/>
      <c r="X503" s="289">
        <v>1350.0</v>
      </c>
      <c r="Y503" s="139">
        <v>1790.0</v>
      </c>
      <c r="Z503" s="2"/>
      <c r="AA503" s="2" t="s">
        <v>7561</v>
      </c>
      <c r="AB503" s="2" t="s">
        <v>7561</v>
      </c>
      <c r="AC503" s="2"/>
      <c r="AD503" s="2" t="s">
        <v>7561</v>
      </c>
      <c r="AE503" s="3" t="s">
        <v>7560</v>
      </c>
      <c r="AF503" s="2"/>
      <c r="AG503" s="1" t="s">
        <v>1582</v>
      </c>
      <c r="AH503" s="1" t="s">
        <v>6389</v>
      </c>
      <c r="AI503" s="2">
        <v>180.0</v>
      </c>
      <c r="AJ503" s="1" t="s">
        <v>1589</v>
      </c>
      <c r="AK503" s="1" t="s">
        <v>5878</v>
      </c>
      <c r="AL503" s="1" t="s">
        <v>5878</v>
      </c>
      <c r="AM503" s="2"/>
      <c r="AN503" s="2"/>
      <c r="AO503" s="2"/>
      <c r="AP503" s="2"/>
      <c r="AQ503" s="2"/>
      <c r="AR503" s="2"/>
      <c r="AS503" s="2"/>
      <c r="AT503" s="2"/>
      <c r="AU503" s="126">
        <v>1790.0</v>
      </c>
      <c r="AV503" s="126">
        <v>2800.0</v>
      </c>
      <c r="AW503" s="2"/>
      <c r="AX503" s="2"/>
      <c r="AY503" s="2"/>
      <c r="AZ503" s="2"/>
      <c r="BA503" s="2"/>
      <c r="BB503" s="2"/>
      <c r="BC503" s="2"/>
      <c r="BD503" s="2"/>
      <c r="BE503" s="2"/>
    </row>
    <row r="504" hidden="1">
      <c r="A504" s="2"/>
      <c r="B504" s="312" t="s">
        <v>7564</v>
      </c>
      <c r="C504" s="84"/>
      <c r="D504" s="11">
        <v>180.0</v>
      </c>
      <c r="E504" s="11" t="s">
        <v>346</v>
      </c>
      <c r="F504" s="11" t="s">
        <v>6969</v>
      </c>
      <c r="G504" s="295" t="s">
        <v>7565</v>
      </c>
      <c r="H504" s="296"/>
      <c r="I504" s="156">
        <v>6600.0</v>
      </c>
      <c r="J504" s="301"/>
      <c r="K504" s="296"/>
      <c r="L504" s="139"/>
      <c r="M504" s="301">
        <v>6600.0</v>
      </c>
      <c r="N504" s="284">
        <v>0.33</v>
      </c>
      <c r="O504" s="296">
        <v>8800.0</v>
      </c>
      <c r="P504" s="313">
        <f>MAX(O504:O507)</f>
        <v>8800</v>
      </c>
      <c r="Q504" s="303">
        <f>P504</f>
        <v>8800</v>
      </c>
      <c r="R504" s="299" t="s">
        <v>7566</v>
      </c>
      <c r="S504" s="300">
        <v>46141.38185099537</v>
      </c>
      <c r="T504" s="2"/>
      <c r="U504" s="289">
        <f t="shared" si="4"/>
        <v>2200</v>
      </c>
      <c r="V504" s="304" t="str">
        <f t="shared" si="333"/>
        <v>нет з/ч</v>
      </c>
      <c r="W504" s="2"/>
      <c r="X504" s="289">
        <v>6600.0</v>
      </c>
      <c r="Y504" s="139"/>
      <c r="Z504" s="2"/>
      <c r="AA504" s="2"/>
      <c r="AB504" s="2"/>
      <c r="AC504" s="2"/>
      <c r="AD504" s="2"/>
      <c r="AE504" s="3" t="s">
        <v>7564</v>
      </c>
      <c r="AF504" s="2"/>
      <c r="AG504" s="1" t="s">
        <v>1582</v>
      </c>
      <c r="AH504" s="1" t="s">
        <v>6407</v>
      </c>
      <c r="AI504" s="2">
        <v>180.0</v>
      </c>
      <c r="AJ504" s="1" t="s">
        <v>1589</v>
      </c>
      <c r="AK504" s="1" t="s">
        <v>5878</v>
      </c>
      <c r="AL504" s="1" t="s">
        <v>5878</v>
      </c>
      <c r="AM504" s="2"/>
      <c r="AN504" s="2"/>
      <c r="AO504" s="2"/>
      <c r="AP504" s="2"/>
      <c r="AQ504" s="2"/>
      <c r="AR504" s="2"/>
      <c r="AS504" s="2"/>
      <c r="AT504" s="2"/>
      <c r="AU504" s="126">
        <v>6600.0</v>
      </c>
      <c r="AV504" s="126">
        <v>8800.0</v>
      </c>
      <c r="AW504" s="2"/>
      <c r="AX504" s="2"/>
      <c r="AY504" s="2"/>
      <c r="AZ504" s="2"/>
      <c r="BA504" s="2"/>
      <c r="BB504" s="2"/>
      <c r="BC504" s="2"/>
      <c r="BD504" s="2"/>
      <c r="BE504" s="2"/>
    </row>
    <row r="505" hidden="1">
      <c r="A505" s="2"/>
      <c r="B505" s="312" t="s">
        <v>7567</v>
      </c>
      <c r="C505" s="84"/>
      <c r="D505" s="11">
        <v>180.0</v>
      </c>
      <c r="E505" s="11" t="s">
        <v>346</v>
      </c>
      <c r="F505" s="11" t="s">
        <v>6969</v>
      </c>
      <c r="G505" s="295" t="s">
        <v>7568</v>
      </c>
      <c r="H505" s="296"/>
      <c r="I505" s="156">
        <v>6600.0</v>
      </c>
      <c r="J505" s="301"/>
      <c r="K505" s="296"/>
      <c r="L505" s="139"/>
      <c r="M505" s="301">
        <v>6600.0</v>
      </c>
      <c r="N505" s="284">
        <v>0.33</v>
      </c>
      <c r="O505" s="296">
        <v>8800.0</v>
      </c>
      <c r="P505" s="104"/>
      <c r="Q505" s="303">
        <f>P504</f>
        <v>8800</v>
      </c>
      <c r="R505" s="299" t="s">
        <v>7569</v>
      </c>
      <c r="S505" s="300">
        <v>46141.38189881944</v>
      </c>
      <c r="T505" s="2"/>
      <c r="U505" s="289">
        <f t="shared" si="4"/>
        <v>2200</v>
      </c>
      <c r="V505" s="304" t="str">
        <f t="shared" si="333"/>
        <v>нет з/ч</v>
      </c>
      <c r="W505" s="2"/>
      <c r="X505" s="289">
        <v>6600.0</v>
      </c>
      <c r="Y505" s="139"/>
      <c r="Z505" s="2"/>
      <c r="AA505" s="2"/>
      <c r="AB505" s="2"/>
      <c r="AC505" s="2"/>
      <c r="AD505" s="2"/>
      <c r="AE505" s="3" t="s">
        <v>7567</v>
      </c>
      <c r="AF505" s="2"/>
      <c r="AG505" s="1" t="s">
        <v>1582</v>
      </c>
      <c r="AH505" s="1" t="s">
        <v>6407</v>
      </c>
      <c r="AI505" s="2">
        <v>180.0</v>
      </c>
      <c r="AJ505" s="1" t="s">
        <v>1589</v>
      </c>
      <c r="AK505" s="1" t="s">
        <v>5878</v>
      </c>
      <c r="AL505" s="1" t="s">
        <v>5878</v>
      </c>
      <c r="AM505" s="2"/>
      <c r="AN505" s="2"/>
      <c r="AO505" s="2"/>
      <c r="AP505" s="2"/>
      <c r="AQ505" s="2"/>
      <c r="AR505" s="2"/>
      <c r="AS505" s="2"/>
      <c r="AT505" s="2"/>
      <c r="AU505" s="126">
        <v>6600.0</v>
      </c>
      <c r="AV505" s="126">
        <v>8800.0</v>
      </c>
      <c r="AW505" s="2"/>
      <c r="AX505" s="2"/>
      <c r="AY505" s="2"/>
      <c r="AZ505" s="2"/>
      <c r="BA505" s="2"/>
      <c r="BB505" s="2"/>
      <c r="BC505" s="2"/>
      <c r="BD505" s="2"/>
      <c r="BE505" s="2"/>
    </row>
    <row r="506" hidden="1">
      <c r="A506" s="2"/>
      <c r="B506" s="312" t="s">
        <v>7570</v>
      </c>
      <c r="C506" s="84"/>
      <c r="D506" s="11">
        <v>180.0</v>
      </c>
      <c r="E506" s="11" t="s">
        <v>346</v>
      </c>
      <c r="F506" s="11" t="s">
        <v>6969</v>
      </c>
      <c r="G506" s="295" t="s">
        <v>7571</v>
      </c>
      <c r="H506" s="296"/>
      <c r="I506" s="156">
        <v>6600.0</v>
      </c>
      <c r="J506" s="301"/>
      <c r="K506" s="296"/>
      <c r="L506" s="139"/>
      <c r="M506" s="301">
        <v>6600.0</v>
      </c>
      <c r="N506" s="284">
        <v>0.33</v>
      </c>
      <c r="O506" s="296">
        <v>8800.0</v>
      </c>
      <c r="P506" s="104"/>
      <c r="Q506" s="303">
        <f>P504</f>
        <v>8800</v>
      </c>
      <c r="R506" s="299" t="s">
        <v>7572</v>
      </c>
      <c r="S506" s="300">
        <v>46141.38194668981</v>
      </c>
      <c r="T506" s="2"/>
      <c r="U506" s="289">
        <f t="shared" si="4"/>
        <v>2200</v>
      </c>
      <c r="V506" s="304" t="str">
        <f t="shared" si="333"/>
        <v>нет з/ч</v>
      </c>
      <c r="W506" s="2"/>
      <c r="X506" s="289">
        <v>6600.0</v>
      </c>
      <c r="Y506" s="139"/>
      <c r="Z506" s="2"/>
      <c r="AA506" s="2"/>
      <c r="AB506" s="2"/>
      <c r="AC506" s="2"/>
      <c r="AD506" s="2"/>
      <c r="AE506" s="3" t="s">
        <v>7570</v>
      </c>
      <c r="AF506" s="2"/>
      <c r="AG506" s="1" t="s">
        <v>1582</v>
      </c>
      <c r="AH506" s="1" t="s">
        <v>6407</v>
      </c>
      <c r="AI506" s="2">
        <v>180.0</v>
      </c>
      <c r="AJ506" s="1" t="s">
        <v>1589</v>
      </c>
      <c r="AK506" s="1" t="s">
        <v>5878</v>
      </c>
      <c r="AL506" s="1" t="s">
        <v>5878</v>
      </c>
      <c r="AM506" s="2"/>
      <c r="AN506" s="2"/>
      <c r="AO506" s="2"/>
      <c r="AP506" s="2"/>
      <c r="AQ506" s="2"/>
      <c r="AR506" s="2"/>
      <c r="AS506" s="2"/>
      <c r="AT506" s="2"/>
      <c r="AU506" s="126">
        <v>6600.0</v>
      </c>
      <c r="AV506" s="126">
        <v>8800.0</v>
      </c>
      <c r="AW506" s="2"/>
      <c r="AX506" s="2"/>
      <c r="AY506" s="2"/>
      <c r="AZ506" s="2"/>
      <c r="BA506" s="2"/>
      <c r="BB506" s="2"/>
      <c r="BC506" s="2"/>
      <c r="BD506" s="2"/>
      <c r="BE506" s="2"/>
    </row>
    <row r="507" hidden="1">
      <c r="A507" s="2"/>
      <c r="B507" s="312" t="s">
        <v>7573</v>
      </c>
      <c r="C507" s="84"/>
      <c r="D507" s="11">
        <v>180.0</v>
      </c>
      <c r="E507" s="11" t="s">
        <v>346</v>
      </c>
      <c r="F507" s="11" t="s">
        <v>6969</v>
      </c>
      <c r="G507" s="295" t="s">
        <v>7574</v>
      </c>
      <c r="H507" s="296"/>
      <c r="I507" s="156">
        <v>6600.0</v>
      </c>
      <c r="J507" s="301"/>
      <c r="K507" s="296"/>
      <c r="L507" s="139"/>
      <c r="M507" s="301">
        <v>6600.0</v>
      </c>
      <c r="N507" s="284">
        <v>0.33</v>
      </c>
      <c r="O507" s="296">
        <v>8800.0</v>
      </c>
      <c r="P507" s="67"/>
      <c r="Q507" s="303">
        <f>P504</f>
        <v>8800</v>
      </c>
      <c r="R507" s="299" t="s">
        <v>7575</v>
      </c>
      <c r="S507" s="300">
        <v>46141.382001875</v>
      </c>
      <c r="T507" s="2"/>
      <c r="U507" s="289">
        <f t="shared" si="4"/>
        <v>2200</v>
      </c>
      <c r="V507" s="304" t="str">
        <f t="shared" si="333"/>
        <v>нет з/ч</v>
      </c>
      <c r="W507" s="2"/>
      <c r="X507" s="289">
        <v>6600.0</v>
      </c>
      <c r="Y507" s="139"/>
      <c r="Z507" s="2"/>
      <c r="AA507" s="2"/>
      <c r="AB507" s="2"/>
      <c r="AC507" s="2"/>
      <c r="AD507" s="2"/>
      <c r="AE507" s="3" t="s">
        <v>7573</v>
      </c>
      <c r="AF507" s="2"/>
      <c r="AG507" s="1" t="s">
        <v>1582</v>
      </c>
      <c r="AH507" s="1" t="s">
        <v>6407</v>
      </c>
      <c r="AI507" s="2">
        <v>180.0</v>
      </c>
      <c r="AJ507" s="1" t="s">
        <v>1589</v>
      </c>
      <c r="AK507" s="1" t="s">
        <v>5878</v>
      </c>
      <c r="AL507" s="1" t="s">
        <v>5878</v>
      </c>
      <c r="AM507" s="2"/>
      <c r="AN507" s="2"/>
      <c r="AO507" s="2"/>
      <c r="AP507" s="2"/>
      <c r="AQ507" s="2"/>
      <c r="AR507" s="2"/>
      <c r="AS507" s="2"/>
      <c r="AT507" s="2"/>
      <c r="AU507" s="126">
        <v>6600.0</v>
      </c>
      <c r="AV507" s="126">
        <v>8800.0</v>
      </c>
      <c r="AW507" s="2"/>
      <c r="AX507" s="2"/>
      <c r="AY507" s="2"/>
      <c r="AZ507" s="2"/>
      <c r="BA507" s="2"/>
      <c r="BB507" s="2"/>
      <c r="BC507" s="2"/>
      <c r="BD507" s="2"/>
      <c r="BE507" s="2"/>
    </row>
    <row r="508" hidden="1">
      <c r="A508" s="2"/>
      <c r="B508" s="312" t="s">
        <v>7576</v>
      </c>
      <c r="C508" s="220" t="s">
        <v>7577</v>
      </c>
      <c r="D508" s="11">
        <v>180.0</v>
      </c>
      <c r="E508" s="11" t="s">
        <v>346</v>
      </c>
      <c r="F508" s="11" t="s">
        <v>6969</v>
      </c>
      <c r="G508" s="295" t="s">
        <v>7578</v>
      </c>
      <c r="H508" s="296"/>
      <c r="I508" s="156">
        <v>1350.0</v>
      </c>
      <c r="J508" s="301"/>
      <c r="K508" s="296"/>
      <c r="L508" s="156">
        <v>1790.0</v>
      </c>
      <c r="M508" s="301">
        <v>1790.0</v>
      </c>
      <c r="N508" s="284">
        <v>0.57</v>
      </c>
      <c r="O508" s="296">
        <v>2800.0</v>
      </c>
      <c r="P508" s="313">
        <f>MAX(O508:O511)</f>
        <v>2800</v>
      </c>
      <c r="Q508" s="303">
        <f>P508</f>
        <v>2800</v>
      </c>
      <c r="R508" s="299" t="s">
        <v>7579</v>
      </c>
      <c r="S508" s="300">
        <v>46141.3823625</v>
      </c>
      <c r="T508" s="2"/>
      <c r="U508" s="289">
        <f t="shared" si="4"/>
        <v>1450</v>
      </c>
      <c r="V508" s="290">
        <f t="shared" si="333"/>
        <v>-1790</v>
      </c>
      <c r="W508" s="2"/>
      <c r="X508" s="289">
        <v>1350.0</v>
      </c>
      <c r="Y508" s="139">
        <v>1790.0</v>
      </c>
      <c r="Z508" s="2"/>
      <c r="AA508" s="2" t="s">
        <v>7577</v>
      </c>
      <c r="AB508" s="2" t="s">
        <v>7577</v>
      </c>
      <c r="AC508" s="2"/>
      <c r="AD508" s="2" t="s">
        <v>7577</v>
      </c>
      <c r="AE508" s="3" t="s">
        <v>7576</v>
      </c>
      <c r="AF508" s="2"/>
      <c r="AG508" s="1" t="s">
        <v>1582</v>
      </c>
      <c r="AH508" s="1" t="s">
        <v>6407</v>
      </c>
      <c r="AI508" s="2">
        <v>180.0</v>
      </c>
      <c r="AJ508" s="1" t="s">
        <v>1589</v>
      </c>
      <c r="AK508" s="1" t="s">
        <v>5878</v>
      </c>
      <c r="AL508" s="1" t="s">
        <v>5878</v>
      </c>
      <c r="AM508" s="2"/>
      <c r="AN508" s="2"/>
      <c r="AO508" s="2"/>
      <c r="AP508" s="2"/>
      <c r="AQ508" s="2"/>
      <c r="AR508" s="2"/>
      <c r="AS508" s="2"/>
      <c r="AT508" s="2"/>
      <c r="AU508" s="126">
        <v>1790.0</v>
      </c>
      <c r="AV508" s="126">
        <v>2800.0</v>
      </c>
      <c r="AW508" s="2"/>
      <c r="AX508" s="2"/>
      <c r="AY508" s="2"/>
      <c r="AZ508" s="2"/>
      <c r="BA508" s="2"/>
      <c r="BB508" s="2"/>
      <c r="BC508" s="2"/>
      <c r="BD508" s="2"/>
      <c r="BE508" s="2"/>
    </row>
    <row r="509" hidden="1">
      <c r="A509" s="2"/>
      <c r="B509" s="312" t="s">
        <v>7580</v>
      </c>
      <c r="C509" s="220" t="s">
        <v>7581</v>
      </c>
      <c r="D509" s="11">
        <v>180.0</v>
      </c>
      <c r="E509" s="11" t="s">
        <v>346</v>
      </c>
      <c r="F509" s="11" t="s">
        <v>6969</v>
      </c>
      <c r="G509" s="295" t="s">
        <v>7582</v>
      </c>
      <c r="H509" s="296"/>
      <c r="I509" s="156">
        <v>1350.0</v>
      </c>
      <c r="J509" s="301"/>
      <c r="K509" s="296"/>
      <c r="L509" s="156">
        <v>1790.0</v>
      </c>
      <c r="M509" s="301">
        <v>1790.0</v>
      </c>
      <c r="N509" s="284">
        <v>0.57</v>
      </c>
      <c r="O509" s="296">
        <v>2800.0</v>
      </c>
      <c r="P509" s="104"/>
      <c r="Q509" s="303">
        <f>P508</f>
        <v>2800</v>
      </c>
      <c r="R509" s="299" t="s">
        <v>7583</v>
      </c>
      <c r="S509" s="300">
        <v>46141.38241056713</v>
      </c>
      <c r="T509" s="2"/>
      <c r="U509" s="289">
        <f t="shared" si="4"/>
        <v>1450</v>
      </c>
      <c r="V509" s="290">
        <f t="shared" si="333"/>
        <v>-1790</v>
      </c>
      <c r="W509" s="2"/>
      <c r="X509" s="289">
        <v>1350.0</v>
      </c>
      <c r="Y509" s="139">
        <v>1790.0</v>
      </c>
      <c r="Z509" s="2"/>
      <c r="AA509" s="2" t="s">
        <v>7581</v>
      </c>
      <c r="AB509" s="2" t="s">
        <v>7581</v>
      </c>
      <c r="AC509" s="2"/>
      <c r="AD509" s="2" t="s">
        <v>7581</v>
      </c>
      <c r="AE509" s="3" t="s">
        <v>7580</v>
      </c>
      <c r="AF509" s="2"/>
      <c r="AG509" s="1" t="s">
        <v>1582</v>
      </c>
      <c r="AH509" s="1" t="s">
        <v>6407</v>
      </c>
      <c r="AI509" s="2">
        <v>180.0</v>
      </c>
      <c r="AJ509" s="1" t="s">
        <v>1589</v>
      </c>
      <c r="AK509" s="1" t="s">
        <v>5878</v>
      </c>
      <c r="AL509" s="1" t="s">
        <v>5878</v>
      </c>
      <c r="AM509" s="2"/>
      <c r="AN509" s="2"/>
      <c r="AO509" s="2"/>
      <c r="AP509" s="2"/>
      <c r="AQ509" s="2"/>
      <c r="AR509" s="2"/>
      <c r="AS509" s="2"/>
      <c r="AT509" s="2"/>
      <c r="AU509" s="126">
        <v>1790.0</v>
      </c>
      <c r="AV509" s="126">
        <v>2800.0</v>
      </c>
      <c r="AW509" s="2"/>
      <c r="AX509" s="2"/>
      <c r="AY509" s="2"/>
      <c r="AZ509" s="2"/>
      <c r="BA509" s="2"/>
      <c r="BB509" s="2"/>
      <c r="BC509" s="2"/>
      <c r="BD509" s="2"/>
      <c r="BE509" s="2"/>
    </row>
    <row r="510" hidden="1">
      <c r="A510" s="2"/>
      <c r="B510" s="312" t="s">
        <v>7584</v>
      </c>
      <c r="C510" s="220" t="s">
        <v>7585</v>
      </c>
      <c r="D510" s="11">
        <v>180.0</v>
      </c>
      <c r="E510" s="11" t="s">
        <v>346</v>
      </c>
      <c r="F510" s="11" t="s">
        <v>6969</v>
      </c>
      <c r="G510" s="295" t="s">
        <v>7586</v>
      </c>
      <c r="H510" s="296"/>
      <c r="I510" s="156">
        <v>1350.0</v>
      </c>
      <c r="J510" s="301"/>
      <c r="K510" s="296"/>
      <c r="L510" s="156">
        <v>1790.0</v>
      </c>
      <c r="M510" s="301">
        <v>1790.0</v>
      </c>
      <c r="N510" s="284">
        <v>0.57</v>
      </c>
      <c r="O510" s="296">
        <v>2800.0</v>
      </c>
      <c r="P510" s="104"/>
      <c r="Q510" s="303">
        <f>P508</f>
        <v>2800</v>
      </c>
      <c r="R510" s="299" t="s">
        <v>7587</v>
      </c>
      <c r="S510" s="300">
        <v>46141.38246060185</v>
      </c>
      <c r="T510" s="2"/>
      <c r="U510" s="289">
        <f t="shared" si="4"/>
        <v>1450</v>
      </c>
      <c r="V510" s="290">
        <f t="shared" si="333"/>
        <v>-1790</v>
      </c>
      <c r="W510" s="2"/>
      <c r="X510" s="289">
        <v>1350.0</v>
      </c>
      <c r="Y510" s="139">
        <v>1790.0</v>
      </c>
      <c r="Z510" s="2"/>
      <c r="AA510" s="2" t="s">
        <v>7585</v>
      </c>
      <c r="AB510" s="2" t="s">
        <v>7585</v>
      </c>
      <c r="AC510" s="2"/>
      <c r="AD510" s="2" t="s">
        <v>7585</v>
      </c>
      <c r="AE510" s="3" t="s">
        <v>7584</v>
      </c>
      <c r="AF510" s="2"/>
      <c r="AG510" s="1" t="s">
        <v>1582</v>
      </c>
      <c r="AH510" s="1" t="s">
        <v>6407</v>
      </c>
      <c r="AI510" s="2">
        <v>180.0</v>
      </c>
      <c r="AJ510" s="1" t="s">
        <v>1589</v>
      </c>
      <c r="AK510" s="1" t="s">
        <v>5878</v>
      </c>
      <c r="AL510" s="1" t="s">
        <v>5878</v>
      </c>
      <c r="AM510" s="2"/>
      <c r="AN510" s="2"/>
      <c r="AO510" s="2"/>
      <c r="AP510" s="2"/>
      <c r="AQ510" s="2"/>
      <c r="AR510" s="2"/>
      <c r="AS510" s="2"/>
      <c r="AT510" s="2"/>
      <c r="AU510" s="126">
        <v>1790.0</v>
      </c>
      <c r="AV510" s="126">
        <v>2800.0</v>
      </c>
      <c r="AW510" s="2"/>
      <c r="AX510" s="2"/>
      <c r="AY510" s="2"/>
      <c r="AZ510" s="2"/>
      <c r="BA510" s="2"/>
      <c r="BB510" s="2"/>
      <c r="BC510" s="2"/>
      <c r="BD510" s="2"/>
      <c r="BE510" s="2"/>
    </row>
    <row r="511" hidden="1">
      <c r="A511" s="2"/>
      <c r="B511" s="312" t="s">
        <v>7588</v>
      </c>
      <c r="C511" s="220" t="s">
        <v>7589</v>
      </c>
      <c r="D511" s="11">
        <v>180.0</v>
      </c>
      <c r="E511" s="11" t="s">
        <v>346</v>
      </c>
      <c r="F511" s="11" t="s">
        <v>6969</v>
      </c>
      <c r="G511" s="295" t="s">
        <v>7590</v>
      </c>
      <c r="H511" s="296"/>
      <c r="I511" s="156">
        <v>1350.0</v>
      </c>
      <c r="J511" s="301"/>
      <c r="K511" s="296"/>
      <c r="L511" s="156">
        <v>1790.0</v>
      </c>
      <c r="M511" s="301">
        <v>1790.0</v>
      </c>
      <c r="N511" s="284">
        <v>0.57</v>
      </c>
      <c r="O511" s="296">
        <v>2800.0</v>
      </c>
      <c r="P511" s="67"/>
      <c r="Q511" s="303">
        <f>P508</f>
        <v>2800</v>
      </c>
      <c r="R511" s="299" t="s">
        <v>7591</v>
      </c>
      <c r="S511" s="300">
        <v>46141.382513854165</v>
      </c>
      <c r="T511" s="2"/>
      <c r="U511" s="289">
        <f t="shared" si="4"/>
        <v>1450</v>
      </c>
      <c r="V511" s="290">
        <f t="shared" si="333"/>
        <v>-1790</v>
      </c>
      <c r="W511" s="2"/>
      <c r="X511" s="289">
        <v>1350.0</v>
      </c>
      <c r="Y511" s="139">
        <v>1790.0</v>
      </c>
      <c r="Z511" s="2"/>
      <c r="AA511" s="2" t="s">
        <v>7589</v>
      </c>
      <c r="AB511" s="2" t="s">
        <v>7589</v>
      </c>
      <c r="AC511" s="2"/>
      <c r="AD511" s="2" t="s">
        <v>7589</v>
      </c>
      <c r="AE511" s="3" t="s">
        <v>7588</v>
      </c>
      <c r="AF511" s="2"/>
      <c r="AG511" s="1" t="s">
        <v>1582</v>
      </c>
      <c r="AH511" s="1" t="s">
        <v>6407</v>
      </c>
      <c r="AI511" s="2">
        <v>180.0</v>
      </c>
      <c r="AJ511" s="1" t="s">
        <v>1589</v>
      </c>
      <c r="AK511" s="1" t="s">
        <v>5878</v>
      </c>
      <c r="AL511" s="1" t="s">
        <v>5878</v>
      </c>
      <c r="AM511" s="2"/>
      <c r="AN511" s="2"/>
      <c r="AO511" s="2"/>
      <c r="AP511" s="2"/>
      <c r="AQ511" s="2"/>
      <c r="AR511" s="2"/>
      <c r="AS511" s="2"/>
      <c r="AT511" s="2"/>
      <c r="AU511" s="126">
        <v>1790.0</v>
      </c>
      <c r="AV511" s="126">
        <v>2800.0</v>
      </c>
      <c r="AW511" s="2"/>
      <c r="AX511" s="2"/>
      <c r="AY511" s="2"/>
      <c r="AZ511" s="2"/>
      <c r="BA511" s="2"/>
      <c r="BB511" s="2"/>
      <c r="BC511" s="2"/>
      <c r="BD511" s="2"/>
      <c r="BE511" s="2"/>
    </row>
    <row r="512" hidden="1">
      <c r="A512" s="2"/>
      <c r="B512" s="312" t="s">
        <v>7592</v>
      </c>
      <c r="C512" s="84"/>
      <c r="D512" s="11">
        <v>180.0</v>
      </c>
      <c r="E512" s="11" t="s">
        <v>353</v>
      </c>
      <c r="F512" s="11" t="s">
        <v>6969</v>
      </c>
      <c r="G512" s="295" t="s">
        <v>7593</v>
      </c>
      <c r="H512" s="296"/>
      <c r="I512" s="156">
        <v>7500.0</v>
      </c>
      <c r="J512" s="301"/>
      <c r="K512" s="296"/>
      <c r="L512" s="139"/>
      <c r="M512" s="301">
        <v>7500.0</v>
      </c>
      <c r="N512" s="284">
        <v>0.2</v>
      </c>
      <c r="O512" s="296">
        <v>9000.0</v>
      </c>
      <c r="P512" s="313">
        <f>MAX(O512:O516)</f>
        <v>9000</v>
      </c>
      <c r="Q512" s="303">
        <f>P512</f>
        <v>9000</v>
      </c>
      <c r="R512" s="299" t="s">
        <v>7594</v>
      </c>
      <c r="S512" s="300">
        <v>46141.388219733795</v>
      </c>
      <c r="T512" s="2"/>
      <c r="U512" s="289">
        <f t="shared" si="4"/>
        <v>1500</v>
      </c>
      <c r="V512" s="304" t="str">
        <f t="shared" si="333"/>
        <v>нет з/ч</v>
      </c>
      <c r="W512" s="2"/>
      <c r="X512" s="289">
        <v>7500.0</v>
      </c>
      <c r="Y512" s="139"/>
      <c r="Z512" s="2"/>
      <c r="AA512" s="2"/>
      <c r="AB512" s="2"/>
      <c r="AC512" s="2"/>
      <c r="AD512" s="2"/>
      <c r="AE512" s="3" t="s">
        <v>7592</v>
      </c>
      <c r="AF512" s="2"/>
      <c r="AG512" s="1" t="s">
        <v>1582</v>
      </c>
      <c r="AH512" s="1" t="s">
        <v>6922</v>
      </c>
      <c r="AI512" s="2">
        <v>180.0</v>
      </c>
      <c r="AJ512" s="1" t="s">
        <v>1589</v>
      </c>
      <c r="AK512" s="1" t="s">
        <v>5878</v>
      </c>
      <c r="AL512" s="1" t="s">
        <v>5878</v>
      </c>
      <c r="AM512" s="2"/>
      <c r="AN512" s="2"/>
      <c r="AO512" s="2"/>
      <c r="AP512" s="2"/>
      <c r="AQ512" s="2"/>
      <c r="AR512" s="2"/>
      <c r="AS512" s="2"/>
      <c r="AT512" s="2"/>
      <c r="AU512" s="126">
        <v>7500.0</v>
      </c>
      <c r="AV512" s="126">
        <v>9000.0</v>
      </c>
      <c r="AW512" s="2"/>
      <c r="AX512" s="2"/>
      <c r="AY512" s="2"/>
      <c r="AZ512" s="2"/>
      <c r="BA512" s="2"/>
      <c r="BB512" s="2"/>
      <c r="BC512" s="2"/>
      <c r="BD512" s="2"/>
      <c r="BE512" s="2"/>
    </row>
    <row r="513" hidden="1">
      <c r="A513" s="2"/>
      <c r="B513" s="312" t="s">
        <v>7595</v>
      </c>
      <c r="C513" s="84"/>
      <c r="D513" s="11">
        <v>180.0</v>
      </c>
      <c r="E513" s="11" t="s">
        <v>353</v>
      </c>
      <c r="F513" s="11" t="s">
        <v>6969</v>
      </c>
      <c r="G513" s="295" t="s">
        <v>7596</v>
      </c>
      <c r="H513" s="296"/>
      <c r="I513" s="156">
        <v>7500.0</v>
      </c>
      <c r="J513" s="301"/>
      <c r="K513" s="296"/>
      <c r="L513" s="139"/>
      <c r="M513" s="301">
        <v>7500.0</v>
      </c>
      <c r="N513" s="284">
        <v>0.2</v>
      </c>
      <c r="O513" s="296">
        <v>9000.0</v>
      </c>
      <c r="P513" s="104"/>
      <c r="Q513" s="303">
        <f>P512</f>
        <v>9000</v>
      </c>
      <c r="R513" s="299" t="s">
        <v>7597</v>
      </c>
      <c r="S513" s="300">
        <v>46141.38827189815</v>
      </c>
      <c r="T513" s="2"/>
      <c r="U513" s="289">
        <f t="shared" si="4"/>
        <v>1500</v>
      </c>
      <c r="V513" s="304" t="str">
        <f t="shared" si="333"/>
        <v>нет з/ч</v>
      </c>
      <c r="W513" s="2"/>
      <c r="X513" s="289">
        <v>7500.0</v>
      </c>
      <c r="Y513" s="139"/>
      <c r="Z513" s="2"/>
      <c r="AA513" s="2"/>
      <c r="AB513" s="2"/>
      <c r="AC513" s="2"/>
      <c r="AD513" s="2"/>
      <c r="AE513" s="3" t="s">
        <v>7595</v>
      </c>
      <c r="AF513" s="2"/>
      <c r="AG513" s="1" t="s">
        <v>1582</v>
      </c>
      <c r="AH513" s="1" t="s">
        <v>6922</v>
      </c>
      <c r="AI513" s="2">
        <v>180.0</v>
      </c>
      <c r="AJ513" s="1" t="s">
        <v>1589</v>
      </c>
      <c r="AK513" s="1" t="s">
        <v>5878</v>
      </c>
      <c r="AL513" s="1" t="s">
        <v>5878</v>
      </c>
      <c r="AM513" s="2"/>
      <c r="AN513" s="2"/>
      <c r="AO513" s="2"/>
      <c r="AP513" s="2"/>
      <c r="AQ513" s="2"/>
      <c r="AR513" s="2"/>
      <c r="AS513" s="2"/>
      <c r="AT513" s="2"/>
      <c r="AU513" s="126">
        <v>7500.0</v>
      </c>
      <c r="AV513" s="126">
        <v>9000.0</v>
      </c>
      <c r="AW513" s="2"/>
      <c r="AX513" s="2"/>
      <c r="AY513" s="2"/>
      <c r="AZ513" s="2"/>
      <c r="BA513" s="2"/>
      <c r="BB513" s="2"/>
      <c r="BC513" s="2"/>
      <c r="BD513" s="2"/>
      <c r="BE513" s="2"/>
    </row>
    <row r="514" hidden="1">
      <c r="A514" s="2"/>
      <c r="B514" s="312" t="s">
        <v>7598</v>
      </c>
      <c r="C514" s="84"/>
      <c r="D514" s="11">
        <v>180.0</v>
      </c>
      <c r="E514" s="11" t="s">
        <v>353</v>
      </c>
      <c r="F514" s="11" t="s">
        <v>6969</v>
      </c>
      <c r="G514" s="295" t="s">
        <v>7599</v>
      </c>
      <c r="H514" s="296"/>
      <c r="I514" s="156">
        <v>7500.0</v>
      </c>
      <c r="J514" s="301"/>
      <c r="K514" s="296"/>
      <c r="L514" s="139"/>
      <c r="M514" s="301">
        <v>7500.0</v>
      </c>
      <c r="N514" s="284">
        <v>0.2</v>
      </c>
      <c r="O514" s="296">
        <v>9000.0</v>
      </c>
      <c r="P514" s="104"/>
      <c r="Q514" s="303">
        <f>P512</f>
        <v>9000</v>
      </c>
      <c r="R514" s="299" t="s">
        <v>7600</v>
      </c>
      <c r="S514" s="300">
        <v>46141.38832450232</v>
      </c>
      <c r="T514" s="2"/>
      <c r="U514" s="289">
        <f t="shared" si="4"/>
        <v>1500</v>
      </c>
      <c r="V514" s="304" t="str">
        <f t="shared" si="333"/>
        <v>нет з/ч</v>
      </c>
      <c r="W514" s="2"/>
      <c r="X514" s="289">
        <v>7500.0</v>
      </c>
      <c r="Y514" s="139"/>
      <c r="Z514" s="2"/>
      <c r="AA514" s="2"/>
      <c r="AB514" s="2"/>
      <c r="AC514" s="2"/>
      <c r="AD514" s="2"/>
      <c r="AE514" s="3" t="s">
        <v>7598</v>
      </c>
      <c r="AF514" s="2"/>
      <c r="AG514" s="1" t="s">
        <v>1582</v>
      </c>
      <c r="AH514" s="1" t="s">
        <v>6922</v>
      </c>
      <c r="AI514" s="2">
        <v>180.0</v>
      </c>
      <c r="AJ514" s="1" t="s">
        <v>1589</v>
      </c>
      <c r="AK514" s="1" t="s">
        <v>5878</v>
      </c>
      <c r="AL514" s="1" t="s">
        <v>5878</v>
      </c>
      <c r="AM514" s="2"/>
      <c r="AN514" s="2"/>
      <c r="AO514" s="2"/>
      <c r="AP514" s="2"/>
      <c r="AQ514" s="2"/>
      <c r="AR514" s="2"/>
      <c r="AS514" s="2"/>
      <c r="AT514" s="2"/>
      <c r="AU514" s="126">
        <v>7500.0</v>
      </c>
      <c r="AV514" s="126">
        <v>9000.0</v>
      </c>
      <c r="AW514" s="2"/>
      <c r="AX514" s="2"/>
      <c r="AY514" s="2"/>
      <c r="AZ514" s="2"/>
      <c r="BA514" s="2"/>
      <c r="BB514" s="2"/>
      <c r="BC514" s="2"/>
      <c r="BD514" s="2"/>
      <c r="BE514" s="2"/>
    </row>
    <row r="515" hidden="1">
      <c r="A515" s="2"/>
      <c r="B515" s="312" t="s">
        <v>7601</v>
      </c>
      <c r="C515" s="84"/>
      <c r="D515" s="11">
        <v>180.0</v>
      </c>
      <c r="E515" s="11" t="s">
        <v>353</v>
      </c>
      <c r="F515" s="11" t="s">
        <v>6969</v>
      </c>
      <c r="G515" s="295" t="s">
        <v>7602</v>
      </c>
      <c r="H515" s="296"/>
      <c r="I515" s="156">
        <v>7500.0</v>
      </c>
      <c r="J515" s="301"/>
      <c r="K515" s="296"/>
      <c r="L515" s="139"/>
      <c r="M515" s="301">
        <v>7500.0</v>
      </c>
      <c r="N515" s="284">
        <v>0.2</v>
      </c>
      <c r="O515" s="296">
        <v>9000.0</v>
      </c>
      <c r="P515" s="104"/>
      <c r="Q515" s="303">
        <f>P512</f>
        <v>9000</v>
      </c>
      <c r="R515" s="299" t="s">
        <v>7603</v>
      </c>
      <c r="S515" s="300">
        <v>46141.388374016205</v>
      </c>
      <c r="T515" s="2"/>
      <c r="U515" s="289">
        <f t="shared" si="4"/>
        <v>1500</v>
      </c>
      <c r="V515" s="304" t="str">
        <f t="shared" si="333"/>
        <v>нет з/ч</v>
      </c>
      <c r="W515" s="2"/>
      <c r="X515" s="289">
        <v>7500.0</v>
      </c>
      <c r="Y515" s="139"/>
      <c r="Z515" s="2"/>
      <c r="AA515" s="2"/>
      <c r="AB515" s="2"/>
      <c r="AC515" s="2"/>
      <c r="AD515" s="2"/>
      <c r="AE515" s="3" t="s">
        <v>7601</v>
      </c>
      <c r="AF515" s="2"/>
      <c r="AG515" s="1" t="s">
        <v>1582</v>
      </c>
      <c r="AH515" s="1" t="s">
        <v>6922</v>
      </c>
      <c r="AI515" s="2">
        <v>180.0</v>
      </c>
      <c r="AJ515" s="1" t="s">
        <v>1589</v>
      </c>
      <c r="AK515" s="1" t="s">
        <v>5878</v>
      </c>
      <c r="AL515" s="1" t="s">
        <v>5878</v>
      </c>
      <c r="AM515" s="2"/>
      <c r="AN515" s="2"/>
      <c r="AO515" s="2"/>
      <c r="AP515" s="2"/>
      <c r="AQ515" s="2"/>
      <c r="AR515" s="2"/>
      <c r="AS515" s="2"/>
      <c r="AT515" s="2"/>
      <c r="AU515" s="126">
        <v>7500.0</v>
      </c>
      <c r="AV515" s="126">
        <v>9000.0</v>
      </c>
      <c r="AW515" s="2"/>
      <c r="AX515" s="2"/>
      <c r="AY515" s="2"/>
      <c r="AZ515" s="2"/>
      <c r="BA515" s="2"/>
      <c r="BB515" s="2"/>
      <c r="BC515" s="2"/>
      <c r="BD515" s="2"/>
      <c r="BE515" s="2"/>
    </row>
    <row r="516" hidden="1">
      <c r="A516" s="2"/>
      <c r="B516" s="312" t="s">
        <v>7604</v>
      </c>
      <c r="C516" s="84"/>
      <c r="D516" s="11">
        <v>180.0</v>
      </c>
      <c r="E516" s="11" t="s">
        <v>353</v>
      </c>
      <c r="F516" s="11" t="s">
        <v>6969</v>
      </c>
      <c r="G516" s="295" t="s">
        <v>7605</v>
      </c>
      <c r="H516" s="296"/>
      <c r="I516" s="156">
        <v>7500.0</v>
      </c>
      <c r="J516" s="301"/>
      <c r="K516" s="296"/>
      <c r="L516" s="139"/>
      <c r="M516" s="301">
        <v>7500.0</v>
      </c>
      <c r="N516" s="284">
        <v>0.2</v>
      </c>
      <c r="O516" s="296">
        <v>9000.0</v>
      </c>
      <c r="P516" s="67"/>
      <c r="Q516" s="303">
        <f>P512</f>
        <v>9000</v>
      </c>
      <c r="R516" s="299" t="s">
        <v>7606</v>
      </c>
      <c r="S516" s="300">
        <v>46141.38842444445</v>
      </c>
      <c r="T516" s="2"/>
      <c r="U516" s="289">
        <f t="shared" si="4"/>
        <v>1500</v>
      </c>
      <c r="V516" s="304" t="str">
        <f t="shared" si="333"/>
        <v>нет з/ч</v>
      </c>
      <c r="W516" s="2"/>
      <c r="X516" s="289">
        <v>7500.0</v>
      </c>
      <c r="Y516" s="139"/>
      <c r="Z516" s="2"/>
      <c r="AA516" s="2"/>
      <c r="AB516" s="2"/>
      <c r="AC516" s="2"/>
      <c r="AD516" s="2"/>
      <c r="AE516" s="3" t="s">
        <v>7604</v>
      </c>
      <c r="AF516" s="2"/>
      <c r="AG516" s="1" t="s">
        <v>1582</v>
      </c>
      <c r="AH516" s="1" t="s">
        <v>6922</v>
      </c>
      <c r="AI516" s="2">
        <v>180.0</v>
      </c>
      <c r="AJ516" s="1" t="s">
        <v>1589</v>
      </c>
      <c r="AK516" s="1" t="s">
        <v>5878</v>
      </c>
      <c r="AL516" s="1" t="s">
        <v>5878</v>
      </c>
      <c r="AM516" s="2"/>
      <c r="AN516" s="2"/>
      <c r="AO516" s="2"/>
      <c r="AP516" s="2"/>
      <c r="AQ516" s="2"/>
      <c r="AR516" s="2"/>
      <c r="AS516" s="2"/>
      <c r="AT516" s="2"/>
      <c r="AU516" s="126">
        <v>7500.0</v>
      </c>
      <c r="AV516" s="126">
        <v>9000.0</v>
      </c>
      <c r="AW516" s="2"/>
      <c r="AX516" s="2"/>
      <c r="AY516" s="2"/>
      <c r="AZ516" s="2"/>
      <c r="BA516" s="2"/>
      <c r="BB516" s="2"/>
      <c r="BC516" s="2"/>
      <c r="BD516" s="2"/>
      <c r="BE516" s="2"/>
    </row>
    <row r="517" hidden="1">
      <c r="A517" s="2"/>
      <c r="B517" s="312" t="s">
        <v>7607</v>
      </c>
      <c r="C517" s="220" t="s">
        <v>7608</v>
      </c>
      <c r="D517" s="11">
        <v>180.0</v>
      </c>
      <c r="E517" s="11" t="s">
        <v>353</v>
      </c>
      <c r="F517" s="11" t="s">
        <v>6969</v>
      </c>
      <c r="G517" s="295" t="s">
        <v>7609</v>
      </c>
      <c r="H517" s="296"/>
      <c r="I517" s="156">
        <v>1500.0</v>
      </c>
      <c r="J517" s="301"/>
      <c r="K517" s="296"/>
      <c r="L517" s="156">
        <v>1990.0</v>
      </c>
      <c r="M517" s="301">
        <v>1990.0</v>
      </c>
      <c r="N517" s="284">
        <v>0.5</v>
      </c>
      <c r="O517" s="296">
        <v>3000.0</v>
      </c>
      <c r="P517" s="313">
        <f>MAX(O517:O521)</f>
        <v>3000</v>
      </c>
      <c r="Q517" s="303">
        <f>P517</f>
        <v>3000</v>
      </c>
      <c r="R517" s="299" t="s">
        <v>7610</v>
      </c>
      <c r="S517" s="300">
        <v>46141.388472453706</v>
      </c>
      <c r="T517" s="2"/>
      <c r="U517" s="289">
        <f t="shared" si="4"/>
        <v>1500</v>
      </c>
      <c r="V517" s="290">
        <f t="shared" si="333"/>
        <v>-1990</v>
      </c>
      <c r="W517" s="2"/>
      <c r="X517" s="289">
        <v>1500.0</v>
      </c>
      <c r="Y517" s="139">
        <v>1990.0</v>
      </c>
      <c r="Z517" s="2"/>
      <c r="AA517" s="2" t="s">
        <v>7608</v>
      </c>
      <c r="AB517" s="2" t="s">
        <v>7608</v>
      </c>
      <c r="AC517" s="2"/>
      <c r="AD517" s="2" t="s">
        <v>7608</v>
      </c>
      <c r="AE517" s="3" t="s">
        <v>7607</v>
      </c>
      <c r="AF517" s="2"/>
      <c r="AG517" s="1" t="s">
        <v>1582</v>
      </c>
      <c r="AH517" s="1" t="s">
        <v>6922</v>
      </c>
      <c r="AI517" s="2">
        <v>180.0</v>
      </c>
      <c r="AJ517" s="1" t="s">
        <v>1589</v>
      </c>
      <c r="AK517" s="1" t="s">
        <v>5878</v>
      </c>
      <c r="AL517" s="1" t="s">
        <v>5878</v>
      </c>
      <c r="AM517" s="2"/>
      <c r="AN517" s="2"/>
      <c r="AO517" s="2"/>
      <c r="AP517" s="2"/>
      <c r="AQ517" s="2"/>
      <c r="AR517" s="2"/>
      <c r="AS517" s="2"/>
      <c r="AT517" s="2"/>
      <c r="AU517" s="126">
        <v>1990.0</v>
      </c>
      <c r="AV517" s="126">
        <v>3000.0</v>
      </c>
      <c r="AW517" s="2"/>
      <c r="AX517" s="2"/>
      <c r="AY517" s="2"/>
      <c r="AZ517" s="2"/>
      <c r="BA517" s="2"/>
      <c r="BB517" s="2"/>
      <c r="BC517" s="2"/>
      <c r="BD517" s="2"/>
      <c r="BE517" s="2"/>
    </row>
    <row r="518" hidden="1">
      <c r="A518" s="2"/>
      <c r="B518" s="312" t="s">
        <v>7611</v>
      </c>
      <c r="C518" s="220" t="s">
        <v>7612</v>
      </c>
      <c r="D518" s="11">
        <v>180.0</v>
      </c>
      <c r="E518" s="11" t="s">
        <v>353</v>
      </c>
      <c r="F518" s="11" t="s">
        <v>6969</v>
      </c>
      <c r="G518" s="295" t="s">
        <v>7613</v>
      </c>
      <c r="H518" s="296"/>
      <c r="I518" s="156">
        <v>1500.0</v>
      </c>
      <c r="J518" s="301"/>
      <c r="K518" s="296"/>
      <c r="L518" s="156">
        <v>1990.0</v>
      </c>
      <c r="M518" s="301">
        <v>1990.0</v>
      </c>
      <c r="N518" s="284">
        <v>0.5</v>
      </c>
      <c r="O518" s="296">
        <v>3000.0</v>
      </c>
      <c r="P518" s="104"/>
      <c r="Q518" s="303">
        <f>P517</f>
        <v>3000</v>
      </c>
      <c r="R518" s="299" t="s">
        <v>7614</v>
      </c>
      <c r="S518" s="300">
        <v>46141.38852072917</v>
      </c>
      <c r="T518" s="2"/>
      <c r="U518" s="289">
        <f t="shared" si="4"/>
        <v>1500</v>
      </c>
      <c r="V518" s="290">
        <f t="shared" si="333"/>
        <v>-1990</v>
      </c>
      <c r="W518" s="2"/>
      <c r="X518" s="289">
        <v>1500.0</v>
      </c>
      <c r="Y518" s="139">
        <v>1990.0</v>
      </c>
      <c r="Z518" s="2"/>
      <c r="AA518" s="2" t="s">
        <v>7612</v>
      </c>
      <c r="AB518" s="2" t="s">
        <v>7612</v>
      </c>
      <c r="AC518" s="2"/>
      <c r="AD518" s="2" t="s">
        <v>7612</v>
      </c>
      <c r="AE518" s="3" t="s">
        <v>7611</v>
      </c>
      <c r="AF518" s="2"/>
      <c r="AG518" s="1" t="s">
        <v>1582</v>
      </c>
      <c r="AH518" s="1" t="s">
        <v>6922</v>
      </c>
      <c r="AI518" s="2">
        <v>180.0</v>
      </c>
      <c r="AJ518" s="1" t="s">
        <v>1589</v>
      </c>
      <c r="AK518" s="1" t="s">
        <v>5878</v>
      </c>
      <c r="AL518" s="1" t="s">
        <v>5878</v>
      </c>
      <c r="AM518" s="2"/>
      <c r="AN518" s="2"/>
      <c r="AO518" s="2"/>
      <c r="AP518" s="2"/>
      <c r="AQ518" s="2"/>
      <c r="AR518" s="2"/>
      <c r="AS518" s="2"/>
      <c r="AT518" s="2"/>
      <c r="AU518" s="126">
        <v>1990.0</v>
      </c>
      <c r="AV518" s="126">
        <v>3000.0</v>
      </c>
      <c r="AW518" s="2"/>
      <c r="AX518" s="2"/>
      <c r="AY518" s="2"/>
      <c r="AZ518" s="2"/>
      <c r="BA518" s="2"/>
      <c r="BB518" s="2"/>
      <c r="BC518" s="2"/>
      <c r="BD518" s="2"/>
      <c r="BE518" s="2"/>
    </row>
    <row r="519" hidden="1">
      <c r="A519" s="2"/>
      <c r="B519" s="312" t="s">
        <v>7615</v>
      </c>
      <c r="C519" s="220" t="s">
        <v>7616</v>
      </c>
      <c r="D519" s="11">
        <v>180.0</v>
      </c>
      <c r="E519" s="11" t="s">
        <v>353</v>
      </c>
      <c r="F519" s="11" t="s">
        <v>6969</v>
      </c>
      <c r="G519" s="295" t="s">
        <v>7617</v>
      </c>
      <c r="H519" s="296"/>
      <c r="I519" s="156">
        <v>1500.0</v>
      </c>
      <c r="J519" s="301"/>
      <c r="K519" s="296"/>
      <c r="L519" s="156">
        <v>1990.0</v>
      </c>
      <c r="M519" s="301">
        <v>1990.0</v>
      </c>
      <c r="N519" s="284">
        <v>0.5</v>
      </c>
      <c r="O519" s="296">
        <v>3000.0</v>
      </c>
      <c r="P519" s="104"/>
      <c r="Q519" s="303">
        <f>P517</f>
        <v>3000</v>
      </c>
      <c r="R519" s="299" t="s">
        <v>7618</v>
      </c>
      <c r="S519" s="300">
        <v>46141.38857178241</v>
      </c>
      <c r="T519" s="2"/>
      <c r="U519" s="289">
        <f t="shared" si="4"/>
        <v>1500</v>
      </c>
      <c r="V519" s="290">
        <f t="shared" si="333"/>
        <v>-1990</v>
      </c>
      <c r="W519" s="2"/>
      <c r="X519" s="289">
        <v>1500.0</v>
      </c>
      <c r="Y519" s="139">
        <v>1990.0</v>
      </c>
      <c r="Z519" s="2"/>
      <c r="AA519" s="2" t="s">
        <v>7616</v>
      </c>
      <c r="AB519" s="2" t="s">
        <v>7616</v>
      </c>
      <c r="AC519" s="2"/>
      <c r="AD519" s="2" t="s">
        <v>7616</v>
      </c>
      <c r="AE519" s="3" t="s">
        <v>7615</v>
      </c>
      <c r="AF519" s="2"/>
      <c r="AG519" s="1" t="s">
        <v>1582</v>
      </c>
      <c r="AH519" s="1" t="s">
        <v>6922</v>
      </c>
      <c r="AI519" s="2">
        <v>180.0</v>
      </c>
      <c r="AJ519" s="1" t="s">
        <v>1589</v>
      </c>
      <c r="AK519" s="1" t="s">
        <v>5878</v>
      </c>
      <c r="AL519" s="1" t="s">
        <v>5878</v>
      </c>
      <c r="AM519" s="2"/>
      <c r="AN519" s="2"/>
      <c r="AO519" s="2"/>
      <c r="AP519" s="2"/>
      <c r="AQ519" s="2"/>
      <c r="AR519" s="2"/>
      <c r="AS519" s="2"/>
      <c r="AT519" s="2"/>
      <c r="AU519" s="126">
        <v>1990.0</v>
      </c>
      <c r="AV519" s="126">
        <v>3000.0</v>
      </c>
      <c r="AW519" s="2"/>
      <c r="AX519" s="2"/>
      <c r="AY519" s="2"/>
      <c r="AZ519" s="2"/>
      <c r="BA519" s="2"/>
      <c r="BB519" s="2"/>
      <c r="BC519" s="2"/>
      <c r="BD519" s="2"/>
      <c r="BE519" s="2"/>
    </row>
    <row r="520" hidden="1">
      <c r="A520" s="2"/>
      <c r="B520" s="312" t="s">
        <v>7619</v>
      </c>
      <c r="C520" s="220" t="s">
        <v>7620</v>
      </c>
      <c r="D520" s="11">
        <v>180.0</v>
      </c>
      <c r="E520" s="11" t="s">
        <v>353</v>
      </c>
      <c r="F520" s="11" t="s">
        <v>6969</v>
      </c>
      <c r="G520" s="295" t="s">
        <v>7621</v>
      </c>
      <c r="H520" s="296"/>
      <c r="I520" s="156">
        <v>1500.0</v>
      </c>
      <c r="J520" s="301"/>
      <c r="K520" s="296"/>
      <c r="L520" s="156">
        <v>1990.0</v>
      </c>
      <c r="M520" s="301">
        <v>1990.0</v>
      </c>
      <c r="N520" s="284">
        <v>0.5</v>
      </c>
      <c r="O520" s="296">
        <v>3000.0</v>
      </c>
      <c r="P520" s="104"/>
      <c r="Q520" s="303">
        <f>P517</f>
        <v>3000</v>
      </c>
      <c r="R520" s="299" t="s">
        <v>7622</v>
      </c>
      <c r="S520" s="300">
        <v>46141.38862013889</v>
      </c>
      <c r="T520" s="2"/>
      <c r="U520" s="289">
        <f t="shared" si="4"/>
        <v>1500</v>
      </c>
      <c r="V520" s="290">
        <f t="shared" si="333"/>
        <v>-1990</v>
      </c>
      <c r="W520" s="2"/>
      <c r="X520" s="289">
        <v>1500.0</v>
      </c>
      <c r="Y520" s="139">
        <v>1990.0</v>
      </c>
      <c r="Z520" s="2"/>
      <c r="AA520" s="2" t="s">
        <v>7620</v>
      </c>
      <c r="AB520" s="2" t="s">
        <v>7620</v>
      </c>
      <c r="AC520" s="2"/>
      <c r="AD520" s="2" t="s">
        <v>7620</v>
      </c>
      <c r="AE520" s="3" t="s">
        <v>7619</v>
      </c>
      <c r="AF520" s="2"/>
      <c r="AG520" s="1" t="s">
        <v>1582</v>
      </c>
      <c r="AH520" s="1" t="s">
        <v>6922</v>
      </c>
      <c r="AI520" s="2">
        <v>180.0</v>
      </c>
      <c r="AJ520" s="1" t="s">
        <v>1589</v>
      </c>
      <c r="AK520" s="1" t="s">
        <v>5878</v>
      </c>
      <c r="AL520" s="1" t="s">
        <v>5878</v>
      </c>
      <c r="AM520" s="2"/>
      <c r="AN520" s="2"/>
      <c r="AO520" s="2"/>
      <c r="AP520" s="2"/>
      <c r="AQ520" s="2"/>
      <c r="AR520" s="2"/>
      <c r="AS520" s="2"/>
      <c r="AT520" s="2"/>
      <c r="AU520" s="126">
        <v>1990.0</v>
      </c>
      <c r="AV520" s="126">
        <v>3000.0</v>
      </c>
      <c r="AW520" s="2"/>
      <c r="AX520" s="2"/>
      <c r="AY520" s="2"/>
      <c r="AZ520" s="2"/>
      <c r="BA520" s="2"/>
      <c r="BB520" s="2"/>
      <c r="BC520" s="2"/>
      <c r="BD520" s="2"/>
      <c r="BE520" s="2"/>
    </row>
    <row r="521" hidden="1">
      <c r="A521" s="2"/>
      <c r="B521" s="312" t="s">
        <v>7623</v>
      </c>
      <c r="C521" s="220" t="s">
        <v>7624</v>
      </c>
      <c r="D521" s="11">
        <v>180.0</v>
      </c>
      <c r="E521" s="11" t="s">
        <v>353</v>
      </c>
      <c r="F521" s="11" t="s">
        <v>6969</v>
      </c>
      <c r="G521" s="295" t="s">
        <v>7625</v>
      </c>
      <c r="H521" s="296"/>
      <c r="I521" s="156">
        <v>1500.0</v>
      </c>
      <c r="J521" s="301"/>
      <c r="K521" s="296"/>
      <c r="L521" s="156">
        <v>1990.0</v>
      </c>
      <c r="M521" s="301">
        <v>1990.0</v>
      </c>
      <c r="N521" s="284">
        <v>0.5</v>
      </c>
      <c r="O521" s="296">
        <v>3000.0</v>
      </c>
      <c r="P521" s="67"/>
      <c r="Q521" s="303">
        <f>P517</f>
        <v>3000</v>
      </c>
      <c r="R521" s="299" t="s">
        <v>7626</v>
      </c>
      <c r="S521" s="300">
        <v>46141.38866952546</v>
      </c>
      <c r="T521" s="2"/>
      <c r="U521" s="289">
        <f t="shared" si="4"/>
        <v>1500</v>
      </c>
      <c r="V521" s="290">
        <f t="shared" si="333"/>
        <v>-1990</v>
      </c>
      <c r="W521" s="2"/>
      <c r="X521" s="289">
        <v>1500.0</v>
      </c>
      <c r="Y521" s="139">
        <v>1990.0</v>
      </c>
      <c r="Z521" s="2"/>
      <c r="AA521" s="2" t="s">
        <v>7624</v>
      </c>
      <c r="AB521" s="2" t="s">
        <v>7624</v>
      </c>
      <c r="AC521" s="2"/>
      <c r="AD521" s="2" t="s">
        <v>7624</v>
      </c>
      <c r="AE521" s="3" t="s">
        <v>7623</v>
      </c>
      <c r="AF521" s="2"/>
      <c r="AG521" s="1" t="s">
        <v>1582</v>
      </c>
      <c r="AH521" s="1" t="s">
        <v>6922</v>
      </c>
      <c r="AI521" s="2">
        <v>180.0</v>
      </c>
      <c r="AJ521" s="1" t="s">
        <v>1589</v>
      </c>
      <c r="AK521" s="1" t="s">
        <v>5878</v>
      </c>
      <c r="AL521" s="1" t="s">
        <v>5878</v>
      </c>
      <c r="AM521" s="2"/>
      <c r="AN521" s="2"/>
      <c r="AO521" s="2"/>
      <c r="AP521" s="2"/>
      <c r="AQ521" s="2"/>
      <c r="AR521" s="2"/>
      <c r="AS521" s="2"/>
      <c r="AT521" s="2"/>
      <c r="AU521" s="126">
        <v>1990.0</v>
      </c>
      <c r="AV521" s="126">
        <v>3000.0</v>
      </c>
      <c r="AW521" s="2"/>
      <c r="AX521" s="2"/>
      <c r="AY521" s="2"/>
      <c r="AZ521" s="2"/>
      <c r="BA521" s="2"/>
      <c r="BB521" s="2"/>
      <c r="BC521" s="2"/>
      <c r="BD521" s="2"/>
      <c r="BE521" s="2"/>
    </row>
    <row r="522" hidden="1">
      <c r="A522" s="2"/>
      <c r="B522" s="312" t="s">
        <v>7627</v>
      </c>
      <c r="C522" s="84"/>
      <c r="D522" s="11">
        <v>180.0</v>
      </c>
      <c r="E522" s="11" t="s">
        <v>360</v>
      </c>
      <c r="F522" s="11" t="s">
        <v>6969</v>
      </c>
      <c r="G522" s="295" t="s">
        <v>7628</v>
      </c>
      <c r="H522" s="296"/>
      <c r="I522" s="156">
        <v>9900.0</v>
      </c>
      <c r="J522" s="301"/>
      <c r="K522" s="296"/>
      <c r="L522" s="139"/>
      <c r="M522" s="301">
        <v>9900.0</v>
      </c>
      <c r="N522" s="284">
        <v>0.21</v>
      </c>
      <c r="O522" s="296">
        <v>12000.0</v>
      </c>
      <c r="P522" s="313">
        <f>MAX(O522:O525)</f>
        <v>12000</v>
      </c>
      <c r="Q522" s="303">
        <f>P522</f>
        <v>12000</v>
      </c>
      <c r="R522" s="299" t="s">
        <v>7629</v>
      </c>
      <c r="S522" s="300">
        <v>46141.38871976852</v>
      </c>
      <c r="T522" s="2"/>
      <c r="U522" s="289">
        <f t="shared" si="4"/>
        <v>2100</v>
      </c>
      <c r="V522" s="304" t="str">
        <f t="shared" si="333"/>
        <v>нет з/ч</v>
      </c>
      <c r="W522" s="2"/>
      <c r="X522" s="289">
        <v>9900.0</v>
      </c>
      <c r="Y522" s="139"/>
      <c r="Z522" s="2"/>
      <c r="AA522" s="2"/>
      <c r="AB522" s="2"/>
      <c r="AC522" s="2"/>
      <c r="AD522" s="2"/>
      <c r="AE522" s="3" t="s">
        <v>7627</v>
      </c>
      <c r="AF522" s="2"/>
      <c r="AG522" s="1" t="s">
        <v>1582</v>
      </c>
      <c r="AH522" s="1" t="s">
        <v>6934</v>
      </c>
      <c r="AI522" s="2">
        <v>180.0</v>
      </c>
      <c r="AJ522" s="1" t="s">
        <v>1589</v>
      </c>
      <c r="AK522" s="1" t="s">
        <v>5878</v>
      </c>
      <c r="AL522" s="1" t="s">
        <v>5878</v>
      </c>
      <c r="AM522" s="2"/>
      <c r="AN522" s="2"/>
      <c r="AO522" s="2"/>
      <c r="AP522" s="2"/>
      <c r="AQ522" s="2"/>
      <c r="AR522" s="2"/>
      <c r="AS522" s="2"/>
      <c r="AT522" s="2"/>
      <c r="AU522" s="126">
        <v>9900.0</v>
      </c>
      <c r="AV522" s="126">
        <v>12000.0</v>
      </c>
      <c r="AW522" s="2"/>
      <c r="AX522" s="2"/>
      <c r="AY522" s="2"/>
      <c r="AZ522" s="2"/>
      <c r="BA522" s="2"/>
      <c r="BB522" s="2"/>
      <c r="BC522" s="2"/>
      <c r="BD522" s="2"/>
      <c r="BE522" s="2"/>
    </row>
    <row r="523" hidden="1">
      <c r="A523" s="2"/>
      <c r="B523" s="312" t="s">
        <v>7630</v>
      </c>
      <c r="C523" s="84"/>
      <c r="D523" s="11">
        <v>180.0</v>
      </c>
      <c r="E523" s="11" t="s">
        <v>360</v>
      </c>
      <c r="F523" s="11" t="s">
        <v>6969</v>
      </c>
      <c r="G523" s="295" t="s">
        <v>7631</v>
      </c>
      <c r="H523" s="296"/>
      <c r="I523" s="156">
        <v>9900.0</v>
      </c>
      <c r="J523" s="301"/>
      <c r="K523" s="296"/>
      <c r="L523" s="139"/>
      <c r="M523" s="301">
        <v>9900.0</v>
      </c>
      <c r="N523" s="284">
        <v>0.21</v>
      </c>
      <c r="O523" s="296">
        <v>12000.0</v>
      </c>
      <c r="P523" s="104"/>
      <c r="Q523" s="303">
        <f>P522</f>
        <v>12000</v>
      </c>
      <c r="R523" s="299" t="s">
        <v>7632</v>
      </c>
      <c r="S523" s="300">
        <v>46141.38876905093</v>
      </c>
      <c r="T523" s="2"/>
      <c r="U523" s="289">
        <f t="shared" si="4"/>
        <v>2100</v>
      </c>
      <c r="V523" s="304" t="str">
        <f t="shared" si="333"/>
        <v>нет з/ч</v>
      </c>
      <c r="W523" s="2"/>
      <c r="X523" s="289">
        <v>9900.0</v>
      </c>
      <c r="Y523" s="139"/>
      <c r="Z523" s="2"/>
      <c r="AA523" s="2"/>
      <c r="AB523" s="2"/>
      <c r="AC523" s="2"/>
      <c r="AD523" s="2"/>
      <c r="AE523" s="3" t="s">
        <v>7630</v>
      </c>
      <c r="AF523" s="2"/>
      <c r="AG523" s="1" t="s">
        <v>1582</v>
      </c>
      <c r="AH523" s="1" t="s">
        <v>6934</v>
      </c>
      <c r="AI523" s="2">
        <v>180.0</v>
      </c>
      <c r="AJ523" s="1" t="s">
        <v>1589</v>
      </c>
      <c r="AK523" s="1" t="s">
        <v>5878</v>
      </c>
      <c r="AL523" s="1" t="s">
        <v>5878</v>
      </c>
      <c r="AM523" s="2"/>
      <c r="AN523" s="2"/>
      <c r="AO523" s="2"/>
      <c r="AP523" s="2"/>
      <c r="AQ523" s="2"/>
      <c r="AR523" s="2"/>
      <c r="AS523" s="2"/>
      <c r="AT523" s="2"/>
      <c r="AU523" s="126">
        <v>9900.0</v>
      </c>
      <c r="AV523" s="126">
        <v>12000.0</v>
      </c>
      <c r="AW523" s="2"/>
      <c r="AX523" s="2"/>
      <c r="AY523" s="2"/>
      <c r="AZ523" s="2"/>
      <c r="BA523" s="2"/>
      <c r="BB523" s="2"/>
      <c r="BC523" s="2"/>
      <c r="BD523" s="2"/>
      <c r="BE523" s="2"/>
    </row>
    <row r="524" hidden="1">
      <c r="A524" s="2"/>
      <c r="B524" s="312" t="s">
        <v>7633</v>
      </c>
      <c r="C524" s="84"/>
      <c r="D524" s="11">
        <v>180.0</v>
      </c>
      <c r="E524" s="11" t="s">
        <v>360</v>
      </c>
      <c r="F524" s="11" t="s">
        <v>6969</v>
      </c>
      <c r="G524" s="295" t="s">
        <v>7634</v>
      </c>
      <c r="H524" s="296"/>
      <c r="I524" s="156">
        <v>9900.0</v>
      </c>
      <c r="J524" s="301"/>
      <c r="K524" s="296"/>
      <c r="L524" s="139"/>
      <c r="M524" s="301">
        <v>9900.0</v>
      </c>
      <c r="N524" s="284">
        <v>0.21</v>
      </c>
      <c r="O524" s="296">
        <v>12000.0</v>
      </c>
      <c r="P524" s="104"/>
      <c r="Q524" s="303">
        <f>P522</f>
        <v>12000</v>
      </c>
      <c r="R524" s="299" t="s">
        <v>7635</v>
      </c>
      <c r="S524" s="300">
        <v>46141.388817812505</v>
      </c>
      <c r="T524" s="2"/>
      <c r="U524" s="289">
        <f t="shared" si="4"/>
        <v>2100</v>
      </c>
      <c r="V524" s="304" t="str">
        <f t="shared" si="333"/>
        <v>нет з/ч</v>
      </c>
      <c r="W524" s="2"/>
      <c r="X524" s="289">
        <v>9900.0</v>
      </c>
      <c r="Y524" s="139"/>
      <c r="Z524" s="2"/>
      <c r="AA524" s="2"/>
      <c r="AB524" s="2"/>
      <c r="AC524" s="2"/>
      <c r="AD524" s="2"/>
      <c r="AE524" s="3" t="s">
        <v>7633</v>
      </c>
      <c r="AF524" s="2"/>
      <c r="AG524" s="1" t="s">
        <v>1582</v>
      </c>
      <c r="AH524" s="1" t="s">
        <v>6934</v>
      </c>
      <c r="AI524" s="2">
        <v>180.0</v>
      </c>
      <c r="AJ524" s="1" t="s">
        <v>1589</v>
      </c>
      <c r="AK524" s="1" t="s">
        <v>5878</v>
      </c>
      <c r="AL524" s="1" t="s">
        <v>5878</v>
      </c>
      <c r="AM524" s="2"/>
      <c r="AN524" s="2"/>
      <c r="AO524" s="2"/>
      <c r="AP524" s="2"/>
      <c r="AQ524" s="2"/>
      <c r="AR524" s="2"/>
      <c r="AS524" s="2"/>
      <c r="AT524" s="2"/>
      <c r="AU524" s="126">
        <v>9900.0</v>
      </c>
      <c r="AV524" s="126">
        <v>12000.0</v>
      </c>
      <c r="AW524" s="2"/>
      <c r="AX524" s="2"/>
      <c r="AY524" s="2"/>
      <c r="AZ524" s="2"/>
      <c r="BA524" s="2"/>
      <c r="BB524" s="2"/>
      <c r="BC524" s="2"/>
      <c r="BD524" s="2"/>
      <c r="BE524" s="2"/>
    </row>
    <row r="525" hidden="1">
      <c r="A525" s="2"/>
      <c r="B525" s="312" t="s">
        <v>7636</v>
      </c>
      <c r="C525" s="84"/>
      <c r="D525" s="11">
        <v>180.0</v>
      </c>
      <c r="E525" s="11" t="s">
        <v>360</v>
      </c>
      <c r="F525" s="11" t="s">
        <v>6969</v>
      </c>
      <c r="G525" s="295" t="s">
        <v>7637</v>
      </c>
      <c r="H525" s="296"/>
      <c r="I525" s="156">
        <v>9900.0</v>
      </c>
      <c r="J525" s="301"/>
      <c r="K525" s="296"/>
      <c r="L525" s="139"/>
      <c r="M525" s="301">
        <v>9900.0</v>
      </c>
      <c r="N525" s="284">
        <v>0.21</v>
      </c>
      <c r="O525" s="296">
        <v>12000.0</v>
      </c>
      <c r="P525" s="67"/>
      <c r="Q525" s="303">
        <f>P522</f>
        <v>12000</v>
      </c>
      <c r="R525" s="299" t="s">
        <v>7638</v>
      </c>
      <c r="S525" s="300">
        <v>46141.38886527778</v>
      </c>
      <c r="T525" s="2"/>
      <c r="U525" s="289">
        <f t="shared" si="4"/>
        <v>2100</v>
      </c>
      <c r="V525" s="304" t="str">
        <f t="shared" si="333"/>
        <v>нет з/ч</v>
      </c>
      <c r="W525" s="2"/>
      <c r="X525" s="289">
        <v>9900.0</v>
      </c>
      <c r="Y525" s="139"/>
      <c r="Z525" s="2"/>
      <c r="AA525" s="2"/>
      <c r="AB525" s="2"/>
      <c r="AC525" s="2"/>
      <c r="AD525" s="2"/>
      <c r="AE525" s="3" t="s">
        <v>7636</v>
      </c>
      <c r="AF525" s="2"/>
      <c r="AG525" s="1" t="s">
        <v>1582</v>
      </c>
      <c r="AH525" s="1" t="s">
        <v>6934</v>
      </c>
      <c r="AI525" s="2">
        <v>180.0</v>
      </c>
      <c r="AJ525" s="1" t="s">
        <v>1589</v>
      </c>
      <c r="AK525" s="1" t="s">
        <v>5878</v>
      </c>
      <c r="AL525" s="1" t="s">
        <v>5878</v>
      </c>
      <c r="AM525" s="2"/>
      <c r="AN525" s="2"/>
      <c r="AO525" s="2"/>
      <c r="AP525" s="2"/>
      <c r="AQ525" s="2"/>
      <c r="AR525" s="2"/>
      <c r="AS525" s="2"/>
      <c r="AT525" s="2"/>
      <c r="AU525" s="126">
        <v>9900.0</v>
      </c>
      <c r="AV525" s="126">
        <v>12000.0</v>
      </c>
      <c r="AW525" s="2"/>
      <c r="AX525" s="2"/>
      <c r="AY525" s="2"/>
      <c r="AZ525" s="2"/>
      <c r="BA525" s="2"/>
      <c r="BB525" s="2"/>
      <c r="BC525" s="2"/>
      <c r="BD525" s="2"/>
      <c r="BE525" s="2"/>
    </row>
    <row r="526" hidden="1">
      <c r="A526" s="2"/>
      <c r="B526" s="312" t="s">
        <v>7639</v>
      </c>
      <c r="C526" s="84"/>
      <c r="D526" s="11">
        <v>180.0</v>
      </c>
      <c r="E526" s="11" t="s">
        <v>360</v>
      </c>
      <c r="F526" s="11" t="s">
        <v>6969</v>
      </c>
      <c r="G526" s="306"/>
      <c r="H526" s="296"/>
      <c r="I526" s="139"/>
      <c r="J526" s="301"/>
      <c r="K526" s="296"/>
      <c r="L526" s="139"/>
      <c r="M526" s="301" t="s">
        <v>22</v>
      </c>
      <c r="N526" s="284">
        <v>0.12</v>
      </c>
      <c r="O526" s="296" t="s">
        <v>22</v>
      </c>
      <c r="P526" s="313">
        <f>MAX(O526:O529)</f>
        <v>0</v>
      </c>
      <c r="Q526" s="303">
        <f>P526</f>
        <v>0</v>
      </c>
      <c r="R526" s="307"/>
      <c r="S526" s="308"/>
      <c r="T526" s="2"/>
      <c r="U526" s="59" t="str">
        <f t="shared" si="4"/>
        <v>нет з/ч</v>
      </c>
      <c r="V526" s="304" t="str">
        <f t="shared" si="333"/>
        <v>нет з/ч</v>
      </c>
      <c r="W526" s="2"/>
      <c r="X526" s="289"/>
      <c r="Y526" s="139"/>
      <c r="Z526" s="2"/>
      <c r="AA526" s="2"/>
      <c r="AB526" s="2"/>
      <c r="AC526" s="2"/>
      <c r="AD526" s="2"/>
      <c r="AE526" s="3" t="s">
        <v>7639</v>
      </c>
      <c r="AF526" s="2"/>
      <c r="AG526" s="1" t="s">
        <v>1582</v>
      </c>
      <c r="AH526" s="1" t="s">
        <v>6934</v>
      </c>
      <c r="AI526" s="2">
        <v>180.0</v>
      </c>
      <c r="AJ526" s="1" t="s">
        <v>1589</v>
      </c>
      <c r="AK526" s="1" t="s">
        <v>5878</v>
      </c>
      <c r="AL526" s="1" t="s">
        <v>5878</v>
      </c>
      <c r="AM526" s="2"/>
      <c r="AN526" s="2"/>
      <c r="AO526" s="2"/>
      <c r="AP526" s="2"/>
      <c r="AQ526" s="2"/>
      <c r="AR526" s="2"/>
      <c r="AS526" s="2"/>
      <c r="AT526" s="2"/>
      <c r="AU526" s="126" t="s">
        <v>22</v>
      </c>
      <c r="AV526" s="126">
        <v>0.0</v>
      </c>
      <c r="AW526" s="2"/>
      <c r="AX526" s="2"/>
      <c r="AY526" s="2"/>
      <c r="AZ526" s="2"/>
      <c r="BA526" s="2"/>
      <c r="BB526" s="2"/>
      <c r="BC526" s="2"/>
      <c r="BD526" s="2"/>
      <c r="BE526" s="2"/>
    </row>
    <row r="527" hidden="1">
      <c r="A527" s="2"/>
      <c r="B527" s="312" t="s">
        <v>7640</v>
      </c>
      <c r="C527" s="84"/>
      <c r="D527" s="11">
        <v>180.0</v>
      </c>
      <c r="E527" s="11" t="s">
        <v>360</v>
      </c>
      <c r="F527" s="11" t="s">
        <v>6969</v>
      </c>
      <c r="G527" s="306"/>
      <c r="H527" s="296"/>
      <c r="I527" s="139"/>
      <c r="J527" s="301"/>
      <c r="K527" s="296"/>
      <c r="L527" s="139"/>
      <c r="M527" s="301" t="s">
        <v>22</v>
      </c>
      <c r="N527" s="284">
        <v>0.12</v>
      </c>
      <c r="O527" s="296" t="s">
        <v>22</v>
      </c>
      <c r="P527" s="104"/>
      <c r="Q527" s="303">
        <f>P526</f>
        <v>0</v>
      </c>
      <c r="R527" s="307"/>
      <c r="S527" s="308"/>
      <c r="T527" s="2"/>
      <c r="U527" s="59" t="str">
        <f t="shared" si="4"/>
        <v>нет з/ч</v>
      </c>
      <c r="V527" s="304" t="str">
        <f t="shared" si="333"/>
        <v>нет з/ч</v>
      </c>
      <c r="W527" s="2"/>
      <c r="X527" s="289"/>
      <c r="Y527" s="139"/>
      <c r="Z527" s="2"/>
      <c r="AA527" s="2"/>
      <c r="AB527" s="2"/>
      <c r="AC527" s="2"/>
      <c r="AD527" s="2"/>
      <c r="AE527" s="3" t="s">
        <v>7640</v>
      </c>
      <c r="AF527" s="2"/>
      <c r="AG527" s="1" t="s">
        <v>1582</v>
      </c>
      <c r="AH527" s="1" t="s">
        <v>6934</v>
      </c>
      <c r="AI527" s="2">
        <v>180.0</v>
      </c>
      <c r="AJ527" s="1" t="s">
        <v>1589</v>
      </c>
      <c r="AK527" s="1" t="s">
        <v>5878</v>
      </c>
      <c r="AL527" s="1" t="s">
        <v>5878</v>
      </c>
      <c r="AM527" s="2"/>
      <c r="AN527" s="2"/>
      <c r="AO527" s="2"/>
      <c r="AP527" s="2"/>
      <c r="AQ527" s="2"/>
      <c r="AR527" s="2"/>
      <c r="AS527" s="2"/>
      <c r="AT527" s="2"/>
      <c r="AU527" s="126" t="s">
        <v>22</v>
      </c>
      <c r="AV527" s="126">
        <v>0.0</v>
      </c>
      <c r="AW527" s="2"/>
      <c r="AX527" s="2"/>
      <c r="AY527" s="2"/>
      <c r="AZ527" s="2"/>
      <c r="BA527" s="2"/>
      <c r="BB527" s="2"/>
      <c r="BC527" s="2"/>
      <c r="BD527" s="2"/>
      <c r="BE527" s="2"/>
    </row>
    <row r="528" hidden="1">
      <c r="A528" s="2"/>
      <c r="B528" s="312" t="s">
        <v>7641</v>
      </c>
      <c r="C528" s="84"/>
      <c r="D528" s="11">
        <v>180.0</v>
      </c>
      <c r="E528" s="11" t="s">
        <v>360</v>
      </c>
      <c r="F528" s="11" t="s">
        <v>6969</v>
      </c>
      <c r="G528" s="306"/>
      <c r="H528" s="296"/>
      <c r="I528" s="139"/>
      <c r="J528" s="301"/>
      <c r="K528" s="296"/>
      <c r="L528" s="139"/>
      <c r="M528" s="301" t="s">
        <v>22</v>
      </c>
      <c r="N528" s="284">
        <v>0.12</v>
      </c>
      <c r="O528" s="296" t="s">
        <v>22</v>
      </c>
      <c r="P528" s="104"/>
      <c r="Q528" s="303">
        <f>P526</f>
        <v>0</v>
      </c>
      <c r="R528" s="307"/>
      <c r="S528" s="308"/>
      <c r="T528" s="2"/>
      <c r="U528" s="59" t="str">
        <f t="shared" si="4"/>
        <v>нет з/ч</v>
      </c>
      <c r="V528" s="304" t="str">
        <f t="shared" si="333"/>
        <v>нет з/ч</v>
      </c>
      <c r="W528" s="2"/>
      <c r="X528" s="289"/>
      <c r="Y528" s="139"/>
      <c r="Z528" s="2"/>
      <c r="AA528" s="2"/>
      <c r="AB528" s="2"/>
      <c r="AC528" s="2"/>
      <c r="AD528" s="2"/>
      <c r="AE528" s="3" t="s">
        <v>7641</v>
      </c>
      <c r="AF528" s="2"/>
      <c r="AG528" s="1" t="s">
        <v>1582</v>
      </c>
      <c r="AH528" s="1" t="s">
        <v>6934</v>
      </c>
      <c r="AI528" s="2">
        <v>180.0</v>
      </c>
      <c r="AJ528" s="1" t="s">
        <v>1589</v>
      </c>
      <c r="AK528" s="1" t="s">
        <v>5878</v>
      </c>
      <c r="AL528" s="1" t="s">
        <v>5878</v>
      </c>
      <c r="AM528" s="2"/>
      <c r="AN528" s="2"/>
      <c r="AO528" s="2"/>
      <c r="AP528" s="2"/>
      <c r="AQ528" s="2"/>
      <c r="AR528" s="2"/>
      <c r="AS528" s="2"/>
      <c r="AT528" s="2"/>
      <c r="AU528" s="126" t="s">
        <v>22</v>
      </c>
      <c r="AV528" s="126">
        <v>0.0</v>
      </c>
      <c r="AW528" s="2"/>
      <c r="AX528" s="2"/>
      <c r="AY528" s="2"/>
      <c r="AZ528" s="2"/>
      <c r="BA528" s="2"/>
      <c r="BB528" s="2"/>
      <c r="BC528" s="2"/>
      <c r="BD528" s="2"/>
      <c r="BE528" s="2"/>
    </row>
    <row r="529" hidden="1">
      <c r="A529" s="2"/>
      <c r="B529" s="312" t="s">
        <v>7642</v>
      </c>
      <c r="C529" s="84"/>
      <c r="D529" s="11">
        <v>180.0</v>
      </c>
      <c r="E529" s="11" t="s">
        <v>360</v>
      </c>
      <c r="F529" s="11" t="s">
        <v>6969</v>
      </c>
      <c r="G529" s="306"/>
      <c r="H529" s="296"/>
      <c r="I529" s="139"/>
      <c r="J529" s="301"/>
      <c r="K529" s="296"/>
      <c r="L529" s="139"/>
      <c r="M529" s="301" t="s">
        <v>22</v>
      </c>
      <c r="N529" s="284">
        <v>0.12</v>
      </c>
      <c r="O529" s="296" t="s">
        <v>22</v>
      </c>
      <c r="P529" s="67"/>
      <c r="Q529" s="303">
        <f>P526</f>
        <v>0</v>
      </c>
      <c r="R529" s="307"/>
      <c r="S529" s="308"/>
      <c r="T529" s="2"/>
      <c r="U529" s="59" t="str">
        <f t="shared" si="4"/>
        <v>нет з/ч</v>
      </c>
      <c r="V529" s="304" t="str">
        <f t="shared" si="333"/>
        <v>нет з/ч</v>
      </c>
      <c r="W529" s="2"/>
      <c r="X529" s="289"/>
      <c r="Y529" s="139"/>
      <c r="Z529" s="2"/>
      <c r="AA529" s="2"/>
      <c r="AB529" s="2"/>
      <c r="AC529" s="2"/>
      <c r="AD529" s="2"/>
      <c r="AE529" s="3" t="s">
        <v>7642</v>
      </c>
      <c r="AF529" s="2"/>
      <c r="AG529" s="1" t="s">
        <v>1582</v>
      </c>
      <c r="AH529" s="1" t="s">
        <v>6934</v>
      </c>
      <c r="AI529" s="2">
        <v>180.0</v>
      </c>
      <c r="AJ529" s="1" t="s">
        <v>1589</v>
      </c>
      <c r="AK529" s="1" t="s">
        <v>5878</v>
      </c>
      <c r="AL529" s="1" t="s">
        <v>5878</v>
      </c>
      <c r="AM529" s="2"/>
      <c r="AN529" s="2"/>
      <c r="AO529" s="2"/>
      <c r="AP529" s="2"/>
      <c r="AQ529" s="2"/>
      <c r="AR529" s="2"/>
      <c r="AS529" s="2"/>
      <c r="AT529" s="2"/>
      <c r="AU529" s="126" t="s">
        <v>22</v>
      </c>
      <c r="AV529" s="126">
        <v>0.0</v>
      </c>
      <c r="AW529" s="2"/>
      <c r="AX529" s="2"/>
      <c r="AY529" s="2"/>
      <c r="AZ529" s="2"/>
      <c r="BA529" s="2"/>
      <c r="BB529" s="2"/>
      <c r="BC529" s="2"/>
      <c r="BD529" s="2"/>
      <c r="BE529" s="2"/>
    </row>
    <row r="530" hidden="1">
      <c r="A530" s="2"/>
      <c r="B530" s="312" t="s">
        <v>7643</v>
      </c>
      <c r="C530" s="84"/>
      <c r="D530" s="11">
        <v>180.0</v>
      </c>
      <c r="E530" s="11" t="s">
        <v>367</v>
      </c>
      <c r="F530" s="11" t="s">
        <v>6969</v>
      </c>
      <c r="G530" s="295" t="s">
        <v>7644</v>
      </c>
      <c r="H530" s="296"/>
      <c r="I530" s="156">
        <v>7900.0</v>
      </c>
      <c r="J530" s="301"/>
      <c r="K530" s="296"/>
      <c r="L530" s="139"/>
      <c r="M530" s="301">
        <v>7900.0</v>
      </c>
      <c r="N530" s="284">
        <v>0.39</v>
      </c>
      <c r="O530" s="296">
        <v>11000.0</v>
      </c>
      <c r="P530" s="313">
        <f>MAX(O530:O532)</f>
        <v>11000</v>
      </c>
      <c r="Q530" s="303">
        <f>P530</f>
        <v>11000</v>
      </c>
      <c r="R530" s="299" t="s">
        <v>7645</v>
      </c>
      <c r="S530" s="300">
        <v>46141.38891324074</v>
      </c>
      <c r="T530" s="2"/>
      <c r="U530" s="289">
        <f t="shared" si="4"/>
        <v>3100</v>
      </c>
      <c r="V530" s="304" t="str">
        <f t="shared" si="333"/>
        <v>нет з/ч</v>
      </c>
      <c r="W530" s="2"/>
      <c r="X530" s="289">
        <v>7900.0</v>
      </c>
      <c r="Y530" s="139"/>
      <c r="Z530" s="2"/>
      <c r="AA530" s="2"/>
      <c r="AB530" s="2"/>
      <c r="AC530" s="2"/>
      <c r="AD530" s="2"/>
      <c r="AE530" s="3" t="s">
        <v>7643</v>
      </c>
      <c r="AF530" s="2"/>
      <c r="AG530" s="1" t="s">
        <v>1582</v>
      </c>
      <c r="AH530" s="1" t="s">
        <v>6946</v>
      </c>
      <c r="AI530" s="2">
        <v>180.0</v>
      </c>
      <c r="AJ530" s="1" t="s">
        <v>1589</v>
      </c>
      <c r="AK530" s="1" t="s">
        <v>5878</v>
      </c>
      <c r="AL530" s="1" t="s">
        <v>5878</v>
      </c>
      <c r="AM530" s="2"/>
      <c r="AN530" s="2"/>
      <c r="AO530" s="2"/>
      <c r="AP530" s="2"/>
      <c r="AQ530" s="2"/>
      <c r="AR530" s="2"/>
      <c r="AS530" s="2"/>
      <c r="AT530" s="2"/>
      <c r="AU530" s="126">
        <v>7900.0</v>
      </c>
      <c r="AV530" s="126">
        <v>11000.0</v>
      </c>
      <c r="AW530" s="2"/>
      <c r="AX530" s="2"/>
      <c r="AY530" s="2"/>
      <c r="AZ530" s="2"/>
      <c r="BA530" s="2"/>
      <c r="BB530" s="2"/>
      <c r="BC530" s="2"/>
      <c r="BD530" s="2"/>
      <c r="BE530" s="2"/>
    </row>
    <row r="531" hidden="1">
      <c r="A531" s="2"/>
      <c r="B531" s="312" t="s">
        <v>7646</v>
      </c>
      <c r="C531" s="84"/>
      <c r="D531" s="11">
        <v>180.0</v>
      </c>
      <c r="E531" s="11" t="s">
        <v>367</v>
      </c>
      <c r="F531" s="11" t="s">
        <v>6969</v>
      </c>
      <c r="G531" s="295" t="s">
        <v>7647</v>
      </c>
      <c r="H531" s="296"/>
      <c r="I531" s="156">
        <v>7900.0</v>
      </c>
      <c r="J531" s="301"/>
      <c r="K531" s="296"/>
      <c r="L531" s="139"/>
      <c r="M531" s="301">
        <v>7900.0</v>
      </c>
      <c r="N531" s="284">
        <v>0.39</v>
      </c>
      <c r="O531" s="296">
        <v>11000.0</v>
      </c>
      <c r="P531" s="104"/>
      <c r="Q531" s="303">
        <f>P530</f>
        <v>11000</v>
      </c>
      <c r="R531" s="299" t="s">
        <v>7648</v>
      </c>
      <c r="S531" s="300">
        <v>46141.388963564816</v>
      </c>
      <c r="T531" s="2"/>
      <c r="U531" s="289">
        <f t="shared" si="4"/>
        <v>3100</v>
      </c>
      <c r="V531" s="304" t="str">
        <f t="shared" si="333"/>
        <v>нет з/ч</v>
      </c>
      <c r="W531" s="2"/>
      <c r="X531" s="289">
        <v>7900.0</v>
      </c>
      <c r="Y531" s="139"/>
      <c r="Z531" s="2"/>
      <c r="AA531" s="2"/>
      <c r="AB531" s="2"/>
      <c r="AC531" s="2"/>
      <c r="AD531" s="2"/>
      <c r="AE531" s="3" t="s">
        <v>7646</v>
      </c>
      <c r="AF531" s="2"/>
      <c r="AG531" s="1" t="s">
        <v>1582</v>
      </c>
      <c r="AH531" s="1" t="s">
        <v>6946</v>
      </c>
      <c r="AI531" s="2">
        <v>180.0</v>
      </c>
      <c r="AJ531" s="1" t="s">
        <v>1589</v>
      </c>
      <c r="AK531" s="1" t="s">
        <v>5878</v>
      </c>
      <c r="AL531" s="1" t="s">
        <v>5878</v>
      </c>
      <c r="AM531" s="2"/>
      <c r="AN531" s="2"/>
      <c r="AO531" s="2"/>
      <c r="AP531" s="2"/>
      <c r="AQ531" s="2"/>
      <c r="AR531" s="2"/>
      <c r="AS531" s="2"/>
      <c r="AT531" s="2"/>
      <c r="AU531" s="126">
        <v>7900.0</v>
      </c>
      <c r="AV531" s="126">
        <v>11000.0</v>
      </c>
      <c r="AW531" s="2"/>
      <c r="AX531" s="2"/>
      <c r="AY531" s="2"/>
      <c r="AZ531" s="2"/>
      <c r="BA531" s="2"/>
      <c r="BB531" s="2"/>
      <c r="BC531" s="2"/>
      <c r="BD531" s="2"/>
      <c r="BE531" s="2"/>
    </row>
    <row r="532" hidden="1">
      <c r="A532" s="2"/>
      <c r="B532" s="312" t="s">
        <v>7649</v>
      </c>
      <c r="C532" s="84"/>
      <c r="D532" s="11">
        <v>180.0</v>
      </c>
      <c r="E532" s="11" t="s">
        <v>367</v>
      </c>
      <c r="F532" s="11" t="s">
        <v>6969</v>
      </c>
      <c r="G532" s="295" t="s">
        <v>7650</v>
      </c>
      <c r="H532" s="296"/>
      <c r="I532" s="156">
        <v>7900.0</v>
      </c>
      <c r="J532" s="301"/>
      <c r="K532" s="296"/>
      <c r="L532" s="139"/>
      <c r="M532" s="301">
        <v>7900.0</v>
      </c>
      <c r="N532" s="284">
        <v>0.39</v>
      </c>
      <c r="O532" s="296">
        <v>11000.0</v>
      </c>
      <c r="P532" s="67"/>
      <c r="Q532" s="303">
        <f>P530</f>
        <v>11000</v>
      </c>
      <c r="R532" s="299" t="s">
        <v>7651</v>
      </c>
      <c r="S532" s="300">
        <v>46141.389040208334</v>
      </c>
      <c r="T532" s="2"/>
      <c r="U532" s="289">
        <f t="shared" si="4"/>
        <v>3100</v>
      </c>
      <c r="V532" s="304" t="str">
        <f t="shared" si="333"/>
        <v>нет з/ч</v>
      </c>
      <c r="W532" s="2"/>
      <c r="X532" s="289">
        <v>7900.0</v>
      </c>
      <c r="Y532" s="139"/>
      <c r="Z532" s="2"/>
      <c r="AA532" s="2"/>
      <c r="AB532" s="2"/>
      <c r="AC532" s="2"/>
      <c r="AD532" s="2"/>
      <c r="AE532" s="3" t="s">
        <v>7649</v>
      </c>
      <c r="AF532" s="2"/>
      <c r="AG532" s="1" t="s">
        <v>1582</v>
      </c>
      <c r="AH532" s="1" t="s">
        <v>6946</v>
      </c>
      <c r="AI532" s="2">
        <v>180.0</v>
      </c>
      <c r="AJ532" s="1" t="s">
        <v>1589</v>
      </c>
      <c r="AK532" s="1" t="s">
        <v>5878</v>
      </c>
      <c r="AL532" s="1" t="s">
        <v>5878</v>
      </c>
      <c r="AM532" s="2"/>
      <c r="AN532" s="2"/>
      <c r="AO532" s="2"/>
      <c r="AP532" s="2"/>
      <c r="AQ532" s="2"/>
      <c r="AR532" s="2"/>
      <c r="AS532" s="2"/>
      <c r="AT532" s="2"/>
      <c r="AU532" s="126">
        <v>7900.0</v>
      </c>
      <c r="AV532" s="126">
        <v>11000.0</v>
      </c>
      <c r="AW532" s="2"/>
      <c r="AX532" s="2"/>
      <c r="AY532" s="2"/>
      <c r="AZ532" s="2"/>
      <c r="BA532" s="2"/>
      <c r="BB532" s="2"/>
      <c r="BC532" s="2"/>
      <c r="BD532" s="2"/>
      <c r="BE532" s="2"/>
    </row>
    <row r="533" hidden="1">
      <c r="A533" s="2"/>
      <c r="B533" s="312" t="s">
        <v>7652</v>
      </c>
      <c r="C533" s="220" t="s">
        <v>7653</v>
      </c>
      <c r="D533" s="11">
        <v>180.0</v>
      </c>
      <c r="E533" s="11" t="s">
        <v>367</v>
      </c>
      <c r="F533" s="11" t="s">
        <v>6969</v>
      </c>
      <c r="G533" s="295" t="s">
        <v>7654</v>
      </c>
      <c r="H533" s="296"/>
      <c r="I533" s="156">
        <v>1000.0</v>
      </c>
      <c r="J533" s="301"/>
      <c r="K533" s="296"/>
      <c r="L533" s="156">
        <v>1390.0</v>
      </c>
      <c r="M533" s="301">
        <v>1390.0</v>
      </c>
      <c r="N533" s="284">
        <v>1.87</v>
      </c>
      <c r="O533" s="296">
        <v>4000.0</v>
      </c>
      <c r="P533" s="313">
        <f>MAX(O533:O535)</f>
        <v>4000</v>
      </c>
      <c r="Q533" s="303">
        <f>P533</f>
        <v>4000</v>
      </c>
      <c r="R533" s="299" t="s">
        <v>7655</v>
      </c>
      <c r="S533" s="300">
        <v>46141.38908822917</v>
      </c>
      <c r="T533" s="2"/>
      <c r="U533" s="289">
        <f t="shared" si="4"/>
        <v>3000</v>
      </c>
      <c r="V533" s="290">
        <f t="shared" si="333"/>
        <v>-1390</v>
      </c>
      <c r="W533" s="2"/>
      <c r="X533" s="289">
        <v>1000.0</v>
      </c>
      <c r="Y533" s="139">
        <v>1390.0</v>
      </c>
      <c r="Z533" s="2"/>
      <c r="AA533" s="2" t="s">
        <v>7653</v>
      </c>
      <c r="AB533" s="2" t="s">
        <v>7653</v>
      </c>
      <c r="AC533" s="2"/>
      <c r="AD533" s="2" t="s">
        <v>7653</v>
      </c>
      <c r="AE533" s="3" t="s">
        <v>7652</v>
      </c>
      <c r="AF533" s="2"/>
      <c r="AG533" s="1" t="s">
        <v>1582</v>
      </c>
      <c r="AH533" s="1" t="s">
        <v>6946</v>
      </c>
      <c r="AI533" s="2">
        <v>180.0</v>
      </c>
      <c r="AJ533" s="1" t="s">
        <v>1589</v>
      </c>
      <c r="AK533" s="1" t="s">
        <v>5878</v>
      </c>
      <c r="AL533" s="1" t="s">
        <v>5878</v>
      </c>
      <c r="AM533" s="2"/>
      <c r="AN533" s="2"/>
      <c r="AO533" s="2"/>
      <c r="AP533" s="2"/>
      <c r="AQ533" s="2"/>
      <c r="AR533" s="2"/>
      <c r="AS533" s="2"/>
      <c r="AT533" s="2"/>
      <c r="AU533" s="126">
        <v>1390.0</v>
      </c>
      <c r="AV533" s="126">
        <v>4000.0</v>
      </c>
      <c r="AW533" s="2"/>
      <c r="AX533" s="2"/>
      <c r="AY533" s="2"/>
      <c r="AZ533" s="2"/>
      <c r="BA533" s="2"/>
      <c r="BB533" s="2"/>
      <c r="BC533" s="2"/>
      <c r="BD533" s="2"/>
      <c r="BE533" s="2"/>
    </row>
    <row r="534" hidden="1">
      <c r="A534" s="2"/>
      <c r="B534" s="312" t="s">
        <v>7656</v>
      </c>
      <c r="C534" s="220" t="s">
        <v>7657</v>
      </c>
      <c r="D534" s="11">
        <v>180.0</v>
      </c>
      <c r="E534" s="11" t="s">
        <v>367</v>
      </c>
      <c r="F534" s="11" t="s">
        <v>6969</v>
      </c>
      <c r="G534" s="295" t="s">
        <v>7658</v>
      </c>
      <c r="H534" s="296"/>
      <c r="I534" s="156">
        <v>1000.0</v>
      </c>
      <c r="J534" s="301"/>
      <c r="K534" s="296"/>
      <c r="L534" s="156">
        <v>1390.0</v>
      </c>
      <c r="M534" s="301">
        <v>1390.0</v>
      </c>
      <c r="N534" s="284">
        <v>1.87</v>
      </c>
      <c r="O534" s="296">
        <v>4000.0</v>
      </c>
      <c r="P534" s="104"/>
      <c r="Q534" s="303">
        <f>P533</f>
        <v>4000</v>
      </c>
      <c r="R534" s="287" t="s">
        <v>7659</v>
      </c>
      <c r="S534" s="300">
        <v>46141.38913821759</v>
      </c>
      <c r="T534" s="2"/>
      <c r="U534" s="289">
        <f t="shared" si="4"/>
        <v>3000</v>
      </c>
      <c r="V534" s="290">
        <f t="shared" si="333"/>
        <v>-1390</v>
      </c>
      <c r="W534" s="2"/>
      <c r="X534" s="289">
        <v>1000.0</v>
      </c>
      <c r="Y534" s="139">
        <v>1390.0</v>
      </c>
      <c r="Z534" s="2"/>
      <c r="AA534" s="2" t="s">
        <v>7657</v>
      </c>
      <c r="AB534" s="2" t="s">
        <v>7657</v>
      </c>
      <c r="AC534" s="2"/>
      <c r="AD534" s="2" t="s">
        <v>7657</v>
      </c>
      <c r="AE534" s="3" t="s">
        <v>7656</v>
      </c>
      <c r="AF534" s="2"/>
      <c r="AG534" s="1" t="s">
        <v>1582</v>
      </c>
      <c r="AH534" s="1" t="s">
        <v>6946</v>
      </c>
      <c r="AI534" s="2">
        <v>180.0</v>
      </c>
      <c r="AJ534" s="1" t="s">
        <v>1589</v>
      </c>
      <c r="AK534" s="1" t="s">
        <v>5878</v>
      </c>
      <c r="AL534" s="1" t="s">
        <v>5878</v>
      </c>
      <c r="AM534" s="2"/>
      <c r="AN534" s="2"/>
      <c r="AO534" s="2"/>
      <c r="AP534" s="2"/>
      <c r="AQ534" s="2"/>
      <c r="AR534" s="2"/>
      <c r="AS534" s="2"/>
      <c r="AT534" s="2"/>
      <c r="AU534" s="126">
        <v>1390.0</v>
      </c>
      <c r="AV534" s="126">
        <v>4000.0</v>
      </c>
      <c r="AW534" s="2"/>
      <c r="AX534" s="2"/>
      <c r="AY534" s="2"/>
      <c r="AZ534" s="2"/>
      <c r="BA534" s="2"/>
      <c r="BB534" s="2"/>
      <c r="BC534" s="2"/>
      <c r="BD534" s="2"/>
      <c r="BE534" s="2"/>
    </row>
    <row r="535" hidden="1">
      <c r="A535" s="2"/>
      <c r="B535" s="312" t="s">
        <v>7660</v>
      </c>
      <c r="C535" s="220" t="s">
        <v>7661</v>
      </c>
      <c r="D535" s="11">
        <v>180.0</v>
      </c>
      <c r="E535" s="11" t="s">
        <v>367</v>
      </c>
      <c r="F535" s="11" t="s">
        <v>6969</v>
      </c>
      <c r="G535" s="295" t="s">
        <v>7662</v>
      </c>
      <c r="H535" s="296"/>
      <c r="I535" s="156">
        <v>1000.0</v>
      </c>
      <c r="J535" s="301"/>
      <c r="K535" s="296"/>
      <c r="L535" s="156">
        <v>1390.0</v>
      </c>
      <c r="M535" s="301">
        <v>1390.0</v>
      </c>
      <c r="N535" s="284">
        <v>1.87</v>
      </c>
      <c r="O535" s="296">
        <v>4000.0</v>
      </c>
      <c r="P535" s="67"/>
      <c r="Q535" s="303">
        <f>P533</f>
        <v>4000</v>
      </c>
      <c r="R535" s="299" t="s">
        <v>7663</v>
      </c>
      <c r="S535" s="300">
        <v>46141.38918707176</v>
      </c>
      <c r="T535" s="2"/>
      <c r="U535" s="289">
        <f t="shared" si="4"/>
        <v>3000</v>
      </c>
      <c r="V535" s="290">
        <f t="shared" si="333"/>
        <v>-1390</v>
      </c>
      <c r="W535" s="2"/>
      <c r="X535" s="289">
        <v>1000.0</v>
      </c>
      <c r="Y535" s="139">
        <v>1390.0</v>
      </c>
      <c r="Z535" s="2"/>
      <c r="AA535" s="2" t="s">
        <v>7661</v>
      </c>
      <c r="AB535" s="2" t="s">
        <v>7661</v>
      </c>
      <c r="AC535" s="2"/>
      <c r="AD535" s="2" t="s">
        <v>7661</v>
      </c>
      <c r="AE535" s="3" t="s">
        <v>7660</v>
      </c>
      <c r="AF535" s="2"/>
      <c r="AG535" s="1" t="s">
        <v>1582</v>
      </c>
      <c r="AH535" s="1" t="s">
        <v>6946</v>
      </c>
      <c r="AI535" s="2">
        <v>180.0</v>
      </c>
      <c r="AJ535" s="1" t="s">
        <v>1589</v>
      </c>
      <c r="AK535" s="1" t="s">
        <v>5878</v>
      </c>
      <c r="AL535" s="1" t="s">
        <v>5878</v>
      </c>
      <c r="AM535" s="2"/>
      <c r="AN535" s="2"/>
      <c r="AO535" s="2"/>
      <c r="AP535" s="2"/>
      <c r="AQ535" s="2"/>
      <c r="AR535" s="2"/>
      <c r="AS535" s="2"/>
      <c r="AT535" s="2"/>
      <c r="AU535" s="126">
        <v>1390.0</v>
      </c>
      <c r="AV535" s="126">
        <v>4000.0</v>
      </c>
      <c r="AW535" s="2"/>
      <c r="AX535" s="2"/>
      <c r="AY535" s="2"/>
      <c r="AZ535" s="2"/>
      <c r="BA535" s="2"/>
      <c r="BB535" s="2"/>
      <c r="BC535" s="2"/>
      <c r="BD535" s="2"/>
      <c r="BE535" s="2"/>
    </row>
    <row r="536" hidden="1">
      <c r="A536" s="2"/>
      <c r="B536" s="312" t="s">
        <v>7664</v>
      </c>
      <c r="C536" s="84"/>
      <c r="D536" s="11">
        <v>180.0</v>
      </c>
      <c r="E536" s="11" t="s">
        <v>374</v>
      </c>
      <c r="F536" s="11" t="s">
        <v>6969</v>
      </c>
      <c r="G536" s="295" t="s">
        <v>7665</v>
      </c>
      <c r="H536" s="296"/>
      <c r="I536" s="156">
        <v>8500.0</v>
      </c>
      <c r="J536" s="301"/>
      <c r="K536" s="296"/>
      <c r="L536" s="139"/>
      <c r="M536" s="301">
        <v>8500.0</v>
      </c>
      <c r="N536" s="284">
        <v>0.41</v>
      </c>
      <c r="O536" s="296">
        <v>12000.0</v>
      </c>
      <c r="P536" s="313">
        <f>MAX(O536:O538)</f>
        <v>12000</v>
      </c>
      <c r="Q536" s="303">
        <f>P536</f>
        <v>12000</v>
      </c>
      <c r="R536" s="299" t="s">
        <v>7666</v>
      </c>
      <c r="S536" s="300">
        <v>46141.38923446759</v>
      </c>
      <c r="T536" s="2"/>
      <c r="U536" s="289">
        <f t="shared" si="4"/>
        <v>3500</v>
      </c>
      <c r="V536" s="304" t="str">
        <f t="shared" si="333"/>
        <v>нет з/ч</v>
      </c>
      <c r="W536" s="2"/>
      <c r="X536" s="289">
        <v>8500.0</v>
      </c>
      <c r="Y536" s="139"/>
      <c r="Z536" s="2"/>
      <c r="AA536" s="2"/>
      <c r="AB536" s="2"/>
      <c r="AC536" s="2"/>
      <c r="AD536" s="2"/>
      <c r="AE536" s="3" t="s">
        <v>7664</v>
      </c>
      <c r="AF536" s="2"/>
      <c r="AG536" s="1" t="s">
        <v>1582</v>
      </c>
      <c r="AH536" s="1" t="s">
        <v>6958</v>
      </c>
      <c r="AI536" s="2">
        <v>180.0</v>
      </c>
      <c r="AJ536" s="1" t="s">
        <v>1589</v>
      </c>
      <c r="AK536" s="1" t="s">
        <v>5878</v>
      </c>
      <c r="AL536" s="1" t="s">
        <v>5878</v>
      </c>
      <c r="AM536" s="2"/>
      <c r="AN536" s="2"/>
      <c r="AO536" s="2"/>
      <c r="AP536" s="2"/>
      <c r="AQ536" s="2"/>
      <c r="AR536" s="2"/>
      <c r="AS536" s="2"/>
      <c r="AT536" s="2"/>
      <c r="AU536" s="126">
        <v>8500.0</v>
      </c>
      <c r="AV536" s="126">
        <v>12000.0</v>
      </c>
      <c r="AW536" s="2"/>
      <c r="AX536" s="2"/>
      <c r="AY536" s="2"/>
      <c r="AZ536" s="2"/>
      <c r="BA536" s="2"/>
      <c r="BB536" s="2"/>
      <c r="BC536" s="2"/>
      <c r="BD536" s="2"/>
      <c r="BE536" s="2"/>
    </row>
    <row r="537" hidden="1">
      <c r="A537" s="2"/>
      <c r="B537" s="312" t="s">
        <v>7667</v>
      </c>
      <c r="C537" s="84"/>
      <c r="D537" s="11">
        <v>180.0</v>
      </c>
      <c r="E537" s="11" t="s">
        <v>374</v>
      </c>
      <c r="F537" s="11" t="s">
        <v>6969</v>
      </c>
      <c r="G537" s="295" t="s">
        <v>7668</v>
      </c>
      <c r="H537" s="296"/>
      <c r="I537" s="156">
        <v>8500.0</v>
      </c>
      <c r="J537" s="301"/>
      <c r="K537" s="296"/>
      <c r="L537" s="139"/>
      <c r="M537" s="301">
        <v>8500.0</v>
      </c>
      <c r="N537" s="284">
        <v>0.41</v>
      </c>
      <c r="O537" s="296">
        <v>12000.0</v>
      </c>
      <c r="P537" s="104"/>
      <c r="Q537" s="303">
        <f>P536</f>
        <v>12000</v>
      </c>
      <c r="R537" s="299" t="s">
        <v>7669</v>
      </c>
      <c r="S537" s="300">
        <v>46141.38928230324</v>
      </c>
      <c r="T537" s="2"/>
      <c r="U537" s="289">
        <f t="shared" si="4"/>
        <v>3500</v>
      </c>
      <c r="V537" s="304" t="str">
        <f t="shared" si="333"/>
        <v>нет з/ч</v>
      </c>
      <c r="W537" s="2"/>
      <c r="X537" s="289">
        <v>8500.0</v>
      </c>
      <c r="Y537" s="139"/>
      <c r="Z537" s="2"/>
      <c r="AA537" s="2"/>
      <c r="AB537" s="2"/>
      <c r="AC537" s="2"/>
      <c r="AD537" s="2"/>
      <c r="AE537" s="3" t="s">
        <v>7667</v>
      </c>
      <c r="AF537" s="2"/>
      <c r="AG537" s="1" t="s">
        <v>1582</v>
      </c>
      <c r="AH537" s="1" t="s">
        <v>6958</v>
      </c>
      <c r="AI537" s="2">
        <v>180.0</v>
      </c>
      <c r="AJ537" s="1" t="s">
        <v>1589</v>
      </c>
      <c r="AK537" s="1" t="s">
        <v>5878</v>
      </c>
      <c r="AL537" s="1" t="s">
        <v>5878</v>
      </c>
      <c r="AM537" s="2"/>
      <c r="AN537" s="2"/>
      <c r="AO537" s="2"/>
      <c r="AP537" s="2"/>
      <c r="AQ537" s="2"/>
      <c r="AR537" s="2"/>
      <c r="AS537" s="2"/>
      <c r="AT537" s="2"/>
      <c r="AU537" s="126">
        <v>8500.0</v>
      </c>
      <c r="AV537" s="126">
        <v>12000.0</v>
      </c>
      <c r="AW537" s="2"/>
      <c r="AX537" s="2"/>
      <c r="AY537" s="2"/>
      <c r="AZ537" s="2"/>
      <c r="BA537" s="2"/>
      <c r="BB537" s="2"/>
      <c r="BC537" s="2"/>
      <c r="BD537" s="2"/>
      <c r="BE537" s="2"/>
    </row>
    <row r="538" hidden="1">
      <c r="A538" s="2"/>
      <c r="B538" s="312" t="s">
        <v>7670</v>
      </c>
      <c r="C538" s="84"/>
      <c r="D538" s="11">
        <v>180.0</v>
      </c>
      <c r="E538" s="11" t="s">
        <v>374</v>
      </c>
      <c r="F538" s="11" t="s">
        <v>6969</v>
      </c>
      <c r="G538" s="295" t="s">
        <v>7671</v>
      </c>
      <c r="H538" s="296"/>
      <c r="I538" s="156">
        <v>8500.0</v>
      </c>
      <c r="J538" s="301"/>
      <c r="K538" s="296"/>
      <c r="L538" s="139"/>
      <c r="M538" s="301">
        <v>8500.0</v>
      </c>
      <c r="N538" s="284">
        <v>0.41</v>
      </c>
      <c r="O538" s="296">
        <v>12000.0</v>
      </c>
      <c r="P538" s="67"/>
      <c r="Q538" s="303">
        <f>P536</f>
        <v>12000</v>
      </c>
      <c r="R538" s="299" t="s">
        <v>7672</v>
      </c>
      <c r="S538" s="300">
        <v>46141.389329537036</v>
      </c>
      <c r="T538" s="2"/>
      <c r="U538" s="289">
        <f t="shared" si="4"/>
        <v>3500</v>
      </c>
      <c r="V538" s="304" t="str">
        <f t="shared" si="333"/>
        <v>нет з/ч</v>
      </c>
      <c r="W538" s="2"/>
      <c r="X538" s="289">
        <v>8500.0</v>
      </c>
      <c r="Y538" s="139"/>
      <c r="Z538" s="2"/>
      <c r="AA538" s="2"/>
      <c r="AB538" s="2"/>
      <c r="AC538" s="2"/>
      <c r="AD538" s="2"/>
      <c r="AE538" s="3" t="s">
        <v>7670</v>
      </c>
      <c r="AF538" s="2"/>
      <c r="AG538" s="1" t="s">
        <v>1582</v>
      </c>
      <c r="AH538" s="1" t="s">
        <v>6958</v>
      </c>
      <c r="AI538" s="2">
        <v>180.0</v>
      </c>
      <c r="AJ538" s="1" t="s">
        <v>1589</v>
      </c>
      <c r="AK538" s="1" t="s">
        <v>5878</v>
      </c>
      <c r="AL538" s="1" t="s">
        <v>5878</v>
      </c>
      <c r="AM538" s="2"/>
      <c r="AN538" s="2"/>
      <c r="AO538" s="2"/>
      <c r="AP538" s="2"/>
      <c r="AQ538" s="2"/>
      <c r="AR538" s="2"/>
      <c r="AS538" s="2"/>
      <c r="AT538" s="2"/>
      <c r="AU538" s="126">
        <v>8500.0</v>
      </c>
      <c r="AV538" s="126">
        <v>12000.0</v>
      </c>
      <c r="AW538" s="2"/>
      <c r="AX538" s="2"/>
      <c r="AY538" s="2"/>
      <c r="AZ538" s="2"/>
      <c r="BA538" s="2"/>
      <c r="BB538" s="2"/>
      <c r="BC538" s="2"/>
      <c r="BD538" s="2"/>
      <c r="BE538" s="2"/>
    </row>
    <row r="539" hidden="1">
      <c r="A539" s="2"/>
      <c r="B539" s="312" t="s">
        <v>7673</v>
      </c>
      <c r="C539" s="220" t="s">
        <v>7674</v>
      </c>
      <c r="D539" s="11">
        <v>180.0</v>
      </c>
      <c r="E539" s="11" t="s">
        <v>374</v>
      </c>
      <c r="F539" s="11" t="s">
        <v>6969</v>
      </c>
      <c r="G539" s="295" t="s">
        <v>7675</v>
      </c>
      <c r="H539" s="296"/>
      <c r="I539" s="156">
        <v>1100.0</v>
      </c>
      <c r="J539" s="301"/>
      <c r="K539" s="296"/>
      <c r="L539" s="156">
        <v>1390.0</v>
      </c>
      <c r="M539" s="301">
        <v>1390.0</v>
      </c>
      <c r="N539" s="284">
        <v>2.6</v>
      </c>
      <c r="O539" s="296">
        <v>5000.0</v>
      </c>
      <c r="P539" s="313">
        <f>MAX(O539:O541)</f>
        <v>5000</v>
      </c>
      <c r="Q539" s="303">
        <f>P539</f>
        <v>5000</v>
      </c>
      <c r="R539" s="299" t="s">
        <v>7676</v>
      </c>
      <c r="S539" s="300">
        <v>46141.389380775465</v>
      </c>
      <c r="T539" s="2"/>
      <c r="U539" s="289">
        <f t="shared" si="4"/>
        <v>3900</v>
      </c>
      <c r="V539" s="290">
        <f t="shared" si="333"/>
        <v>-1390</v>
      </c>
      <c r="W539" s="2"/>
      <c r="X539" s="289">
        <v>1100.0</v>
      </c>
      <c r="Y539" s="139">
        <v>1390.0</v>
      </c>
      <c r="Z539" s="2"/>
      <c r="AA539" s="2" t="s">
        <v>7674</v>
      </c>
      <c r="AB539" s="2" t="s">
        <v>7674</v>
      </c>
      <c r="AC539" s="2"/>
      <c r="AD539" s="2" t="s">
        <v>7674</v>
      </c>
      <c r="AE539" s="3" t="s">
        <v>7673</v>
      </c>
      <c r="AF539" s="2"/>
      <c r="AG539" s="1" t="s">
        <v>1582</v>
      </c>
      <c r="AH539" s="1" t="s">
        <v>6958</v>
      </c>
      <c r="AI539" s="2">
        <v>180.0</v>
      </c>
      <c r="AJ539" s="1" t="s">
        <v>1589</v>
      </c>
      <c r="AK539" s="1" t="s">
        <v>5878</v>
      </c>
      <c r="AL539" s="1" t="s">
        <v>5878</v>
      </c>
      <c r="AM539" s="2"/>
      <c r="AN539" s="2"/>
      <c r="AO539" s="2"/>
      <c r="AP539" s="2"/>
      <c r="AQ539" s="2"/>
      <c r="AR539" s="2"/>
      <c r="AS539" s="2"/>
      <c r="AT539" s="2"/>
      <c r="AU539" s="126">
        <v>1390.0</v>
      </c>
      <c r="AV539" s="126">
        <v>5000.0</v>
      </c>
      <c r="AW539" s="2"/>
      <c r="AX539" s="2"/>
      <c r="AY539" s="2"/>
      <c r="AZ539" s="2"/>
      <c r="BA539" s="2"/>
      <c r="BB539" s="2"/>
      <c r="BC539" s="2"/>
      <c r="BD539" s="2"/>
      <c r="BE539" s="2"/>
    </row>
    <row r="540" hidden="1">
      <c r="A540" s="2"/>
      <c r="B540" s="312" t="s">
        <v>7677</v>
      </c>
      <c r="C540" s="220" t="s">
        <v>7678</v>
      </c>
      <c r="D540" s="11">
        <v>180.0</v>
      </c>
      <c r="E540" s="11" t="s">
        <v>374</v>
      </c>
      <c r="F540" s="11" t="s">
        <v>6969</v>
      </c>
      <c r="G540" s="295" t="s">
        <v>7679</v>
      </c>
      <c r="H540" s="296"/>
      <c r="I540" s="156">
        <v>1100.0</v>
      </c>
      <c r="J540" s="301"/>
      <c r="K540" s="296"/>
      <c r="L540" s="156">
        <v>1390.0</v>
      </c>
      <c r="M540" s="301">
        <v>1390.0</v>
      </c>
      <c r="N540" s="284">
        <v>2.6</v>
      </c>
      <c r="O540" s="296">
        <v>5000.0</v>
      </c>
      <c r="P540" s="104"/>
      <c r="Q540" s="303">
        <f>P539</f>
        <v>5000</v>
      </c>
      <c r="R540" s="287" t="s">
        <v>7680</v>
      </c>
      <c r="S540" s="300">
        <v>46141.38942944445</v>
      </c>
      <c r="T540" s="2"/>
      <c r="U540" s="289">
        <f t="shared" si="4"/>
        <v>3900</v>
      </c>
      <c r="V540" s="290">
        <f t="shared" si="333"/>
        <v>-1390</v>
      </c>
      <c r="W540" s="2"/>
      <c r="X540" s="289">
        <v>1100.0</v>
      </c>
      <c r="Y540" s="139">
        <v>1390.0</v>
      </c>
      <c r="Z540" s="2"/>
      <c r="AA540" s="2" t="s">
        <v>7678</v>
      </c>
      <c r="AB540" s="2" t="s">
        <v>7678</v>
      </c>
      <c r="AC540" s="2"/>
      <c r="AD540" s="2" t="s">
        <v>7678</v>
      </c>
      <c r="AE540" s="3" t="s">
        <v>7677</v>
      </c>
      <c r="AF540" s="2"/>
      <c r="AG540" s="1" t="s">
        <v>1582</v>
      </c>
      <c r="AH540" s="1" t="s">
        <v>6958</v>
      </c>
      <c r="AI540" s="2">
        <v>180.0</v>
      </c>
      <c r="AJ540" s="1" t="s">
        <v>1589</v>
      </c>
      <c r="AK540" s="1" t="s">
        <v>5878</v>
      </c>
      <c r="AL540" s="1" t="s">
        <v>5878</v>
      </c>
      <c r="AM540" s="2"/>
      <c r="AN540" s="2"/>
      <c r="AO540" s="2"/>
      <c r="AP540" s="2"/>
      <c r="AQ540" s="2"/>
      <c r="AR540" s="2"/>
      <c r="AS540" s="2"/>
      <c r="AT540" s="2"/>
      <c r="AU540" s="126">
        <v>1390.0</v>
      </c>
      <c r="AV540" s="126">
        <v>5000.0</v>
      </c>
      <c r="AW540" s="2"/>
      <c r="AX540" s="2"/>
      <c r="AY540" s="2"/>
      <c r="AZ540" s="2"/>
      <c r="BA540" s="2"/>
      <c r="BB540" s="2"/>
      <c r="BC540" s="2"/>
      <c r="BD540" s="2"/>
      <c r="BE540" s="2"/>
    </row>
    <row r="541" hidden="1">
      <c r="A541" s="2"/>
      <c r="B541" s="312" t="s">
        <v>7681</v>
      </c>
      <c r="C541" s="220" t="s">
        <v>7682</v>
      </c>
      <c r="D541" s="11">
        <v>180.0</v>
      </c>
      <c r="E541" s="11" t="s">
        <v>374</v>
      </c>
      <c r="F541" s="11" t="s">
        <v>6969</v>
      </c>
      <c r="G541" s="295" t="s">
        <v>7683</v>
      </c>
      <c r="H541" s="296"/>
      <c r="I541" s="156">
        <v>1100.0</v>
      </c>
      <c r="J541" s="301"/>
      <c r="K541" s="296"/>
      <c r="L541" s="156">
        <v>1390.0</v>
      </c>
      <c r="M541" s="301">
        <v>1390.0</v>
      </c>
      <c r="N541" s="284">
        <v>2.6</v>
      </c>
      <c r="O541" s="296">
        <v>5000.0</v>
      </c>
      <c r="P541" s="67"/>
      <c r="Q541" s="303">
        <f>P539</f>
        <v>5000</v>
      </c>
      <c r="R541" s="299" t="s">
        <v>7684</v>
      </c>
      <c r="S541" s="300">
        <v>46141.38947858797</v>
      </c>
      <c r="T541" s="2"/>
      <c r="U541" s="289">
        <f t="shared" si="4"/>
        <v>3900</v>
      </c>
      <c r="V541" s="290">
        <f t="shared" si="333"/>
        <v>-1390</v>
      </c>
      <c r="W541" s="2"/>
      <c r="X541" s="289">
        <v>1100.0</v>
      </c>
      <c r="Y541" s="139">
        <v>1390.0</v>
      </c>
      <c r="Z541" s="2"/>
      <c r="AA541" s="2" t="s">
        <v>7682</v>
      </c>
      <c r="AB541" s="2" t="s">
        <v>7682</v>
      </c>
      <c r="AC541" s="2"/>
      <c r="AD541" s="2" t="s">
        <v>7682</v>
      </c>
      <c r="AE541" s="3" t="s">
        <v>7681</v>
      </c>
      <c r="AF541" s="2"/>
      <c r="AG541" s="1" t="s">
        <v>1582</v>
      </c>
      <c r="AH541" s="1" t="s">
        <v>6958</v>
      </c>
      <c r="AI541" s="2">
        <v>180.0</v>
      </c>
      <c r="AJ541" s="1" t="s">
        <v>1589</v>
      </c>
      <c r="AK541" s="1" t="s">
        <v>5878</v>
      </c>
      <c r="AL541" s="1" t="s">
        <v>5878</v>
      </c>
      <c r="AM541" s="2"/>
      <c r="AN541" s="2"/>
      <c r="AO541" s="2"/>
      <c r="AP541" s="2"/>
      <c r="AQ541" s="2"/>
      <c r="AR541" s="2"/>
      <c r="AS541" s="2"/>
      <c r="AT541" s="2"/>
      <c r="AU541" s="126">
        <v>1390.0</v>
      </c>
      <c r="AV541" s="126">
        <v>5000.0</v>
      </c>
      <c r="AW541" s="2"/>
      <c r="AX541" s="2"/>
      <c r="AY541" s="2"/>
      <c r="AZ541" s="2"/>
      <c r="BA541" s="2"/>
      <c r="BB541" s="2"/>
      <c r="BC541" s="2"/>
      <c r="BD541" s="2"/>
      <c r="BE541" s="2"/>
    </row>
    <row r="542" hidden="1">
      <c r="A542" s="2"/>
      <c r="B542" s="312" t="s">
        <v>7685</v>
      </c>
      <c r="C542" s="220" t="s">
        <v>7686</v>
      </c>
      <c r="D542" s="11">
        <v>180.0</v>
      </c>
      <c r="E542" s="11" t="s">
        <v>7687</v>
      </c>
      <c r="F542" s="11" t="s">
        <v>7688</v>
      </c>
      <c r="G542" s="295" t="s">
        <v>7689</v>
      </c>
      <c r="H542" s="296">
        <v>50.0</v>
      </c>
      <c r="I542" s="156">
        <v>50.0</v>
      </c>
      <c r="J542" s="301"/>
      <c r="K542" s="296"/>
      <c r="L542" s="139"/>
      <c r="M542" s="301">
        <v>50.0</v>
      </c>
      <c r="N542" s="284">
        <v>3.0</v>
      </c>
      <c r="O542" s="296">
        <v>200.0</v>
      </c>
      <c r="P542" s="314">
        <f t="shared" ref="P542:Q542" si="334">O542</f>
        <v>200</v>
      </c>
      <c r="Q542" s="303">
        <f t="shared" si="334"/>
        <v>200</v>
      </c>
      <c r="R542" s="299" t="s">
        <v>7690</v>
      </c>
      <c r="S542" s="300">
        <v>46080.682299305554</v>
      </c>
      <c r="T542" s="2"/>
      <c r="U542" s="289">
        <f t="shared" si="4"/>
        <v>150</v>
      </c>
      <c r="V542" s="304" t="str">
        <f t="shared" si="333"/>
        <v>нет з/ч</v>
      </c>
      <c r="W542" s="2"/>
      <c r="X542" s="289">
        <v>50.0</v>
      </c>
      <c r="Y542" s="139"/>
      <c r="Z542" s="2"/>
      <c r="AA542" s="2" t="s">
        <v>7686</v>
      </c>
      <c r="AB542" s="2" t="s">
        <v>7686</v>
      </c>
      <c r="AC542" s="2"/>
      <c r="AD542" s="2" t="s">
        <v>7686</v>
      </c>
      <c r="AE542" s="3" t="s">
        <v>7685</v>
      </c>
      <c r="AF542" s="2"/>
      <c r="AG542" s="1" t="s">
        <v>1582</v>
      </c>
      <c r="AH542" s="1" t="s">
        <v>5893</v>
      </c>
      <c r="AI542" s="2">
        <v>180.0</v>
      </c>
      <c r="AJ542" s="1" t="s">
        <v>1589</v>
      </c>
      <c r="AK542" s="1" t="s">
        <v>5878</v>
      </c>
      <c r="AL542" s="1" t="s">
        <v>5878</v>
      </c>
      <c r="AM542" s="2"/>
      <c r="AN542" s="2"/>
      <c r="AO542" s="2"/>
      <c r="AP542" s="2"/>
      <c r="AQ542" s="2"/>
      <c r="AR542" s="2"/>
      <c r="AS542" s="2"/>
      <c r="AT542" s="2"/>
      <c r="AU542" s="126">
        <v>50.0</v>
      </c>
      <c r="AV542" s="126">
        <v>200.0</v>
      </c>
      <c r="AW542" s="2"/>
      <c r="AX542" s="2"/>
      <c r="AY542" s="2"/>
      <c r="AZ542" s="2"/>
      <c r="BA542" s="2"/>
      <c r="BB542" s="2"/>
      <c r="BC542" s="2"/>
      <c r="BD542" s="2"/>
      <c r="BE542" s="2"/>
    </row>
    <row r="543" hidden="1">
      <c r="A543" s="2"/>
      <c r="B543" s="312" t="s">
        <v>7691</v>
      </c>
      <c r="C543" s="220" t="s">
        <v>7692</v>
      </c>
      <c r="D543" s="11">
        <v>180.0</v>
      </c>
      <c r="E543" s="11" t="s">
        <v>7693</v>
      </c>
      <c r="F543" s="11" t="s">
        <v>7688</v>
      </c>
      <c r="G543" s="295" t="s">
        <v>7694</v>
      </c>
      <c r="H543" s="296">
        <v>70.0</v>
      </c>
      <c r="I543" s="156">
        <v>70.0</v>
      </c>
      <c r="J543" s="301"/>
      <c r="K543" s="296"/>
      <c r="L543" s="139"/>
      <c r="M543" s="301">
        <v>70.0</v>
      </c>
      <c r="N543" s="284">
        <v>0.185</v>
      </c>
      <c r="O543" s="296">
        <v>100.0</v>
      </c>
      <c r="P543" s="314">
        <f t="shared" ref="P543:Q543" si="335">O543</f>
        <v>100</v>
      </c>
      <c r="Q543" s="303">
        <f t="shared" si="335"/>
        <v>100</v>
      </c>
      <c r="R543" s="299" t="s">
        <v>7695</v>
      </c>
      <c r="S543" s="300">
        <v>46080.682322395834</v>
      </c>
      <c r="T543" s="2"/>
      <c r="U543" s="289">
        <f t="shared" si="4"/>
        <v>30</v>
      </c>
      <c r="V543" s="304" t="str">
        <f t="shared" si="333"/>
        <v>нет з/ч</v>
      </c>
      <c r="W543" s="2"/>
      <c r="X543" s="289">
        <v>70.0</v>
      </c>
      <c r="Y543" s="139"/>
      <c r="Z543" s="2"/>
      <c r="AA543" s="2" t="s">
        <v>7692</v>
      </c>
      <c r="AB543" s="2" t="s">
        <v>7692</v>
      </c>
      <c r="AC543" s="2"/>
      <c r="AD543" s="2" t="s">
        <v>7692</v>
      </c>
      <c r="AE543" s="3" t="s">
        <v>7691</v>
      </c>
      <c r="AF543" s="2"/>
      <c r="AG543" s="1" t="s">
        <v>1582</v>
      </c>
      <c r="AH543" s="1" t="s">
        <v>5903</v>
      </c>
      <c r="AI543" s="2">
        <v>180.0</v>
      </c>
      <c r="AJ543" s="1" t="s">
        <v>1589</v>
      </c>
      <c r="AK543" s="1" t="s">
        <v>5878</v>
      </c>
      <c r="AL543" s="1" t="s">
        <v>5878</v>
      </c>
      <c r="AM543" s="2"/>
      <c r="AN543" s="2"/>
      <c r="AO543" s="2"/>
      <c r="AP543" s="2"/>
      <c r="AQ543" s="2"/>
      <c r="AR543" s="2"/>
      <c r="AS543" s="2"/>
      <c r="AT543" s="2"/>
      <c r="AU543" s="126">
        <v>70.0</v>
      </c>
      <c r="AV543" s="126">
        <v>100.0</v>
      </c>
      <c r="AW543" s="2"/>
      <c r="AX543" s="2"/>
      <c r="AY543" s="2"/>
      <c r="AZ543" s="2"/>
      <c r="BA543" s="2"/>
      <c r="BB543" s="2"/>
      <c r="BC543" s="2"/>
      <c r="BD543" s="2"/>
      <c r="BE543" s="2"/>
    </row>
    <row r="544" hidden="1">
      <c r="A544" s="2"/>
      <c r="B544" s="312" t="s">
        <v>7696</v>
      </c>
      <c r="C544" s="220" t="s">
        <v>7697</v>
      </c>
      <c r="D544" s="11">
        <v>180.0</v>
      </c>
      <c r="E544" s="11" t="s">
        <v>7698</v>
      </c>
      <c r="F544" s="11" t="s">
        <v>7688</v>
      </c>
      <c r="G544" s="295" t="s">
        <v>7699</v>
      </c>
      <c r="H544" s="296">
        <v>55.0</v>
      </c>
      <c r="I544" s="156">
        <v>55.0</v>
      </c>
      <c r="J544" s="301"/>
      <c r="K544" s="296"/>
      <c r="L544" s="139"/>
      <c r="M544" s="301">
        <v>55.0</v>
      </c>
      <c r="N544" s="284">
        <v>4.0</v>
      </c>
      <c r="O544" s="296">
        <v>300.0</v>
      </c>
      <c r="P544" s="314">
        <f t="shared" ref="P544:Q544" si="336">O544</f>
        <v>300</v>
      </c>
      <c r="Q544" s="303">
        <f t="shared" si="336"/>
        <v>300</v>
      </c>
      <c r="R544" s="299" t="s">
        <v>7700</v>
      </c>
      <c r="S544" s="300">
        <v>46080.68234584491</v>
      </c>
      <c r="T544" s="2"/>
      <c r="U544" s="289">
        <f t="shared" si="4"/>
        <v>245</v>
      </c>
      <c r="V544" s="304" t="str">
        <f t="shared" si="333"/>
        <v>нет з/ч</v>
      </c>
      <c r="W544" s="2"/>
      <c r="X544" s="289">
        <v>55.0</v>
      </c>
      <c r="Y544" s="139"/>
      <c r="Z544" s="2"/>
      <c r="AA544" s="2" t="s">
        <v>7697</v>
      </c>
      <c r="AB544" s="2" t="s">
        <v>7697</v>
      </c>
      <c r="AC544" s="2"/>
      <c r="AD544" s="2" t="s">
        <v>7697</v>
      </c>
      <c r="AE544" s="3" t="s">
        <v>7696</v>
      </c>
      <c r="AF544" s="2"/>
      <c r="AG544" s="1" t="s">
        <v>1582</v>
      </c>
      <c r="AH544" s="1" t="s">
        <v>5913</v>
      </c>
      <c r="AI544" s="2">
        <v>180.0</v>
      </c>
      <c r="AJ544" s="1" t="s">
        <v>1589</v>
      </c>
      <c r="AK544" s="1" t="s">
        <v>5878</v>
      </c>
      <c r="AL544" s="1" t="s">
        <v>5878</v>
      </c>
      <c r="AM544" s="2"/>
      <c r="AN544" s="2"/>
      <c r="AO544" s="2"/>
      <c r="AP544" s="2"/>
      <c r="AQ544" s="2"/>
      <c r="AR544" s="2"/>
      <c r="AS544" s="2"/>
      <c r="AT544" s="2"/>
      <c r="AU544" s="126">
        <v>55.0</v>
      </c>
      <c r="AV544" s="126">
        <v>300.0</v>
      </c>
      <c r="AW544" s="2"/>
      <c r="AX544" s="2"/>
      <c r="AY544" s="2"/>
      <c r="AZ544" s="2"/>
      <c r="BA544" s="2"/>
      <c r="BB544" s="2"/>
      <c r="BC544" s="2"/>
      <c r="BD544" s="2"/>
      <c r="BE544" s="2"/>
    </row>
    <row r="545" hidden="1">
      <c r="A545" s="2"/>
      <c r="B545" s="312" t="s">
        <v>7701</v>
      </c>
      <c r="C545" s="220" t="s">
        <v>7702</v>
      </c>
      <c r="D545" s="11">
        <v>180.0</v>
      </c>
      <c r="E545" s="11" t="s">
        <v>7703</v>
      </c>
      <c r="F545" s="11" t="s">
        <v>7688</v>
      </c>
      <c r="G545" s="295" t="s">
        <v>7704</v>
      </c>
      <c r="H545" s="296">
        <v>110.0</v>
      </c>
      <c r="I545" s="156">
        <v>110.0</v>
      </c>
      <c r="J545" s="301"/>
      <c r="K545" s="296"/>
      <c r="L545" s="139"/>
      <c r="M545" s="301">
        <v>110.0</v>
      </c>
      <c r="N545" s="284">
        <v>1.8</v>
      </c>
      <c r="O545" s="296">
        <v>300.0</v>
      </c>
      <c r="P545" s="314">
        <f t="shared" ref="P545:Q545" si="337">O545</f>
        <v>300</v>
      </c>
      <c r="Q545" s="303">
        <f t="shared" si="337"/>
        <v>300</v>
      </c>
      <c r="R545" s="299" t="s">
        <v>7705</v>
      </c>
      <c r="S545" s="300">
        <v>46080.682371041665</v>
      </c>
      <c r="T545" s="2"/>
      <c r="U545" s="289">
        <f t="shared" si="4"/>
        <v>190</v>
      </c>
      <c r="V545" s="304" t="str">
        <f t="shared" si="333"/>
        <v>нет з/ч</v>
      </c>
      <c r="W545" s="2"/>
      <c r="X545" s="289">
        <v>110.0</v>
      </c>
      <c r="Y545" s="139"/>
      <c r="Z545" s="2"/>
      <c r="AA545" s="2" t="s">
        <v>7702</v>
      </c>
      <c r="AB545" s="2" t="s">
        <v>7702</v>
      </c>
      <c r="AC545" s="2"/>
      <c r="AD545" s="2" t="s">
        <v>7702</v>
      </c>
      <c r="AE545" s="3" t="s">
        <v>7701</v>
      </c>
      <c r="AF545" s="2"/>
      <c r="AG545" s="1" t="s">
        <v>1582</v>
      </c>
      <c r="AH545" s="1" t="s">
        <v>5918</v>
      </c>
      <c r="AI545" s="2">
        <v>180.0</v>
      </c>
      <c r="AJ545" s="1" t="s">
        <v>1589</v>
      </c>
      <c r="AK545" s="1" t="s">
        <v>5878</v>
      </c>
      <c r="AL545" s="1" t="s">
        <v>5878</v>
      </c>
      <c r="AM545" s="2"/>
      <c r="AN545" s="2"/>
      <c r="AO545" s="2"/>
      <c r="AP545" s="2"/>
      <c r="AQ545" s="2"/>
      <c r="AR545" s="2"/>
      <c r="AS545" s="2"/>
      <c r="AT545" s="2"/>
      <c r="AU545" s="126">
        <v>110.0</v>
      </c>
      <c r="AV545" s="126">
        <v>300.0</v>
      </c>
      <c r="AW545" s="2"/>
      <c r="AX545" s="2"/>
      <c r="AY545" s="2"/>
      <c r="AZ545" s="2"/>
      <c r="BA545" s="2"/>
      <c r="BB545" s="2"/>
      <c r="BC545" s="2"/>
      <c r="BD545" s="2"/>
      <c r="BE545" s="2"/>
    </row>
    <row r="546" hidden="1">
      <c r="A546" s="2"/>
      <c r="B546" s="312" t="s">
        <v>7706</v>
      </c>
      <c r="C546" s="220" t="s">
        <v>7707</v>
      </c>
      <c r="D546" s="11">
        <v>180.0</v>
      </c>
      <c r="E546" s="11" t="s">
        <v>153</v>
      </c>
      <c r="F546" s="11" t="s">
        <v>7688</v>
      </c>
      <c r="G546" s="306"/>
      <c r="H546" s="296"/>
      <c r="I546" s="139"/>
      <c r="J546" s="301"/>
      <c r="K546" s="296"/>
      <c r="L546" s="139"/>
      <c r="M546" s="301" t="s">
        <v>22</v>
      </c>
      <c r="N546" s="284">
        <v>0.185</v>
      </c>
      <c r="O546" s="296" t="s">
        <v>22</v>
      </c>
      <c r="P546" s="317">
        <v>400.0</v>
      </c>
      <c r="Q546" s="303">
        <f>P546</f>
        <v>400</v>
      </c>
      <c r="R546" s="307"/>
      <c r="S546" s="308"/>
      <c r="T546" s="2"/>
      <c r="U546" s="59" t="str">
        <f t="shared" si="4"/>
        <v>нет з/ч</v>
      </c>
      <c r="V546" s="304" t="str">
        <f t="shared" si="333"/>
        <v>нет з/ч</v>
      </c>
      <c r="W546" s="2"/>
      <c r="X546" s="289"/>
      <c r="Y546" s="139"/>
      <c r="Z546" s="2"/>
      <c r="AA546" s="2" t="s">
        <v>7707</v>
      </c>
      <c r="AB546" s="2" t="s">
        <v>7707</v>
      </c>
      <c r="AC546" s="2"/>
      <c r="AD546" s="2" t="s">
        <v>7707</v>
      </c>
      <c r="AE546" s="3" t="s">
        <v>7706</v>
      </c>
      <c r="AF546" s="2"/>
      <c r="AG546" s="1" t="s">
        <v>1582</v>
      </c>
      <c r="AH546" s="1" t="s">
        <v>5943</v>
      </c>
      <c r="AI546" s="2">
        <v>180.0</v>
      </c>
      <c r="AJ546" s="1" t="s">
        <v>1589</v>
      </c>
      <c r="AK546" s="1" t="s">
        <v>5878</v>
      </c>
      <c r="AL546" s="1" t="s">
        <v>5878</v>
      </c>
      <c r="AM546" s="2"/>
      <c r="AN546" s="2"/>
      <c r="AO546" s="2"/>
      <c r="AP546" s="2"/>
      <c r="AQ546" s="2"/>
      <c r="AR546" s="2"/>
      <c r="AS546" s="2"/>
      <c r="AT546" s="2"/>
      <c r="AU546" s="126" t="s">
        <v>22</v>
      </c>
      <c r="AV546" s="126">
        <v>400.0</v>
      </c>
      <c r="AW546" s="2"/>
      <c r="AX546" s="2"/>
      <c r="AY546" s="2"/>
      <c r="AZ546" s="2"/>
      <c r="BA546" s="2"/>
      <c r="BB546" s="2"/>
      <c r="BC546" s="2"/>
      <c r="BD546" s="2"/>
      <c r="BE546" s="2"/>
    </row>
    <row r="547" hidden="1">
      <c r="A547" s="2"/>
      <c r="B547" s="312" t="s">
        <v>7708</v>
      </c>
      <c r="C547" s="220" t="s">
        <v>7709</v>
      </c>
      <c r="D547" s="11">
        <v>180.0</v>
      </c>
      <c r="E547" s="11" t="s">
        <v>159</v>
      </c>
      <c r="F547" s="11" t="s">
        <v>7688</v>
      </c>
      <c r="G547" s="295" t="s">
        <v>7710</v>
      </c>
      <c r="H547" s="296">
        <v>170.0</v>
      </c>
      <c r="I547" s="156">
        <v>170.0</v>
      </c>
      <c r="J547" s="301"/>
      <c r="K547" s="296"/>
      <c r="L547" s="139"/>
      <c r="M547" s="301">
        <v>170.0</v>
      </c>
      <c r="N547" s="284">
        <v>1.4</v>
      </c>
      <c r="O547" s="296">
        <v>400.0</v>
      </c>
      <c r="P547" s="314">
        <f t="shared" ref="P547:Q547" si="338">O547</f>
        <v>400</v>
      </c>
      <c r="Q547" s="303">
        <f t="shared" si="338"/>
        <v>400</v>
      </c>
      <c r="R547" s="299" t="s">
        <v>7711</v>
      </c>
      <c r="S547" s="300">
        <v>46080.68239806713</v>
      </c>
      <c r="T547" s="2"/>
      <c r="U547" s="289">
        <f t="shared" si="4"/>
        <v>230</v>
      </c>
      <c r="V547" s="304" t="str">
        <f t="shared" si="333"/>
        <v>нет з/ч</v>
      </c>
      <c r="W547" s="2"/>
      <c r="X547" s="289">
        <v>170.0</v>
      </c>
      <c r="Y547" s="139"/>
      <c r="Z547" s="2"/>
      <c r="AA547" s="2" t="s">
        <v>7709</v>
      </c>
      <c r="AB547" s="2" t="s">
        <v>7709</v>
      </c>
      <c r="AC547" s="2"/>
      <c r="AD547" s="2" t="s">
        <v>7709</v>
      </c>
      <c r="AE547" s="3" t="s">
        <v>7708</v>
      </c>
      <c r="AF547" s="2"/>
      <c r="AG547" s="1" t="s">
        <v>1582</v>
      </c>
      <c r="AH547" s="1" t="s">
        <v>5952</v>
      </c>
      <c r="AI547" s="2">
        <v>180.0</v>
      </c>
      <c r="AJ547" s="1" t="s">
        <v>1589</v>
      </c>
      <c r="AK547" s="1" t="s">
        <v>5878</v>
      </c>
      <c r="AL547" s="1" t="s">
        <v>5878</v>
      </c>
      <c r="AM547" s="2"/>
      <c r="AN547" s="2"/>
      <c r="AO547" s="2"/>
      <c r="AP547" s="2"/>
      <c r="AQ547" s="2"/>
      <c r="AR547" s="2"/>
      <c r="AS547" s="2"/>
      <c r="AT547" s="2"/>
      <c r="AU547" s="126">
        <v>170.0</v>
      </c>
      <c r="AV547" s="126">
        <v>400.0</v>
      </c>
      <c r="AW547" s="2"/>
      <c r="AX547" s="2"/>
      <c r="AY547" s="2"/>
      <c r="AZ547" s="2"/>
      <c r="BA547" s="2"/>
      <c r="BB547" s="2"/>
      <c r="BC547" s="2"/>
      <c r="BD547" s="2"/>
      <c r="BE547" s="2"/>
    </row>
    <row r="548" hidden="1">
      <c r="A548" s="2"/>
      <c r="B548" s="312" t="s">
        <v>7712</v>
      </c>
      <c r="C548" s="220" t="s">
        <v>7713</v>
      </c>
      <c r="D548" s="11">
        <v>180.0</v>
      </c>
      <c r="E548" s="11" t="s">
        <v>7714</v>
      </c>
      <c r="F548" s="11" t="s">
        <v>7688</v>
      </c>
      <c r="G548" s="295" t="s">
        <v>7715</v>
      </c>
      <c r="H548" s="296">
        <v>170.0</v>
      </c>
      <c r="I548" s="156">
        <v>170.0</v>
      </c>
      <c r="J548" s="301"/>
      <c r="K548" s="296"/>
      <c r="L548" s="139"/>
      <c r="M548" s="301">
        <v>170.0</v>
      </c>
      <c r="N548" s="284">
        <v>1.4</v>
      </c>
      <c r="O548" s="296">
        <v>400.0</v>
      </c>
      <c r="P548" s="314">
        <f t="shared" ref="P548:Q548" si="339">O548</f>
        <v>400</v>
      </c>
      <c r="Q548" s="303">
        <f t="shared" si="339"/>
        <v>400</v>
      </c>
      <c r="R548" s="299" t="s">
        <v>7716</v>
      </c>
      <c r="S548" s="300">
        <v>46080.682435740746</v>
      </c>
      <c r="T548" s="2"/>
      <c r="U548" s="289">
        <f t="shared" si="4"/>
        <v>230</v>
      </c>
      <c r="V548" s="304" t="str">
        <f t="shared" si="333"/>
        <v>нет з/ч</v>
      </c>
      <c r="W548" s="2"/>
      <c r="X548" s="289">
        <v>170.0</v>
      </c>
      <c r="Y548" s="139"/>
      <c r="Z548" s="2"/>
      <c r="AA548" s="2" t="s">
        <v>7713</v>
      </c>
      <c r="AB548" s="2" t="s">
        <v>7713</v>
      </c>
      <c r="AC548" s="2"/>
      <c r="AD548" s="2" t="s">
        <v>7713</v>
      </c>
      <c r="AE548" s="3" t="s">
        <v>7712</v>
      </c>
      <c r="AF548" s="2"/>
      <c r="AG548" s="1" t="s">
        <v>1582</v>
      </c>
      <c r="AH548" s="1" t="s">
        <v>5957</v>
      </c>
      <c r="AI548" s="2">
        <v>180.0</v>
      </c>
      <c r="AJ548" s="1" t="s">
        <v>1589</v>
      </c>
      <c r="AK548" s="1" t="s">
        <v>5878</v>
      </c>
      <c r="AL548" s="1" t="s">
        <v>5878</v>
      </c>
      <c r="AM548" s="2"/>
      <c r="AN548" s="2"/>
      <c r="AO548" s="2"/>
      <c r="AP548" s="2"/>
      <c r="AQ548" s="2"/>
      <c r="AR548" s="2"/>
      <c r="AS548" s="2"/>
      <c r="AT548" s="2"/>
      <c r="AU548" s="126">
        <v>170.0</v>
      </c>
      <c r="AV548" s="126">
        <v>400.0</v>
      </c>
      <c r="AW548" s="2"/>
      <c r="AX548" s="2"/>
      <c r="AY548" s="2"/>
      <c r="AZ548" s="2"/>
      <c r="BA548" s="2"/>
      <c r="BB548" s="2"/>
      <c r="BC548" s="2"/>
      <c r="BD548" s="2"/>
      <c r="BE548" s="2"/>
    </row>
    <row r="549" hidden="1">
      <c r="A549" s="2"/>
      <c r="B549" s="312" t="s">
        <v>7717</v>
      </c>
      <c r="C549" s="220" t="s">
        <v>7718</v>
      </c>
      <c r="D549" s="11">
        <v>180.0</v>
      </c>
      <c r="E549" s="11" t="s">
        <v>7719</v>
      </c>
      <c r="F549" s="11" t="s">
        <v>7688</v>
      </c>
      <c r="G549" s="295" t="s">
        <v>7720</v>
      </c>
      <c r="H549" s="296">
        <v>180.0</v>
      </c>
      <c r="I549" s="156">
        <v>180.0</v>
      </c>
      <c r="J549" s="301"/>
      <c r="K549" s="296"/>
      <c r="L549" s="139"/>
      <c r="M549" s="301">
        <v>180.0</v>
      </c>
      <c r="N549" s="284">
        <v>0.185</v>
      </c>
      <c r="O549" s="296">
        <v>200.0</v>
      </c>
      <c r="P549" s="313">
        <f>MAX(O549:O550)</f>
        <v>200</v>
      </c>
      <c r="Q549" s="303">
        <f>P549</f>
        <v>200</v>
      </c>
      <c r="R549" s="299" t="s">
        <v>7721</v>
      </c>
      <c r="S549" s="300">
        <v>46080.682463969904</v>
      </c>
      <c r="T549" s="2"/>
      <c r="U549" s="289">
        <f t="shared" si="4"/>
        <v>20</v>
      </c>
      <c r="V549" s="304" t="str">
        <f t="shared" si="333"/>
        <v>нет з/ч</v>
      </c>
      <c r="W549" s="2"/>
      <c r="X549" s="289">
        <v>180.0</v>
      </c>
      <c r="Y549" s="139"/>
      <c r="Z549" s="2"/>
      <c r="AA549" s="2" t="s">
        <v>7718</v>
      </c>
      <c r="AB549" s="2" t="s">
        <v>7718</v>
      </c>
      <c r="AC549" s="2"/>
      <c r="AD549" s="1" t="s">
        <v>7718</v>
      </c>
      <c r="AE549" s="3" t="s">
        <v>7717</v>
      </c>
      <c r="AF549" s="2"/>
      <c r="AG549" s="1" t="s">
        <v>1582</v>
      </c>
      <c r="AH549" s="1" t="s">
        <v>5975</v>
      </c>
      <c r="AI549" s="2">
        <v>180.0</v>
      </c>
      <c r="AJ549" s="1" t="s">
        <v>1589</v>
      </c>
      <c r="AK549" s="1" t="s">
        <v>5878</v>
      </c>
      <c r="AL549" s="1" t="s">
        <v>5878</v>
      </c>
      <c r="AM549" s="2"/>
      <c r="AN549" s="2"/>
      <c r="AO549" s="2"/>
      <c r="AP549" s="2"/>
      <c r="AQ549" s="2"/>
      <c r="AR549" s="2"/>
      <c r="AS549" s="2"/>
      <c r="AT549" s="2"/>
      <c r="AU549" s="126">
        <v>180.0</v>
      </c>
      <c r="AV549" s="126">
        <v>200.0</v>
      </c>
      <c r="AW549" s="2"/>
      <c r="AX549" s="2"/>
      <c r="AY549" s="2"/>
      <c r="AZ549" s="2"/>
      <c r="BA549" s="2"/>
      <c r="BB549" s="2"/>
      <c r="BC549" s="2"/>
      <c r="BD549" s="2"/>
      <c r="BE549" s="2"/>
    </row>
    <row r="550" hidden="1">
      <c r="A550" s="2"/>
      <c r="B550" s="312" t="s">
        <v>7722</v>
      </c>
      <c r="C550" s="220" t="s">
        <v>7723</v>
      </c>
      <c r="D550" s="11">
        <v>180.0</v>
      </c>
      <c r="E550" s="11" t="s">
        <v>7719</v>
      </c>
      <c r="F550" s="11" t="s">
        <v>7688</v>
      </c>
      <c r="G550" s="306"/>
      <c r="H550" s="296"/>
      <c r="I550" s="139"/>
      <c r="J550" s="301"/>
      <c r="K550" s="296"/>
      <c r="L550" s="139"/>
      <c r="M550" s="301" t="s">
        <v>22</v>
      </c>
      <c r="N550" s="284">
        <v>0.185</v>
      </c>
      <c r="O550" s="296" t="s">
        <v>22</v>
      </c>
      <c r="P550" s="67"/>
      <c r="Q550" s="303">
        <f>P549</f>
        <v>200</v>
      </c>
      <c r="R550" s="318"/>
      <c r="S550" s="308"/>
      <c r="T550" s="2"/>
      <c r="U550" s="59" t="str">
        <f t="shared" si="4"/>
        <v>нет з/ч</v>
      </c>
      <c r="V550" s="304" t="str">
        <f t="shared" si="333"/>
        <v>нет з/ч</v>
      </c>
      <c r="W550" s="2"/>
      <c r="X550" s="289"/>
      <c r="Y550" s="139"/>
      <c r="Z550" s="2"/>
      <c r="AA550" s="2" t="s">
        <v>7723</v>
      </c>
      <c r="AB550" s="2" t="s">
        <v>7723</v>
      </c>
      <c r="AC550" s="2"/>
      <c r="AD550" s="1" t="s">
        <v>7723</v>
      </c>
      <c r="AE550" s="3" t="s">
        <v>7722</v>
      </c>
      <c r="AF550" s="2"/>
      <c r="AG550" s="1" t="s">
        <v>1582</v>
      </c>
      <c r="AH550" s="1" t="s">
        <v>5975</v>
      </c>
      <c r="AI550" s="2">
        <v>180.0</v>
      </c>
      <c r="AJ550" s="1" t="s">
        <v>1589</v>
      </c>
      <c r="AK550" s="1" t="s">
        <v>5878</v>
      </c>
      <c r="AL550" s="1" t="s">
        <v>5878</v>
      </c>
      <c r="AM550" s="2"/>
      <c r="AN550" s="2"/>
      <c r="AO550" s="2"/>
      <c r="AP550" s="2"/>
      <c r="AQ550" s="2"/>
      <c r="AR550" s="2"/>
      <c r="AS550" s="2"/>
      <c r="AT550" s="2"/>
      <c r="AU550" s="126" t="s">
        <v>22</v>
      </c>
      <c r="AV550" s="126">
        <v>200.0</v>
      </c>
      <c r="AW550" s="2"/>
      <c r="AX550" s="2"/>
      <c r="AY550" s="2"/>
      <c r="AZ550" s="2"/>
      <c r="BA550" s="2"/>
      <c r="BB550" s="2"/>
      <c r="BC550" s="2"/>
      <c r="BD550" s="2"/>
      <c r="BE550" s="2"/>
    </row>
    <row r="551" hidden="1">
      <c r="A551" s="2"/>
      <c r="B551" s="312" t="s">
        <v>7724</v>
      </c>
      <c r="C551" s="220" t="s">
        <v>7725</v>
      </c>
      <c r="D551" s="11">
        <v>180.0</v>
      </c>
      <c r="E551" s="11" t="s">
        <v>7726</v>
      </c>
      <c r="F551" s="11" t="s">
        <v>7688</v>
      </c>
      <c r="G551" s="295" t="s">
        <v>7727</v>
      </c>
      <c r="H551" s="296">
        <v>180.0</v>
      </c>
      <c r="I551" s="156">
        <v>180.0</v>
      </c>
      <c r="J551" s="301"/>
      <c r="K551" s="296"/>
      <c r="L551" s="139"/>
      <c r="M551" s="301">
        <v>180.0</v>
      </c>
      <c r="N551" s="284">
        <v>0.75</v>
      </c>
      <c r="O551" s="296">
        <v>300.0</v>
      </c>
      <c r="P551" s="313">
        <f>MAX(O551:O552)</f>
        <v>300</v>
      </c>
      <c r="Q551" s="319">
        <f>P551</f>
        <v>300</v>
      </c>
      <c r="R551" s="299" t="s">
        <v>7728</v>
      </c>
      <c r="S551" s="300">
        <v>46080.682491898144</v>
      </c>
      <c r="T551" s="2"/>
      <c r="U551" s="289">
        <f t="shared" si="4"/>
        <v>120</v>
      </c>
      <c r="V551" s="304" t="str">
        <f t="shared" si="333"/>
        <v>нет з/ч</v>
      </c>
      <c r="W551" s="2"/>
      <c r="X551" s="289">
        <v>180.0</v>
      </c>
      <c r="Y551" s="139"/>
      <c r="Z551" s="2"/>
      <c r="AA551" s="2" t="s">
        <v>7725</v>
      </c>
      <c r="AB551" s="2" t="s">
        <v>7725</v>
      </c>
      <c r="AC551" s="2"/>
      <c r="AD551" s="1" t="s">
        <v>7725</v>
      </c>
      <c r="AE551" s="3" t="s">
        <v>7724</v>
      </c>
      <c r="AF551" s="2"/>
      <c r="AG551" s="1" t="s">
        <v>1582</v>
      </c>
      <c r="AH551" s="1" t="s">
        <v>5984</v>
      </c>
      <c r="AI551" s="2">
        <v>180.0</v>
      </c>
      <c r="AJ551" s="1" t="s">
        <v>1589</v>
      </c>
      <c r="AK551" s="1" t="s">
        <v>5878</v>
      </c>
      <c r="AL551" s="1" t="s">
        <v>5878</v>
      </c>
      <c r="AM551" s="2"/>
      <c r="AN551" s="2"/>
      <c r="AO551" s="2"/>
      <c r="AP551" s="2"/>
      <c r="AQ551" s="2"/>
      <c r="AR551" s="2"/>
      <c r="AS551" s="2"/>
      <c r="AT551" s="2"/>
      <c r="AU551" s="126">
        <v>180.0</v>
      </c>
      <c r="AV551" s="126">
        <v>300.0</v>
      </c>
      <c r="AW551" s="2"/>
      <c r="AX551" s="2"/>
      <c r="AY551" s="2"/>
      <c r="AZ551" s="2"/>
      <c r="BA551" s="2"/>
      <c r="BB551" s="2"/>
      <c r="BC551" s="2"/>
      <c r="BD551" s="2"/>
      <c r="BE551" s="2"/>
    </row>
    <row r="552" hidden="1">
      <c r="A552" s="2"/>
      <c r="B552" s="312" t="s">
        <v>7729</v>
      </c>
      <c r="C552" s="220" t="s">
        <v>7730</v>
      </c>
      <c r="D552" s="11">
        <v>180.0</v>
      </c>
      <c r="E552" s="11" t="s">
        <v>7726</v>
      </c>
      <c r="F552" s="11" t="s">
        <v>7688</v>
      </c>
      <c r="G552" s="306"/>
      <c r="H552" s="296"/>
      <c r="I552" s="139"/>
      <c r="J552" s="301"/>
      <c r="K552" s="296"/>
      <c r="L552" s="139"/>
      <c r="M552" s="301" t="s">
        <v>22</v>
      </c>
      <c r="N552" s="284">
        <v>0.185</v>
      </c>
      <c r="O552" s="296" t="s">
        <v>22</v>
      </c>
      <c r="P552" s="67"/>
      <c r="Q552" s="319">
        <f>P551</f>
        <v>300</v>
      </c>
      <c r="R552" s="318"/>
      <c r="S552" s="308"/>
      <c r="T552" s="2"/>
      <c r="U552" s="59" t="str">
        <f t="shared" si="4"/>
        <v>нет з/ч</v>
      </c>
      <c r="V552" s="304" t="str">
        <f t="shared" ref="V552:V555" si="340">IF(L552&gt;0, Q1646 - L552, "нет з/ч")</f>
        <v>нет з/ч</v>
      </c>
      <c r="W552" s="2"/>
      <c r="X552" s="289"/>
      <c r="Y552" s="139"/>
      <c r="Z552" s="2"/>
      <c r="AA552" s="2" t="s">
        <v>7730</v>
      </c>
      <c r="AB552" s="2" t="s">
        <v>7730</v>
      </c>
      <c r="AC552" s="2"/>
      <c r="AD552" s="1" t="s">
        <v>7730</v>
      </c>
      <c r="AE552" s="3" t="s">
        <v>7729</v>
      </c>
      <c r="AF552" s="2"/>
      <c r="AG552" s="1" t="s">
        <v>1582</v>
      </c>
      <c r="AH552" s="1" t="s">
        <v>5984</v>
      </c>
      <c r="AI552" s="2">
        <v>180.0</v>
      </c>
      <c r="AJ552" s="1" t="s">
        <v>1589</v>
      </c>
      <c r="AK552" s="1" t="s">
        <v>5878</v>
      </c>
      <c r="AL552" s="1" t="s">
        <v>5878</v>
      </c>
      <c r="AM552" s="2"/>
      <c r="AN552" s="2"/>
      <c r="AO552" s="2"/>
      <c r="AP552" s="2"/>
      <c r="AQ552" s="2"/>
      <c r="AR552" s="2"/>
      <c r="AS552" s="2"/>
      <c r="AT552" s="2"/>
      <c r="AU552" s="126" t="s">
        <v>22</v>
      </c>
      <c r="AV552" s="126">
        <v>300.0</v>
      </c>
      <c r="AW552" s="2"/>
      <c r="AX552" s="2"/>
      <c r="AY552" s="2"/>
      <c r="AZ552" s="2"/>
      <c r="BA552" s="2"/>
      <c r="BB552" s="2"/>
      <c r="BC552" s="2"/>
      <c r="BD552" s="2"/>
      <c r="BE552" s="2"/>
    </row>
    <row r="553" hidden="1">
      <c r="A553" s="2"/>
      <c r="B553" s="312" t="s">
        <v>7731</v>
      </c>
      <c r="C553" s="220" t="s">
        <v>7732</v>
      </c>
      <c r="D553" s="11">
        <v>180.0</v>
      </c>
      <c r="E553" s="11" t="s">
        <v>228</v>
      </c>
      <c r="F553" s="11" t="s">
        <v>7688</v>
      </c>
      <c r="G553" s="295" t="s">
        <v>7733</v>
      </c>
      <c r="H553" s="296">
        <v>270.0</v>
      </c>
      <c r="I553" s="156">
        <v>270.0</v>
      </c>
      <c r="J553" s="301"/>
      <c r="K553" s="296"/>
      <c r="L553" s="139"/>
      <c r="M553" s="301">
        <v>270.0</v>
      </c>
      <c r="N553" s="284">
        <v>0.185</v>
      </c>
      <c r="O553" s="296">
        <v>300.0</v>
      </c>
      <c r="P553" s="313">
        <f>MAX(O553:O555)</f>
        <v>300</v>
      </c>
      <c r="Q553" s="319">
        <f>P553</f>
        <v>300</v>
      </c>
      <c r="R553" s="299" t="s">
        <v>7734</v>
      </c>
      <c r="S553" s="300">
        <v>46080.68251508102</v>
      </c>
      <c r="T553" s="2"/>
      <c r="U553" s="289">
        <f t="shared" si="4"/>
        <v>30</v>
      </c>
      <c r="V553" s="304" t="str">
        <f t="shared" si="340"/>
        <v>нет з/ч</v>
      </c>
      <c r="W553" s="2"/>
      <c r="X553" s="289">
        <v>270.0</v>
      </c>
      <c r="Y553" s="139"/>
      <c r="Z553" s="2"/>
      <c r="AA553" s="2" t="s">
        <v>7732</v>
      </c>
      <c r="AB553" s="2" t="s">
        <v>7732</v>
      </c>
      <c r="AC553" s="2"/>
      <c r="AD553" s="2" t="s">
        <v>7732</v>
      </c>
      <c r="AE553" s="3" t="s">
        <v>7731</v>
      </c>
      <c r="AF553" s="2"/>
      <c r="AG553" s="1" t="s">
        <v>1582</v>
      </c>
      <c r="AH553" s="1" t="s">
        <v>6045</v>
      </c>
      <c r="AI553" s="2">
        <v>180.0</v>
      </c>
      <c r="AJ553" s="1" t="s">
        <v>1589</v>
      </c>
      <c r="AK553" s="1" t="s">
        <v>5878</v>
      </c>
      <c r="AL553" s="1" t="s">
        <v>5878</v>
      </c>
      <c r="AM553" s="2"/>
      <c r="AN553" s="2"/>
      <c r="AO553" s="2"/>
      <c r="AP553" s="2"/>
      <c r="AQ553" s="2"/>
      <c r="AR553" s="2"/>
      <c r="AS553" s="2"/>
      <c r="AT553" s="2"/>
      <c r="AU553" s="126">
        <v>270.0</v>
      </c>
      <c r="AV553" s="126">
        <v>300.0</v>
      </c>
      <c r="AW553" s="2"/>
      <c r="AX553" s="2"/>
      <c r="AY553" s="2"/>
      <c r="AZ553" s="2"/>
      <c r="BA553" s="2"/>
      <c r="BB553" s="2"/>
      <c r="BC553" s="2"/>
      <c r="BD553" s="2"/>
      <c r="BE553" s="2"/>
    </row>
    <row r="554" hidden="1">
      <c r="A554" s="2"/>
      <c r="B554" s="312" t="s">
        <v>7735</v>
      </c>
      <c r="C554" s="220" t="s">
        <v>7736</v>
      </c>
      <c r="D554" s="11">
        <v>180.0</v>
      </c>
      <c r="E554" s="11" t="s">
        <v>228</v>
      </c>
      <c r="F554" s="11" t="s">
        <v>7688</v>
      </c>
      <c r="G554" s="306"/>
      <c r="H554" s="296"/>
      <c r="I554" s="139"/>
      <c r="J554" s="301"/>
      <c r="K554" s="296"/>
      <c r="L554" s="139"/>
      <c r="M554" s="301" t="s">
        <v>22</v>
      </c>
      <c r="N554" s="284">
        <v>0.185</v>
      </c>
      <c r="O554" s="296" t="s">
        <v>22</v>
      </c>
      <c r="P554" s="104"/>
      <c r="Q554" s="319">
        <f>P553</f>
        <v>300</v>
      </c>
      <c r="R554" s="318"/>
      <c r="S554" s="308"/>
      <c r="T554" s="2"/>
      <c r="U554" s="59" t="str">
        <f t="shared" si="4"/>
        <v>нет з/ч</v>
      </c>
      <c r="V554" s="304" t="str">
        <f t="shared" si="340"/>
        <v>нет з/ч</v>
      </c>
      <c r="W554" s="2"/>
      <c r="X554" s="289"/>
      <c r="Y554" s="139"/>
      <c r="Z554" s="2"/>
      <c r="AA554" s="2" t="s">
        <v>7736</v>
      </c>
      <c r="AB554" s="2" t="s">
        <v>7736</v>
      </c>
      <c r="AC554" s="2"/>
      <c r="AD554" s="2" t="s">
        <v>7736</v>
      </c>
      <c r="AE554" s="3" t="s">
        <v>7735</v>
      </c>
      <c r="AF554" s="2"/>
      <c r="AG554" s="1" t="s">
        <v>1582</v>
      </c>
      <c r="AH554" s="1" t="s">
        <v>6045</v>
      </c>
      <c r="AI554" s="2">
        <v>180.0</v>
      </c>
      <c r="AJ554" s="1" t="s">
        <v>1589</v>
      </c>
      <c r="AK554" s="1" t="s">
        <v>5878</v>
      </c>
      <c r="AL554" s="1" t="s">
        <v>5878</v>
      </c>
      <c r="AM554" s="2"/>
      <c r="AN554" s="2"/>
      <c r="AO554" s="2"/>
      <c r="AP554" s="2"/>
      <c r="AQ554" s="2"/>
      <c r="AR554" s="2"/>
      <c r="AS554" s="2"/>
      <c r="AT554" s="2"/>
      <c r="AU554" s="126" t="s">
        <v>22</v>
      </c>
      <c r="AV554" s="126">
        <v>300.0</v>
      </c>
      <c r="AW554" s="2"/>
      <c r="AX554" s="2"/>
      <c r="AY554" s="2"/>
      <c r="AZ554" s="2"/>
      <c r="BA554" s="2"/>
      <c r="BB554" s="2"/>
      <c r="BC554" s="2"/>
      <c r="BD554" s="2"/>
      <c r="BE554" s="2"/>
    </row>
    <row r="555" hidden="1">
      <c r="A555" s="2"/>
      <c r="B555" s="312" t="s">
        <v>7737</v>
      </c>
      <c r="C555" s="220" t="s">
        <v>7738</v>
      </c>
      <c r="D555" s="11">
        <v>180.0</v>
      </c>
      <c r="E555" s="11" t="s">
        <v>228</v>
      </c>
      <c r="F555" s="11" t="s">
        <v>7688</v>
      </c>
      <c r="G555" s="306"/>
      <c r="H555" s="296"/>
      <c r="I555" s="139"/>
      <c r="J555" s="301"/>
      <c r="K555" s="296"/>
      <c r="L555" s="139"/>
      <c r="M555" s="301" t="s">
        <v>22</v>
      </c>
      <c r="N555" s="284">
        <v>0.185</v>
      </c>
      <c r="O555" s="296" t="s">
        <v>22</v>
      </c>
      <c r="P555" s="67"/>
      <c r="Q555" s="319">
        <f>P553</f>
        <v>300</v>
      </c>
      <c r="R555" s="318"/>
      <c r="S555" s="308"/>
      <c r="T555" s="2"/>
      <c r="U555" s="59" t="str">
        <f t="shared" si="4"/>
        <v>нет з/ч</v>
      </c>
      <c r="V555" s="304" t="str">
        <f t="shared" si="340"/>
        <v>нет з/ч</v>
      </c>
      <c r="W555" s="2"/>
      <c r="X555" s="289"/>
      <c r="Y555" s="139"/>
      <c r="Z555" s="2"/>
      <c r="AA555" s="2" t="s">
        <v>7738</v>
      </c>
      <c r="AB555" s="2" t="s">
        <v>7738</v>
      </c>
      <c r="AC555" s="2"/>
      <c r="AD555" s="2" t="s">
        <v>7738</v>
      </c>
      <c r="AE555" s="3" t="s">
        <v>7737</v>
      </c>
      <c r="AF555" s="2"/>
      <c r="AG555" s="1" t="s">
        <v>1582</v>
      </c>
      <c r="AH555" s="1" t="s">
        <v>6045</v>
      </c>
      <c r="AI555" s="2">
        <v>180.0</v>
      </c>
      <c r="AJ555" s="1" t="s">
        <v>1589</v>
      </c>
      <c r="AK555" s="1" t="s">
        <v>5878</v>
      </c>
      <c r="AL555" s="1" t="s">
        <v>5878</v>
      </c>
      <c r="AM555" s="2"/>
      <c r="AN555" s="2"/>
      <c r="AO555" s="2"/>
      <c r="AP555" s="2"/>
      <c r="AQ555" s="2"/>
      <c r="AR555" s="2"/>
      <c r="AS555" s="2"/>
      <c r="AT555" s="2"/>
      <c r="AU555" s="126" t="s">
        <v>22</v>
      </c>
      <c r="AV555" s="126">
        <v>300.0</v>
      </c>
      <c r="AW555" s="2"/>
      <c r="AX555" s="2"/>
      <c r="AY555" s="2"/>
      <c r="AZ555" s="2"/>
      <c r="BA555" s="2"/>
      <c r="BB555" s="2"/>
      <c r="BC555" s="2"/>
      <c r="BD555" s="2"/>
      <c r="BE555" s="2"/>
    </row>
    <row r="556" hidden="1">
      <c r="A556" s="2"/>
      <c r="B556" s="312" t="s">
        <v>7739</v>
      </c>
      <c r="C556" s="220" t="s">
        <v>7740</v>
      </c>
      <c r="D556" s="11">
        <v>180.0</v>
      </c>
      <c r="E556" s="11" t="s">
        <v>7741</v>
      </c>
      <c r="F556" s="11" t="s">
        <v>7688</v>
      </c>
      <c r="G556" s="295" t="s">
        <v>7742</v>
      </c>
      <c r="H556" s="296">
        <v>170.0</v>
      </c>
      <c r="I556" s="156">
        <v>170.0</v>
      </c>
      <c r="J556" s="301"/>
      <c r="K556" s="296"/>
      <c r="L556" s="139"/>
      <c r="M556" s="301">
        <v>170.0</v>
      </c>
      <c r="N556" s="284">
        <v>0.185</v>
      </c>
      <c r="O556" s="296">
        <v>200.0</v>
      </c>
      <c r="P556" s="313">
        <f>MAX(O556:O557)</f>
        <v>200</v>
      </c>
      <c r="Q556" s="303">
        <f>P556</f>
        <v>200</v>
      </c>
      <c r="R556" s="299" t="s">
        <v>7743</v>
      </c>
      <c r="S556" s="300">
        <v>46080.68253847222</v>
      </c>
      <c r="T556" s="2"/>
      <c r="U556" s="59"/>
      <c r="V556" s="304"/>
      <c r="W556" s="2"/>
      <c r="X556" s="289">
        <v>170.0</v>
      </c>
      <c r="Y556" s="139"/>
      <c r="Z556" s="2"/>
      <c r="AA556" s="2" t="s">
        <v>7740</v>
      </c>
      <c r="AB556" s="2" t="s">
        <v>7740</v>
      </c>
      <c r="AC556" s="2"/>
      <c r="AD556" s="2" t="s">
        <v>7740</v>
      </c>
      <c r="AE556" s="3" t="s">
        <v>7739</v>
      </c>
      <c r="AF556" s="2"/>
      <c r="AG556" s="1" t="s">
        <v>1582</v>
      </c>
      <c r="AH556" s="1" t="s">
        <v>6069</v>
      </c>
      <c r="AI556" s="2">
        <v>180.0</v>
      </c>
      <c r="AJ556" s="1" t="s">
        <v>1589</v>
      </c>
      <c r="AK556" s="1" t="s">
        <v>5878</v>
      </c>
      <c r="AL556" s="1" t="s">
        <v>5878</v>
      </c>
      <c r="AM556" s="2"/>
      <c r="AN556" s="2"/>
      <c r="AO556" s="2"/>
      <c r="AP556" s="2"/>
      <c r="AQ556" s="2"/>
      <c r="AR556" s="2"/>
      <c r="AS556" s="2"/>
      <c r="AT556" s="2"/>
      <c r="AU556" s="126">
        <v>170.0</v>
      </c>
      <c r="AV556" s="126">
        <v>200.0</v>
      </c>
      <c r="AW556" s="2"/>
      <c r="AX556" s="2"/>
      <c r="AY556" s="2"/>
      <c r="AZ556" s="2"/>
      <c r="BA556" s="2"/>
      <c r="BB556" s="2"/>
      <c r="BC556" s="2"/>
      <c r="BD556" s="2"/>
      <c r="BE556" s="2"/>
    </row>
    <row r="557" hidden="1">
      <c r="A557" s="2"/>
      <c r="B557" s="312" t="s">
        <v>7744</v>
      </c>
      <c r="C557" s="220" t="s">
        <v>7745</v>
      </c>
      <c r="D557" s="11">
        <v>180.0</v>
      </c>
      <c r="E557" s="11" t="s">
        <v>7741</v>
      </c>
      <c r="F557" s="11" t="s">
        <v>7688</v>
      </c>
      <c r="G557" s="306"/>
      <c r="H557" s="296"/>
      <c r="I557" s="139"/>
      <c r="J557" s="301"/>
      <c r="K557" s="296"/>
      <c r="L557" s="139"/>
      <c r="M557" s="301" t="s">
        <v>22</v>
      </c>
      <c r="N557" s="284">
        <v>0.185</v>
      </c>
      <c r="O557" s="296" t="s">
        <v>22</v>
      </c>
      <c r="P557" s="67"/>
      <c r="Q557" s="303">
        <f>P556</f>
        <v>200</v>
      </c>
      <c r="R557" s="318"/>
      <c r="S557" s="308"/>
      <c r="T557" s="2"/>
      <c r="U557" s="59"/>
      <c r="V557" s="304"/>
      <c r="W557" s="2"/>
      <c r="X557" s="289"/>
      <c r="Y557" s="139"/>
      <c r="Z557" s="2"/>
      <c r="AA557" s="2" t="s">
        <v>7745</v>
      </c>
      <c r="AB557" s="2" t="s">
        <v>7745</v>
      </c>
      <c r="AC557" s="2"/>
      <c r="AD557" s="2" t="s">
        <v>7745</v>
      </c>
      <c r="AE557" s="3" t="s">
        <v>7744</v>
      </c>
      <c r="AF557" s="2"/>
      <c r="AG557" s="1" t="s">
        <v>1582</v>
      </c>
      <c r="AH557" s="1" t="s">
        <v>6069</v>
      </c>
      <c r="AI557" s="2">
        <v>180.0</v>
      </c>
      <c r="AJ557" s="1" t="s">
        <v>1589</v>
      </c>
      <c r="AK557" s="1" t="s">
        <v>5878</v>
      </c>
      <c r="AL557" s="1" t="s">
        <v>5878</v>
      </c>
      <c r="AM557" s="2"/>
      <c r="AN557" s="2"/>
      <c r="AO557" s="2"/>
      <c r="AP557" s="2"/>
      <c r="AQ557" s="2"/>
      <c r="AR557" s="2"/>
      <c r="AS557" s="2"/>
      <c r="AT557" s="2"/>
      <c r="AU557" s="126" t="s">
        <v>22</v>
      </c>
      <c r="AV557" s="126">
        <v>200.0</v>
      </c>
      <c r="AW557" s="2"/>
      <c r="AX557" s="2"/>
      <c r="AY557" s="2"/>
      <c r="AZ557" s="2"/>
      <c r="BA557" s="2"/>
      <c r="BB557" s="2"/>
      <c r="BC557" s="2"/>
      <c r="BD557" s="2"/>
      <c r="BE557" s="2"/>
    </row>
    <row r="558" hidden="1">
      <c r="A558" s="2"/>
      <c r="B558" s="312" t="s">
        <v>7746</v>
      </c>
      <c r="C558" s="220" t="s">
        <v>7747</v>
      </c>
      <c r="D558" s="11">
        <v>180.0</v>
      </c>
      <c r="E558" s="11" t="s">
        <v>7748</v>
      </c>
      <c r="F558" s="11" t="s">
        <v>7688</v>
      </c>
      <c r="G558" s="295" t="s">
        <v>7749</v>
      </c>
      <c r="H558" s="296">
        <v>280.0</v>
      </c>
      <c r="I558" s="156">
        <v>280.0</v>
      </c>
      <c r="J558" s="301"/>
      <c r="K558" s="296"/>
      <c r="L558" s="139"/>
      <c r="M558" s="301">
        <v>280.0</v>
      </c>
      <c r="N558" s="284">
        <v>0.185</v>
      </c>
      <c r="O558" s="296">
        <v>350.0</v>
      </c>
      <c r="P558" s="313">
        <f>MAX(O558:O560)</f>
        <v>350</v>
      </c>
      <c r="Q558" s="319">
        <f>P558</f>
        <v>350</v>
      </c>
      <c r="R558" s="299" t="s">
        <v>7750</v>
      </c>
      <c r="S558" s="300">
        <v>46080.68259452547</v>
      </c>
      <c r="T558" s="2"/>
      <c r="U558" s="289">
        <f t="shared" ref="U558:U572" si="341">IF(I558&gt;0, Q558 - I558, "нет з/ч")</f>
        <v>70</v>
      </c>
      <c r="V558" s="304" t="str">
        <f t="shared" ref="V558:V560" si="342">IF(L558&gt;0, Q1652 - L558, "нет з/ч")</f>
        <v>нет з/ч</v>
      </c>
      <c r="W558" s="2"/>
      <c r="X558" s="289">
        <v>280.0</v>
      </c>
      <c r="Y558" s="139"/>
      <c r="Z558" s="2"/>
      <c r="AA558" s="2" t="s">
        <v>7747</v>
      </c>
      <c r="AB558" s="2" t="s">
        <v>7747</v>
      </c>
      <c r="AC558" s="2"/>
      <c r="AD558" s="2" t="s">
        <v>7747</v>
      </c>
      <c r="AE558" s="3" t="s">
        <v>7746</v>
      </c>
      <c r="AF558" s="2"/>
      <c r="AG558" s="1" t="s">
        <v>1582</v>
      </c>
      <c r="AH558" s="1" t="s">
        <v>6113</v>
      </c>
      <c r="AI558" s="2">
        <v>180.0</v>
      </c>
      <c r="AJ558" s="1" t="s">
        <v>1589</v>
      </c>
      <c r="AK558" s="1" t="s">
        <v>5878</v>
      </c>
      <c r="AL558" s="1" t="s">
        <v>5878</v>
      </c>
      <c r="AM558" s="2"/>
      <c r="AN558" s="2"/>
      <c r="AO558" s="2"/>
      <c r="AP558" s="2"/>
      <c r="AQ558" s="2"/>
      <c r="AR558" s="2"/>
      <c r="AS558" s="2"/>
      <c r="AT558" s="2"/>
      <c r="AU558" s="126">
        <v>280.0</v>
      </c>
      <c r="AV558" s="126">
        <v>350.0</v>
      </c>
      <c r="AW558" s="2"/>
      <c r="AX558" s="2"/>
      <c r="AY558" s="2"/>
      <c r="AZ558" s="2"/>
      <c r="BA558" s="2"/>
      <c r="BB558" s="2"/>
      <c r="BC558" s="2"/>
      <c r="BD558" s="2"/>
      <c r="BE558" s="2"/>
    </row>
    <row r="559" hidden="1">
      <c r="A559" s="2"/>
      <c r="B559" s="312" t="s">
        <v>7751</v>
      </c>
      <c r="C559" s="320" t="s">
        <v>7752</v>
      </c>
      <c r="D559" s="11">
        <v>180.0</v>
      </c>
      <c r="E559" s="11" t="s">
        <v>7748</v>
      </c>
      <c r="F559" s="11" t="s">
        <v>7688</v>
      </c>
      <c r="G559" s="321"/>
      <c r="H559" s="322"/>
      <c r="I559" s="323"/>
      <c r="J559" s="324"/>
      <c r="K559" s="322"/>
      <c r="L559" s="323"/>
      <c r="M559" s="324" t="s">
        <v>22</v>
      </c>
      <c r="N559" s="284">
        <v>0.185</v>
      </c>
      <c r="O559" s="322" t="s">
        <v>22</v>
      </c>
      <c r="P559" s="104"/>
      <c r="Q559" s="319">
        <f>P558</f>
        <v>350</v>
      </c>
      <c r="R559" s="325"/>
      <c r="S559" s="326"/>
      <c r="T559" s="2"/>
      <c r="U559" s="59" t="str">
        <f t="shared" si="341"/>
        <v>нет з/ч</v>
      </c>
      <c r="V559" s="304" t="str">
        <f t="shared" si="342"/>
        <v>нет з/ч</v>
      </c>
      <c r="W559" s="2"/>
      <c r="X559" s="289"/>
      <c r="Y559" s="139"/>
      <c r="Z559" s="2"/>
      <c r="AA559" s="2" t="s">
        <v>7752</v>
      </c>
      <c r="AB559" s="2" t="s">
        <v>7752</v>
      </c>
      <c r="AC559" s="2"/>
      <c r="AD559" s="2" t="s">
        <v>7752</v>
      </c>
      <c r="AE559" s="3" t="s">
        <v>7751</v>
      </c>
      <c r="AF559" s="2"/>
      <c r="AG559" s="1" t="s">
        <v>1582</v>
      </c>
      <c r="AH559" s="1" t="s">
        <v>6113</v>
      </c>
      <c r="AI559" s="2">
        <v>180.0</v>
      </c>
      <c r="AJ559" s="1" t="s">
        <v>1589</v>
      </c>
      <c r="AK559" s="1" t="s">
        <v>5878</v>
      </c>
      <c r="AL559" s="1" t="s">
        <v>5878</v>
      </c>
      <c r="AM559" s="2"/>
      <c r="AN559" s="2"/>
      <c r="AO559" s="2"/>
      <c r="AP559" s="2"/>
      <c r="AQ559" s="2"/>
      <c r="AR559" s="2"/>
      <c r="AS559" s="2"/>
      <c r="AT559" s="2"/>
      <c r="AU559" s="126" t="s">
        <v>22</v>
      </c>
      <c r="AV559" s="126">
        <v>350.0</v>
      </c>
      <c r="AW559" s="2"/>
      <c r="AX559" s="2"/>
      <c r="AY559" s="2"/>
      <c r="AZ559" s="2"/>
      <c r="BA559" s="2"/>
      <c r="BB559" s="2"/>
      <c r="BC559" s="2"/>
      <c r="BD559" s="2"/>
      <c r="BE559" s="2"/>
    </row>
    <row r="560" hidden="1">
      <c r="A560" s="2"/>
      <c r="B560" s="312" t="s">
        <v>7753</v>
      </c>
      <c r="C560" s="320" t="s">
        <v>7754</v>
      </c>
      <c r="D560" s="11">
        <v>180.0</v>
      </c>
      <c r="E560" s="11" t="s">
        <v>7748</v>
      </c>
      <c r="F560" s="11" t="s">
        <v>7688</v>
      </c>
      <c r="G560" s="321"/>
      <c r="H560" s="322"/>
      <c r="I560" s="323"/>
      <c r="J560" s="324"/>
      <c r="K560" s="322"/>
      <c r="L560" s="323"/>
      <c r="M560" s="324" t="s">
        <v>22</v>
      </c>
      <c r="N560" s="284">
        <v>0.185</v>
      </c>
      <c r="O560" s="322" t="s">
        <v>22</v>
      </c>
      <c r="P560" s="67"/>
      <c r="Q560" s="319">
        <f>P558</f>
        <v>350</v>
      </c>
      <c r="R560" s="325"/>
      <c r="S560" s="326"/>
      <c r="T560" s="2"/>
      <c r="U560" s="59" t="str">
        <f t="shared" si="341"/>
        <v>нет з/ч</v>
      </c>
      <c r="V560" s="304" t="str">
        <f t="shared" si="342"/>
        <v>нет з/ч</v>
      </c>
      <c r="W560" s="2"/>
      <c r="X560" s="289"/>
      <c r="Y560" s="139"/>
      <c r="Z560" s="2"/>
      <c r="AA560" s="2" t="s">
        <v>7754</v>
      </c>
      <c r="AB560" s="2" t="s">
        <v>7754</v>
      </c>
      <c r="AC560" s="2"/>
      <c r="AD560" s="2" t="s">
        <v>7754</v>
      </c>
      <c r="AE560" s="3" t="s">
        <v>7753</v>
      </c>
      <c r="AF560" s="2"/>
      <c r="AG560" s="1" t="s">
        <v>1582</v>
      </c>
      <c r="AH560" s="1" t="s">
        <v>6113</v>
      </c>
      <c r="AI560" s="2">
        <v>180.0</v>
      </c>
      <c r="AJ560" s="1" t="s">
        <v>1589</v>
      </c>
      <c r="AK560" s="1" t="s">
        <v>5878</v>
      </c>
      <c r="AL560" s="1" t="s">
        <v>5878</v>
      </c>
      <c r="AM560" s="2"/>
      <c r="AN560" s="2"/>
      <c r="AO560" s="2"/>
      <c r="AP560" s="2"/>
      <c r="AQ560" s="2"/>
      <c r="AR560" s="2"/>
      <c r="AS560" s="2"/>
      <c r="AT560" s="2"/>
      <c r="AU560" s="126" t="s">
        <v>22</v>
      </c>
      <c r="AV560" s="126">
        <v>350.0</v>
      </c>
      <c r="AW560" s="2"/>
      <c r="AX560" s="2"/>
      <c r="AY560" s="2"/>
      <c r="AZ560" s="2"/>
      <c r="BA560" s="2"/>
      <c r="BB560" s="2"/>
      <c r="BC560" s="2"/>
      <c r="BD560" s="2"/>
      <c r="BE560" s="2"/>
    </row>
    <row r="561" hidden="1">
      <c r="A561" s="2"/>
      <c r="B561" s="312" t="s">
        <v>7755</v>
      </c>
      <c r="C561" s="320" t="s">
        <v>7756</v>
      </c>
      <c r="D561" s="11">
        <v>180.0</v>
      </c>
      <c r="E561" s="31" t="s">
        <v>7757</v>
      </c>
      <c r="F561" s="11" t="s">
        <v>7688</v>
      </c>
      <c r="G561" s="327" t="s">
        <v>7758</v>
      </c>
      <c r="H561" s="322">
        <v>270.0</v>
      </c>
      <c r="I561" s="328">
        <v>270.0</v>
      </c>
      <c r="J561" s="324"/>
      <c r="K561" s="322"/>
      <c r="L561" s="323"/>
      <c r="M561" s="324">
        <v>270.0</v>
      </c>
      <c r="N561" s="284">
        <v>0.185</v>
      </c>
      <c r="O561" s="322">
        <v>300.0</v>
      </c>
      <c r="P561" s="313">
        <f>MAX(O561:O562)</f>
        <v>300</v>
      </c>
      <c r="Q561" s="303">
        <f>P561</f>
        <v>300</v>
      </c>
      <c r="R561" s="329" t="s">
        <v>7759</v>
      </c>
      <c r="S561" s="330">
        <v>46080.682642245374</v>
      </c>
      <c r="T561" s="2"/>
      <c r="U561" s="289">
        <f t="shared" si="341"/>
        <v>30</v>
      </c>
      <c r="V561" s="304" t="str">
        <f t="shared" ref="V561:V562" si="343">IF(L561&gt;0, Q1658 - L561, "нет з/ч")</f>
        <v>нет з/ч</v>
      </c>
      <c r="W561" s="2"/>
      <c r="X561" s="289">
        <v>270.0</v>
      </c>
      <c r="Y561" s="139"/>
      <c r="Z561" s="2"/>
      <c r="AA561" s="2" t="s">
        <v>7756</v>
      </c>
      <c r="AB561" s="2" t="s">
        <v>7756</v>
      </c>
      <c r="AC561" s="2"/>
      <c r="AD561" s="2" t="s">
        <v>7756</v>
      </c>
      <c r="AE561" s="3" t="s">
        <v>7755</v>
      </c>
      <c r="AF561" s="2"/>
      <c r="AG561" s="1" t="s">
        <v>1582</v>
      </c>
      <c r="AH561" s="1" t="s">
        <v>6161</v>
      </c>
      <c r="AI561" s="2">
        <v>180.0</v>
      </c>
      <c r="AJ561" s="1" t="s">
        <v>1589</v>
      </c>
      <c r="AK561" s="1" t="s">
        <v>5878</v>
      </c>
      <c r="AL561" s="1" t="s">
        <v>5878</v>
      </c>
      <c r="AM561" s="2"/>
      <c r="AN561" s="2"/>
      <c r="AO561" s="2"/>
      <c r="AP561" s="2"/>
      <c r="AQ561" s="2"/>
      <c r="AR561" s="2"/>
      <c r="AS561" s="2"/>
      <c r="AT561" s="2"/>
      <c r="AU561" s="126">
        <v>270.0</v>
      </c>
      <c r="AV561" s="126">
        <v>300.0</v>
      </c>
      <c r="AW561" s="2"/>
      <c r="AX561" s="2"/>
      <c r="AY561" s="2"/>
      <c r="AZ561" s="2"/>
      <c r="BA561" s="2"/>
      <c r="BB561" s="2"/>
      <c r="BC561" s="2"/>
      <c r="BD561" s="2"/>
      <c r="BE561" s="2"/>
    </row>
    <row r="562" hidden="1">
      <c r="A562" s="2"/>
      <c r="B562" s="312" t="s">
        <v>7760</v>
      </c>
      <c r="C562" s="320" t="s">
        <v>7761</v>
      </c>
      <c r="D562" s="11">
        <v>180.0</v>
      </c>
      <c r="E562" s="31" t="s">
        <v>7757</v>
      </c>
      <c r="F562" s="11" t="s">
        <v>7688</v>
      </c>
      <c r="G562" s="321"/>
      <c r="H562" s="322"/>
      <c r="I562" s="323"/>
      <c r="J562" s="324"/>
      <c r="K562" s="322"/>
      <c r="L562" s="323"/>
      <c r="M562" s="324" t="s">
        <v>22</v>
      </c>
      <c r="N562" s="284">
        <v>0.185</v>
      </c>
      <c r="O562" s="322" t="s">
        <v>22</v>
      </c>
      <c r="P562" s="67"/>
      <c r="Q562" s="303">
        <f>P561</f>
        <v>300</v>
      </c>
      <c r="R562" s="325"/>
      <c r="S562" s="326"/>
      <c r="T562" s="2"/>
      <c r="U562" s="59" t="str">
        <f t="shared" si="341"/>
        <v>нет з/ч</v>
      </c>
      <c r="V562" s="304" t="str">
        <f t="shared" si="343"/>
        <v>нет з/ч</v>
      </c>
      <c r="W562" s="2"/>
      <c r="X562" s="289"/>
      <c r="Y562" s="139"/>
      <c r="Z562" s="2"/>
      <c r="AA562" s="2" t="s">
        <v>7761</v>
      </c>
      <c r="AB562" s="2" t="s">
        <v>7761</v>
      </c>
      <c r="AC562" s="2"/>
      <c r="AD562" s="2" t="s">
        <v>7761</v>
      </c>
      <c r="AE562" s="3" t="s">
        <v>7760</v>
      </c>
      <c r="AF562" s="2"/>
      <c r="AG562" s="1" t="s">
        <v>1582</v>
      </c>
      <c r="AH562" s="1" t="s">
        <v>6161</v>
      </c>
      <c r="AI562" s="2">
        <v>180.0</v>
      </c>
      <c r="AJ562" s="1" t="s">
        <v>1589</v>
      </c>
      <c r="AK562" s="1" t="s">
        <v>5878</v>
      </c>
      <c r="AL562" s="1" t="s">
        <v>5878</v>
      </c>
      <c r="AM562" s="2"/>
      <c r="AN562" s="2"/>
      <c r="AO562" s="2"/>
      <c r="AP562" s="2"/>
      <c r="AQ562" s="2"/>
      <c r="AR562" s="2"/>
      <c r="AS562" s="2"/>
      <c r="AT562" s="2"/>
      <c r="AU562" s="126" t="s">
        <v>22</v>
      </c>
      <c r="AV562" s="126">
        <v>300.0</v>
      </c>
      <c r="AW562" s="2"/>
      <c r="AX562" s="2"/>
      <c r="AY562" s="2"/>
      <c r="AZ562" s="2"/>
      <c r="BA562" s="2"/>
      <c r="BB562" s="2"/>
      <c r="BC562" s="2"/>
      <c r="BD562" s="2"/>
      <c r="BE562" s="2"/>
    </row>
    <row r="563" hidden="1">
      <c r="A563" s="2"/>
      <c r="B563" s="312" t="s">
        <v>7762</v>
      </c>
      <c r="C563" s="320" t="s">
        <v>7763</v>
      </c>
      <c r="D563" s="11">
        <v>180.0</v>
      </c>
      <c r="E563" s="31" t="s">
        <v>7764</v>
      </c>
      <c r="F563" s="11" t="s">
        <v>7688</v>
      </c>
      <c r="G563" s="327" t="s">
        <v>7765</v>
      </c>
      <c r="H563" s="322">
        <v>370.0</v>
      </c>
      <c r="I563" s="328">
        <v>370.0</v>
      </c>
      <c r="J563" s="324"/>
      <c r="K563" s="322"/>
      <c r="L563" s="323"/>
      <c r="M563" s="324">
        <v>370.0</v>
      </c>
      <c r="N563" s="284">
        <v>0.185</v>
      </c>
      <c r="O563" s="322">
        <v>450.0</v>
      </c>
      <c r="P563" s="313">
        <f>MAX(O563:O565)</f>
        <v>450</v>
      </c>
      <c r="Q563" s="319">
        <f>P563</f>
        <v>450</v>
      </c>
      <c r="R563" s="329" t="s">
        <v>7766</v>
      </c>
      <c r="S563" s="330">
        <v>46080.68269884259</v>
      </c>
      <c r="T563" s="2"/>
      <c r="U563" s="289">
        <f t="shared" si="341"/>
        <v>80</v>
      </c>
      <c r="V563" s="304" t="str">
        <f t="shared" ref="V563:V565" si="344">IF(L563&gt;0, Q1662 - L563, "нет з/ч")</f>
        <v>нет з/ч</v>
      </c>
      <c r="W563" s="2"/>
      <c r="X563" s="289">
        <v>370.0</v>
      </c>
      <c r="Y563" s="139"/>
      <c r="Z563" s="2"/>
      <c r="AA563" s="2" t="s">
        <v>7763</v>
      </c>
      <c r="AB563" s="2" t="s">
        <v>7763</v>
      </c>
      <c r="AC563" s="2"/>
      <c r="AD563" s="2" t="s">
        <v>7763</v>
      </c>
      <c r="AE563" s="3" t="s">
        <v>7762</v>
      </c>
      <c r="AF563" s="2"/>
      <c r="AG563" s="1" t="s">
        <v>1582</v>
      </c>
      <c r="AH563" s="1" t="s">
        <v>6205</v>
      </c>
      <c r="AI563" s="2">
        <v>180.0</v>
      </c>
      <c r="AJ563" s="1" t="s">
        <v>1589</v>
      </c>
      <c r="AK563" s="1" t="s">
        <v>5878</v>
      </c>
      <c r="AL563" s="1" t="s">
        <v>5878</v>
      </c>
      <c r="AM563" s="2"/>
      <c r="AN563" s="2"/>
      <c r="AO563" s="2"/>
      <c r="AP563" s="2"/>
      <c r="AQ563" s="2"/>
      <c r="AR563" s="2"/>
      <c r="AS563" s="2"/>
      <c r="AT563" s="2"/>
      <c r="AU563" s="126">
        <v>370.0</v>
      </c>
      <c r="AV563" s="126">
        <v>450.0</v>
      </c>
      <c r="AW563" s="2"/>
      <c r="AX563" s="2"/>
      <c r="AY563" s="2"/>
      <c r="AZ563" s="2"/>
      <c r="BA563" s="2"/>
      <c r="BB563" s="2"/>
      <c r="BC563" s="2"/>
      <c r="BD563" s="2"/>
      <c r="BE563" s="2"/>
    </row>
    <row r="564" hidden="1">
      <c r="A564" s="2"/>
      <c r="B564" s="312" t="s">
        <v>7767</v>
      </c>
      <c r="C564" s="320" t="s">
        <v>7768</v>
      </c>
      <c r="D564" s="11">
        <v>180.0</v>
      </c>
      <c r="E564" s="31" t="s">
        <v>7764</v>
      </c>
      <c r="F564" s="11" t="s">
        <v>7688</v>
      </c>
      <c r="G564" s="321"/>
      <c r="H564" s="322"/>
      <c r="I564" s="323"/>
      <c r="J564" s="324"/>
      <c r="K564" s="322"/>
      <c r="L564" s="323"/>
      <c r="M564" s="324" t="s">
        <v>22</v>
      </c>
      <c r="N564" s="284">
        <v>0.185</v>
      </c>
      <c r="O564" s="322" t="s">
        <v>22</v>
      </c>
      <c r="P564" s="104"/>
      <c r="Q564" s="319">
        <f>P563</f>
        <v>450</v>
      </c>
      <c r="R564" s="325"/>
      <c r="S564" s="326"/>
      <c r="T564" s="2"/>
      <c r="U564" s="59" t="str">
        <f t="shared" si="341"/>
        <v>нет з/ч</v>
      </c>
      <c r="V564" s="304" t="str">
        <f t="shared" si="344"/>
        <v>нет з/ч</v>
      </c>
      <c r="W564" s="2"/>
      <c r="X564" s="289"/>
      <c r="Y564" s="139"/>
      <c r="Z564" s="2"/>
      <c r="AA564" s="2" t="s">
        <v>7768</v>
      </c>
      <c r="AB564" s="2" t="s">
        <v>7768</v>
      </c>
      <c r="AC564" s="2"/>
      <c r="AD564" s="2" t="s">
        <v>7768</v>
      </c>
      <c r="AE564" s="3" t="s">
        <v>7767</v>
      </c>
      <c r="AF564" s="2"/>
      <c r="AG564" s="1" t="s">
        <v>1582</v>
      </c>
      <c r="AH564" s="1" t="s">
        <v>6205</v>
      </c>
      <c r="AI564" s="2">
        <v>180.0</v>
      </c>
      <c r="AJ564" s="1" t="s">
        <v>1589</v>
      </c>
      <c r="AK564" s="1" t="s">
        <v>5878</v>
      </c>
      <c r="AL564" s="1" t="s">
        <v>5878</v>
      </c>
      <c r="AM564" s="2"/>
      <c r="AN564" s="2"/>
      <c r="AO564" s="2"/>
      <c r="AP564" s="2"/>
      <c r="AQ564" s="2"/>
      <c r="AR564" s="2"/>
      <c r="AS564" s="2"/>
      <c r="AT564" s="2"/>
      <c r="AU564" s="126" t="s">
        <v>22</v>
      </c>
      <c r="AV564" s="126">
        <v>450.0</v>
      </c>
      <c r="AW564" s="2"/>
      <c r="AX564" s="2"/>
      <c r="AY564" s="2"/>
      <c r="AZ564" s="2"/>
      <c r="BA564" s="2"/>
      <c r="BB564" s="2"/>
      <c r="BC564" s="2"/>
      <c r="BD564" s="2"/>
      <c r="BE564" s="2"/>
    </row>
    <row r="565" hidden="1">
      <c r="A565" s="2"/>
      <c r="B565" s="312" t="s">
        <v>7769</v>
      </c>
      <c r="C565" s="320" t="s">
        <v>7770</v>
      </c>
      <c r="D565" s="11">
        <v>180.0</v>
      </c>
      <c r="E565" s="31" t="s">
        <v>7764</v>
      </c>
      <c r="F565" s="11" t="s">
        <v>7688</v>
      </c>
      <c r="G565" s="321"/>
      <c r="H565" s="322"/>
      <c r="I565" s="323"/>
      <c r="J565" s="324"/>
      <c r="K565" s="322"/>
      <c r="L565" s="323"/>
      <c r="M565" s="324" t="s">
        <v>22</v>
      </c>
      <c r="N565" s="284">
        <v>0.185</v>
      </c>
      <c r="O565" s="322" t="s">
        <v>22</v>
      </c>
      <c r="P565" s="67"/>
      <c r="Q565" s="319">
        <f>P563</f>
        <v>450</v>
      </c>
      <c r="R565" s="325"/>
      <c r="S565" s="326"/>
      <c r="T565" s="2"/>
      <c r="U565" s="59" t="str">
        <f t="shared" si="341"/>
        <v>нет з/ч</v>
      </c>
      <c r="V565" s="304" t="str">
        <f t="shared" si="344"/>
        <v>нет з/ч</v>
      </c>
      <c r="W565" s="2"/>
      <c r="X565" s="289"/>
      <c r="Y565" s="139"/>
      <c r="Z565" s="2"/>
      <c r="AA565" s="2" t="s">
        <v>7770</v>
      </c>
      <c r="AB565" s="2" t="s">
        <v>7770</v>
      </c>
      <c r="AC565" s="2"/>
      <c r="AD565" s="2" t="s">
        <v>7770</v>
      </c>
      <c r="AE565" s="3" t="s">
        <v>7769</v>
      </c>
      <c r="AF565" s="2"/>
      <c r="AG565" s="1" t="s">
        <v>1582</v>
      </c>
      <c r="AH565" s="1" t="s">
        <v>6205</v>
      </c>
      <c r="AI565" s="2">
        <v>180.0</v>
      </c>
      <c r="AJ565" s="1" t="s">
        <v>1589</v>
      </c>
      <c r="AK565" s="1" t="s">
        <v>5878</v>
      </c>
      <c r="AL565" s="1" t="s">
        <v>5878</v>
      </c>
      <c r="AM565" s="2"/>
      <c r="AN565" s="2"/>
      <c r="AO565" s="2"/>
      <c r="AP565" s="2"/>
      <c r="AQ565" s="2"/>
      <c r="AR565" s="2"/>
      <c r="AS565" s="2"/>
      <c r="AT565" s="2"/>
      <c r="AU565" s="126" t="s">
        <v>22</v>
      </c>
      <c r="AV565" s="126">
        <v>450.0</v>
      </c>
      <c r="AW565" s="2"/>
      <c r="AX565" s="2"/>
      <c r="AY565" s="2"/>
      <c r="AZ565" s="2"/>
      <c r="BA565" s="2"/>
      <c r="BB565" s="2"/>
      <c r="BC565" s="2"/>
      <c r="BD565" s="2"/>
      <c r="BE565" s="2"/>
    </row>
    <row r="566" hidden="1">
      <c r="A566" s="2"/>
      <c r="B566" s="312" t="s">
        <v>7771</v>
      </c>
      <c r="C566" s="320" t="s">
        <v>7772</v>
      </c>
      <c r="D566" s="11">
        <v>180.0</v>
      </c>
      <c r="E566" s="31" t="s">
        <v>7773</v>
      </c>
      <c r="F566" s="11" t="s">
        <v>7688</v>
      </c>
      <c r="G566" s="327" t="s">
        <v>7774</v>
      </c>
      <c r="H566" s="322">
        <v>120.0</v>
      </c>
      <c r="I566" s="328">
        <v>120.0</v>
      </c>
      <c r="J566" s="324"/>
      <c r="K566" s="322"/>
      <c r="L566" s="323"/>
      <c r="M566" s="324">
        <v>120.0</v>
      </c>
      <c r="N566" s="284">
        <v>5.0</v>
      </c>
      <c r="O566" s="322">
        <v>700.0</v>
      </c>
      <c r="P566" s="313">
        <f>MAX(O566:O567)</f>
        <v>700</v>
      </c>
      <c r="Q566" s="303">
        <f>P566</f>
        <v>700</v>
      </c>
      <c r="R566" s="329" t="s">
        <v>7775</v>
      </c>
      <c r="S566" s="330">
        <v>46080.68274913194</v>
      </c>
      <c r="T566" s="2"/>
      <c r="U566" s="289">
        <f t="shared" si="341"/>
        <v>580</v>
      </c>
      <c r="V566" s="304" t="str">
        <f t="shared" ref="V566:V567" si="345">IF(L566&gt;0, Q1668 - L566, "нет з/ч")</f>
        <v>нет з/ч</v>
      </c>
      <c r="W566" s="2"/>
      <c r="X566" s="289">
        <v>120.0</v>
      </c>
      <c r="Y566" s="139"/>
      <c r="Z566" s="2"/>
      <c r="AA566" s="2" t="s">
        <v>7772</v>
      </c>
      <c r="AB566" s="2" t="s">
        <v>7772</v>
      </c>
      <c r="AC566" s="2"/>
      <c r="AD566" s="2" t="s">
        <v>7772</v>
      </c>
      <c r="AE566" s="3" t="s">
        <v>7771</v>
      </c>
      <c r="AF566" s="2"/>
      <c r="AG566" s="1" t="s">
        <v>1582</v>
      </c>
      <c r="AH566" s="1" t="s">
        <v>6253</v>
      </c>
      <c r="AI566" s="2">
        <v>180.0</v>
      </c>
      <c r="AJ566" s="1" t="s">
        <v>1589</v>
      </c>
      <c r="AK566" s="1" t="s">
        <v>5878</v>
      </c>
      <c r="AL566" s="1" t="s">
        <v>5878</v>
      </c>
      <c r="AM566" s="2"/>
      <c r="AN566" s="2"/>
      <c r="AO566" s="2"/>
      <c r="AP566" s="2"/>
      <c r="AQ566" s="2"/>
      <c r="AR566" s="2"/>
      <c r="AS566" s="2"/>
      <c r="AT566" s="2"/>
      <c r="AU566" s="126">
        <v>120.0</v>
      </c>
      <c r="AV566" s="126">
        <v>700.0</v>
      </c>
      <c r="AW566" s="2"/>
      <c r="AX566" s="2"/>
      <c r="AY566" s="2"/>
      <c r="AZ566" s="2"/>
      <c r="BA566" s="2"/>
      <c r="BB566" s="2"/>
      <c r="BC566" s="2"/>
      <c r="BD566" s="2"/>
      <c r="BE566" s="2"/>
    </row>
    <row r="567" hidden="1">
      <c r="A567" s="2"/>
      <c r="B567" s="312" t="s">
        <v>7776</v>
      </c>
      <c r="C567" s="320" t="s">
        <v>7777</v>
      </c>
      <c r="D567" s="11">
        <v>180.0</v>
      </c>
      <c r="E567" s="31" t="s">
        <v>7773</v>
      </c>
      <c r="F567" s="11" t="s">
        <v>7688</v>
      </c>
      <c r="G567" s="321"/>
      <c r="H567" s="322"/>
      <c r="I567" s="323"/>
      <c r="J567" s="324"/>
      <c r="K567" s="322"/>
      <c r="L567" s="323"/>
      <c r="M567" s="324" t="s">
        <v>22</v>
      </c>
      <c r="N567" s="284">
        <v>0.185</v>
      </c>
      <c r="O567" s="322" t="s">
        <v>22</v>
      </c>
      <c r="P567" s="67"/>
      <c r="Q567" s="303">
        <f>P566</f>
        <v>700</v>
      </c>
      <c r="R567" s="325"/>
      <c r="S567" s="326"/>
      <c r="T567" s="2"/>
      <c r="U567" s="59" t="str">
        <f t="shared" si="341"/>
        <v>нет з/ч</v>
      </c>
      <c r="V567" s="304" t="str">
        <f t="shared" si="345"/>
        <v>нет з/ч</v>
      </c>
      <c r="W567" s="2"/>
      <c r="X567" s="289"/>
      <c r="Y567" s="139"/>
      <c r="Z567" s="2"/>
      <c r="AA567" s="2" t="s">
        <v>7777</v>
      </c>
      <c r="AB567" s="2" t="s">
        <v>7777</v>
      </c>
      <c r="AC567" s="2"/>
      <c r="AD567" s="2" t="s">
        <v>7777</v>
      </c>
      <c r="AE567" s="3" t="s">
        <v>7776</v>
      </c>
      <c r="AF567" s="2"/>
      <c r="AG567" s="1" t="s">
        <v>1582</v>
      </c>
      <c r="AH567" s="1" t="s">
        <v>6253</v>
      </c>
      <c r="AI567" s="2">
        <v>180.0</v>
      </c>
      <c r="AJ567" s="1" t="s">
        <v>1589</v>
      </c>
      <c r="AK567" s="1" t="s">
        <v>5878</v>
      </c>
      <c r="AL567" s="1" t="s">
        <v>5878</v>
      </c>
      <c r="AM567" s="2"/>
      <c r="AN567" s="2"/>
      <c r="AO567" s="2"/>
      <c r="AP567" s="2"/>
      <c r="AQ567" s="2"/>
      <c r="AR567" s="2"/>
      <c r="AS567" s="2"/>
      <c r="AT567" s="2"/>
      <c r="AU567" s="126" t="s">
        <v>22</v>
      </c>
      <c r="AV567" s="126">
        <v>700.0</v>
      </c>
      <c r="AW567" s="2"/>
      <c r="AX567" s="2"/>
      <c r="AY567" s="2"/>
      <c r="AZ567" s="2"/>
      <c r="BA567" s="2"/>
      <c r="BB567" s="2"/>
      <c r="BC567" s="2"/>
      <c r="BD567" s="2"/>
      <c r="BE567" s="2"/>
    </row>
    <row r="568" hidden="1">
      <c r="A568" s="2"/>
      <c r="B568" s="312" t="s">
        <v>7778</v>
      </c>
      <c r="C568" s="320" t="s">
        <v>7779</v>
      </c>
      <c r="D568" s="11">
        <v>180.0</v>
      </c>
      <c r="E568" s="31" t="s">
        <v>7780</v>
      </c>
      <c r="F568" s="11" t="s">
        <v>7688</v>
      </c>
      <c r="G568" s="327" t="s">
        <v>7781</v>
      </c>
      <c r="H568" s="322">
        <v>270.0</v>
      </c>
      <c r="I568" s="328">
        <v>270.0</v>
      </c>
      <c r="J568" s="324"/>
      <c r="K568" s="322"/>
      <c r="L568" s="323"/>
      <c r="M568" s="324">
        <v>270.0</v>
      </c>
      <c r="N568" s="284">
        <v>2.0</v>
      </c>
      <c r="O568" s="322">
        <v>800.0</v>
      </c>
      <c r="P568" s="313">
        <f>MAX(O568:O570)</f>
        <v>800</v>
      </c>
      <c r="Q568" s="319">
        <f>P568</f>
        <v>800</v>
      </c>
      <c r="R568" s="329" t="s">
        <v>7782</v>
      </c>
      <c r="S568" s="330">
        <v>46080.682775497684</v>
      </c>
      <c r="T568" s="2"/>
      <c r="U568" s="289">
        <f t="shared" si="341"/>
        <v>530</v>
      </c>
      <c r="V568" s="304" t="str">
        <f t="shared" ref="V568:V570" si="346">IF(L568&gt;0, Q1672 - L568, "нет з/ч")</f>
        <v>нет з/ч</v>
      </c>
      <c r="W568" s="2"/>
      <c r="X568" s="289">
        <v>270.0</v>
      </c>
      <c r="Y568" s="139"/>
      <c r="Z568" s="2"/>
      <c r="AA568" s="2" t="s">
        <v>7779</v>
      </c>
      <c r="AB568" s="2" t="s">
        <v>7779</v>
      </c>
      <c r="AC568" s="2"/>
      <c r="AD568" s="2" t="s">
        <v>7779</v>
      </c>
      <c r="AE568" s="3" t="s">
        <v>7778</v>
      </c>
      <c r="AF568" s="2"/>
      <c r="AG568" s="1" t="s">
        <v>1582</v>
      </c>
      <c r="AH568" s="1" t="s">
        <v>6295</v>
      </c>
      <c r="AI568" s="2">
        <v>180.0</v>
      </c>
      <c r="AJ568" s="1" t="s">
        <v>1589</v>
      </c>
      <c r="AK568" s="1" t="s">
        <v>5878</v>
      </c>
      <c r="AL568" s="1" t="s">
        <v>5878</v>
      </c>
      <c r="AM568" s="2"/>
      <c r="AN568" s="2"/>
      <c r="AO568" s="2"/>
      <c r="AP568" s="2"/>
      <c r="AQ568" s="2"/>
      <c r="AR568" s="2"/>
      <c r="AS568" s="2"/>
      <c r="AT568" s="2"/>
      <c r="AU568" s="126">
        <v>270.0</v>
      </c>
      <c r="AV568" s="126">
        <v>800.0</v>
      </c>
      <c r="AW568" s="2"/>
      <c r="AX568" s="2"/>
      <c r="AY568" s="2"/>
      <c r="AZ568" s="2"/>
      <c r="BA568" s="2"/>
      <c r="BB568" s="2"/>
      <c r="BC568" s="2"/>
      <c r="BD568" s="2"/>
      <c r="BE568" s="2"/>
    </row>
    <row r="569" hidden="1">
      <c r="A569" s="2"/>
      <c r="B569" s="312" t="s">
        <v>7783</v>
      </c>
      <c r="C569" s="320" t="s">
        <v>7784</v>
      </c>
      <c r="D569" s="11">
        <v>180.0</v>
      </c>
      <c r="E569" s="31" t="s">
        <v>7780</v>
      </c>
      <c r="F569" s="11" t="s">
        <v>7688</v>
      </c>
      <c r="G569" s="321"/>
      <c r="H569" s="322"/>
      <c r="I569" s="323"/>
      <c r="J569" s="324"/>
      <c r="K569" s="322"/>
      <c r="L569" s="323"/>
      <c r="M569" s="324" t="s">
        <v>22</v>
      </c>
      <c r="N569" s="284">
        <v>0.185</v>
      </c>
      <c r="O569" s="322" t="s">
        <v>22</v>
      </c>
      <c r="P569" s="104"/>
      <c r="Q569" s="319">
        <f>P568</f>
        <v>800</v>
      </c>
      <c r="R569" s="325"/>
      <c r="S569" s="326"/>
      <c r="T569" s="2"/>
      <c r="U569" s="59" t="str">
        <f t="shared" si="341"/>
        <v>нет з/ч</v>
      </c>
      <c r="V569" s="304" t="str">
        <f t="shared" si="346"/>
        <v>нет з/ч</v>
      </c>
      <c r="W569" s="2"/>
      <c r="X569" s="289"/>
      <c r="Y569" s="139"/>
      <c r="Z569" s="2"/>
      <c r="AA569" s="2" t="s">
        <v>7784</v>
      </c>
      <c r="AB569" s="2" t="s">
        <v>7784</v>
      </c>
      <c r="AC569" s="2"/>
      <c r="AD569" s="2" t="s">
        <v>7784</v>
      </c>
      <c r="AE569" s="3" t="s">
        <v>7783</v>
      </c>
      <c r="AF569" s="2"/>
      <c r="AG569" s="1" t="s">
        <v>1582</v>
      </c>
      <c r="AH569" s="1" t="s">
        <v>6295</v>
      </c>
      <c r="AI569" s="2">
        <v>180.0</v>
      </c>
      <c r="AJ569" s="1" t="s">
        <v>1589</v>
      </c>
      <c r="AK569" s="1" t="s">
        <v>5878</v>
      </c>
      <c r="AL569" s="1" t="s">
        <v>5878</v>
      </c>
      <c r="AM569" s="2"/>
      <c r="AN569" s="2"/>
      <c r="AO569" s="2"/>
      <c r="AP569" s="2"/>
      <c r="AQ569" s="2"/>
      <c r="AR569" s="2"/>
      <c r="AS569" s="2"/>
      <c r="AT569" s="2"/>
      <c r="AU569" s="126" t="s">
        <v>22</v>
      </c>
      <c r="AV569" s="126">
        <v>800.0</v>
      </c>
      <c r="AW569" s="2"/>
      <c r="AX569" s="2"/>
      <c r="AY569" s="2"/>
      <c r="AZ569" s="2"/>
      <c r="BA569" s="2"/>
      <c r="BB569" s="2"/>
      <c r="BC569" s="2"/>
      <c r="BD569" s="2"/>
      <c r="BE569" s="2"/>
    </row>
    <row r="570" hidden="1">
      <c r="A570" s="2"/>
      <c r="B570" s="312" t="s">
        <v>7785</v>
      </c>
      <c r="C570" s="320" t="s">
        <v>7786</v>
      </c>
      <c r="D570" s="11">
        <v>180.0</v>
      </c>
      <c r="E570" s="31" t="s">
        <v>7780</v>
      </c>
      <c r="F570" s="11" t="s">
        <v>7688</v>
      </c>
      <c r="G570" s="321"/>
      <c r="H570" s="322"/>
      <c r="I570" s="323"/>
      <c r="J570" s="324"/>
      <c r="K570" s="322"/>
      <c r="L570" s="323"/>
      <c r="M570" s="324" t="s">
        <v>22</v>
      </c>
      <c r="N570" s="284">
        <v>0.185</v>
      </c>
      <c r="O570" s="322" t="s">
        <v>22</v>
      </c>
      <c r="P570" s="67"/>
      <c r="Q570" s="319">
        <f>P568</f>
        <v>800</v>
      </c>
      <c r="R570" s="325"/>
      <c r="S570" s="326"/>
      <c r="T570" s="2"/>
      <c r="U570" s="59" t="str">
        <f t="shared" si="341"/>
        <v>нет з/ч</v>
      </c>
      <c r="V570" s="304" t="str">
        <f t="shared" si="346"/>
        <v>нет з/ч</v>
      </c>
      <c r="W570" s="2"/>
      <c r="X570" s="289"/>
      <c r="Y570" s="139"/>
      <c r="Z570" s="2"/>
      <c r="AA570" s="2" t="s">
        <v>7786</v>
      </c>
      <c r="AB570" s="2" t="s">
        <v>7786</v>
      </c>
      <c r="AC570" s="2"/>
      <c r="AD570" s="2" t="s">
        <v>7786</v>
      </c>
      <c r="AE570" s="3" t="s">
        <v>7785</v>
      </c>
      <c r="AF570" s="2"/>
      <c r="AG570" s="1" t="s">
        <v>1582</v>
      </c>
      <c r="AH570" s="1" t="s">
        <v>6295</v>
      </c>
      <c r="AI570" s="2">
        <v>180.0</v>
      </c>
      <c r="AJ570" s="1" t="s">
        <v>1589</v>
      </c>
      <c r="AK570" s="1" t="s">
        <v>5878</v>
      </c>
      <c r="AL570" s="1" t="s">
        <v>5878</v>
      </c>
      <c r="AM570" s="2"/>
      <c r="AN570" s="2"/>
      <c r="AO570" s="2"/>
      <c r="AP570" s="2"/>
      <c r="AQ570" s="2"/>
      <c r="AR570" s="2"/>
      <c r="AS570" s="2"/>
      <c r="AT570" s="2"/>
      <c r="AU570" s="126" t="s">
        <v>22</v>
      </c>
      <c r="AV570" s="126">
        <v>800.0</v>
      </c>
      <c r="AW570" s="2"/>
      <c r="AX570" s="2"/>
      <c r="AY570" s="2"/>
      <c r="AZ570" s="2"/>
      <c r="BA570" s="2"/>
      <c r="BB570" s="2"/>
      <c r="BC570" s="2"/>
      <c r="BD570" s="2"/>
      <c r="BE570" s="2"/>
    </row>
    <row r="571" hidden="1">
      <c r="A571" s="2"/>
      <c r="B571" s="312" t="s">
        <v>7787</v>
      </c>
      <c r="C571" s="320" t="s">
        <v>7788</v>
      </c>
      <c r="D571" s="11">
        <v>180.0</v>
      </c>
      <c r="E571" s="31" t="s">
        <v>7789</v>
      </c>
      <c r="F571" s="11" t="s">
        <v>7688</v>
      </c>
      <c r="G571" s="327" t="s">
        <v>7790</v>
      </c>
      <c r="H571" s="322">
        <v>450.0</v>
      </c>
      <c r="I571" s="328">
        <v>450.0</v>
      </c>
      <c r="J571" s="324"/>
      <c r="K571" s="322"/>
      <c r="L571" s="323"/>
      <c r="M571" s="324">
        <v>450.0</v>
      </c>
      <c r="N571" s="284">
        <v>4.0</v>
      </c>
      <c r="O571" s="322">
        <v>2250.0</v>
      </c>
      <c r="P571" s="313">
        <f>MAX(O571:O572)</f>
        <v>2250</v>
      </c>
      <c r="Q571" s="303">
        <f>P571</f>
        <v>2250</v>
      </c>
      <c r="R571" s="329" t="s">
        <v>7791</v>
      </c>
      <c r="S571" s="330">
        <v>46080.68282637731</v>
      </c>
      <c r="T571" s="2"/>
      <c r="U571" s="289">
        <f t="shared" si="341"/>
        <v>1800</v>
      </c>
      <c r="V571" s="304" t="str">
        <f t="shared" ref="V571:V572" si="347">IF(L571&gt;0, Q1678 - L571, "нет з/ч")</f>
        <v>нет з/ч</v>
      </c>
      <c r="W571" s="2"/>
      <c r="X571" s="289">
        <v>450.0</v>
      </c>
      <c r="Y571" s="139"/>
      <c r="Z571" s="2"/>
      <c r="AA571" s="2" t="s">
        <v>7788</v>
      </c>
      <c r="AB571" s="2" t="s">
        <v>7788</v>
      </c>
      <c r="AC571" s="2"/>
      <c r="AD571" s="2" t="s">
        <v>7788</v>
      </c>
      <c r="AE571" s="3" t="s">
        <v>7787</v>
      </c>
      <c r="AF571" s="2"/>
      <c r="AG571" s="1" t="s">
        <v>1582</v>
      </c>
      <c r="AH571" s="1" t="s">
        <v>6343</v>
      </c>
      <c r="AI571" s="2">
        <v>180.0</v>
      </c>
      <c r="AJ571" s="1" t="s">
        <v>1589</v>
      </c>
      <c r="AK571" s="1" t="s">
        <v>5878</v>
      </c>
      <c r="AL571" s="1" t="s">
        <v>5878</v>
      </c>
      <c r="AM571" s="2"/>
      <c r="AN571" s="2"/>
      <c r="AO571" s="2"/>
      <c r="AP571" s="2"/>
      <c r="AQ571" s="2"/>
      <c r="AR571" s="2"/>
      <c r="AS571" s="2"/>
      <c r="AT571" s="2"/>
      <c r="AU571" s="126">
        <v>450.0</v>
      </c>
      <c r="AV571" s="126">
        <v>2250.0</v>
      </c>
      <c r="AW571" s="2"/>
      <c r="AX571" s="2"/>
      <c r="AY571" s="2"/>
      <c r="AZ571" s="2"/>
      <c r="BA571" s="2"/>
      <c r="BB571" s="2"/>
      <c r="BC571" s="2"/>
      <c r="BD571" s="2"/>
      <c r="BE571" s="2"/>
    </row>
    <row r="572" hidden="1">
      <c r="A572" s="2"/>
      <c r="B572" s="312" t="s">
        <v>7792</v>
      </c>
      <c r="C572" s="320" t="s">
        <v>7793</v>
      </c>
      <c r="D572" s="11">
        <v>180.0</v>
      </c>
      <c r="E572" s="31" t="s">
        <v>7789</v>
      </c>
      <c r="F572" s="11" t="s">
        <v>7688</v>
      </c>
      <c r="G572" s="321"/>
      <c r="H572" s="322"/>
      <c r="I572" s="323"/>
      <c r="J572" s="324"/>
      <c r="K572" s="322"/>
      <c r="L572" s="323"/>
      <c r="M572" s="324" t="s">
        <v>22</v>
      </c>
      <c r="N572" s="284">
        <v>0.185</v>
      </c>
      <c r="O572" s="322" t="s">
        <v>22</v>
      </c>
      <c r="P572" s="67"/>
      <c r="Q572" s="303">
        <f>P571</f>
        <v>2250</v>
      </c>
      <c r="R572" s="331"/>
      <c r="S572" s="326"/>
      <c r="T572" s="2"/>
      <c r="U572" s="59" t="str">
        <f t="shared" si="341"/>
        <v>нет з/ч</v>
      </c>
      <c r="V572" s="304" t="str">
        <f t="shared" si="347"/>
        <v>нет з/ч</v>
      </c>
      <c r="W572" s="2"/>
      <c r="X572" s="289"/>
      <c r="Y572" s="139"/>
      <c r="Z572" s="2"/>
      <c r="AA572" s="2" t="s">
        <v>7793</v>
      </c>
      <c r="AB572" s="2" t="s">
        <v>7793</v>
      </c>
      <c r="AC572" s="2"/>
      <c r="AD572" s="2" t="s">
        <v>7793</v>
      </c>
      <c r="AE572" s="3" t="s">
        <v>7792</v>
      </c>
      <c r="AF572" s="2"/>
      <c r="AG572" s="1" t="s">
        <v>1582</v>
      </c>
      <c r="AH572" s="1" t="s">
        <v>6343</v>
      </c>
      <c r="AI572" s="2">
        <v>180.0</v>
      </c>
      <c r="AJ572" s="1" t="s">
        <v>1589</v>
      </c>
      <c r="AK572" s="1" t="s">
        <v>5878</v>
      </c>
      <c r="AL572" s="1" t="s">
        <v>5878</v>
      </c>
      <c r="AM572" s="2"/>
      <c r="AN572" s="2"/>
      <c r="AO572" s="2"/>
      <c r="AP572" s="2"/>
      <c r="AQ572" s="2"/>
      <c r="AR572" s="2"/>
      <c r="AS572" s="2"/>
      <c r="AT572" s="2"/>
      <c r="AU572" s="126" t="s">
        <v>22</v>
      </c>
      <c r="AV572" s="126">
        <v>2250.0</v>
      </c>
      <c r="AW572" s="2"/>
      <c r="AX572" s="2"/>
      <c r="AY572" s="2"/>
      <c r="AZ572" s="2"/>
      <c r="BA572" s="2"/>
      <c r="BB572" s="2"/>
      <c r="BC572" s="2"/>
      <c r="BD572" s="2"/>
      <c r="BE572" s="2"/>
    </row>
    <row r="573" hidden="1">
      <c r="A573" s="2"/>
      <c r="B573" s="312" t="s">
        <v>7794</v>
      </c>
      <c r="C573" s="93"/>
      <c r="D573" s="11">
        <v>180.0</v>
      </c>
      <c r="E573" s="31" t="s">
        <v>325</v>
      </c>
      <c r="F573" s="11" t="s">
        <v>7688</v>
      </c>
      <c r="G573" s="321"/>
      <c r="H573" s="322"/>
      <c r="I573" s="323"/>
      <c r="J573" s="324"/>
      <c r="K573" s="322"/>
      <c r="L573" s="323"/>
      <c r="M573" s="324" t="s">
        <v>22</v>
      </c>
      <c r="N573" s="284">
        <v>0.185</v>
      </c>
      <c r="O573" s="322" t="s">
        <v>22</v>
      </c>
      <c r="P573" s="313" t="str">
        <f t="shared" ref="P573:Q573" si="348">O573</f>
        <v/>
      </c>
      <c r="Q573" s="319" t="str">
        <f t="shared" si="348"/>
        <v/>
      </c>
      <c r="R573" s="331"/>
      <c r="S573" s="326"/>
      <c r="T573" s="2"/>
      <c r="U573" s="59"/>
      <c r="V573" s="304"/>
      <c r="W573" s="2"/>
      <c r="X573" s="289"/>
      <c r="Y573" s="139"/>
      <c r="Z573" s="2"/>
      <c r="AA573" s="2"/>
      <c r="AB573" s="2"/>
      <c r="AC573" s="2"/>
      <c r="AD573" s="2"/>
      <c r="AE573" s="3" t="s">
        <v>7794</v>
      </c>
      <c r="AF573" s="2"/>
      <c r="AG573" s="1" t="s">
        <v>1582</v>
      </c>
      <c r="AH573" s="1" t="s">
        <v>6359</v>
      </c>
      <c r="AI573" s="2">
        <v>180.0</v>
      </c>
      <c r="AJ573" s="1" t="s">
        <v>1589</v>
      </c>
      <c r="AK573" s="1" t="s">
        <v>5878</v>
      </c>
      <c r="AL573" s="1" t="s">
        <v>5878</v>
      </c>
      <c r="AM573" s="2"/>
      <c r="AN573" s="2"/>
      <c r="AO573" s="2"/>
      <c r="AP573" s="2"/>
      <c r="AQ573" s="2"/>
      <c r="AR573" s="2"/>
      <c r="AS573" s="2"/>
      <c r="AT573" s="2"/>
      <c r="AU573" s="126" t="s">
        <v>22</v>
      </c>
      <c r="AV573" s="126" t="s">
        <v>22</v>
      </c>
      <c r="AW573" s="2"/>
      <c r="AX573" s="2"/>
      <c r="AY573" s="2"/>
      <c r="AZ573" s="2"/>
      <c r="BA573" s="2"/>
      <c r="BB573" s="2"/>
      <c r="BC573" s="2"/>
      <c r="BD573" s="2"/>
      <c r="BE573" s="2"/>
    </row>
    <row r="574" hidden="1">
      <c r="A574" s="2"/>
      <c r="B574" s="312" t="s">
        <v>7795</v>
      </c>
      <c r="C574" s="320" t="s">
        <v>7796</v>
      </c>
      <c r="D574" s="11">
        <v>180.0</v>
      </c>
      <c r="E574" s="31" t="s">
        <v>7797</v>
      </c>
      <c r="F574" s="11" t="s">
        <v>7688</v>
      </c>
      <c r="G574" s="327" t="s">
        <v>7798</v>
      </c>
      <c r="H574" s="322">
        <v>450.0</v>
      </c>
      <c r="I574" s="328">
        <v>450.0</v>
      </c>
      <c r="J574" s="324"/>
      <c r="K574" s="322"/>
      <c r="L574" s="323"/>
      <c r="M574" s="324">
        <v>450.0</v>
      </c>
      <c r="N574" s="284">
        <v>3.0</v>
      </c>
      <c r="O574" s="322">
        <v>1800.0</v>
      </c>
      <c r="P574" s="313">
        <f>MAX(O574:O576)</f>
        <v>1800</v>
      </c>
      <c r="Q574" s="319">
        <f>P574</f>
        <v>1800</v>
      </c>
      <c r="R574" s="329" t="s">
        <v>7799</v>
      </c>
      <c r="S574" s="330">
        <v>46080.68287607639</v>
      </c>
      <c r="T574" s="2"/>
      <c r="U574" s="289">
        <f t="shared" ref="U574:U590" si="349">IF(I574&gt;0, Q574 - I574, "нет з/ч")</f>
        <v>1350</v>
      </c>
      <c r="V574" s="304" t="str">
        <f t="shared" ref="V574:V576" si="350">IF(L574&gt;0, Q1682 - L574, "нет з/ч")</f>
        <v>нет з/ч</v>
      </c>
      <c r="W574" s="2"/>
      <c r="X574" s="289">
        <v>450.0</v>
      </c>
      <c r="Y574" s="139"/>
      <c r="Z574" s="2"/>
      <c r="AA574" s="2" t="s">
        <v>7796</v>
      </c>
      <c r="AB574" s="2" t="s">
        <v>7796</v>
      </c>
      <c r="AC574" s="2"/>
      <c r="AD574" s="2" t="s">
        <v>7796</v>
      </c>
      <c r="AE574" s="3" t="s">
        <v>7795</v>
      </c>
      <c r="AF574" s="2"/>
      <c r="AG574" s="1" t="s">
        <v>1582</v>
      </c>
      <c r="AH574" s="1" t="s">
        <v>6389</v>
      </c>
      <c r="AI574" s="2">
        <v>180.0</v>
      </c>
      <c r="AJ574" s="1" t="s">
        <v>1589</v>
      </c>
      <c r="AK574" s="1" t="s">
        <v>5878</v>
      </c>
      <c r="AL574" s="1" t="s">
        <v>5878</v>
      </c>
      <c r="AM574" s="2"/>
      <c r="AN574" s="2"/>
      <c r="AO574" s="2"/>
      <c r="AP574" s="2"/>
      <c r="AQ574" s="2"/>
      <c r="AR574" s="2"/>
      <c r="AS574" s="2"/>
      <c r="AT574" s="2"/>
      <c r="AU574" s="126">
        <v>450.0</v>
      </c>
      <c r="AV574" s="126">
        <v>1800.0</v>
      </c>
      <c r="AW574" s="2"/>
      <c r="AX574" s="2"/>
      <c r="AY574" s="2"/>
      <c r="AZ574" s="2"/>
      <c r="BA574" s="2"/>
      <c r="BB574" s="2"/>
      <c r="BC574" s="2"/>
      <c r="BD574" s="2"/>
      <c r="BE574" s="2"/>
    </row>
    <row r="575" hidden="1">
      <c r="A575" s="2"/>
      <c r="B575" s="312" t="s">
        <v>7800</v>
      </c>
      <c r="C575" s="320" t="s">
        <v>7801</v>
      </c>
      <c r="D575" s="11">
        <v>180.0</v>
      </c>
      <c r="E575" s="31" t="s">
        <v>7797</v>
      </c>
      <c r="F575" s="11" t="s">
        <v>7688</v>
      </c>
      <c r="G575" s="321"/>
      <c r="H575" s="322"/>
      <c r="I575" s="323"/>
      <c r="J575" s="324"/>
      <c r="K575" s="322"/>
      <c r="L575" s="323"/>
      <c r="M575" s="324" t="s">
        <v>22</v>
      </c>
      <c r="N575" s="284">
        <v>0.185</v>
      </c>
      <c r="O575" s="322" t="s">
        <v>22</v>
      </c>
      <c r="P575" s="104"/>
      <c r="Q575" s="319">
        <f>P574</f>
        <v>1800</v>
      </c>
      <c r="R575" s="331"/>
      <c r="S575" s="326"/>
      <c r="T575" s="2"/>
      <c r="U575" s="59" t="str">
        <f t="shared" si="349"/>
        <v>нет з/ч</v>
      </c>
      <c r="V575" s="304" t="str">
        <f t="shared" si="350"/>
        <v>нет з/ч</v>
      </c>
      <c r="W575" s="2"/>
      <c r="X575" s="289"/>
      <c r="Y575" s="139"/>
      <c r="Z575" s="2"/>
      <c r="AA575" s="2" t="s">
        <v>7801</v>
      </c>
      <c r="AB575" s="2" t="s">
        <v>7801</v>
      </c>
      <c r="AC575" s="2"/>
      <c r="AD575" s="2" t="s">
        <v>7801</v>
      </c>
      <c r="AE575" s="3" t="s">
        <v>7800</v>
      </c>
      <c r="AF575" s="2"/>
      <c r="AG575" s="1" t="s">
        <v>1582</v>
      </c>
      <c r="AH575" s="1" t="s">
        <v>6389</v>
      </c>
      <c r="AI575" s="2">
        <v>180.0</v>
      </c>
      <c r="AJ575" s="1" t="s">
        <v>1589</v>
      </c>
      <c r="AK575" s="1" t="s">
        <v>5878</v>
      </c>
      <c r="AL575" s="1" t="s">
        <v>5878</v>
      </c>
      <c r="AM575" s="2"/>
      <c r="AN575" s="2"/>
      <c r="AO575" s="2"/>
      <c r="AP575" s="2"/>
      <c r="AQ575" s="2"/>
      <c r="AR575" s="2"/>
      <c r="AS575" s="2"/>
      <c r="AT575" s="2"/>
      <c r="AU575" s="126" t="s">
        <v>22</v>
      </c>
      <c r="AV575" s="126">
        <v>1800.0</v>
      </c>
      <c r="AW575" s="2"/>
      <c r="AX575" s="2"/>
      <c r="AY575" s="2"/>
      <c r="AZ575" s="2"/>
      <c r="BA575" s="2"/>
      <c r="BB575" s="2"/>
      <c r="BC575" s="2"/>
      <c r="BD575" s="2"/>
      <c r="BE575" s="2"/>
    </row>
    <row r="576" hidden="1">
      <c r="A576" s="2"/>
      <c r="B576" s="312" t="s">
        <v>7802</v>
      </c>
      <c r="C576" s="320" t="s">
        <v>7803</v>
      </c>
      <c r="D576" s="11">
        <v>180.0</v>
      </c>
      <c r="E576" s="31" t="s">
        <v>7797</v>
      </c>
      <c r="F576" s="11" t="s">
        <v>7688</v>
      </c>
      <c r="G576" s="321"/>
      <c r="H576" s="322"/>
      <c r="I576" s="323"/>
      <c r="J576" s="324"/>
      <c r="K576" s="322"/>
      <c r="L576" s="323"/>
      <c r="M576" s="324" t="s">
        <v>22</v>
      </c>
      <c r="N576" s="284">
        <v>0.185</v>
      </c>
      <c r="O576" s="322" t="s">
        <v>22</v>
      </c>
      <c r="P576" s="67"/>
      <c r="Q576" s="319">
        <f>P574</f>
        <v>1800</v>
      </c>
      <c r="R576" s="331"/>
      <c r="S576" s="326"/>
      <c r="T576" s="2"/>
      <c r="U576" s="59" t="str">
        <f t="shared" si="349"/>
        <v>нет з/ч</v>
      </c>
      <c r="V576" s="304" t="str">
        <f t="shared" si="350"/>
        <v>нет з/ч</v>
      </c>
      <c r="W576" s="2"/>
      <c r="X576" s="289"/>
      <c r="Y576" s="139"/>
      <c r="Z576" s="2"/>
      <c r="AA576" s="2" t="s">
        <v>7803</v>
      </c>
      <c r="AB576" s="2" t="s">
        <v>7803</v>
      </c>
      <c r="AC576" s="2"/>
      <c r="AD576" s="2" t="s">
        <v>7803</v>
      </c>
      <c r="AE576" s="3" t="s">
        <v>7802</v>
      </c>
      <c r="AF576" s="2"/>
      <c r="AG576" s="1" t="s">
        <v>1582</v>
      </c>
      <c r="AH576" s="1" t="s">
        <v>6389</v>
      </c>
      <c r="AI576" s="2">
        <v>180.0</v>
      </c>
      <c r="AJ576" s="1" t="s">
        <v>1589</v>
      </c>
      <c r="AK576" s="1" t="s">
        <v>5878</v>
      </c>
      <c r="AL576" s="1" t="s">
        <v>5878</v>
      </c>
      <c r="AM576" s="2"/>
      <c r="AN576" s="2"/>
      <c r="AO576" s="2"/>
      <c r="AP576" s="2"/>
      <c r="AQ576" s="2"/>
      <c r="AR576" s="2"/>
      <c r="AS576" s="2"/>
      <c r="AT576" s="2"/>
      <c r="AU576" s="126" t="s">
        <v>22</v>
      </c>
      <c r="AV576" s="126">
        <v>1800.0</v>
      </c>
      <c r="AW576" s="2"/>
      <c r="AX576" s="2"/>
      <c r="AY576" s="2"/>
      <c r="AZ576" s="2"/>
      <c r="BA576" s="2"/>
      <c r="BB576" s="2"/>
      <c r="BC576" s="2"/>
      <c r="BD576" s="2"/>
      <c r="BE576" s="2"/>
    </row>
    <row r="577" hidden="1">
      <c r="A577" s="2"/>
      <c r="B577" s="312" t="s">
        <v>7804</v>
      </c>
      <c r="C577" s="320" t="s">
        <v>7805</v>
      </c>
      <c r="D577" s="11">
        <v>180.0</v>
      </c>
      <c r="E577" s="31" t="s">
        <v>353</v>
      </c>
      <c r="F577" s="11" t="s">
        <v>7688</v>
      </c>
      <c r="G577" s="327" t="s">
        <v>7806</v>
      </c>
      <c r="H577" s="322">
        <v>500.0</v>
      </c>
      <c r="I577" s="328">
        <v>500.0</v>
      </c>
      <c r="J577" s="324"/>
      <c r="K577" s="322"/>
      <c r="L577" s="323"/>
      <c r="M577" s="324">
        <v>500.0</v>
      </c>
      <c r="N577" s="284">
        <v>3.0</v>
      </c>
      <c r="O577" s="322">
        <v>2000.0</v>
      </c>
      <c r="P577" s="313">
        <f>MAX(O577:O578)</f>
        <v>2000</v>
      </c>
      <c r="Q577" s="303">
        <f>P577</f>
        <v>2000</v>
      </c>
      <c r="R577" s="329" t="s">
        <v>7807</v>
      </c>
      <c r="S577" s="330">
        <v>46080.682925925925</v>
      </c>
      <c r="T577" s="2"/>
      <c r="U577" s="289">
        <f t="shared" si="349"/>
        <v>1500</v>
      </c>
      <c r="V577" s="304" t="str">
        <f t="shared" ref="V577:V585" si="351">IF(L577&gt;0, Q1688 - L577, "нет з/ч")</f>
        <v>нет з/ч</v>
      </c>
      <c r="W577" s="2"/>
      <c r="X577" s="289">
        <v>500.0</v>
      </c>
      <c r="Y577" s="139"/>
      <c r="Z577" s="2"/>
      <c r="AA577" s="2" t="s">
        <v>7805</v>
      </c>
      <c r="AB577" s="2" t="s">
        <v>7805</v>
      </c>
      <c r="AC577" s="2"/>
      <c r="AD577" s="2" t="s">
        <v>7805</v>
      </c>
      <c r="AE577" s="3" t="s">
        <v>7804</v>
      </c>
      <c r="AF577" s="2"/>
      <c r="AG577" s="1" t="s">
        <v>1582</v>
      </c>
      <c r="AH577" s="1" t="s">
        <v>6922</v>
      </c>
      <c r="AI577" s="2">
        <v>180.0</v>
      </c>
      <c r="AJ577" s="1" t="s">
        <v>1589</v>
      </c>
      <c r="AK577" s="1" t="s">
        <v>5878</v>
      </c>
      <c r="AL577" s="1" t="s">
        <v>5878</v>
      </c>
      <c r="AM577" s="2"/>
      <c r="AN577" s="2"/>
      <c r="AO577" s="2"/>
      <c r="AP577" s="2"/>
      <c r="AQ577" s="2"/>
      <c r="AR577" s="2"/>
      <c r="AS577" s="2"/>
      <c r="AT577" s="2"/>
      <c r="AU577" s="126">
        <v>500.0</v>
      </c>
      <c r="AV577" s="126">
        <v>2000.0</v>
      </c>
      <c r="AW577" s="2"/>
      <c r="AX577" s="2"/>
      <c r="AY577" s="2"/>
      <c r="AZ577" s="2"/>
      <c r="BA577" s="2"/>
      <c r="BB577" s="2"/>
      <c r="BC577" s="2"/>
      <c r="BD577" s="2"/>
      <c r="BE577" s="2"/>
    </row>
    <row r="578" hidden="1">
      <c r="A578" s="2"/>
      <c r="B578" s="312" t="s">
        <v>7808</v>
      </c>
      <c r="C578" s="320" t="s">
        <v>7809</v>
      </c>
      <c r="D578" s="11">
        <v>180.0</v>
      </c>
      <c r="E578" s="31" t="s">
        <v>353</v>
      </c>
      <c r="F578" s="11" t="s">
        <v>7688</v>
      </c>
      <c r="G578" s="321"/>
      <c r="H578" s="322"/>
      <c r="I578" s="323"/>
      <c r="J578" s="324"/>
      <c r="K578" s="322"/>
      <c r="L578" s="323"/>
      <c r="M578" s="324" t="s">
        <v>22</v>
      </c>
      <c r="N578" s="284">
        <v>0.185</v>
      </c>
      <c r="O578" s="322" t="s">
        <v>22</v>
      </c>
      <c r="P578" s="67"/>
      <c r="Q578" s="303">
        <f>P577</f>
        <v>2000</v>
      </c>
      <c r="R578" s="331"/>
      <c r="S578" s="326"/>
      <c r="T578" s="2"/>
      <c r="U578" s="59" t="str">
        <f t="shared" si="349"/>
        <v>нет з/ч</v>
      </c>
      <c r="V578" s="304" t="str">
        <f t="shared" si="351"/>
        <v>нет з/ч</v>
      </c>
      <c r="W578" s="2"/>
      <c r="X578" s="289"/>
      <c r="Y578" s="139"/>
      <c r="Z578" s="2"/>
      <c r="AA578" s="2" t="s">
        <v>7809</v>
      </c>
      <c r="AB578" s="2" t="s">
        <v>7809</v>
      </c>
      <c r="AC578" s="2"/>
      <c r="AD578" s="2" t="s">
        <v>7809</v>
      </c>
      <c r="AE578" s="3" t="s">
        <v>7808</v>
      </c>
      <c r="AF578" s="2"/>
      <c r="AG578" s="1" t="s">
        <v>1582</v>
      </c>
      <c r="AH578" s="1" t="s">
        <v>6922</v>
      </c>
      <c r="AI578" s="2">
        <v>180.0</v>
      </c>
      <c r="AJ578" s="1" t="s">
        <v>1589</v>
      </c>
      <c r="AK578" s="1" t="s">
        <v>5878</v>
      </c>
      <c r="AL578" s="1" t="s">
        <v>5878</v>
      </c>
      <c r="AM578" s="2"/>
      <c r="AN578" s="2"/>
      <c r="AO578" s="2"/>
      <c r="AP578" s="2"/>
      <c r="AQ578" s="2"/>
      <c r="AR578" s="2"/>
      <c r="AS578" s="2"/>
      <c r="AT578" s="2"/>
      <c r="AU578" s="126" t="s">
        <v>22</v>
      </c>
      <c r="AV578" s="126">
        <v>2000.0</v>
      </c>
      <c r="AW578" s="2"/>
      <c r="AX578" s="2"/>
      <c r="AY578" s="2"/>
      <c r="AZ578" s="2"/>
      <c r="BA578" s="2"/>
      <c r="BB578" s="2"/>
      <c r="BC578" s="2"/>
      <c r="BD578" s="2"/>
      <c r="BE578" s="2"/>
    </row>
    <row r="579" hidden="1">
      <c r="A579" s="2"/>
      <c r="B579" s="312" t="s">
        <v>7810</v>
      </c>
      <c r="C579" s="320" t="s">
        <v>7811</v>
      </c>
      <c r="D579" s="11">
        <v>180.0</v>
      </c>
      <c r="E579" s="31" t="s">
        <v>360</v>
      </c>
      <c r="F579" s="11" t="s">
        <v>7688</v>
      </c>
      <c r="G579" s="327" t="s">
        <v>7812</v>
      </c>
      <c r="H579" s="322">
        <v>350.0</v>
      </c>
      <c r="I579" s="328">
        <v>350.0</v>
      </c>
      <c r="J579" s="324"/>
      <c r="K579" s="322"/>
      <c r="L579" s="323"/>
      <c r="M579" s="324">
        <v>350.0</v>
      </c>
      <c r="N579" s="284">
        <v>5.0</v>
      </c>
      <c r="O579" s="322">
        <v>2100.0</v>
      </c>
      <c r="P579" s="313">
        <f>O579</f>
        <v>2100</v>
      </c>
      <c r="Q579" s="319">
        <f>P580</f>
        <v>2800</v>
      </c>
      <c r="R579" s="329" t="s">
        <v>7813</v>
      </c>
      <c r="S579" s="330">
        <v>46080.682950856484</v>
      </c>
      <c r="T579" s="2"/>
      <c r="U579" s="289">
        <f t="shared" si="349"/>
        <v>2450</v>
      </c>
      <c r="V579" s="304" t="str">
        <f t="shared" si="351"/>
        <v>нет з/ч</v>
      </c>
      <c r="W579" s="2"/>
      <c r="X579" s="289">
        <v>350.0</v>
      </c>
      <c r="Y579" s="139"/>
      <c r="Z579" s="2"/>
      <c r="AA579" s="2" t="s">
        <v>7811</v>
      </c>
      <c r="AB579" s="2" t="s">
        <v>7811</v>
      </c>
      <c r="AC579" s="2"/>
      <c r="AD579" s="2" t="s">
        <v>7811</v>
      </c>
      <c r="AE579" s="3" t="s">
        <v>7810</v>
      </c>
      <c r="AF579" s="2"/>
      <c r="AG579" s="1" t="s">
        <v>1582</v>
      </c>
      <c r="AH579" s="1" t="s">
        <v>6934</v>
      </c>
      <c r="AI579" s="2">
        <v>180.0</v>
      </c>
      <c r="AJ579" s="1" t="s">
        <v>1589</v>
      </c>
      <c r="AK579" s="1" t="s">
        <v>5878</v>
      </c>
      <c r="AL579" s="1" t="s">
        <v>5878</v>
      </c>
      <c r="AM579" s="2"/>
      <c r="AN579" s="2"/>
      <c r="AO579" s="2"/>
      <c r="AP579" s="2"/>
      <c r="AQ579" s="2"/>
      <c r="AR579" s="2"/>
      <c r="AS579" s="2"/>
      <c r="AT579" s="2"/>
      <c r="AU579" s="126">
        <v>350.0</v>
      </c>
      <c r="AV579" s="126">
        <v>2800.0</v>
      </c>
      <c r="AW579" s="2"/>
      <c r="AX579" s="2"/>
      <c r="AY579" s="2"/>
      <c r="AZ579" s="2"/>
      <c r="BA579" s="2"/>
      <c r="BB579" s="2"/>
      <c r="BC579" s="2"/>
      <c r="BD579" s="2"/>
      <c r="BE579" s="2"/>
    </row>
    <row r="580" hidden="1">
      <c r="A580" s="2"/>
      <c r="B580" s="312" t="s">
        <v>7814</v>
      </c>
      <c r="C580" s="320" t="s">
        <v>7815</v>
      </c>
      <c r="D580" s="11">
        <v>180.0</v>
      </c>
      <c r="E580" s="31" t="s">
        <v>367</v>
      </c>
      <c r="F580" s="11" t="s">
        <v>7688</v>
      </c>
      <c r="G580" s="327" t="s">
        <v>7816</v>
      </c>
      <c r="H580" s="322">
        <v>700.0</v>
      </c>
      <c r="I580" s="328">
        <v>700.0</v>
      </c>
      <c r="J580" s="324"/>
      <c r="K580" s="322"/>
      <c r="L580" s="323"/>
      <c r="M580" s="324">
        <v>700.0</v>
      </c>
      <c r="N580" s="284">
        <v>3.0</v>
      </c>
      <c r="O580" s="322">
        <v>2800.0</v>
      </c>
      <c r="P580" s="313">
        <f>MAX(O580:O582)</f>
        <v>2800</v>
      </c>
      <c r="Q580" s="319">
        <f>P580</f>
        <v>2800</v>
      </c>
      <c r="R580" s="329" t="s">
        <v>7817</v>
      </c>
      <c r="S580" s="330">
        <v>46080.682976145836</v>
      </c>
      <c r="T580" s="2"/>
      <c r="U580" s="289">
        <f t="shared" si="349"/>
        <v>2100</v>
      </c>
      <c r="V580" s="304" t="str">
        <f t="shared" si="351"/>
        <v>нет з/ч</v>
      </c>
      <c r="W580" s="2"/>
      <c r="X580" s="289">
        <v>700.0</v>
      </c>
      <c r="Y580" s="139"/>
      <c r="Z580" s="2"/>
      <c r="AA580" s="2" t="s">
        <v>7815</v>
      </c>
      <c r="AB580" s="2" t="s">
        <v>7815</v>
      </c>
      <c r="AC580" s="2"/>
      <c r="AD580" s="2" t="s">
        <v>7815</v>
      </c>
      <c r="AE580" s="3" t="s">
        <v>7814</v>
      </c>
      <c r="AF580" s="2"/>
      <c r="AG580" s="1" t="s">
        <v>1582</v>
      </c>
      <c r="AH580" s="1" t="s">
        <v>6946</v>
      </c>
      <c r="AI580" s="2">
        <v>180.0</v>
      </c>
      <c r="AJ580" s="1" t="s">
        <v>1589</v>
      </c>
      <c r="AK580" s="1" t="s">
        <v>5878</v>
      </c>
      <c r="AL580" s="1" t="s">
        <v>5878</v>
      </c>
      <c r="AM580" s="2"/>
      <c r="AN580" s="2"/>
      <c r="AO580" s="2"/>
      <c r="AP580" s="2"/>
      <c r="AQ580" s="2"/>
      <c r="AR580" s="2"/>
      <c r="AS580" s="2"/>
      <c r="AT580" s="2"/>
      <c r="AU580" s="126">
        <v>700.0</v>
      </c>
      <c r="AV580" s="126">
        <v>2800.0</v>
      </c>
      <c r="AW580" s="2"/>
      <c r="AX580" s="2"/>
      <c r="AY580" s="2"/>
      <c r="AZ580" s="2"/>
      <c r="BA580" s="2"/>
      <c r="BB580" s="2"/>
      <c r="BC580" s="2"/>
      <c r="BD580" s="2"/>
      <c r="BE580" s="2"/>
    </row>
    <row r="581" hidden="1">
      <c r="A581" s="2"/>
      <c r="B581" s="312" t="s">
        <v>7818</v>
      </c>
      <c r="C581" s="320" t="s">
        <v>7819</v>
      </c>
      <c r="D581" s="11">
        <v>180.0</v>
      </c>
      <c r="E581" s="31" t="s">
        <v>367</v>
      </c>
      <c r="F581" s="11" t="s">
        <v>7688</v>
      </c>
      <c r="G581" s="321"/>
      <c r="H581" s="322"/>
      <c r="I581" s="323"/>
      <c r="J581" s="324"/>
      <c r="K581" s="322"/>
      <c r="L581" s="323"/>
      <c r="M581" s="324" t="s">
        <v>22</v>
      </c>
      <c r="N581" s="284">
        <v>0.185</v>
      </c>
      <c r="O581" s="322" t="s">
        <v>22</v>
      </c>
      <c r="P581" s="104"/>
      <c r="Q581" s="319">
        <f>P580</f>
        <v>2800</v>
      </c>
      <c r="R581" s="331"/>
      <c r="S581" s="326"/>
      <c r="T581" s="2"/>
      <c r="U581" s="59" t="str">
        <f t="shared" si="349"/>
        <v>нет з/ч</v>
      </c>
      <c r="V581" s="304" t="str">
        <f t="shared" si="351"/>
        <v>нет з/ч</v>
      </c>
      <c r="W581" s="2"/>
      <c r="X581" s="289"/>
      <c r="Y581" s="139"/>
      <c r="Z581" s="2"/>
      <c r="AA581" s="2" t="s">
        <v>7819</v>
      </c>
      <c r="AB581" s="2" t="s">
        <v>7819</v>
      </c>
      <c r="AC581" s="2"/>
      <c r="AD581" s="2" t="s">
        <v>7819</v>
      </c>
      <c r="AE581" s="3" t="s">
        <v>7818</v>
      </c>
      <c r="AF581" s="2"/>
      <c r="AG581" s="1" t="s">
        <v>1582</v>
      </c>
      <c r="AH581" s="1" t="s">
        <v>6946</v>
      </c>
      <c r="AI581" s="2">
        <v>180.0</v>
      </c>
      <c r="AJ581" s="1" t="s">
        <v>1589</v>
      </c>
      <c r="AK581" s="1" t="s">
        <v>5878</v>
      </c>
      <c r="AL581" s="1" t="s">
        <v>5878</v>
      </c>
      <c r="AM581" s="2"/>
      <c r="AN581" s="2"/>
      <c r="AO581" s="2"/>
      <c r="AP581" s="2"/>
      <c r="AQ581" s="2"/>
      <c r="AR581" s="2"/>
      <c r="AS581" s="2"/>
      <c r="AT581" s="2"/>
      <c r="AU581" s="126" t="s">
        <v>22</v>
      </c>
      <c r="AV581" s="126">
        <v>2800.0</v>
      </c>
      <c r="AW581" s="2"/>
      <c r="AX581" s="2"/>
      <c r="AY581" s="2"/>
      <c r="AZ581" s="2"/>
      <c r="BA581" s="2"/>
      <c r="BB581" s="2"/>
      <c r="BC581" s="2"/>
      <c r="BD581" s="2"/>
      <c r="BE581" s="2"/>
    </row>
    <row r="582" hidden="1">
      <c r="A582" s="2"/>
      <c r="B582" s="312" t="s">
        <v>7820</v>
      </c>
      <c r="C582" s="320" t="s">
        <v>7821</v>
      </c>
      <c r="D582" s="11">
        <v>180.0</v>
      </c>
      <c r="E582" s="31" t="s">
        <v>367</v>
      </c>
      <c r="F582" s="11" t="s">
        <v>7688</v>
      </c>
      <c r="G582" s="321"/>
      <c r="H582" s="322"/>
      <c r="I582" s="323"/>
      <c r="J582" s="324"/>
      <c r="K582" s="322"/>
      <c r="L582" s="323"/>
      <c r="M582" s="324" t="s">
        <v>22</v>
      </c>
      <c r="N582" s="284">
        <v>0.185</v>
      </c>
      <c r="O582" s="322" t="s">
        <v>22</v>
      </c>
      <c r="P582" s="67"/>
      <c r="Q582" s="319">
        <f>P580</f>
        <v>2800</v>
      </c>
      <c r="R582" s="331"/>
      <c r="S582" s="326"/>
      <c r="T582" s="2"/>
      <c r="U582" s="59" t="str">
        <f t="shared" si="349"/>
        <v>нет з/ч</v>
      </c>
      <c r="V582" s="304" t="str">
        <f t="shared" si="351"/>
        <v>нет з/ч</v>
      </c>
      <c r="W582" s="2"/>
      <c r="X582" s="289"/>
      <c r="Y582" s="139"/>
      <c r="Z582" s="2"/>
      <c r="AA582" s="2" t="s">
        <v>7821</v>
      </c>
      <c r="AB582" s="2" t="s">
        <v>7821</v>
      </c>
      <c r="AC582" s="2"/>
      <c r="AD582" s="2" t="s">
        <v>7821</v>
      </c>
      <c r="AE582" s="3" t="s">
        <v>7820</v>
      </c>
      <c r="AF582" s="2"/>
      <c r="AG582" s="1" t="s">
        <v>1582</v>
      </c>
      <c r="AH582" s="1" t="s">
        <v>6946</v>
      </c>
      <c r="AI582" s="2">
        <v>180.0</v>
      </c>
      <c r="AJ582" s="1" t="s">
        <v>1589</v>
      </c>
      <c r="AK582" s="1" t="s">
        <v>5878</v>
      </c>
      <c r="AL582" s="1" t="s">
        <v>5878</v>
      </c>
      <c r="AM582" s="2"/>
      <c r="AN582" s="2"/>
      <c r="AO582" s="2"/>
      <c r="AP582" s="2"/>
      <c r="AQ582" s="2"/>
      <c r="AR582" s="2"/>
      <c r="AS582" s="2"/>
      <c r="AT582" s="2"/>
      <c r="AU582" s="126" t="s">
        <v>22</v>
      </c>
      <c r="AV582" s="126">
        <v>2800.0</v>
      </c>
      <c r="AW582" s="2"/>
      <c r="AX582" s="2"/>
      <c r="AY582" s="2"/>
      <c r="AZ582" s="2"/>
      <c r="BA582" s="2"/>
      <c r="BB582" s="2"/>
      <c r="BC582" s="2"/>
      <c r="BD582" s="2"/>
      <c r="BE582" s="2"/>
    </row>
    <row r="583" hidden="1">
      <c r="A583" s="2"/>
      <c r="B583" s="312" t="s">
        <v>7822</v>
      </c>
      <c r="C583" s="320" t="s">
        <v>7823</v>
      </c>
      <c r="D583" s="11">
        <v>180.0</v>
      </c>
      <c r="E583" s="31" t="s">
        <v>374</v>
      </c>
      <c r="F583" s="11" t="s">
        <v>7688</v>
      </c>
      <c r="G583" s="327" t="s">
        <v>7824</v>
      </c>
      <c r="H583" s="322">
        <v>700.0</v>
      </c>
      <c r="I583" s="328">
        <v>700.0</v>
      </c>
      <c r="J583" s="324"/>
      <c r="K583" s="322"/>
      <c r="L583" s="323"/>
      <c r="M583" s="324">
        <v>700.0</v>
      </c>
      <c r="N583" s="284">
        <v>4.0</v>
      </c>
      <c r="O583" s="322">
        <v>3500.0</v>
      </c>
      <c r="P583" s="313">
        <f>MAX(O583:O585)</f>
        <v>3500</v>
      </c>
      <c r="Q583" s="319">
        <f>P583</f>
        <v>3500</v>
      </c>
      <c r="R583" s="329" t="s">
        <v>7825</v>
      </c>
      <c r="S583" s="330">
        <v>46080.683001840276</v>
      </c>
      <c r="T583" s="2"/>
      <c r="U583" s="289">
        <f t="shared" si="349"/>
        <v>2800</v>
      </c>
      <c r="V583" s="304" t="str">
        <f t="shared" si="351"/>
        <v>нет з/ч</v>
      </c>
      <c r="W583" s="2"/>
      <c r="X583" s="289">
        <v>700.0</v>
      </c>
      <c r="Y583" s="139"/>
      <c r="Z583" s="2"/>
      <c r="AA583" s="2" t="s">
        <v>7823</v>
      </c>
      <c r="AB583" s="2" t="s">
        <v>7823</v>
      </c>
      <c r="AC583" s="2"/>
      <c r="AD583" s="2" t="s">
        <v>7823</v>
      </c>
      <c r="AE583" s="3" t="s">
        <v>7822</v>
      </c>
      <c r="AF583" s="2"/>
      <c r="AG583" s="1" t="s">
        <v>1582</v>
      </c>
      <c r="AH583" s="1" t="s">
        <v>6958</v>
      </c>
      <c r="AI583" s="2">
        <v>180.0</v>
      </c>
      <c r="AJ583" s="1" t="s">
        <v>1589</v>
      </c>
      <c r="AK583" s="1" t="s">
        <v>5878</v>
      </c>
      <c r="AL583" s="1" t="s">
        <v>5878</v>
      </c>
      <c r="AM583" s="2"/>
      <c r="AN583" s="2"/>
      <c r="AO583" s="2"/>
      <c r="AP583" s="2"/>
      <c r="AQ583" s="2"/>
      <c r="AR583" s="2"/>
      <c r="AS583" s="2"/>
      <c r="AT583" s="2"/>
      <c r="AU583" s="126">
        <v>700.0</v>
      </c>
      <c r="AV583" s="126">
        <v>3500.0</v>
      </c>
      <c r="AW583" s="2"/>
      <c r="AX583" s="2"/>
      <c r="AY583" s="2"/>
      <c r="AZ583" s="2"/>
      <c r="BA583" s="2"/>
      <c r="BB583" s="2"/>
      <c r="BC583" s="2"/>
      <c r="BD583" s="2"/>
      <c r="BE583" s="2"/>
    </row>
    <row r="584" hidden="1">
      <c r="A584" s="2"/>
      <c r="B584" s="312" t="s">
        <v>7826</v>
      </c>
      <c r="C584" s="320" t="s">
        <v>7827</v>
      </c>
      <c r="D584" s="11">
        <v>180.0</v>
      </c>
      <c r="E584" s="31" t="s">
        <v>374</v>
      </c>
      <c r="F584" s="11" t="s">
        <v>7688</v>
      </c>
      <c r="G584" s="321"/>
      <c r="H584" s="322"/>
      <c r="I584" s="323"/>
      <c r="J584" s="324"/>
      <c r="K584" s="322"/>
      <c r="L584" s="323"/>
      <c r="M584" s="324" t="s">
        <v>22</v>
      </c>
      <c r="N584" s="284">
        <v>0.185</v>
      </c>
      <c r="O584" s="322" t="s">
        <v>22</v>
      </c>
      <c r="P584" s="104"/>
      <c r="Q584" s="319">
        <f>P583</f>
        <v>3500</v>
      </c>
      <c r="R584" s="331"/>
      <c r="S584" s="326"/>
      <c r="T584" s="2"/>
      <c r="U584" s="59" t="str">
        <f t="shared" si="349"/>
        <v>нет з/ч</v>
      </c>
      <c r="V584" s="304" t="str">
        <f t="shared" si="351"/>
        <v>нет з/ч</v>
      </c>
      <c r="W584" s="2"/>
      <c r="X584" s="289"/>
      <c r="Y584" s="139"/>
      <c r="Z584" s="2"/>
      <c r="AA584" s="2" t="s">
        <v>7827</v>
      </c>
      <c r="AB584" s="2" t="s">
        <v>7827</v>
      </c>
      <c r="AC584" s="2"/>
      <c r="AD584" s="2" t="s">
        <v>7827</v>
      </c>
      <c r="AE584" s="3" t="s">
        <v>7826</v>
      </c>
      <c r="AF584" s="2"/>
      <c r="AG584" s="1" t="s">
        <v>1582</v>
      </c>
      <c r="AH584" s="1" t="s">
        <v>6958</v>
      </c>
      <c r="AI584" s="2">
        <v>180.0</v>
      </c>
      <c r="AJ584" s="1" t="s">
        <v>1589</v>
      </c>
      <c r="AK584" s="1" t="s">
        <v>5878</v>
      </c>
      <c r="AL584" s="1" t="s">
        <v>5878</v>
      </c>
      <c r="AM584" s="2"/>
      <c r="AN584" s="2"/>
      <c r="AO584" s="2"/>
      <c r="AP584" s="2"/>
      <c r="AQ584" s="2"/>
      <c r="AR584" s="2"/>
      <c r="AS584" s="2"/>
      <c r="AT584" s="2"/>
      <c r="AU584" s="126" t="s">
        <v>22</v>
      </c>
      <c r="AV584" s="126">
        <v>3500.0</v>
      </c>
      <c r="AW584" s="2"/>
      <c r="AX584" s="2"/>
      <c r="AY584" s="2"/>
      <c r="AZ584" s="2"/>
      <c r="BA584" s="2"/>
      <c r="BB584" s="2"/>
      <c r="BC584" s="2"/>
      <c r="BD584" s="2"/>
      <c r="BE584" s="2"/>
    </row>
    <row r="585" hidden="1">
      <c r="A585" s="2"/>
      <c r="B585" s="312" t="s">
        <v>7828</v>
      </c>
      <c r="C585" s="320" t="s">
        <v>7829</v>
      </c>
      <c r="D585" s="11">
        <v>180.0</v>
      </c>
      <c r="E585" s="31" t="s">
        <v>374</v>
      </c>
      <c r="F585" s="11" t="s">
        <v>7688</v>
      </c>
      <c r="G585" s="321"/>
      <c r="H585" s="322"/>
      <c r="I585" s="323"/>
      <c r="J585" s="324"/>
      <c r="K585" s="322"/>
      <c r="L585" s="323"/>
      <c r="M585" s="324" t="s">
        <v>22</v>
      </c>
      <c r="N585" s="284">
        <v>0.185</v>
      </c>
      <c r="O585" s="322" t="s">
        <v>22</v>
      </c>
      <c r="P585" s="67"/>
      <c r="Q585" s="319">
        <f>P583</f>
        <v>3500</v>
      </c>
      <c r="R585" s="331"/>
      <c r="S585" s="326"/>
      <c r="T585" s="2"/>
      <c r="U585" s="59" t="str">
        <f t="shared" si="349"/>
        <v>нет з/ч</v>
      </c>
      <c r="V585" s="304" t="str">
        <f t="shared" si="351"/>
        <v>нет з/ч</v>
      </c>
      <c r="W585" s="2"/>
      <c r="X585" s="289"/>
      <c r="Y585" s="139"/>
      <c r="Z585" s="2"/>
      <c r="AA585" s="2" t="s">
        <v>7829</v>
      </c>
      <c r="AB585" s="2" t="s">
        <v>7829</v>
      </c>
      <c r="AC585" s="2"/>
      <c r="AD585" s="2" t="s">
        <v>7829</v>
      </c>
      <c r="AE585" s="3" t="s">
        <v>7828</v>
      </c>
      <c r="AF585" s="2"/>
      <c r="AG585" s="1" t="s">
        <v>1582</v>
      </c>
      <c r="AH585" s="1" t="s">
        <v>6958</v>
      </c>
      <c r="AI585" s="2">
        <v>180.0</v>
      </c>
      <c r="AJ585" s="1" t="s">
        <v>1589</v>
      </c>
      <c r="AK585" s="1" t="s">
        <v>5878</v>
      </c>
      <c r="AL585" s="1" t="s">
        <v>5878</v>
      </c>
      <c r="AM585" s="2"/>
      <c r="AN585" s="2"/>
      <c r="AO585" s="2"/>
      <c r="AP585" s="2"/>
      <c r="AQ585" s="2"/>
      <c r="AR585" s="2"/>
      <c r="AS585" s="2"/>
      <c r="AT585" s="2"/>
      <c r="AU585" s="126" t="s">
        <v>22</v>
      </c>
      <c r="AV585" s="126">
        <v>3500.0</v>
      </c>
      <c r="AW585" s="2"/>
      <c r="AX585" s="2"/>
      <c r="AY585" s="2"/>
      <c r="AZ585" s="2"/>
      <c r="BA585" s="2"/>
      <c r="BB585" s="2"/>
      <c r="BC585" s="2"/>
      <c r="BD585" s="2"/>
      <c r="BE585" s="2"/>
    </row>
    <row r="586" hidden="1">
      <c r="A586" s="2"/>
      <c r="B586" s="332" t="s">
        <v>7830</v>
      </c>
      <c r="C586" s="320" t="s">
        <v>7831</v>
      </c>
      <c r="D586" s="31">
        <v>90.0</v>
      </c>
      <c r="E586" s="31" t="s">
        <v>67</v>
      </c>
      <c r="F586" s="11" t="s">
        <v>7832</v>
      </c>
      <c r="G586" s="321"/>
      <c r="H586" s="322"/>
      <c r="I586" s="323"/>
      <c r="J586" s="324"/>
      <c r="K586" s="322"/>
      <c r="L586" s="323"/>
      <c r="M586" s="324" t="s">
        <v>22</v>
      </c>
      <c r="N586" s="284">
        <v>0.185</v>
      </c>
      <c r="O586" s="322" t="s">
        <v>22</v>
      </c>
      <c r="P586" s="333">
        <v>50.0</v>
      </c>
      <c r="Q586" s="319">
        <f>P586</f>
        <v>50</v>
      </c>
      <c r="R586" s="331"/>
      <c r="S586" s="326"/>
      <c r="T586" s="2"/>
      <c r="U586" s="59" t="str">
        <f t="shared" si="349"/>
        <v>нет з/ч</v>
      </c>
      <c r="V586" s="304" t="str">
        <f t="shared" ref="V586:V590" si="352">IF(L586&gt;0, Q2154 - L586, "нет з/ч")</f>
        <v>нет з/ч</v>
      </c>
      <c r="W586" s="2"/>
      <c r="X586" s="289"/>
      <c r="Y586" s="139"/>
      <c r="Z586" s="2"/>
      <c r="AA586" s="2" t="s">
        <v>7831</v>
      </c>
      <c r="AB586" s="2" t="s">
        <v>7831</v>
      </c>
      <c r="AC586" s="2"/>
      <c r="AD586" s="2" t="s">
        <v>7831</v>
      </c>
      <c r="AE586" s="3" t="s">
        <v>7830</v>
      </c>
      <c r="AF586" s="2"/>
      <c r="AG586" s="1" t="s">
        <v>1582</v>
      </c>
      <c r="AH586" s="1" t="s">
        <v>5876</v>
      </c>
      <c r="AI586" s="2">
        <v>90.0</v>
      </c>
      <c r="AJ586" s="1" t="s">
        <v>1589</v>
      </c>
      <c r="AK586" s="1" t="s">
        <v>5878</v>
      </c>
      <c r="AL586" s="1" t="s">
        <v>5878</v>
      </c>
      <c r="AM586" s="2"/>
      <c r="AN586" s="2"/>
      <c r="AO586" s="2"/>
      <c r="AP586" s="2"/>
      <c r="AQ586" s="2"/>
      <c r="AR586" s="2"/>
      <c r="AS586" s="2"/>
      <c r="AT586" s="2"/>
      <c r="AU586" s="126" t="s">
        <v>22</v>
      </c>
      <c r="AV586" s="126">
        <v>50.0</v>
      </c>
      <c r="AW586" s="2"/>
      <c r="AX586" s="2"/>
      <c r="AY586" s="2"/>
      <c r="AZ586" s="2"/>
      <c r="BA586" s="2"/>
      <c r="BB586" s="2"/>
      <c r="BC586" s="2"/>
      <c r="BD586" s="2"/>
      <c r="BE586" s="2"/>
    </row>
    <row r="587" hidden="1">
      <c r="A587" s="2"/>
      <c r="B587" s="332" t="s">
        <v>7833</v>
      </c>
      <c r="C587" s="320" t="s">
        <v>7834</v>
      </c>
      <c r="D587" s="31">
        <v>90.0</v>
      </c>
      <c r="E587" s="31" t="s">
        <v>67</v>
      </c>
      <c r="F587" s="11" t="s">
        <v>7832</v>
      </c>
      <c r="G587" s="321"/>
      <c r="H587" s="322"/>
      <c r="I587" s="323"/>
      <c r="J587" s="324"/>
      <c r="K587" s="322"/>
      <c r="L587" s="323"/>
      <c r="M587" s="324" t="s">
        <v>22</v>
      </c>
      <c r="N587" s="284">
        <v>0.185</v>
      </c>
      <c r="O587" s="322" t="s">
        <v>22</v>
      </c>
      <c r="P587" s="104"/>
      <c r="Q587" s="319">
        <f>P586</f>
        <v>50</v>
      </c>
      <c r="R587" s="331"/>
      <c r="S587" s="326"/>
      <c r="T587" s="2"/>
      <c r="U587" s="59" t="str">
        <f t="shared" si="349"/>
        <v>нет з/ч</v>
      </c>
      <c r="V587" s="304" t="str">
        <f t="shared" si="352"/>
        <v>нет з/ч</v>
      </c>
      <c r="W587" s="2"/>
      <c r="X587" s="289"/>
      <c r="Y587" s="139"/>
      <c r="Z587" s="2"/>
      <c r="AA587" s="2" t="s">
        <v>7834</v>
      </c>
      <c r="AB587" s="2" t="s">
        <v>7834</v>
      </c>
      <c r="AC587" s="2"/>
      <c r="AD587" s="2" t="s">
        <v>7834</v>
      </c>
      <c r="AE587" s="3" t="s">
        <v>7833</v>
      </c>
      <c r="AF587" s="2"/>
      <c r="AG587" s="1" t="s">
        <v>1582</v>
      </c>
      <c r="AH587" s="1" t="s">
        <v>5876</v>
      </c>
      <c r="AI587" s="2">
        <v>90.0</v>
      </c>
      <c r="AJ587" s="1" t="s">
        <v>1589</v>
      </c>
      <c r="AK587" s="1" t="s">
        <v>5878</v>
      </c>
      <c r="AL587" s="1" t="s">
        <v>5878</v>
      </c>
      <c r="AM587" s="2"/>
      <c r="AN587" s="2"/>
      <c r="AO587" s="2"/>
      <c r="AP587" s="2"/>
      <c r="AQ587" s="2"/>
      <c r="AR587" s="2"/>
      <c r="AS587" s="2"/>
      <c r="AT587" s="2"/>
      <c r="AU587" s="126" t="s">
        <v>22</v>
      </c>
      <c r="AV587" s="126">
        <v>50.0</v>
      </c>
      <c r="AW587" s="2"/>
      <c r="AX587" s="2"/>
      <c r="AY587" s="2"/>
      <c r="AZ587" s="2"/>
      <c r="BA587" s="2"/>
      <c r="BB587" s="2"/>
      <c r="BC587" s="2"/>
      <c r="BD587" s="2"/>
      <c r="BE587" s="2"/>
    </row>
    <row r="588" hidden="1">
      <c r="A588" s="2"/>
      <c r="B588" s="332" t="s">
        <v>7835</v>
      </c>
      <c r="C588" s="320" t="s">
        <v>7836</v>
      </c>
      <c r="D588" s="31">
        <v>90.0</v>
      </c>
      <c r="E588" s="31" t="s">
        <v>1481</v>
      </c>
      <c r="F588" s="11" t="s">
        <v>7832</v>
      </c>
      <c r="G588" s="321"/>
      <c r="H588" s="322"/>
      <c r="I588" s="323"/>
      <c r="J588" s="324"/>
      <c r="K588" s="322"/>
      <c r="L588" s="323"/>
      <c r="M588" s="324" t="s">
        <v>22</v>
      </c>
      <c r="N588" s="284">
        <v>0.185</v>
      </c>
      <c r="O588" s="322" t="s">
        <v>22</v>
      </c>
      <c r="P588" s="104"/>
      <c r="Q588" s="319">
        <f>P586</f>
        <v>50</v>
      </c>
      <c r="R588" s="331"/>
      <c r="S588" s="326"/>
      <c r="T588" s="2"/>
      <c r="U588" s="59" t="str">
        <f t="shared" si="349"/>
        <v>нет з/ч</v>
      </c>
      <c r="V588" s="304" t="str">
        <f t="shared" si="352"/>
        <v>нет з/ч</v>
      </c>
      <c r="W588" s="2"/>
      <c r="X588" s="289"/>
      <c r="Y588" s="139"/>
      <c r="Z588" s="2"/>
      <c r="AA588" s="2" t="s">
        <v>7836</v>
      </c>
      <c r="AB588" s="2" t="s">
        <v>7836</v>
      </c>
      <c r="AC588" s="2"/>
      <c r="AD588" s="2" t="s">
        <v>7836</v>
      </c>
      <c r="AE588" s="3" t="s">
        <v>7835</v>
      </c>
      <c r="AF588" s="2"/>
      <c r="AG588" s="1" t="s">
        <v>1582</v>
      </c>
      <c r="AH588" s="1" t="s">
        <v>5883</v>
      </c>
      <c r="AI588" s="2">
        <v>90.0</v>
      </c>
      <c r="AJ588" s="1" t="s">
        <v>1589</v>
      </c>
      <c r="AK588" s="1" t="s">
        <v>5878</v>
      </c>
      <c r="AL588" s="1" t="s">
        <v>5878</v>
      </c>
      <c r="AM588" s="2"/>
      <c r="AN588" s="2"/>
      <c r="AO588" s="2"/>
      <c r="AP588" s="2"/>
      <c r="AQ588" s="2"/>
      <c r="AR588" s="2"/>
      <c r="AS588" s="2"/>
      <c r="AT588" s="2"/>
      <c r="AU588" s="126" t="s">
        <v>22</v>
      </c>
      <c r="AV588" s="126">
        <v>50.0</v>
      </c>
      <c r="AW588" s="2"/>
      <c r="AX588" s="2"/>
      <c r="AY588" s="2"/>
      <c r="AZ588" s="2"/>
      <c r="BA588" s="2"/>
      <c r="BB588" s="2"/>
      <c r="BC588" s="2"/>
      <c r="BD588" s="2"/>
      <c r="BE588" s="2"/>
    </row>
    <row r="589" hidden="1">
      <c r="A589" s="2"/>
      <c r="B589" s="332" t="s">
        <v>7837</v>
      </c>
      <c r="C589" s="320" t="s">
        <v>7838</v>
      </c>
      <c r="D589" s="31">
        <v>90.0</v>
      </c>
      <c r="E589" s="31" t="s">
        <v>71</v>
      </c>
      <c r="F589" s="11" t="s">
        <v>7832</v>
      </c>
      <c r="G589" s="321"/>
      <c r="H589" s="322"/>
      <c r="I589" s="323"/>
      <c r="J589" s="324"/>
      <c r="K589" s="322"/>
      <c r="L589" s="323"/>
      <c r="M589" s="324" t="s">
        <v>22</v>
      </c>
      <c r="N589" s="284">
        <v>0.185</v>
      </c>
      <c r="O589" s="322" t="s">
        <v>22</v>
      </c>
      <c r="P589" s="104"/>
      <c r="Q589" s="319">
        <f>P586</f>
        <v>50</v>
      </c>
      <c r="R589" s="331"/>
      <c r="S589" s="326"/>
      <c r="T589" s="2"/>
      <c r="U589" s="59" t="str">
        <f t="shared" si="349"/>
        <v>нет з/ч</v>
      </c>
      <c r="V589" s="304" t="str">
        <f t="shared" si="352"/>
        <v>нет з/ч</v>
      </c>
      <c r="W589" s="2"/>
      <c r="X589" s="289"/>
      <c r="Y589" s="139"/>
      <c r="Z589" s="2"/>
      <c r="AA589" s="2" t="s">
        <v>7838</v>
      </c>
      <c r="AB589" s="2" t="s">
        <v>7838</v>
      </c>
      <c r="AC589" s="2"/>
      <c r="AD589" s="2" t="s">
        <v>7838</v>
      </c>
      <c r="AE589" s="3" t="s">
        <v>7837</v>
      </c>
      <c r="AF589" s="2"/>
      <c r="AG589" s="1" t="s">
        <v>1582</v>
      </c>
      <c r="AH589" s="1" t="s">
        <v>6429</v>
      </c>
      <c r="AI589" s="2">
        <v>90.0</v>
      </c>
      <c r="AJ589" s="1" t="s">
        <v>1589</v>
      </c>
      <c r="AK589" s="1" t="s">
        <v>5878</v>
      </c>
      <c r="AL589" s="1" t="s">
        <v>5878</v>
      </c>
      <c r="AM589" s="2"/>
      <c r="AN589" s="2"/>
      <c r="AO589" s="2"/>
      <c r="AP589" s="2"/>
      <c r="AQ589" s="2"/>
      <c r="AR589" s="2"/>
      <c r="AS589" s="2"/>
      <c r="AT589" s="2"/>
      <c r="AU589" s="126" t="s">
        <v>22</v>
      </c>
      <c r="AV589" s="126">
        <v>50.0</v>
      </c>
      <c r="AW589" s="2"/>
      <c r="AX589" s="2"/>
      <c r="AY589" s="2"/>
      <c r="AZ589" s="2"/>
      <c r="BA589" s="2"/>
      <c r="BB589" s="2"/>
      <c r="BC589" s="2"/>
      <c r="BD589" s="2"/>
      <c r="BE589" s="2"/>
    </row>
    <row r="590" hidden="1">
      <c r="A590" s="2"/>
      <c r="B590" s="332" t="s">
        <v>7839</v>
      </c>
      <c r="C590" s="320" t="s">
        <v>7840</v>
      </c>
      <c r="D590" s="31">
        <v>90.0</v>
      </c>
      <c r="E590" s="31" t="s">
        <v>71</v>
      </c>
      <c r="F590" s="11" t="s">
        <v>7832</v>
      </c>
      <c r="G590" s="321"/>
      <c r="H590" s="322"/>
      <c r="I590" s="323"/>
      <c r="J590" s="324"/>
      <c r="K590" s="322"/>
      <c r="L590" s="323"/>
      <c r="M590" s="324" t="s">
        <v>22</v>
      </c>
      <c r="N590" s="284">
        <v>0.185</v>
      </c>
      <c r="O590" s="322" t="s">
        <v>22</v>
      </c>
      <c r="P590" s="67"/>
      <c r="Q590" s="319">
        <f>P586</f>
        <v>50</v>
      </c>
      <c r="R590" s="331"/>
      <c r="S590" s="326"/>
      <c r="T590" s="2"/>
      <c r="U590" s="59" t="str">
        <f t="shared" si="349"/>
        <v>нет з/ч</v>
      </c>
      <c r="V590" s="304" t="str">
        <f t="shared" si="352"/>
        <v>нет з/ч</v>
      </c>
      <c r="W590" s="2"/>
      <c r="X590" s="289"/>
      <c r="Y590" s="139"/>
      <c r="Z590" s="2"/>
      <c r="AA590" s="2" t="s">
        <v>7840</v>
      </c>
      <c r="AB590" s="2" t="s">
        <v>7840</v>
      </c>
      <c r="AC590" s="2"/>
      <c r="AD590" s="2" t="s">
        <v>7840</v>
      </c>
      <c r="AE590" s="3" t="s">
        <v>7839</v>
      </c>
      <c r="AF590" s="2"/>
      <c r="AG590" s="1" t="s">
        <v>1582</v>
      </c>
      <c r="AH590" s="1" t="s">
        <v>6429</v>
      </c>
      <c r="AI590" s="2">
        <v>90.0</v>
      </c>
      <c r="AJ590" s="1" t="s">
        <v>1589</v>
      </c>
      <c r="AK590" s="1" t="s">
        <v>5878</v>
      </c>
      <c r="AL590" s="1" t="s">
        <v>5878</v>
      </c>
      <c r="AM590" s="2"/>
      <c r="AN590" s="2"/>
      <c r="AO590" s="2"/>
      <c r="AP590" s="2"/>
      <c r="AQ590" s="2"/>
      <c r="AR590" s="2"/>
      <c r="AS590" s="2"/>
      <c r="AT590" s="2"/>
      <c r="AU590" s="126" t="s">
        <v>22</v>
      </c>
      <c r="AV590" s="126">
        <v>50.0</v>
      </c>
      <c r="AW590" s="2"/>
      <c r="AX590" s="2"/>
      <c r="AY590" s="2"/>
      <c r="AZ590" s="2"/>
      <c r="BA590" s="2"/>
      <c r="BB590" s="2"/>
      <c r="BC590" s="2"/>
      <c r="BD590" s="2"/>
      <c r="BE590" s="2"/>
    </row>
    <row r="591" hidden="1">
      <c r="A591" s="2"/>
      <c r="B591" s="332" t="s">
        <v>7841</v>
      </c>
      <c r="C591" s="320" t="s">
        <v>7842</v>
      </c>
      <c r="D591" s="31">
        <v>90.0</v>
      </c>
      <c r="E591" s="31" t="s">
        <v>77</v>
      </c>
      <c r="F591" s="11" t="s">
        <v>7832</v>
      </c>
      <c r="G591" s="327"/>
      <c r="H591" s="322"/>
      <c r="I591" s="328"/>
      <c r="J591" s="324"/>
      <c r="K591" s="322"/>
      <c r="L591" s="323"/>
      <c r="M591" s="324" t="s">
        <v>22</v>
      </c>
      <c r="N591" s="284">
        <v>0.185</v>
      </c>
      <c r="O591" s="322" t="s">
        <v>22</v>
      </c>
      <c r="P591" s="334">
        <v>800.0</v>
      </c>
      <c r="Q591" s="319">
        <f>P591</f>
        <v>800</v>
      </c>
      <c r="R591" s="325"/>
      <c r="S591" s="330"/>
      <c r="T591" s="2"/>
      <c r="U591" s="59"/>
      <c r="V591" s="304"/>
      <c r="W591" s="2"/>
      <c r="X591" s="289"/>
      <c r="Y591" s="139"/>
      <c r="Z591" s="2"/>
      <c r="AA591" s="2" t="s">
        <v>7842</v>
      </c>
      <c r="AB591" s="2" t="s">
        <v>7842</v>
      </c>
      <c r="AC591" s="2"/>
      <c r="AD591" s="2" t="s">
        <v>7842</v>
      </c>
      <c r="AE591" s="3" t="s">
        <v>7841</v>
      </c>
      <c r="AF591" s="2"/>
      <c r="AG591" s="1" t="s">
        <v>1582</v>
      </c>
      <c r="AH591" s="1" t="s">
        <v>5888</v>
      </c>
      <c r="AI591" s="2">
        <v>90.0</v>
      </c>
      <c r="AJ591" s="1" t="s">
        <v>1589</v>
      </c>
      <c r="AK591" s="1"/>
      <c r="AL591" s="1" t="s">
        <v>5878</v>
      </c>
      <c r="AM591" s="2"/>
      <c r="AN591" s="2"/>
      <c r="AO591" s="2"/>
      <c r="AP591" s="2"/>
      <c r="AQ591" s="2"/>
      <c r="AR591" s="2"/>
      <c r="AS591" s="2"/>
      <c r="AT591" s="2"/>
      <c r="AU591" s="126" t="s">
        <v>22</v>
      </c>
      <c r="AV591" s="126">
        <v>800.0</v>
      </c>
      <c r="AW591" s="2"/>
      <c r="AX591" s="2"/>
      <c r="AY591" s="2"/>
      <c r="AZ591" s="2"/>
      <c r="BA591" s="2"/>
      <c r="BB591" s="2"/>
      <c r="BC591" s="2"/>
      <c r="BD591" s="2"/>
      <c r="BE591" s="2"/>
    </row>
    <row r="592" hidden="1">
      <c r="A592" s="2"/>
      <c r="B592" s="332" t="s">
        <v>7843</v>
      </c>
      <c r="C592" s="320" t="s">
        <v>7844</v>
      </c>
      <c r="D592" s="31">
        <v>90.0</v>
      </c>
      <c r="E592" s="31" t="s">
        <v>77</v>
      </c>
      <c r="F592" s="11" t="s">
        <v>7832</v>
      </c>
      <c r="G592" s="327"/>
      <c r="H592" s="322"/>
      <c r="I592" s="328"/>
      <c r="J592" s="324"/>
      <c r="K592" s="322"/>
      <c r="L592" s="323"/>
      <c r="M592" s="324" t="s">
        <v>22</v>
      </c>
      <c r="N592" s="284">
        <v>0.185</v>
      </c>
      <c r="O592" s="322" t="s">
        <v>22</v>
      </c>
      <c r="P592" s="67"/>
      <c r="Q592" s="319">
        <f>P591</f>
        <v>800</v>
      </c>
      <c r="R592" s="325"/>
      <c r="S592" s="330"/>
      <c r="T592" s="2"/>
      <c r="U592" s="59"/>
      <c r="V592" s="304"/>
      <c r="W592" s="2"/>
      <c r="X592" s="289"/>
      <c r="Y592" s="139"/>
      <c r="Z592" s="2"/>
      <c r="AA592" s="2" t="s">
        <v>7844</v>
      </c>
      <c r="AB592" s="2" t="s">
        <v>7844</v>
      </c>
      <c r="AC592" s="2"/>
      <c r="AD592" s="2" t="s">
        <v>7844</v>
      </c>
      <c r="AE592" s="3" t="s">
        <v>7843</v>
      </c>
      <c r="AF592" s="2"/>
      <c r="AG592" s="1" t="s">
        <v>1582</v>
      </c>
      <c r="AH592" s="1" t="s">
        <v>5888</v>
      </c>
      <c r="AI592" s="2">
        <v>90.0</v>
      </c>
      <c r="AJ592" s="1" t="s">
        <v>1589</v>
      </c>
      <c r="AK592" s="1"/>
      <c r="AL592" s="1" t="s">
        <v>5878</v>
      </c>
      <c r="AM592" s="2"/>
      <c r="AN592" s="2"/>
      <c r="AO592" s="2"/>
      <c r="AP592" s="2"/>
      <c r="AQ592" s="2"/>
      <c r="AR592" s="2"/>
      <c r="AS592" s="2"/>
      <c r="AT592" s="2"/>
      <c r="AU592" s="126" t="s">
        <v>22</v>
      </c>
      <c r="AV592" s="126">
        <v>800.0</v>
      </c>
      <c r="AW592" s="2"/>
      <c r="AX592" s="2"/>
      <c r="AY592" s="2"/>
      <c r="AZ592" s="2"/>
      <c r="BA592" s="2"/>
      <c r="BB592" s="2"/>
      <c r="BC592" s="2"/>
      <c r="BD592" s="2"/>
      <c r="BE592" s="2"/>
    </row>
    <row r="593" hidden="1">
      <c r="A593" s="2"/>
      <c r="B593" s="335" t="s">
        <v>7845</v>
      </c>
      <c r="C593" s="320" t="s">
        <v>7846</v>
      </c>
      <c r="D593" s="31">
        <v>90.0</v>
      </c>
      <c r="E593" s="31" t="s">
        <v>83</v>
      </c>
      <c r="F593" s="11" t="s">
        <v>7832</v>
      </c>
      <c r="G593" s="327" t="s">
        <v>7847</v>
      </c>
      <c r="H593" s="322"/>
      <c r="I593" s="328">
        <v>150.0</v>
      </c>
      <c r="J593" s="324"/>
      <c r="K593" s="322"/>
      <c r="L593" s="323"/>
      <c r="M593" s="324">
        <v>150.0</v>
      </c>
      <c r="N593" s="284">
        <v>2.2</v>
      </c>
      <c r="O593" s="322">
        <v>500.0</v>
      </c>
      <c r="P593" s="313">
        <f>MAX(O593:O594)</f>
        <v>500</v>
      </c>
      <c r="Q593" s="319">
        <f>P593</f>
        <v>500</v>
      </c>
      <c r="R593" s="329" t="s">
        <v>7848</v>
      </c>
      <c r="S593" s="330">
        <v>46141.46134724537</v>
      </c>
      <c r="T593" s="2"/>
      <c r="U593" s="289">
        <f t="shared" ref="U593:U720" si="353">IF(I593&gt;0, Q593 - I593, "нет з/ч")</f>
        <v>350</v>
      </c>
      <c r="V593" s="304" t="str">
        <f t="shared" ref="V593:V671" si="354">IF(L593&gt;0, Q2159 - L593, "нет з/ч")</f>
        <v>нет з/ч</v>
      </c>
      <c r="W593" s="2"/>
      <c r="X593" s="289">
        <v>150.0</v>
      </c>
      <c r="Y593" s="139"/>
      <c r="Z593" s="2"/>
      <c r="AA593" s="2" t="s">
        <v>7846</v>
      </c>
      <c r="AB593" s="2" t="s">
        <v>7846</v>
      </c>
      <c r="AC593" s="2"/>
      <c r="AD593" s="2" t="s">
        <v>7846</v>
      </c>
      <c r="AE593" s="3" t="s">
        <v>7845</v>
      </c>
      <c r="AF593" s="2"/>
      <c r="AG593" s="1" t="s">
        <v>1582</v>
      </c>
      <c r="AH593" s="1" t="s">
        <v>5893</v>
      </c>
      <c r="AI593" s="2">
        <v>90.0</v>
      </c>
      <c r="AJ593" s="1" t="s">
        <v>1589</v>
      </c>
      <c r="AK593" s="1" t="s">
        <v>5878</v>
      </c>
      <c r="AL593" s="1" t="s">
        <v>5878</v>
      </c>
      <c r="AM593" s="2"/>
      <c r="AN593" s="2"/>
      <c r="AO593" s="2"/>
      <c r="AP593" s="2"/>
      <c r="AQ593" s="2"/>
      <c r="AR593" s="2"/>
      <c r="AS593" s="2"/>
      <c r="AT593" s="2"/>
      <c r="AU593" s="126">
        <v>150.0</v>
      </c>
      <c r="AV593" s="126">
        <v>500.0</v>
      </c>
      <c r="AW593" s="2"/>
      <c r="AX593" s="2"/>
      <c r="AY593" s="2"/>
      <c r="AZ593" s="2"/>
      <c r="BA593" s="2"/>
      <c r="BB593" s="2"/>
      <c r="BC593" s="2"/>
      <c r="BD593" s="2"/>
      <c r="BE593" s="2"/>
    </row>
    <row r="594" hidden="1">
      <c r="A594" s="2"/>
      <c r="B594" s="335" t="s">
        <v>7849</v>
      </c>
      <c r="C594" s="320" t="s">
        <v>7850</v>
      </c>
      <c r="D594" s="31">
        <v>90.0</v>
      </c>
      <c r="E594" s="31" t="s">
        <v>83</v>
      </c>
      <c r="F594" s="11" t="s">
        <v>7832</v>
      </c>
      <c r="G594" s="327" t="s">
        <v>7851</v>
      </c>
      <c r="H594" s="322"/>
      <c r="I594" s="328">
        <v>150.0</v>
      </c>
      <c r="J594" s="324"/>
      <c r="K594" s="322"/>
      <c r="L594" s="323"/>
      <c r="M594" s="324">
        <v>150.0</v>
      </c>
      <c r="N594" s="284">
        <v>2.2</v>
      </c>
      <c r="O594" s="322">
        <v>500.0</v>
      </c>
      <c r="P594" s="67"/>
      <c r="Q594" s="319">
        <f>P593</f>
        <v>500</v>
      </c>
      <c r="R594" s="329" t="s">
        <v>7852</v>
      </c>
      <c r="S594" s="330">
        <v>46141.46140165509</v>
      </c>
      <c r="T594" s="2"/>
      <c r="U594" s="289">
        <f t="shared" si="353"/>
        <v>350</v>
      </c>
      <c r="V594" s="304" t="str">
        <f t="shared" si="354"/>
        <v>нет з/ч</v>
      </c>
      <c r="W594" s="2"/>
      <c r="X594" s="289">
        <v>150.0</v>
      </c>
      <c r="Y594" s="139"/>
      <c r="Z594" s="2"/>
      <c r="AA594" s="2" t="s">
        <v>7850</v>
      </c>
      <c r="AB594" s="2" t="s">
        <v>7850</v>
      </c>
      <c r="AC594" s="2"/>
      <c r="AD594" s="2" t="s">
        <v>7850</v>
      </c>
      <c r="AE594" s="3" t="s">
        <v>7849</v>
      </c>
      <c r="AF594" s="2"/>
      <c r="AG594" s="1" t="s">
        <v>1582</v>
      </c>
      <c r="AH594" s="1" t="s">
        <v>5893</v>
      </c>
      <c r="AI594" s="2">
        <v>90.0</v>
      </c>
      <c r="AJ594" s="1" t="s">
        <v>1589</v>
      </c>
      <c r="AK594" s="1" t="s">
        <v>5878</v>
      </c>
      <c r="AL594" s="1" t="s">
        <v>5878</v>
      </c>
      <c r="AM594" s="2"/>
      <c r="AN594" s="2"/>
      <c r="AO594" s="2"/>
      <c r="AP594" s="2"/>
      <c r="AQ594" s="2"/>
      <c r="AR594" s="2"/>
      <c r="AS594" s="2"/>
      <c r="AT594" s="2"/>
      <c r="AU594" s="126">
        <v>150.0</v>
      </c>
      <c r="AV594" s="126">
        <v>500.0</v>
      </c>
      <c r="AW594" s="2"/>
      <c r="AX594" s="2"/>
      <c r="AY594" s="2"/>
      <c r="AZ594" s="2"/>
      <c r="BA594" s="2"/>
      <c r="BB594" s="2"/>
      <c r="BC594" s="2"/>
      <c r="BD594" s="2"/>
      <c r="BE594" s="2"/>
    </row>
    <row r="595" hidden="1">
      <c r="A595" s="2"/>
      <c r="B595" s="335" t="s">
        <v>7853</v>
      </c>
      <c r="C595" s="320" t="s">
        <v>7854</v>
      </c>
      <c r="D595" s="31">
        <v>90.0</v>
      </c>
      <c r="E595" s="31" t="s">
        <v>90</v>
      </c>
      <c r="F595" s="11" t="s">
        <v>7832</v>
      </c>
      <c r="G595" s="327" t="s">
        <v>7855</v>
      </c>
      <c r="H595" s="322"/>
      <c r="I595" s="328">
        <v>190.0</v>
      </c>
      <c r="J595" s="324"/>
      <c r="K595" s="322"/>
      <c r="L595" s="323"/>
      <c r="M595" s="324">
        <v>190.0</v>
      </c>
      <c r="N595" s="284">
        <v>2.6</v>
      </c>
      <c r="O595" s="322">
        <v>700.0</v>
      </c>
      <c r="P595" s="313">
        <f>MAX(O595:O596)</f>
        <v>700</v>
      </c>
      <c r="Q595" s="319">
        <f>P595</f>
        <v>700</v>
      </c>
      <c r="R595" s="329" t="s">
        <v>7856</v>
      </c>
      <c r="S595" s="330">
        <v>46141.46145267361</v>
      </c>
      <c r="T595" s="2"/>
      <c r="U595" s="289">
        <f t="shared" si="353"/>
        <v>510</v>
      </c>
      <c r="V595" s="304" t="str">
        <f t="shared" si="354"/>
        <v>нет з/ч</v>
      </c>
      <c r="W595" s="2"/>
      <c r="X595" s="289">
        <v>190.0</v>
      </c>
      <c r="Y595" s="139"/>
      <c r="Z595" s="2"/>
      <c r="AA595" s="2" t="s">
        <v>7854</v>
      </c>
      <c r="AB595" s="2" t="s">
        <v>7854</v>
      </c>
      <c r="AC595" s="2"/>
      <c r="AD595" s="2" t="s">
        <v>7854</v>
      </c>
      <c r="AE595" s="3" t="s">
        <v>7853</v>
      </c>
      <c r="AF595" s="2"/>
      <c r="AG595" s="1" t="s">
        <v>1582</v>
      </c>
      <c r="AH595" s="1" t="s">
        <v>5898</v>
      </c>
      <c r="AI595" s="2">
        <v>90.0</v>
      </c>
      <c r="AJ595" s="1" t="s">
        <v>1589</v>
      </c>
      <c r="AK595" s="1" t="s">
        <v>5878</v>
      </c>
      <c r="AL595" s="1" t="s">
        <v>5878</v>
      </c>
      <c r="AM595" s="2"/>
      <c r="AN595" s="2"/>
      <c r="AO595" s="2"/>
      <c r="AP595" s="2"/>
      <c r="AQ595" s="2"/>
      <c r="AR595" s="2"/>
      <c r="AS595" s="2"/>
      <c r="AT595" s="2"/>
      <c r="AU595" s="126">
        <v>190.0</v>
      </c>
      <c r="AV595" s="126">
        <v>700.0</v>
      </c>
      <c r="AW595" s="2"/>
      <c r="AX595" s="2"/>
      <c r="AY595" s="2"/>
      <c r="AZ595" s="2"/>
      <c r="BA595" s="2"/>
      <c r="BB595" s="2"/>
      <c r="BC595" s="2"/>
      <c r="BD595" s="2"/>
      <c r="BE595" s="2"/>
    </row>
    <row r="596" hidden="1">
      <c r="A596" s="2"/>
      <c r="B596" s="335" t="s">
        <v>7857</v>
      </c>
      <c r="C596" s="320" t="s">
        <v>7858</v>
      </c>
      <c r="D596" s="31">
        <v>90.0</v>
      </c>
      <c r="E596" s="31" t="s">
        <v>90</v>
      </c>
      <c r="F596" s="11" t="s">
        <v>7832</v>
      </c>
      <c r="G596" s="327" t="s">
        <v>7859</v>
      </c>
      <c r="H596" s="322"/>
      <c r="I596" s="328">
        <v>190.0</v>
      </c>
      <c r="J596" s="324"/>
      <c r="K596" s="322"/>
      <c r="L596" s="323"/>
      <c r="M596" s="324">
        <v>190.0</v>
      </c>
      <c r="N596" s="284">
        <v>2.6</v>
      </c>
      <c r="O596" s="322">
        <v>700.0</v>
      </c>
      <c r="P596" s="67"/>
      <c r="Q596" s="319">
        <f>P595</f>
        <v>700</v>
      </c>
      <c r="R596" s="329" t="s">
        <v>7860</v>
      </c>
      <c r="S596" s="330">
        <v>46141.46150813658</v>
      </c>
      <c r="T596" s="2"/>
      <c r="U596" s="289">
        <f t="shared" si="353"/>
        <v>510</v>
      </c>
      <c r="V596" s="304" t="str">
        <f t="shared" si="354"/>
        <v>нет з/ч</v>
      </c>
      <c r="W596" s="2"/>
      <c r="X596" s="289">
        <v>190.0</v>
      </c>
      <c r="Y596" s="139"/>
      <c r="Z596" s="2"/>
      <c r="AA596" s="2" t="s">
        <v>7858</v>
      </c>
      <c r="AB596" s="2" t="s">
        <v>7858</v>
      </c>
      <c r="AC596" s="2"/>
      <c r="AD596" s="2" t="s">
        <v>7858</v>
      </c>
      <c r="AE596" s="3" t="s">
        <v>7857</v>
      </c>
      <c r="AF596" s="2"/>
      <c r="AG596" s="1" t="s">
        <v>1582</v>
      </c>
      <c r="AH596" s="1" t="s">
        <v>5898</v>
      </c>
      <c r="AI596" s="2">
        <v>90.0</v>
      </c>
      <c r="AJ596" s="1" t="s">
        <v>1589</v>
      </c>
      <c r="AK596" s="1" t="s">
        <v>5878</v>
      </c>
      <c r="AL596" s="1" t="s">
        <v>5878</v>
      </c>
      <c r="AM596" s="2"/>
      <c r="AN596" s="2"/>
      <c r="AO596" s="2"/>
      <c r="AP596" s="2"/>
      <c r="AQ596" s="2"/>
      <c r="AR596" s="2"/>
      <c r="AS596" s="2"/>
      <c r="AT596" s="2"/>
      <c r="AU596" s="126">
        <v>190.0</v>
      </c>
      <c r="AV596" s="126">
        <v>700.0</v>
      </c>
      <c r="AW596" s="2"/>
      <c r="AX596" s="2"/>
      <c r="AY596" s="2"/>
      <c r="AZ596" s="2"/>
      <c r="BA596" s="2"/>
      <c r="BB596" s="2"/>
      <c r="BC596" s="2"/>
      <c r="BD596" s="2"/>
      <c r="BE596" s="2"/>
    </row>
    <row r="597" hidden="1">
      <c r="A597" s="2"/>
      <c r="B597" s="335" t="s">
        <v>7861</v>
      </c>
      <c r="C597" s="320" t="s">
        <v>7862</v>
      </c>
      <c r="D597" s="31">
        <v>90.0</v>
      </c>
      <c r="E597" s="31" t="s">
        <v>97</v>
      </c>
      <c r="F597" s="11" t="s">
        <v>7832</v>
      </c>
      <c r="G597" s="327" t="s">
        <v>7863</v>
      </c>
      <c r="H597" s="322"/>
      <c r="I597" s="328">
        <v>230.0</v>
      </c>
      <c r="J597" s="324"/>
      <c r="K597" s="322"/>
      <c r="L597" s="323"/>
      <c r="M597" s="324">
        <v>230.0</v>
      </c>
      <c r="N597" s="284">
        <v>2.0</v>
      </c>
      <c r="O597" s="322">
        <v>700.0</v>
      </c>
      <c r="P597" s="313">
        <f>MAX(O597:O598)</f>
        <v>700</v>
      </c>
      <c r="Q597" s="319">
        <f>P597</f>
        <v>700</v>
      </c>
      <c r="R597" s="329" t="s">
        <v>7864</v>
      </c>
      <c r="S597" s="330">
        <v>46141.46155923611</v>
      </c>
      <c r="T597" s="2"/>
      <c r="U597" s="289">
        <f t="shared" si="353"/>
        <v>470</v>
      </c>
      <c r="V597" s="304" t="str">
        <f t="shared" si="354"/>
        <v>нет з/ч</v>
      </c>
      <c r="W597" s="2"/>
      <c r="X597" s="289">
        <v>230.0</v>
      </c>
      <c r="Y597" s="139"/>
      <c r="Z597" s="2"/>
      <c r="AA597" s="2" t="s">
        <v>7862</v>
      </c>
      <c r="AB597" s="2" t="s">
        <v>7862</v>
      </c>
      <c r="AC597" s="2"/>
      <c r="AD597" s="2" t="s">
        <v>7862</v>
      </c>
      <c r="AE597" s="3" t="s">
        <v>7861</v>
      </c>
      <c r="AF597" s="2"/>
      <c r="AG597" s="1" t="s">
        <v>1582</v>
      </c>
      <c r="AH597" s="1" t="s">
        <v>5903</v>
      </c>
      <c r="AI597" s="2">
        <v>90.0</v>
      </c>
      <c r="AJ597" s="1" t="s">
        <v>1589</v>
      </c>
      <c r="AK597" s="1" t="s">
        <v>5878</v>
      </c>
      <c r="AL597" s="1" t="s">
        <v>5878</v>
      </c>
      <c r="AM597" s="2"/>
      <c r="AN597" s="2"/>
      <c r="AO597" s="2"/>
      <c r="AP597" s="2"/>
      <c r="AQ597" s="2"/>
      <c r="AR597" s="2"/>
      <c r="AS597" s="2"/>
      <c r="AT597" s="2"/>
      <c r="AU597" s="126">
        <v>230.0</v>
      </c>
      <c r="AV597" s="126">
        <v>700.0</v>
      </c>
      <c r="AW597" s="2"/>
      <c r="AX597" s="2"/>
      <c r="AY597" s="2"/>
      <c r="AZ597" s="2"/>
      <c r="BA597" s="2"/>
      <c r="BB597" s="2"/>
      <c r="BC597" s="2"/>
      <c r="BD597" s="2"/>
      <c r="BE597" s="2"/>
    </row>
    <row r="598" hidden="1">
      <c r="A598" s="2"/>
      <c r="B598" s="335" t="s">
        <v>7865</v>
      </c>
      <c r="C598" s="320" t="s">
        <v>7866</v>
      </c>
      <c r="D598" s="31">
        <v>90.0</v>
      </c>
      <c r="E598" s="31" t="s">
        <v>97</v>
      </c>
      <c r="F598" s="11" t="s">
        <v>7832</v>
      </c>
      <c r="G598" s="327" t="s">
        <v>7867</v>
      </c>
      <c r="H598" s="322"/>
      <c r="I598" s="328">
        <v>230.0</v>
      </c>
      <c r="J598" s="324"/>
      <c r="K598" s="322"/>
      <c r="L598" s="323"/>
      <c r="M598" s="324">
        <v>230.0</v>
      </c>
      <c r="N598" s="284">
        <v>2.0</v>
      </c>
      <c r="O598" s="322">
        <v>700.0</v>
      </c>
      <c r="P598" s="67"/>
      <c r="Q598" s="319">
        <f>P597</f>
        <v>700</v>
      </c>
      <c r="R598" s="329" t="s">
        <v>7868</v>
      </c>
      <c r="S598" s="330">
        <v>46141.4616125</v>
      </c>
      <c r="T598" s="2"/>
      <c r="U598" s="289">
        <f t="shared" si="353"/>
        <v>470</v>
      </c>
      <c r="V598" s="304" t="str">
        <f t="shared" si="354"/>
        <v>нет з/ч</v>
      </c>
      <c r="W598" s="2"/>
      <c r="X598" s="289">
        <v>230.0</v>
      </c>
      <c r="Y598" s="139"/>
      <c r="Z598" s="2"/>
      <c r="AA598" s="2" t="s">
        <v>7866</v>
      </c>
      <c r="AB598" s="2" t="s">
        <v>7866</v>
      </c>
      <c r="AC598" s="2"/>
      <c r="AD598" s="2" t="s">
        <v>7866</v>
      </c>
      <c r="AE598" s="3" t="s">
        <v>7865</v>
      </c>
      <c r="AF598" s="2"/>
      <c r="AG598" s="1" t="s">
        <v>1582</v>
      </c>
      <c r="AH598" s="1" t="s">
        <v>5903</v>
      </c>
      <c r="AI598" s="2">
        <v>90.0</v>
      </c>
      <c r="AJ598" s="1" t="s">
        <v>1589</v>
      </c>
      <c r="AK598" s="1" t="s">
        <v>5878</v>
      </c>
      <c r="AL598" s="1" t="s">
        <v>5878</v>
      </c>
      <c r="AM598" s="2"/>
      <c r="AN598" s="2"/>
      <c r="AO598" s="2"/>
      <c r="AP598" s="2"/>
      <c r="AQ598" s="2"/>
      <c r="AR598" s="2"/>
      <c r="AS598" s="2"/>
      <c r="AT598" s="2"/>
      <c r="AU598" s="126">
        <v>230.0</v>
      </c>
      <c r="AV598" s="126">
        <v>700.0</v>
      </c>
      <c r="AW598" s="2"/>
      <c r="AX598" s="2"/>
      <c r="AY598" s="2"/>
      <c r="AZ598" s="2"/>
      <c r="BA598" s="2"/>
      <c r="BB598" s="2"/>
      <c r="BC598" s="2"/>
      <c r="BD598" s="2"/>
      <c r="BE598" s="2"/>
    </row>
    <row r="599" hidden="1">
      <c r="A599" s="2"/>
      <c r="B599" s="335" t="s">
        <v>7869</v>
      </c>
      <c r="C599" s="320" t="s">
        <v>7870</v>
      </c>
      <c r="D599" s="31">
        <v>90.0</v>
      </c>
      <c r="E599" s="31" t="s">
        <v>104</v>
      </c>
      <c r="F599" s="11" t="s">
        <v>7832</v>
      </c>
      <c r="G599" s="327" t="s">
        <v>7871</v>
      </c>
      <c r="H599" s="322"/>
      <c r="I599" s="328">
        <v>290.0</v>
      </c>
      <c r="J599" s="324"/>
      <c r="K599" s="322"/>
      <c r="L599" s="323"/>
      <c r="M599" s="324">
        <v>290.0</v>
      </c>
      <c r="N599" s="284">
        <v>2.1</v>
      </c>
      <c r="O599" s="322">
        <v>900.0</v>
      </c>
      <c r="P599" s="313">
        <f>MAX(O599:O600)</f>
        <v>900</v>
      </c>
      <c r="Q599" s="319">
        <f>P599</f>
        <v>900</v>
      </c>
      <c r="R599" s="329" t="s">
        <v>7872</v>
      </c>
      <c r="S599" s="330">
        <v>46141.46166366898</v>
      </c>
      <c r="T599" s="2"/>
      <c r="U599" s="289">
        <f t="shared" si="353"/>
        <v>610</v>
      </c>
      <c r="V599" s="304" t="str">
        <f t="shared" si="354"/>
        <v>нет з/ч</v>
      </c>
      <c r="W599" s="2"/>
      <c r="X599" s="289">
        <v>290.0</v>
      </c>
      <c r="Y599" s="139"/>
      <c r="Z599" s="2"/>
      <c r="AA599" s="2" t="s">
        <v>7870</v>
      </c>
      <c r="AB599" s="2" t="s">
        <v>7870</v>
      </c>
      <c r="AC599" s="2"/>
      <c r="AD599" s="2" t="s">
        <v>7870</v>
      </c>
      <c r="AE599" s="3" t="s">
        <v>7869</v>
      </c>
      <c r="AF599" s="2"/>
      <c r="AG599" s="1" t="s">
        <v>1582</v>
      </c>
      <c r="AH599" s="1" t="s">
        <v>5908</v>
      </c>
      <c r="AI599" s="2">
        <v>90.0</v>
      </c>
      <c r="AJ599" s="1" t="s">
        <v>1589</v>
      </c>
      <c r="AK599" s="1" t="s">
        <v>5878</v>
      </c>
      <c r="AL599" s="1" t="s">
        <v>5878</v>
      </c>
      <c r="AM599" s="2"/>
      <c r="AN599" s="2"/>
      <c r="AO599" s="2"/>
      <c r="AP599" s="2"/>
      <c r="AQ599" s="2"/>
      <c r="AR599" s="2"/>
      <c r="AS599" s="2"/>
      <c r="AT599" s="2"/>
      <c r="AU599" s="126">
        <v>290.0</v>
      </c>
      <c r="AV599" s="126">
        <v>900.0</v>
      </c>
      <c r="AW599" s="2"/>
      <c r="AX599" s="2"/>
      <c r="AY599" s="2"/>
      <c r="AZ599" s="2"/>
      <c r="BA599" s="2"/>
      <c r="BB599" s="2"/>
      <c r="BC599" s="2"/>
      <c r="BD599" s="2"/>
      <c r="BE599" s="2"/>
    </row>
    <row r="600" hidden="1">
      <c r="A600" s="2"/>
      <c r="B600" s="335" t="s">
        <v>7873</v>
      </c>
      <c r="C600" s="320" t="s">
        <v>7874</v>
      </c>
      <c r="D600" s="31">
        <v>90.0</v>
      </c>
      <c r="E600" s="31" t="s">
        <v>104</v>
      </c>
      <c r="F600" s="11" t="s">
        <v>7832</v>
      </c>
      <c r="G600" s="327" t="s">
        <v>7875</v>
      </c>
      <c r="H600" s="322"/>
      <c r="I600" s="328">
        <v>290.0</v>
      </c>
      <c r="J600" s="324"/>
      <c r="K600" s="322"/>
      <c r="L600" s="323"/>
      <c r="M600" s="324">
        <v>290.0</v>
      </c>
      <c r="N600" s="284">
        <v>2.1</v>
      </c>
      <c r="O600" s="322">
        <v>900.0</v>
      </c>
      <c r="P600" s="67"/>
      <c r="Q600" s="319">
        <f>P599</f>
        <v>900</v>
      </c>
      <c r="R600" s="329" t="s">
        <v>7876</v>
      </c>
      <c r="S600" s="330">
        <v>46141.46171474537</v>
      </c>
      <c r="T600" s="2"/>
      <c r="U600" s="289">
        <f t="shared" si="353"/>
        <v>610</v>
      </c>
      <c r="V600" s="304" t="str">
        <f t="shared" si="354"/>
        <v>нет з/ч</v>
      </c>
      <c r="W600" s="2"/>
      <c r="X600" s="289">
        <v>290.0</v>
      </c>
      <c r="Y600" s="139"/>
      <c r="Z600" s="2"/>
      <c r="AA600" s="2" t="s">
        <v>7874</v>
      </c>
      <c r="AB600" s="2" t="s">
        <v>7874</v>
      </c>
      <c r="AC600" s="2"/>
      <c r="AD600" s="2" t="s">
        <v>7874</v>
      </c>
      <c r="AE600" s="3" t="s">
        <v>7873</v>
      </c>
      <c r="AF600" s="2"/>
      <c r="AG600" s="1" t="s">
        <v>1582</v>
      </c>
      <c r="AH600" s="1" t="s">
        <v>5908</v>
      </c>
      <c r="AI600" s="2">
        <v>90.0</v>
      </c>
      <c r="AJ600" s="1" t="s">
        <v>1589</v>
      </c>
      <c r="AK600" s="1" t="s">
        <v>5878</v>
      </c>
      <c r="AL600" s="1" t="s">
        <v>5878</v>
      </c>
      <c r="AM600" s="2"/>
      <c r="AN600" s="2"/>
      <c r="AO600" s="2"/>
      <c r="AP600" s="2"/>
      <c r="AQ600" s="2"/>
      <c r="AR600" s="2"/>
      <c r="AS600" s="2"/>
      <c r="AT600" s="2"/>
      <c r="AU600" s="126">
        <v>290.0</v>
      </c>
      <c r="AV600" s="126">
        <v>900.0</v>
      </c>
      <c r="AW600" s="2"/>
      <c r="AX600" s="2"/>
      <c r="AY600" s="2"/>
      <c r="AZ600" s="2"/>
      <c r="BA600" s="2"/>
      <c r="BB600" s="2"/>
      <c r="BC600" s="2"/>
      <c r="BD600" s="2"/>
      <c r="BE600" s="2"/>
    </row>
    <row r="601" hidden="1">
      <c r="A601" s="2"/>
      <c r="B601" s="335" t="s">
        <v>7877</v>
      </c>
      <c r="C601" s="320" t="s">
        <v>7878</v>
      </c>
      <c r="D601" s="31">
        <v>90.0</v>
      </c>
      <c r="E601" s="31" t="s">
        <v>111</v>
      </c>
      <c r="F601" s="11" t="s">
        <v>7832</v>
      </c>
      <c r="G601" s="327" t="s">
        <v>7879</v>
      </c>
      <c r="H601" s="322"/>
      <c r="I601" s="328">
        <v>390.0</v>
      </c>
      <c r="J601" s="324"/>
      <c r="K601" s="322"/>
      <c r="L601" s="323"/>
      <c r="M601" s="324">
        <v>390.0</v>
      </c>
      <c r="N601" s="284">
        <v>1.6</v>
      </c>
      <c r="O601" s="322">
        <v>1000.0</v>
      </c>
      <c r="P601" s="313">
        <f>MAX(O601:O602)</f>
        <v>1000</v>
      </c>
      <c r="Q601" s="319">
        <f>P601</f>
        <v>1000</v>
      </c>
      <c r="R601" s="329" t="s">
        <v>7880</v>
      </c>
      <c r="S601" s="330">
        <v>46141.46176693287</v>
      </c>
      <c r="T601" s="2"/>
      <c r="U601" s="289">
        <f t="shared" si="353"/>
        <v>610</v>
      </c>
      <c r="V601" s="304" t="str">
        <f t="shared" si="354"/>
        <v>нет з/ч</v>
      </c>
      <c r="W601" s="2"/>
      <c r="X601" s="289">
        <v>390.0</v>
      </c>
      <c r="Y601" s="139"/>
      <c r="Z601" s="2"/>
      <c r="AA601" s="2" t="s">
        <v>7878</v>
      </c>
      <c r="AB601" s="2" t="s">
        <v>7878</v>
      </c>
      <c r="AC601" s="2"/>
      <c r="AD601" s="2" t="s">
        <v>7878</v>
      </c>
      <c r="AE601" s="3" t="s">
        <v>7877</v>
      </c>
      <c r="AF601" s="2"/>
      <c r="AG601" s="1" t="s">
        <v>1582</v>
      </c>
      <c r="AH601" s="1" t="s">
        <v>5913</v>
      </c>
      <c r="AI601" s="2">
        <v>90.0</v>
      </c>
      <c r="AJ601" s="1" t="s">
        <v>1589</v>
      </c>
      <c r="AK601" s="1" t="s">
        <v>5878</v>
      </c>
      <c r="AL601" s="1" t="s">
        <v>5878</v>
      </c>
      <c r="AM601" s="2"/>
      <c r="AN601" s="2"/>
      <c r="AO601" s="2"/>
      <c r="AP601" s="2"/>
      <c r="AQ601" s="2"/>
      <c r="AR601" s="2"/>
      <c r="AS601" s="2"/>
      <c r="AT601" s="2"/>
      <c r="AU601" s="126">
        <v>390.0</v>
      </c>
      <c r="AV601" s="126">
        <v>1000.0</v>
      </c>
      <c r="AW601" s="2"/>
      <c r="AX601" s="2"/>
      <c r="AY601" s="2"/>
      <c r="AZ601" s="2"/>
      <c r="BA601" s="2"/>
      <c r="BB601" s="2"/>
      <c r="BC601" s="2"/>
      <c r="BD601" s="2"/>
      <c r="BE601" s="2"/>
    </row>
    <row r="602" hidden="1">
      <c r="A602" s="2"/>
      <c r="B602" s="335" t="s">
        <v>7881</v>
      </c>
      <c r="C602" s="320" t="s">
        <v>7882</v>
      </c>
      <c r="D602" s="31">
        <v>90.0</v>
      </c>
      <c r="E602" s="31" t="s">
        <v>111</v>
      </c>
      <c r="F602" s="11" t="s">
        <v>7832</v>
      </c>
      <c r="G602" s="327" t="s">
        <v>7883</v>
      </c>
      <c r="H602" s="322"/>
      <c r="I602" s="328">
        <v>390.0</v>
      </c>
      <c r="J602" s="324"/>
      <c r="K602" s="322"/>
      <c r="L602" s="323"/>
      <c r="M602" s="324">
        <v>390.0</v>
      </c>
      <c r="N602" s="284">
        <v>1.6</v>
      </c>
      <c r="O602" s="322">
        <v>1000.0</v>
      </c>
      <c r="P602" s="67"/>
      <c r="Q602" s="319">
        <f>P601</f>
        <v>1000</v>
      </c>
      <c r="R602" s="329" t="s">
        <v>7884</v>
      </c>
      <c r="S602" s="330">
        <v>46141.46181934028</v>
      </c>
      <c r="T602" s="2"/>
      <c r="U602" s="289">
        <f t="shared" si="353"/>
        <v>610</v>
      </c>
      <c r="V602" s="304" t="str">
        <f t="shared" si="354"/>
        <v>нет з/ч</v>
      </c>
      <c r="W602" s="2"/>
      <c r="X602" s="289">
        <v>390.0</v>
      </c>
      <c r="Y602" s="139"/>
      <c r="Z602" s="2"/>
      <c r="AA602" s="2" t="s">
        <v>7882</v>
      </c>
      <c r="AB602" s="2" t="s">
        <v>7882</v>
      </c>
      <c r="AC602" s="2"/>
      <c r="AD602" s="2" t="s">
        <v>7882</v>
      </c>
      <c r="AE602" s="3" t="s">
        <v>7881</v>
      </c>
      <c r="AF602" s="2"/>
      <c r="AG602" s="1" t="s">
        <v>1582</v>
      </c>
      <c r="AH602" s="1" t="s">
        <v>5913</v>
      </c>
      <c r="AI602" s="2">
        <v>90.0</v>
      </c>
      <c r="AJ602" s="1" t="s">
        <v>1589</v>
      </c>
      <c r="AK602" s="1" t="s">
        <v>5878</v>
      </c>
      <c r="AL602" s="1" t="s">
        <v>5878</v>
      </c>
      <c r="AM602" s="2"/>
      <c r="AN602" s="2"/>
      <c r="AO602" s="2"/>
      <c r="AP602" s="2"/>
      <c r="AQ602" s="2"/>
      <c r="AR602" s="2"/>
      <c r="AS602" s="2"/>
      <c r="AT602" s="2"/>
      <c r="AU602" s="126">
        <v>390.0</v>
      </c>
      <c r="AV602" s="126">
        <v>1000.0</v>
      </c>
      <c r="AW602" s="2"/>
      <c r="AX602" s="2"/>
      <c r="AY602" s="2"/>
      <c r="AZ602" s="2"/>
      <c r="BA602" s="2"/>
      <c r="BB602" s="2"/>
      <c r="BC602" s="2"/>
      <c r="BD602" s="2"/>
      <c r="BE602" s="2"/>
    </row>
    <row r="603" hidden="1">
      <c r="A603" s="2"/>
      <c r="B603" s="335" t="s">
        <v>7885</v>
      </c>
      <c r="C603" s="320" t="s">
        <v>7886</v>
      </c>
      <c r="D603" s="31">
        <v>90.0</v>
      </c>
      <c r="E603" s="31" t="s">
        <v>118</v>
      </c>
      <c r="F603" s="11" t="s">
        <v>7832</v>
      </c>
      <c r="G603" s="327" t="s">
        <v>7887</v>
      </c>
      <c r="H603" s="322"/>
      <c r="I603" s="328">
        <v>450.0</v>
      </c>
      <c r="J603" s="324"/>
      <c r="K603" s="322"/>
      <c r="L603" s="323"/>
      <c r="M603" s="324">
        <v>450.0</v>
      </c>
      <c r="N603" s="284">
        <v>1.7</v>
      </c>
      <c r="O603" s="322">
        <v>1200.0</v>
      </c>
      <c r="P603" s="313">
        <f>MAX(O603:O604)</f>
        <v>1200</v>
      </c>
      <c r="Q603" s="319">
        <f>P603</f>
        <v>1200</v>
      </c>
      <c r="R603" s="329" t="s">
        <v>7888</v>
      </c>
      <c r="S603" s="330">
        <v>46141.46187594907</v>
      </c>
      <c r="T603" s="2"/>
      <c r="U603" s="289">
        <f t="shared" si="353"/>
        <v>750</v>
      </c>
      <c r="V603" s="304" t="str">
        <f t="shared" si="354"/>
        <v>нет з/ч</v>
      </c>
      <c r="W603" s="2"/>
      <c r="X603" s="289">
        <v>450.0</v>
      </c>
      <c r="Y603" s="139"/>
      <c r="Z603" s="2"/>
      <c r="AA603" s="2" t="s">
        <v>7886</v>
      </c>
      <c r="AB603" s="2" t="s">
        <v>7886</v>
      </c>
      <c r="AC603" s="2"/>
      <c r="AD603" s="2" t="s">
        <v>7886</v>
      </c>
      <c r="AE603" s="3" t="s">
        <v>7885</v>
      </c>
      <c r="AF603" s="2"/>
      <c r="AG603" s="1" t="s">
        <v>1582</v>
      </c>
      <c r="AH603" s="1" t="s">
        <v>5918</v>
      </c>
      <c r="AI603" s="2">
        <v>90.0</v>
      </c>
      <c r="AJ603" s="1" t="s">
        <v>1589</v>
      </c>
      <c r="AK603" s="1" t="s">
        <v>5878</v>
      </c>
      <c r="AL603" s="1" t="s">
        <v>5878</v>
      </c>
      <c r="AM603" s="2"/>
      <c r="AN603" s="2"/>
      <c r="AO603" s="2"/>
      <c r="AP603" s="2"/>
      <c r="AQ603" s="2"/>
      <c r="AR603" s="2"/>
      <c r="AS603" s="2"/>
      <c r="AT603" s="2"/>
      <c r="AU603" s="126">
        <v>450.0</v>
      </c>
      <c r="AV603" s="126">
        <v>1200.0</v>
      </c>
      <c r="AW603" s="2"/>
      <c r="AX603" s="2"/>
      <c r="AY603" s="2"/>
      <c r="AZ603" s="2"/>
      <c r="BA603" s="2"/>
      <c r="BB603" s="2"/>
      <c r="BC603" s="2"/>
      <c r="BD603" s="2"/>
      <c r="BE603" s="2"/>
    </row>
    <row r="604" hidden="1">
      <c r="A604" s="2"/>
      <c r="B604" s="335" t="s">
        <v>7889</v>
      </c>
      <c r="C604" s="320" t="s">
        <v>7890</v>
      </c>
      <c r="D604" s="31">
        <v>90.0</v>
      </c>
      <c r="E604" s="31" t="s">
        <v>118</v>
      </c>
      <c r="F604" s="11" t="s">
        <v>7832</v>
      </c>
      <c r="G604" s="327" t="s">
        <v>7891</v>
      </c>
      <c r="H604" s="322"/>
      <c r="I604" s="328">
        <v>450.0</v>
      </c>
      <c r="J604" s="324"/>
      <c r="K604" s="322"/>
      <c r="L604" s="323"/>
      <c r="M604" s="324">
        <v>450.0</v>
      </c>
      <c r="N604" s="284">
        <v>1.7</v>
      </c>
      <c r="O604" s="322">
        <v>1200.0</v>
      </c>
      <c r="P604" s="67"/>
      <c r="Q604" s="319">
        <f>P603</f>
        <v>1200</v>
      </c>
      <c r="R604" s="329" t="s">
        <v>7892</v>
      </c>
      <c r="S604" s="330">
        <v>46141.46192710648</v>
      </c>
      <c r="T604" s="2"/>
      <c r="U604" s="289">
        <f t="shared" si="353"/>
        <v>750</v>
      </c>
      <c r="V604" s="304" t="str">
        <f t="shared" si="354"/>
        <v>нет з/ч</v>
      </c>
      <c r="W604" s="2"/>
      <c r="X604" s="289">
        <v>450.0</v>
      </c>
      <c r="Y604" s="139"/>
      <c r="Z604" s="2"/>
      <c r="AA604" s="2" t="s">
        <v>7890</v>
      </c>
      <c r="AB604" s="2" t="s">
        <v>7890</v>
      </c>
      <c r="AC604" s="2"/>
      <c r="AD604" s="2" t="s">
        <v>7890</v>
      </c>
      <c r="AE604" s="3" t="s">
        <v>7889</v>
      </c>
      <c r="AF604" s="2"/>
      <c r="AG604" s="1" t="s">
        <v>1582</v>
      </c>
      <c r="AH604" s="1" t="s">
        <v>5918</v>
      </c>
      <c r="AI604" s="2">
        <v>90.0</v>
      </c>
      <c r="AJ604" s="1" t="s">
        <v>1589</v>
      </c>
      <c r="AK604" s="1" t="s">
        <v>5878</v>
      </c>
      <c r="AL604" s="1" t="s">
        <v>5878</v>
      </c>
      <c r="AM604" s="2"/>
      <c r="AN604" s="2"/>
      <c r="AO604" s="2"/>
      <c r="AP604" s="2"/>
      <c r="AQ604" s="2"/>
      <c r="AR604" s="2"/>
      <c r="AS604" s="2"/>
      <c r="AT604" s="2"/>
      <c r="AU604" s="126">
        <v>450.0</v>
      </c>
      <c r="AV604" s="126">
        <v>1200.0</v>
      </c>
      <c r="AW604" s="2"/>
      <c r="AX604" s="2"/>
      <c r="AY604" s="2"/>
      <c r="AZ604" s="2"/>
      <c r="BA604" s="2"/>
      <c r="BB604" s="2"/>
      <c r="BC604" s="2"/>
      <c r="BD604" s="2"/>
      <c r="BE604" s="2"/>
    </row>
    <row r="605" hidden="1">
      <c r="A605" s="2"/>
      <c r="B605" s="335" t="s">
        <v>7893</v>
      </c>
      <c r="C605" s="320" t="s">
        <v>7894</v>
      </c>
      <c r="D605" s="31">
        <v>90.0</v>
      </c>
      <c r="E605" s="31" t="s">
        <v>125</v>
      </c>
      <c r="F605" s="11" t="s">
        <v>7832</v>
      </c>
      <c r="G605" s="327" t="s">
        <v>7895</v>
      </c>
      <c r="H605" s="322"/>
      <c r="I605" s="328">
        <v>390.0</v>
      </c>
      <c r="J605" s="324"/>
      <c r="K605" s="322"/>
      <c r="L605" s="323"/>
      <c r="M605" s="324">
        <v>390.0</v>
      </c>
      <c r="N605" s="284">
        <v>2.1</v>
      </c>
      <c r="O605" s="322">
        <v>1200.0</v>
      </c>
      <c r="P605" s="313">
        <f>MAX(O605:O606)</f>
        <v>1200</v>
      </c>
      <c r="Q605" s="319">
        <f>P605</f>
        <v>1200</v>
      </c>
      <c r="R605" s="329" t="s">
        <v>7896</v>
      </c>
      <c r="S605" s="330">
        <v>46141.46197653935</v>
      </c>
      <c r="T605" s="2"/>
      <c r="U605" s="289">
        <f t="shared" si="353"/>
        <v>810</v>
      </c>
      <c r="V605" s="304" t="str">
        <f t="shared" si="354"/>
        <v>нет з/ч</v>
      </c>
      <c r="W605" s="2"/>
      <c r="X605" s="289">
        <v>390.0</v>
      </c>
      <c r="Y605" s="139"/>
      <c r="Z605" s="2"/>
      <c r="AA605" s="2" t="s">
        <v>7894</v>
      </c>
      <c r="AB605" s="2" t="s">
        <v>7894</v>
      </c>
      <c r="AC605" s="2"/>
      <c r="AD605" s="2" t="s">
        <v>7894</v>
      </c>
      <c r="AE605" s="3" t="s">
        <v>7893</v>
      </c>
      <c r="AF605" s="2"/>
      <c r="AG605" s="1" t="s">
        <v>1582</v>
      </c>
      <c r="AH605" s="1" t="s">
        <v>5923</v>
      </c>
      <c r="AI605" s="2">
        <v>90.0</v>
      </c>
      <c r="AJ605" s="1" t="s">
        <v>1589</v>
      </c>
      <c r="AK605" s="1" t="s">
        <v>5878</v>
      </c>
      <c r="AL605" s="1" t="s">
        <v>5878</v>
      </c>
      <c r="AM605" s="2"/>
      <c r="AN605" s="2"/>
      <c r="AO605" s="2"/>
      <c r="AP605" s="2"/>
      <c r="AQ605" s="2"/>
      <c r="AR605" s="2"/>
      <c r="AS605" s="2"/>
      <c r="AT605" s="2"/>
      <c r="AU605" s="126">
        <v>390.0</v>
      </c>
      <c r="AV605" s="126">
        <v>1200.0</v>
      </c>
      <c r="AW605" s="2"/>
      <c r="AX605" s="2"/>
      <c r="AY605" s="2"/>
      <c r="AZ605" s="2"/>
      <c r="BA605" s="2"/>
      <c r="BB605" s="2"/>
      <c r="BC605" s="2"/>
      <c r="BD605" s="2"/>
      <c r="BE605" s="2"/>
    </row>
    <row r="606" hidden="1">
      <c r="A606" s="2"/>
      <c r="B606" s="335" t="s">
        <v>7897</v>
      </c>
      <c r="C606" s="320" t="s">
        <v>7898</v>
      </c>
      <c r="D606" s="31">
        <v>90.0</v>
      </c>
      <c r="E606" s="31" t="s">
        <v>125</v>
      </c>
      <c r="F606" s="11" t="s">
        <v>7832</v>
      </c>
      <c r="G606" s="327" t="s">
        <v>7899</v>
      </c>
      <c r="H606" s="322"/>
      <c r="I606" s="328">
        <v>390.0</v>
      </c>
      <c r="J606" s="324"/>
      <c r="K606" s="322"/>
      <c r="L606" s="323"/>
      <c r="M606" s="324">
        <v>390.0</v>
      </c>
      <c r="N606" s="284">
        <v>2.1</v>
      </c>
      <c r="O606" s="322">
        <v>1200.0</v>
      </c>
      <c r="P606" s="104"/>
      <c r="Q606" s="319">
        <f>P605</f>
        <v>1200</v>
      </c>
      <c r="R606" s="329" t="s">
        <v>7900</v>
      </c>
      <c r="S606" s="330">
        <v>46141.462027430556</v>
      </c>
      <c r="T606" s="2"/>
      <c r="U606" s="289">
        <f t="shared" si="353"/>
        <v>810</v>
      </c>
      <c r="V606" s="304" t="str">
        <f t="shared" si="354"/>
        <v>нет з/ч</v>
      </c>
      <c r="W606" s="2"/>
      <c r="X606" s="289">
        <v>390.0</v>
      </c>
      <c r="Y606" s="139"/>
      <c r="Z606" s="2"/>
      <c r="AA606" s="2" t="s">
        <v>7898</v>
      </c>
      <c r="AB606" s="2" t="s">
        <v>7898</v>
      </c>
      <c r="AC606" s="2"/>
      <c r="AD606" s="2" t="s">
        <v>7898</v>
      </c>
      <c r="AE606" s="3" t="s">
        <v>7897</v>
      </c>
      <c r="AF606" s="2"/>
      <c r="AG606" s="1" t="s">
        <v>1582</v>
      </c>
      <c r="AH606" s="1" t="s">
        <v>5923</v>
      </c>
      <c r="AI606" s="2">
        <v>90.0</v>
      </c>
      <c r="AJ606" s="1" t="s">
        <v>1589</v>
      </c>
      <c r="AK606" s="1" t="s">
        <v>5878</v>
      </c>
      <c r="AL606" s="1" t="s">
        <v>5878</v>
      </c>
      <c r="AM606" s="2"/>
      <c r="AN606" s="2"/>
      <c r="AO606" s="2"/>
      <c r="AP606" s="2"/>
      <c r="AQ606" s="2"/>
      <c r="AR606" s="2"/>
      <c r="AS606" s="2"/>
      <c r="AT606" s="2"/>
      <c r="AU606" s="126">
        <v>390.0</v>
      </c>
      <c r="AV606" s="126">
        <v>1200.0</v>
      </c>
      <c r="AW606" s="2"/>
      <c r="AX606" s="2"/>
      <c r="AY606" s="2"/>
      <c r="AZ606" s="2"/>
      <c r="BA606" s="2"/>
      <c r="BB606" s="2"/>
      <c r="BC606" s="2"/>
      <c r="BD606" s="2"/>
      <c r="BE606" s="2"/>
    </row>
    <row r="607" hidden="1">
      <c r="A607" s="2"/>
      <c r="B607" s="335" t="s">
        <v>7901</v>
      </c>
      <c r="C607" s="93"/>
      <c r="D607" s="31">
        <v>90.0</v>
      </c>
      <c r="E607" s="31" t="s">
        <v>125</v>
      </c>
      <c r="F607" s="11" t="s">
        <v>7832</v>
      </c>
      <c r="G607" s="327" t="s">
        <v>7902</v>
      </c>
      <c r="H607" s="322"/>
      <c r="I607" s="328">
        <v>390.0</v>
      </c>
      <c r="J607" s="324"/>
      <c r="K607" s="322"/>
      <c r="L607" s="323"/>
      <c r="M607" s="324">
        <v>390.0</v>
      </c>
      <c r="N607" s="284">
        <v>2.1</v>
      </c>
      <c r="O607" s="322">
        <v>1200.0</v>
      </c>
      <c r="P607" s="67"/>
      <c r="Q607" s="319">
        <f>P605</f>
        <v>1200</v>
      </c>
      <c r="R607" s="329" t="s">
        <v>7903</v>
      </c>
      <c r="S607" s="330">
        <v>46141.46207603009</v>
      </c>
      <c r="T607" s="2"/>
      <c r="U607" s="289">
        <f t="shared" si="353"/>
        <v>810</v>
      </c>
      <c r="V607" s="304" t="str">
        <f t="shared" si="354"/>
        <v>нет з/ч</v>
      </c>
      <c r="W607" s="2"/>
      <c r="X607" s="289">
        <v>390.0</v>
      </c>
      <c r="Y607" s="139"/>
      <c r="Z607" s="2"/>
      <c r="AA607" s="2"/>
      <c r="AB607" s="2"/>
      <c r="AC607" s="2"/>
      <c r="AD607" s="2"/>
      <c r="AE607" s="3" t="s">
        <v>7901</v>
      </c>
      <c r="AF607" s="2"/>
      <c r="AG607" s="1" t="s">
        <v>1582</v>
      </c>
      <c r="AH607" s="1" t="s">
        <v>5923</v>
      </c>
      <c r="AI607" s="2">
        <v>90.0</v>
      </c>
      <c r="AJ607" s="1" t="s">
        <v>1589</v>
      </c>
      <c r="AK607" s="1" t="s">
        <v>5878</v>
      </c>
      <c r="AL607" s="1" t="s">
        <v>5878</v>
      </c>
      <c r="AM607" s="2"/>
      <c r="AN607" s="2"/>
      <c r="AO607" s="2"/>
      <c r="AP607" s="2"/>
      <c r="AQ607" s="2"/>
      <c r="AR607" s="2"/>
      <c r="AS607" s="2"/>
      <c r="AT607" s="2"/>
      <c r="AU607" s="126">
        <v>390.0</v>
      </c>
      <c r="AV607" s="126">
        <v>1200.0</v>
      </c>
      <c r="AW607" s="2"/>
      <c r="AX607" s="2"/>
      <c r="AY607" s="2"/>
      <c r="AZ607" s="2"/>
      <c r="BA607" s="2"/>
      <c r="BB607" s="2"/>
      <c r="BC607" s="2"/>
      <c r="BD607" s="2"/>
      <c r="BE607" s="2"/>
    </row>
    <row r="608" hidden="1">
      <c r="A608" s="2"/>
      <c r="B608" s="335" t="s">
        <v>7904</v>
      </c>
      <c r="C608" s="320" t="s">
        <v>7905</v>
      </c>
      <c r="D608" s="31">
        <v>90.0</v>
      </c>
      <c r="E608" s="31" t="s">
        <v>132</v>
      </c>
      <c r="F608" s="11" t="s">
        <v>7832</v>
      </c>
      <c r="G608" s="327" t="s">
        <v>7906</v>
      </c>
      <c r="H608" s="322"/>
      <c r="I608" s="328">
        <v>450.0</v>
      </c>
      <c r="J608" s="324"/>
      <c r="K608" s="322"/>
      <c r="L608" s="323"/>
      <c r="M608" s="324">
        <v>450.0</v>
      </c>
      <c r="N608" s="284">
        <v>2.0</v>
      </c>
      <c r="O608" s="322">
        <v>1350.0</v>
      </c>
      <c r="P608" s="313">
        <f>MAX(O608:O609)</f>
        <v>1350</v>
      </c>
      <c r="Q608" s="319">
        <f>P608</f>
        <v>1350</v>
      </c>
      <c r="R608" s="329" t="s">
        <v>7907</v>
      </c>
      <c r="S608" s="330">
        <v>46141.4621268287</v>
      </c>
      <c r="T608" s="2"/>
      <c r="U608" s="289">
        <f t="shared" si="353"/>
        <v>900</v>
      </c>
      <c r="V608" s="304" t="str">
        <f t="shared" si="354"/>
        <v>нет з/ч</v>
      </c>
      <c r="W608" s="2"/>
      <c r="X608" s="289">
        <v>450.0</v>
      </c>
      <c r="Y608" s="139"/>
      <c r="Z608" s="2"/>
      <c r="AA608" s="2" t="s">
        <v>7905</v>
      </c>
      <c r="AB608" s="2" t="s">
        <v>7905</v>
      </c>
      <c r="AC608" s="2"/>
      <c r="AD608" s="2" t="s">
        <v>7905</v>
      </c>
      <c r="AE608" s="3" t="s">
        <v>7904</v>
      </c>
      <c r="AF608" s="2"/>
      <c r="AG608" s="1" t="s">
        <v>1582</v>
      </c>
      <c r="AH608" s="1" t="s">
        <v>5928</v>
      </c>
      <c r="AI608" s="2">
        <v>90.0</v>
      </c>
      <c r="AJ608" s="1" t="s">
        <v>1589</v>
      </c>
      <c r="AK608" s="1" t="s">
        <v>5878</v>
      </c>
      <c r="AL608" s="1" t="s">
        <v>5878</v>
      </c>
      <c r="AM608" s="2"/>
      <c r="AN608" s="2"/>
      <c r="AO608" s="2"/>
      <c r="AP608" s="2"/>
      <c r="AQ608" s="2"/>
      <c r="AR608" s="2"/>
      <c r="AS608" s="2"/>
      <c r="AT608" s="2"/>
      <c r="AU608" s="126">
        <v>450.0</v>
      </c>
      <c r="AV608" s="126">
        <v>1350.0</v>
      </c>
      <c r="AW608" s="2"/>
      <c r="AX608" s="2"/>
      <c r="AY608" s="2"/>
      <c r="AZ608" s="2"/>
      <c r="BA608" s="2"/>
      <c r="BB608" s="2"/>
      <c r="BC608" s="2"/>
      <c r="BD608" s="2"/>
      <c r="BE608" s="2"/>
    </row>
    <row r="609" hidden="1">
      <c r="A609" s="2"/>
      <c r="B609" s="335" t="s">
        <v>7908</v>
      </c>
      <c r="C609" s="320" t="s">
        <v>7909</v>
      </c>
      <c r="D609" s="31">
        <v>90.0</v>
      </c>
      <c r="E609" s="31" t="s">
        <v>132</v>
      </c>
      <c r="F609" s="11" t="s">
        <v>7832</v>
      </c>
      <c r="G609" s="327" t="s">
        <v>7910</v>
      </c>
      <c r="H609" s="322"/>
      <c r="I609" s="328">
        <v>450.0</v>
      </c>
      <c r="J609" s="324"/>
      <c r="K609" s="322"/>
      <c r="L609" s="323"/>
      <c r="M609" s="324">
        <v>450.0</v>
      </c>
      <c r="N609" s="284">
        <v>2.0</v>
      </c>
      <c r="O609" s="322">
        <v>1350.0</v>
      </c>
      <c r="P609" s="104"/>
      <c r="Q609" s="319">
        <f>P608</f>
        <v>1350</v>
      </c>
      <c r="R609" s="336" t="s">
        <v>7911</v>
      </c>
      <c r="S609" s="330">
        <v>46141.46217719908</v>
      </c>
      <c r="T609" s="2"/>
      <c r="U609" s="289">
        <f t="shared" si="353"/>
        <v>900</v>
      </c>
      <c r="V609" s="304" t="str">
        <f t="shared" si="354"/>
        <v>нет з/ч</v>
      </c>
      <c r="W609" s="2"/>
      <c r="X609" s="289">
        <v>450.0</v>
      </c>
      <c r="Y609" s="139"/>
      <c r="Z609" s="2"/>
      <c r="AA609" s="2" t="s">
        <v>7909</v>
      </c>
      <c r="AB609" s="2" t="s">
        <v>7909</v>
      </c>
      <c r="AC609" s="2"/>
      <c r="AD609" s="2" t="s">
        <v>7909</v>
      </c>
      <c r="AE609" s="3" t="s">
        <v>7908</v>
      </c>
      <c r="AF609" s="2"/>
      <c r="AG609" s="1" t="s">
        <v>1582</v>
      </c>
      <c r="AH609" s="1" t="s">
        <v>5928</v>
      </c>
      <c r="AI609" s="2">
        <v>90.0</v>
      </c>
      <c r="AJ609" s="1" t="s">
        <v>1589</v>
      </c>
      <c r="AK609" s="1" t="s">
        <v>5878</v>
      </c>
      <c r="AL609" s="1" t="s">
        <v>5878</v>
      </c>
      <c r="AM609" s="2"/>
      <c r="AN609" s="2"/>
      <c r="AO609" s="2"/>
      <c r="AP609" s="2"/>
      <c r="AQ609" s="2"/>
      <c r="AR609" s="2"/>
      <c r="AS609" s="2"/>
      <c r="AT609" s="2"/>
      <c r="AU609" s="126">
        <v>450.0</v>
      </c>
      <c r="AV609" s="126">
        <v>1350.0</v>
      </c>
      <c r="AW609" s="2"/>
      <c r="AX609" s="2"/>
      <c r="AY609" s="2"/>
      <c r="AZ609" s="2"/>
      <c r="BA609" s="2"/>
      <c r="BB609" s="2"/>
      <c r="BC609" s="2"/>
      <c r="BD609" s="2"/>
      <c r="BE609" s="2"/>
    </row>
    <row r="610" hidden="1">
      <c r="A610" s="2"/>
      <c r="B610" s="335" t="s">
        <v>7912</v>
      </c>
      <c r="C610" s="93"/>
      <c r="D610" s="31">
        <v>90.0</v>
      </c>
      <c r="E610" s="31" t="s">
        <v>132</v>
      </c>
      <c r="F610" s="11" t="s">
        <v>7832</v>
      </c>
      <c r="G610" s="321"/>
      <c r="H610" s="322"/>
      <c r="I610" s="323"/>
      <c r="J610" s="324"/>
      <c r="K610" s="322"/>
      <c r="L610" s="323"/>
      <c r="M610" s="324" t="s">
        <v>22</v>
      </c>
      <c r="N610" s="284">
        <v>2.0</v>
      </c>
      <c r="O610" s="322" t="s">
        <v>22</v>
      </c>
      <c r="P610" s="67"/>
      <c r="Q610" s="319">
        <f>P608</f>
        <v>1350</v>
      </c>
      <c r="R610" s="331"/>
      <c r="S610" s="326"/>
      <c r="T610" s="2"/>
      <c r="U610" s="59" t="str">
        <f t="shared" si="353"/>
        <v>нет з/ч</v>
      </c>
      <c r="V610" s="304" t="str">
        <f t="shared" si="354"/>
        <v>нет з/ч</v>
      </c>
      <c r="W610" s="2"/>
      <c r="X610" s="289"/>
      <c r="Y610" s="139"/>
      <c r="Z610" s="2"/>
      <c r="AA610" s="2"/>
      <c r="AB610" s="2"/>
      <c r="AC610" s="2"/>
      <c r="AD610" s="2"/>
      <c r="AE610" s="3" t="s">
        <v>7912</v>
      </c>
      <c r="AF610" s="2"/>
      <c r="AG610" s="1" t="s">
        <v>1582</v>
      </c>
      <c r="AH610" s="1" t="s">
        <v>5928</v>
      </c>
      <c r="AI610" s="2">
        <v>90.0</v>
      </c>
      <c r="AJ610" s="1" t="s">
        <v>1589</v>
      </c>
      <c r="AK610" s="1" t="s">
        <v>5878</v>
      </c>
      <c r="AL610" s="1" t="s">
        <v>5878</v>
      </c>
      <c r="AM610" s="2"/>
      <c r="AN610" s="2"/>
      <c r="AO610" s="2"/>
      <c r="AP610" s="2"/>
      <c r="AQ610" s="2"/>
      <c r="AR610" s="2"/>
      <c r="AS610" s="2"/>
      <c r="AT610" s="2"/>
      <c r="AU610" s="126" t="s">
        <v>22</v>
      </c>
      <c r="AV610" s="126">
        <v>1350.0</v>
      </c>
      <c r="AW610" s="2"/>
      <c r="AX610" s="2"/>
      <c r="AY610" s="2"/>
      <c r="AZ610" s="2"/>
      <c r="BA610" s="2"/>
      <c r="BB610" s="2"/>
      <c r="BC610" s="2"/>
      <c r="BD610" s="2"/>
      <c r="BE610" s="2"/>
    </row>
    <row r="611" hidden="1">
      <c r="A611" s="2"/>
      <c r="B611" s="335" t="s">
        <v>7913</v>
      </c>
      <c r="C611" s="320" t="s">
        <v>7914</v>
      </c>
      <c r="D611" s="31">
        <v>90.0</v>
      </c>
      <c r="E611" s="31" t="s">
        <v>139</v>
      </c>
      <c r="F611" s="11" t="s">
        <v>7832</v>
      </c>
      <c r="G611" s="327" t="s">
        <v>7915</v>
      </c>
      <c r="H611" s="322"/>
      <c r="I611" s="328">
        <v>390.0</v>
      </c>
      <c r="J611" s="324"/>
      <c r="K611" s="322"/>
      <c r="L611" s="323"/>
      <c r="M611" s="324">
        <v>390.0</v>
      </c>
      <c r="N611" s="284">
        <v>3.1</v>
      </c>
      <c r="O611" s="322">
        <v>1600.0</v>
      </c>
      <c r="P611" s="313">
        <f>MAX(O611:O612)</f>
        <v>1600</v>
      </c>
      <c r="Q611" s="319">
        <f>P611</f>
        <v>1600</v>
      </c>
      <c r="R611" s="329" t="s">
        <v>7916</v>
      </c>
      <c r="S611" s="330">
        <v>46141.46222706018</v>
      </c>
      <c r="T611" s="2"/>
      <c r="U611" s="289">
        <f t="shared" si="353"/>
        <v>1210</v>
      </c>
      <c r="V611" s="304" t="str">
        <f t="shared" si="354"/>
        <v>нет з/ч</v>
      </c>
      <c r="W611" s="2"/>
      <c r="X611" s="289">
        <v>390.0</v>
      </c>
      <c r="Y611" s="139"/>
      <c r="Z611" s="2"/>
      <c r="AA611" s="2" t="s">
        <v>7914</v>
      </c>
      <c r="AB611" s="2" t="s">
        <v>7914</v>
      </c>
      <c r="AC611" s="2"/>
      <c r="AD611" s="2" t="s">
        <v>7914</v>
      </c>
      <c r="AE611" s="3" t="s">
        <v>7913</v>
      </c>
      <c r="AF611" s="2"/>
      <c r="AG611" s="1" t="s">
        <v>1582</v>
      </c>
      <c r="AH611" s="1" t="s">
        <v>5933</v>
      </c>
      <c r="AI611" s="2">
        <v>90.0</v>
      </c>
      <c r="AJ611" s="1" t="s">
        <v>1589</v>
      </c>
      <c r="AK611" s="1" t="s">
        <v>5878</v>
      </c>
      <c r="AL611" s="1" t="s">
        <v>5878</v>
      </c>
      <c r="AM611" s="2"/>
      <c r="AN611" s="2"/>
      <c r="AO611" s="2"/>
      <c r="AP611" s="2"/>
      <c r="AQ611" s="2"/>
      <c r="AR611" s="2"/>
      <c r="AS611" s="2"/>
      <c r="AT611" s="2"/>
      <c r="AU611" s="126">
        <v>390.0</v>
      </c>
      <c r="AV611" s="126">
        <v>1600.0</v>
      </c>
      <c r="AW611" s="2"/>
      <c r="AX611" s="2"/>
      <c r="AY611" s="2"/>
      <c r="AZ611" s="2"/>
      <c r="BA611" s="2"/>
      <c r="BB611" s="2"/>
      <c r="BC611" s="2"/>
      <c r="BD611" s="2"/>
      <c r="BE611" s="2"/>
    </row>
    <row r="612" hidden="1">
      <c r="A612" s="2"/>
      <c r="B612" s="335" t="s">
        <v>7917</v>
      </c>
      <c r="C612" s="320" t="s">
        <v>7918</v>
      </c>
      <c r="D612" s="31">
        <v>90.0</v>
      </c>
      <c r="E612" s="31" t="s">
        <v>139</v>
      </c>
      <c r="F612" s="11" t="s">
        <v>7832</v>
      </c>
      <c r="G612" s="327" t="s">
        <v>7919</v>
      </c>
      <c r="H612" s="322"/>
      <c r="I612" s="328">
        <v>390.0</v>
      </c>
      <c r="J612" s="324"/>
      <c r="K612" s="322"/>
      <c r="L612" s="323"/>
      <c r="M612" s="324">
        <v>390.0</v>
      </c>
      <c r="N612" s="284">
        <v>3.1</v>
      </c>
      <c r="O612" s="322">
        <v>1600.0</v>
      </c>
      <c r="P612" s="67"/>
      <c r="Q612" s="319">
        <f>P611</f>
        <v>1600</v>
      </c>
      <c r="R612" s="329" t="s">
        <v>7920</v>
      </c>
      <c r="S612" s="330">
        <v>46141.46228025463</v>
      </c>
      <c r="T612" s="2"/>
      <c r="U612" s="289">
        <f t="shared" si="353"/>
        <v>1210</v>
      </c>
      <c r="V612" s="304" t="str">
        <f t="shared" si="354"/>
        <v>нет з/ч</v>
      </c>
      <c r="W612" s="2"/>
      <c r="X612" s="289">
        <v>390.0</v>
      </c>
      <c r="Y612" s="139"/>
      <c r="Z612" s="2"/>
      <c r="AA612" s="2" t="s">
        <v>7918</v>
      </c>
      <c r="AB612" s="2" t="s">
        <v>7918</v>
      </c>
      <c r="AC612" s="2"/>
      <c r="AD612" s="2" t="s">
        <v>7918</v>
      </c>
      <c r="AE612" s="3" t="s">
        <v>7917</v>
      </c>
      <c r="AF612" s="2"/>
      <c r="AG612" s="1" t="s">
        <v>1582</v>
      </c>
      <c r="AH612" s="1" t="s">
        <v>5933</v>
      </c>
      <c r="AI612" s="2">
        <v>90.0</v>
      </c>
      <c r="AJ612" s="1" t="s">
        <v>1589</v>
      </c>
      <c r="AK612" s="1" t="s">
        <v>5878</v>
      </c>
      <c r="AL612" s="1" t="s">
        <v>5878</v>
      </c>
      <c r="AM612" s="2"/>
      <c r="AN612" s="2"/>
      <c r="AO612" s="2"/>
      <c r="AP612" s="2"/>
      <c r="AQ612" s="2"/>
      <c r="AR612" s="2"/>
      <c r="AS612" s="2"/>
      <c r="AT612" s="2"/>
      <c r="AU612" s="126">
        <v>390.0</v>
      </c>
      <c r="AV612" s="126">
        <v>1600.0</v>
      </c>
      <c r="AW612" s="2"/>
      <c r="AX612" s="2"/>
      <c r="AY612" s="2"/>
      <c r="AZ612" s="2"/>
      <c r="BA612" s="2"/>
      <c r="BB612" s="2"/>
      <c r="BC612" s="2"/>
      <c r="BD612" s="2"/>
      <c r="BE612" s="2"/>
    </row>
    <row r="613" hidden="1">
      <c r="A613" s="2"/>
      <c r="B613" s="335" t="s">
        <v>7921</v>
      </c>
      <c r="C613" s="93"/>
      <c r="D613" s="31">
        <v>90.0</v>
      </c>
      <c r="E613" s="31" t="s">
        <v>146</v>
      </c>
      <c r="F613" s="11" t="s">
        <v>7832</v>
      </c>
      <c r="G613" s="321"/>
      <c r="H613" s="322"/>
      <c r="I613" s="323"/>
      <c r="J613" s="324"/>
      <c r="K613" s="322"/>
      <c r="L613" s="323"/>
      <c r="M613" s="324" t="s">
        <v>22</v>
      </c>
      <c r="N613" s="284">
        <v>3.1</v>
      </c>
      <c r="O613" s="322" t="s">
        <v>22</v>
      </c>
      <c r="P613" s="313">
        <f>MAX(O613:O614)</f>
        <v>0</v>
      </c>
      <c r="Q613" s="319">
        <f>P613</f>
        <v>0</v>
      </c>
      <c r="R613" s="331"/>
      <c r="S613" s="326"/>
      <c r="T613" s="2"/>
      <c r="U613" s="59" t="str">
        <f t="shared" si="353"/>
        <v>нет з/ч</v>
      </c>
      <c r="V613" s="304" t="str">
        <f t="shared" si="354"/>
        <v>нет з/ч</v>
      </c>
      <c r="W613" s="2"/>
      <c r="X613" s="289"/>
      <c r="Y613" s="139"/>
      <c r="Z613" s="2"/>
      <c r="AA613" s="2"/>
      <c r="AB613" s="2"/>
      <c r="AC613" s="2"/>
      <c r="AD613" s="2"/>
      <c r="AE613" s="3" t="s">
        <v>7921</v>
      </c>
      <c r="AF613" s="2"/>
      <c r="AG613" s="1" t="s">
        <v>1582</v>
      </c>
      <c r="AH613" s="1" t="s">
        <v>5938</v>
      </c>
      <c r="AI613" s="2">
        <v>90.0</v>
      </c>
      <c r="AJ613" s="1" t="s">
        <v>1589</v>
      </c>
      <c r="AK613" s="1" t="s">
        <v>5878</v>
      </c>
      <c r="AL613" s="1" t="s">
        <v>5878</v>
      </c>
      <c r="AM613" s="2"/>
      <c r="AN613" s="2"/>
      <c r="AO613" s="2"/>
      <c r="AP613" s="2"/>
      <c r="AQ613" s="2"/>
      <c r="AR613" s="2"/>
      <c r="AS613" s="2"/>
      <c r="AT613" s="2"/>
      <c r="AU613" s="126" t="s">
        <v>22</v>
      </c>
      <c r="AV613" s="126">
        <v>0.0</v>
      </c>
      <c r="AW613" s="2"/>
      <c r="AX613" s="2"/>
      <c r="AY613" s="2"/>
      <c r="AZ613" s="2"/>
      <c r="BA613" s="2"/>
      <c r="BB613" s="2"/>
      <c r="BC613" s="2"/>
      <c r="BD613" s="2"/>
      <c r="BE613" s="2"/>
    </row>
    <row r="614" hidden="1">
      <c r="A614" s="2"/>
      <c r="B614" s="335" t="s">
        <v>7922</v>
      </c>
      <c r="C614" s="93"/>
      <c r="D614" s="31">
        <v>90.0</v>
      </c>
      <c r="E614" s="31" t="s">
        <v>146</v>
      </c>
      <c r="F614" s="11" t="s">
        <v>7832</v>
      </c>
      <c r="G614" s="321"/>
      <c r="H614" s="322"/>
      <c r="I614" s="323"/>
      <c r="J614" s="324"/>
      <c r="K614" s="322"/>
      <c r="L614" s="323"/>
      <c r="M614" s="324" t="s">
        <v>22</v>
      </c>
      <c r="N614" s="284">
        <v>3.1</v>
      </c>
      <c r="O614" s="322" t="s">
        <v>22</v>
      </c>
      <c r="P614" s="67"/>
      <c r="Q614" s="319">
        <f>P613</f>
        <v>0</v>
      </c>
      <c r="R614" s="331"/>
      <c r="S614" s="326"/>
      <c r="T614" s="2"/>
      <c r="U614" s="59" t="str">
        <f t="shared" si="353"/>
        <v>нет з/ч</v>
      </c>
      <c r="V614" s="304" t="str">
        <f t="shared" si="354"/>
        <v>нет з/ч</v>
      </c>
      <c r="W614" s="2"/>
      <c r="X614" s="289"/>
      <c r="Y614" s="139"/>
      <c r="Z614" s="2"/>
      <c r="AA614" s="2"/>
      <c r="AB614" s="2"/>
      <c r="AC614" s="2"/>
      <c r="AD614" s="2"/>
      <c r="AE614" s="3" t="s">
        <v>7922</v>
      </c>
      <c r="AF614" s="2"/>
      <c r="AG614" s="1" t="s">
        <v>1582</v>
      </c>
      <c r="AH614" s="1" t="s">
        <v>5938</v>
      </c>
      <c r="AI614" s="2">
        <v>90.0</v>
      </c>
      <c r="AJ614" s="1" t="s">
        <v>1589</v>
      </c>
      <c r="AK614" s="1" t="s">
        <v>5878</v>
      </c>
      <c r="AL614" s="1" t="s">
        <v>5878</v>
      </c>
      <c r="AM614" s="2"/>
      <c r="AN614" s="2"/>
      <c r="AO614" s="2"/>
      <c r="AP614" s="2"/>
      <c r="AQ614" s="2"/>
      <c r="AR614" s="2"/>
      <c r="AS614" s="2"/>
      <c r="AT614" s="2"/>
      <c r="AU614" s="126" t="s">
        <v>22</v>
      </c>
      <c r="AV614" s="126">
        <v>0.0</v>
      </c>
      <c r="AW614" s="2"/>
      <c r="AX614" s="2"/>
      <c r="AY614" s="2"/>
      <c r="AZ614" s="2"/>
      <c r="BA614" s="2"/>
      <c r="BB614" s="2"/>
      <c r="BC614" s="2"/>
      <c r="BD614" s="2"/>
      <c r="BE614" s="2"/>
    </row>
    <row r="615" hidden="1">
      <c r="A615" s="2"/>
      <c r="B615" s="335" t="s">
        <v>7923</v>
      </c>
      <c r="C615" s="320" t="s">
        <v>7924</v>
      </c>
      <c r="D615" s="31">
        <v>90.0</v>
      </c>
      <c r="E615" s="31" t="s">
        <v>153</v>
      </c>
      <c r="F615" s="11" t="s">
        <v>7832</v>
      </c>
      <c r="G615" s="327" t="s">
        <v>7925</v>
      </c>
      <c r="H615" s="322"/>
      <c r="I615" s="328">
        <v>380.0</v>
      </c>
      <c r="J615" s="324"/>
      <c r="K615" s="322"/>
      <c r="L615" s="323"/>
      <c r="M615" s="324">
        <v>380.0</v>
      </c>
      <c r="N615" s="284">
        <v>3.0</v>
      </c>
      <c r="O615" s="322">
        <v>1500.0</v>
      </c>
      <c r="P615" s="313">
        <f>MAX(O615:O616)</f>
        <v>1500</v>
      </c>
      <c r="Q615" s="319">
        <f>P615</f>
        <v>1500</v>
      </c>
      <c r="R615" s="329" t="s">
        <v>7926</v>
      </c>
      <c r="S615" s="330">
        <v>46141.46233116898</v>
      </c>
      <c r="T615" s="2"/>
      <c r="U615" s="289">
        <f t="shared" si="353"/>
        <v>1120</v>
      </c>
      <c r="V615" s="304" t="str">
        <f t="shared" si="354"/>
        <v>нет з/ч</v>
      </c>
      <c r="W615" s="2"/>
      <c r="X615" s="289">
        <v>380.0</v>
      </c>
      <c r="Y615" s="139"/>
      <c r="Z615" s="2"/>
      <c r="AA615" s="2" t="s">
        <v>7924</v>
      </c>
      <c r="AB615" s="2" t="s">
        <v>7924</v>
      </c>
      <c r="AC615" s="2"/>
      <c r="AD615" s="2" t="s">
        <v>7924</v>
      </c>
      <c r="AE615" s="3" t="s">
        <v>7923</v>
      </c>
      <c r="AF615" s="2"/>
      <c r="AG615" s="1" t="s">
        <v>1582</v>
      </c>
      <c r="AH615" s="1" t="s">
        <v>5943</v>
      </c>
      <c r="AI615" s="2">
        <v>90.0</v>
      </c>
      <c r="AJ615" s="1" t="s">
        <v>1589</v>
      </c>
      <c r="AK615" s="1" t="s">
        <v>5878</v>
      </c>
      <c r="AL615" s="1" t="s">
        <v>5878</v>
      </c>
      <c r="AM615" s="2"/>
      <c r="AN615" s="2"/>
      <c r="AO615" s="2"/>
      <c r="AP615" s="2"/>
      <c r="AQ615" s="2"/>
      <c r="AR615" s="2"/>
      <c r="AS615" s="2"/>
      <c r="AT615" s="2"/>
      <c r="AU615" s="126">
        <v>380.0</v>
      </c>
      <c r="AV615" s="126">
        <v>1500.0</v>
      </c>
      <c r="AW615" s="2"/>
      <c r="AX615" s="2"/>
      <c r="AY615" s="2"/>
      <c r="AZ615" s="2"/>
      <c r="BA615" s="2"/>
      <c r="BB615" s="2"/>
      <c r="BC615" s="2"/>
      <c r="BD615" s="2"/>
      <c r="BE615" s="2"/>
    </row>
    <row r="616" hidden="1">
      <c r="A616" s="2"/>
      <c r="B616" s="335" t="s">
        <v>7927</v>
      </c>
      <c r="C616" s="320" t="s">
        <v>7928</v>
      </c>
      <c r="D616" s="31">
        <v>90.0</v>
      </c>
      <c r="E616" s="31" t="s">
        <v>153</v>
      </c>
      <c r="F616" s="11" t="s">
        <v>7832</v>
      </c>
      <c r="G616" s="327" t="s">
        <v>7929</v>
      </c>
      <c r="H616" s="322"/>
      <c r="I616" s="328">
        <v>380.0</v>
      </c>
      <c r="J616" s="324"/>
      <c r="K616" s="322"/>
      <c r="L616" s="323"/>
      <c r="M616" s="324">
        <v>380.0</v>
      </c>
      <c r="N616" s="284">
        <v>3.0</v>
      </c>
      <c r="O616" s="322">
        <v>1500.0</v>
      </c>
      <c r="P616" s="67"/>
      <c r="Q616" s="319">
        <f>P615</f>
        <v>1500</v>
      </c>
      <c r="R616" s="329" t="s">
        <v>7930</v>
      </c>
      <c r="S616" s="330">
        <v>46141.46238182871</v>
      </c>
      <c r="T616" s="2"/>
      <c r="U616" s="289">
        <f t="shared" si="353"/>
        <v>1120</v>
      </c>
      <c r="V616" s="304" t="str">
        <f t="shared" si="354"/>
        <v>нет з/ч</v>
      </c>
      <c r="W616" s="2"/>
      <c r="X616" s="289">
        <v>380.0</v>
      </c>
      <c r="Y616" s="139"/>
      <c r="Z616" s="2"/>
      <c r="AA616" s="2" t="s">
        <v>7928</v>
      </c>
      <c r="AB616" s="2" t="s">
        <v>7928</v>
      </c>
      <c r="AC616" s="2"/>
      <c r="AD616" s="2" t="s">
        <v>7928</v>
      </c>
      <c r="AE616" s="3" t="s">
        <v>7927</v>
      </c>
      <c r="AF616" s="2"/>
      <c r="AG616" s="1" t="s">
        <v>1582</v>
      </c>
      <c r="AH616" s="1" t="s">
        <v>5943</v>
      </c>
      <c r="AI616" s="2">
        <v>90.0</v>
      </c>
      <c r="AJ616" s="1" t="s">
        <v>1589</v>
      </c>
      <c r="AK616" s="1" t="s">
        <v>5878</v>
      </c>
      <c r="AL616" s="1" t="s">
        <v>5878</v>
      </c>
      <c r="AM616" s="2"/>
      <c r="AN616" s="2"/>
      <c r="AO616" s="2"/>
      <c r="AP616" s="2"/>
      <c r="AQ616" s="2"/>
      <c r="AR616" s="2"/>
      <c r="AS616" s="2"/>
      <c r="AT616" s="2"/>
      <c r="AU616" s="126">
        <v>380.0</v>
      </c>
      <c r="AV616" s="126">
        <v>1500.0</v>
      </c>
      <c r="AW616" s="2"/>
      <c r="AX616" s="2"/>
      <c r="AY616" s="2"/>
      <c r="AZ616" s="2"/>
      <c r="BA616" s="2"/>
      <c r="BB616" s="2"/>
      <c r="BC616" s="2"/>
      <c r="BD616" s="2"/>
      <c r="BE616" s="2"/>
    </row>
    <row r="617" hidden="1">
      <c r="A617" s="2"/>
      <c r="B617" s="335" t="s">
        <v>7931</v>
      </c>
      <c r="C617" s="320" t="s">
        <v>7932</v>
      </c>
      <c r="D617" s="31">
        <v>90.0</v>
      </c>
      <c r="E617" s="31" t="s">
        <v>159</v>
      </c>
      <c r="F617" s="11" t="s">
        <v>7832</v>
      </c>
      <c r="G617" s="327" t="s">
        <v>7933</v>
      </c>
      <c r="H617" s="322"/>
      <c r="I617" s="328">
        <v>440.0</v>
      </c>
      <c r="J617" s="324"/>
      <c r="K617" s="322"/>
      <c r="L617" s="323"/>
      <c r="M617" s="324">
        <v>440.0</v>
      </c>
      <c r="N617" s="284">
        <v>1.3</v>
      </c>
      <c r="O617" s="322">
        <v>1000.0</v>
      </c>
      <c r="P617" s="313">
        <f>MAX(O617:O618)</f>
        <v>1000</v>
      </c>
      <c r="Q617" s="319">
        <f>P617</f>
        <v>1000</v>
      </c>
      <c r="R617" s="329" t="s">
        <v>7934</v>
      </c>
      <c r="S617" s="330">
        <v>46141.462434016204</v>
      </c>
      <c r="T617" s="2"/>
      <c r="U617" s="289">
        <f t="shared" si="353"/>
        <v>560</v>
      </c>
      <c r="V617" s="304" t="str">
        <f t="shared" si="354"/>
        <v>нет з/ч</v>
      </c>
      <c r="W617" s="2"/>
      <c r="X617" s="289">
        <v>440.0</v>
      </c>
      <c r="Y617" s="139"/>
      <c r="Z617" s="2"/>
      <c r="AA617" s="2" t="s">
        <v>7932</v>
      </c>
      <c r="AB617" s="2" t="s">
        <v>7932</v>
      </c>
      <c r="AC617" s="2"/>
      <c r="AD617" s="2" t="s">
        <v>7932</v>
      </c>
      <c r="AE617" s="3" t="s">
        <v>7931</v>
      </c>
      <c r="AF617" s="2"/>
      <c r="AG617" s="1" t="s">
        <v>1582</v>
      </c>
      <c r="AH617" s="1" t="s">
        <v>5952</v>
      </c>
      <c r="AI617" s="2">
        <v>90.0</v>
      </c>
      <c r="AJ617" s="1" t="s">
        <v>1589</v>
      </c>
      <c r="AK617" s="1" t="s">
        <v>5878</v>
      </c>
      <c r="AL617" s="1" t="s">
        <v>5878</v>
      </c>
      <c r="AM617" s="2"/>
      <c r="AN617" s="2"/>
      <c r="AO617" s="2"/>
      <c r="AP617" s="2"/>
      <c r="AQ617" s="2"/>
      <c r="AR617" s="2"/>
      <c r="AS617" s="2"/>
      <c r="AT617" s="2"/>
      <c r="AU617" s="126">
        <v>440.0</v>
      </c>
      <c r="AV617" s="126">
        <v>1000.0</v>
      </c>
      <c r="AW617" s="2"/>
      <c r="AX617" s="2"/>
      <c r="AY617" s="2"/>
      <c r="AZ617" s="2"/>
      <c r="BA617" s="2"/>
      <c r="BB617" s="2"/>
      <c r="BC617" s="2"/>
      <c r="BD617" s="2"/>
      <c r="BE617" s="2"/>
    </row>
    <row r="618" hidden="1">
      <c r="A618" s="2"/>
      <c r="B618" s="335" t="s">
        <v>7935</v>
      </c>
      <c r="C618" s="320" t="s">
        <v>7936</v>
      </c>
      <c r="D618" s="31">
        <v>90.0</v>
      </c>
      <c r="E618" s="31" t="s">
        <v>159</v>
      </c>
      <c r="F618" s="11" t="s">
        <v>7832</v>
      </c>
      <c r="G618" s="327" t="s">
        <v>7937</v>
      </c>
      <c r="H618" s="322"/>
      <c r="I618" s="328">
        <v>440.0</v>
      </c>
      <c r="J618" s="324"/>
      <c r="K618" s="322"/>
      <c r="L618" s="323"/>
      <c r="M618" s="324">
        <v>440.0</v>
      </c>
      <c r="N618" s="284">
        <v>1.3</v>
      </c>
      <c r="O618" s="322">
        <v>1000.0</v>
      </c>
      <c r="P618" s="67"/>
      <c r="Q618" s="319">
        <f>P617</f>
        <v>1000</v>
      </c>
      <c r="R618" s="329" t="s">
        <v>7938</v>
      </c>
      <c r="S618" s="330">
        <v>46141.46248408565</v>
      </c>
      <c r="T618" s="2"/>
      <c r="U618" s="289">
        <f t="shared" si="353"/>
        <v>560</v>
      </c>
      <c r="V618" s="304" t="str">
        <f t="shared" si="354"/>
        <v>нет з/ч</v>
      </c>
      <c r="W618" s="2"/>
      <c r="X618" s="289">
        <v>440.0</v>
      </c>
      <c r="Y618" s="139"/>
      <c r="Z618" s="2"/>
      <c r="AA618" s="2" t="s">
        <v>7936</v>
      </c>
      <c r="AB618" s="2" t="s">
        <v>7936</v>
      </c>
      <c r="AC618" s="2"/>
      <c r="AD618" s="2" t="s">
        <v>7936</v>
      </c>
      <c r="AE618" s="3" t="s">
        <v>7935</v>
      </c>
      <c r="AF618" s="2"/>
      <c r="AG618" s="1" t="s">
        <v>1582</v>
      </c>
      <c r="AH618" s="1" t="s">
        <v>5952</v>
      </c>
      <c r="AI618" s="2">
        <v>90.0</v>
      </c>
      <c r="AJ618" s="1" t="s">
        <v>1589</v>
      </c>
      <c r="AK618" s="1" t="s">
        <v>5878</v>
      </c>
      <c r="AL618" s="1" t="s">
        <v>5878</v>
      </c>
      <c r="AM618" s="2"/>
      <c r="AN618" s="2"/>
      <c r="AO618" s="2"/>
      <c r="AP618" s="2"/>
      <c r="AQ618" s="2"/>
      <c r="AR618" s="2"/>
      <c r="AS618" s="2"/>
      <c r="AT618" s="2"/>
      <c r="AU618" s="126">
        <v>440.0</v>
      </c>
      <c r="AV618" s="126">
        <v>1000.0</v>
      </c>
      <c r="AW618" s="2"/>
      <c r="AX618" s="2"/>
      <c r="AY618" s="2"/>
      <c r="AZ618" s="2"/>
      <c r="BA618" s="2"/>
      <c r="BB618" s="2"/>
      <c r="BC618" s="2"/>
      <c r="BD618" s="2"/>
      <c r="BE618" s="2"/>
    </row>
    <row r="619" hidden="1">
      <c r="A619" s="2"/>
      <c r="B619" s="335" t="s">
        <v>7939</v>
      </c>
      <c r="C619" s="320" t="s">
        <v>7940</v>
      </c>
      <c r="D619" s="31">
        <v>90.0</v>
      </c>
      <c r="E619" s="31" t="s">
        <v>167</v>
      </c>
      <c r="F619" s="11" t="s">
        <v>7832</v>
      </c>
      <c r="G619" s="327" t="s">
        <v>7941</v>
      </c>
      <c r="H619" s="322"/>
      <c r="I619" s="328">
        <v>480.0</v>
      </c>
      <c r="J619" s="324"/>
      <c r="K619" s="322"/>
      <c r="L619" s="323"/>
      <c r="M619" s="324">
        <v>480.0</v>
      </c>
      <c r="N619" s="284">
        <v>1.1</v>
      </c>
      <c r="O619" s="322">
        <v>1000.0</v>
      </c>
      <c r="P619" s="313">
        <f>MAX(O619:O620)</f>
        <v>1000</v>
      </c>
      <c r="Q619" s="319">
        <f>P619</f>
        <v>1000</v>
      </c>
      <c r="R619" s="329" t="s">
        <v>7942</v>
      </c>
      <c r="S619" s="330">
        <v>46141.46254172454</v>
      </c>
      <c r="T619" s="2"/>
      <c r="U619" s="289">
        <f t="shared" si="353"/>
        <v>520</v>
      </c>
      <c r="V619" s="304" t="str">
        <f t="shared" si="354"/>
        <v>нет з/ч</v>
      </c>
      <c r="W619" s="2"/>
      <c r="X619" s="289">
        <v>480.0</v>
      </c>
      <c r="Y619" s="139"/>
      <c r="Z619" s="2"/>
      <c r="AA619" s="2" t="s">
        <v>7940</v>
      </c>
      <c r="AB619" s="2" t="s">
        <v>7940</v>
      </c>
      <c r="AC619" s="2"/>
      <c r="AD619" s="2" t="s">
        <v>7940</v>
      </c>
      <c r="AE619" s="3" t="s">
        <v>7939</v>
      </c>
      <c r="AF619" s="2"/>
      <c r="AG619" s="1" t="s">
        <v>1582</v>
      </c>
      <c r="AH619" s="1" t="s">
        <v>5957</v>
      </c>
      <c r="AI619" s="2">
        <v>90.0</v>
      </c>
      <c r="AJ619" s="1" t="s">
        <v>1589</v>
      </c>
      <c r="AK619" s="1" t="s">
        <v>5878</v>
      </c>
      <c r="AL619" s="1" t="s">
        <v>5878</v>
      </c>
      <c r="AM619" s="2"/>
      <c r="AN619" s="2"/>
      <c r="AO619" s="2"/>
      <c r="AP619" s="2"/>
      <c r="AQ619" s="2"/>
      <c r="AR619" s="2"/>
      <c r="AS619" s="2"/>
      <c r="AT619" s="2"/>
      <c r="AU619" s="126">
        <v>480.0</v>
      </c>
      <c r="AV619" s="126">
        <v>1000.0</v>
      </c>
      <c r="AW619" s="2"/>
      <c r="AX619" s="2"/>
      <c r="AY619" s="2"/>
      <c r="AZ619" s="2"/>
      <c r="BA619" s="2"/>
      <c r="BB619" s="2"/>
      <c r="BC619" s="2"/>
      <c r="BD619" s="2"/>
      <c r="BE619" s="2"/>
    </row>
    <row r="620" hidden="1">
      <c r="A620" s="2"/>
      <c r="B620" s="335" t="s">
        <v>7943</v>
      </c>
      <c r="C620" s="320" t="s">
        <v>7944</v>
      </c>
      <c r="D620" s="31">
        <v>90.0</v>
      </c>
      <c r="E620" s="31" t="s">
        <v>167</v>
      </c>
      <c r="F620" s="11" t="s">
        <v>7832</v>
      </c>
      <c r="G620" s="327" t="s">
        <v>7941</v>
      </c>
      <c r="H620" s="322"/>
      <c r="I620" s="328">
        <v>480.0</v>
      </c>
      <c r="J620" s="324"/>
      <c r="K620" s="322"/>
      <c r="L620" s="323"/>
      <c r="M620" s="324">
        <v>480.0</v>
      </c>
      <c r="N620" s="284">
        <v>1.1</v>
      </c>
      <c r="O620" s="322">
        <v>1000.0</v>
      </c>
      <c r="P620" s="104"/>
      <c r="Q620" s="319">
        <f>P619</f>
        <v>1000</v>
      </c>
      <c r="R620" s="329" t="s">
        <v>7942</v>
      </c>
      <c r="S620" s="330">
        <v>46141.46260271991</v>
      </c>
      <c r="T620" s="2"/>
      <c r="U620" s="289">
        <f t="shared" si="353"/>
        <v>520</v>
      </c>
      <c r="V620" s="304" t="str">
        <f t="shared" si="354"/>
        <v>нет з/ч</v>
      </c>
      <c r="W620" s="2"/>
      <c r="X620" s="289">
        <v>480.0</v>
      </c>
      <c r="Y620" s="139"/>
      <c r="Z620" s="2"/>
      <c r="AA620" s="2" t="s">
        <v>7944</v>
      </c>
      <c r="AB620" s="2" t="s">
        <v>7944</v>
      </c>
      <c r="AC620" s="2"/>
      <c r="AD620" s="2" t="s">
        <v>7944</v>
      </c>
      <c r="AE620" s="3" t="s">
        <v>7943</v>
      </c>
      <c r="AF620" s="2"/>
      <c r="AG620" s="1" t="s">
        <v>1582</v>
      </c>
      <c r="AH620" s="1" t="s">
        <v>5957</v>
      </c>
      <c r="AI620" s="2">
        <v>90.0</v>
      </c>
      <c r="AJ620" s="1" t="s">
        <v>1589</v>
      </c>
      <c r="AK620" s="1" t="s">
        <v>5878</v>
      </c>
      <c r="AL620" s="1" t="s">
        <v>5878</v>
      </c>
      <c r="AM620" s="2"/>
      <c r="AN620" s="2"/>
      <c r="AO620" s="2"/>
      <c r="AP620" s="2"/>
      <c r="AQ620" s="2"/>
      <c r="AR620" s="2"/>
      <c r="AS620" s="2"/>
      <c r="AT620" s="2"/>
      <c r="AU620" s="126">
        <v>480.0</v>
      </c>
      <c r="AV620" s="126">
        <v>1000.0</v>
      </c>
      <c r="AW620" s="2"/>
      <c r="AX620" s="2"/>
      <c r="AY620" s="2"/>
      <c r="AZ620" s="2"/>
      <c r="BA620" s="2"/>
      <c r="BB620" s="2"/>
      <c r="BC620" s="2"/>
      <c r="BD620" s="2"/>
      <c r="BE620" s="2"/>
    </row>
    <row r="621" hidden="1">
      <c r="A621" s="2"/>
      <c r="B621" s="335" t="s">
        <v>7945</v>
      </c>
      <c r="C621" s="93"/>
      <c r="D621" s="31">
        <v>90.0</v>
      </c>
      <c r="E621" s="31" t="s">
        <v>167</v>
      </c>
      <c r="F621" s="11" t="s">
        <v>7832</v>
      </c>
      <c r="G621" s="321"/>
      <c r="H621" s="322"/>
      <c r="I621" s="323"/>
      <c r="J621" s="324"/>
      <c r="K621" s="322"/>
      <c r="L621" s="323"/>
      <c r="M621" s="324" t="s">
        <v>22</v>
      </c>
      <c r="N621" s="284">
        <v>1.1</v>
      </c>
      <c r="O621" s="322" t="s">
        <v>22</v>
      </c>
      <c r="P621" s="67"/>
      <c r="Q621" s="319">
        <f>P619</f>
        <v>1000</v>
      </c>
      <c r="R621" s="331"/>
      <c r="S621" s="326"/>
      <c r="T621" s="2"/>
      <c r="U621" s="59" t="str">
        <f t="shared" si="353"/>
        <v>нет з/ч</v>
      </c>
      <c r="V621" s="304" t="str">
        <f t="shared" si="354"/>
        <v>нет з/ч</v>
      </c>
      <c r="W621" s="2"/>
      <c r="X621" s="289"/>
      <c r="Y621" s="139"/>
      <c r="Z621" s="2"/>
      <c r="AA621" s="2"/>
      <c r="AB621" s="2"/>
      <c r="AC621" s="2"/>
      <c r="AD621" s="2"/>
      <c r="AE621" s="3" t="s">
        <v>7945</v>
      </c>
      <c r="AF621" s="2"/>
      <c r="AG621" s="1" t="s">
        <v>1582</v>
      </c>
      <c r="AH621" s="1" t="s">
        <v>5957</v>
      </c>
      <c r="AI621" s="2">
        <v>90.0</v>
      </c>
      <c r="AJ621" s="1" t="s">
        <v>1589</v>
      </c>
      <c r="AK621" s="1" t="s">
        <v>5878</v>
      </c>
      <c r="AL621" s="1" t="s">
        <v>5878</v>
      </c>
      <c r="AM621" s="2"/>
      <c r="AN621" s="2"/>
      <c r="AO621" s="2"/>
      <c r="AP621" s="2"/>
      <c r="AQ621" s="2"/>
      <c r="AR621" s="2"/>
      <c r="AS621" s="2"/>
      <c r="AT621" s="2"/>
      <c r="AU621" s="126" t="s">
        <v>22</v>
      </c>
      <c r="AV621" s="126">
        <v>1000.0</v>
      </c>
      <c r="AW621" s="2"/>
      <c r="AX621" s="2"/>
      <c r="AY621" s="2"/>
      <c r="AZ621" s="2"/>
      <c r="BA621" s="2"/>
      <c r="BB621" s="2"/>
      <c r="BC621" s="2"/>
      <c r="BD621" s="2"/>
      <c r="BE621" s="2"/>
    </row>
    <row r="622" hidden="1">
      <c r="A622" s="2"/>
      <c r="B622" s="335" t="s">
        <v>7946</v>
      </c>
      <c r="C622" s="320" t="s">
        <v>7947</v>
      </c>
      <c r="D622" s="31">
        <v>90.0</v>
      </c>
      <c r="E622" s="31" t="s">
        <v>175</v>
      </c>
      <c r="F622" s="11" t="s">
        <v>7832</v>
      </c>
      <c r="G622" s="327" t="s">
        <v>7948</v>
      </c>
      <c r="H622" s="322"/>
      <c r="I622" s="328">
        <v>480.0</v>
      </c>
      <c r="J622" s="324"/>
      <c r="K622" s="322"/>
      <c r="L622" s="323"/>
      <c r="M622" s="324">
        <v>480.0</v>
      </c>
      <c r="N622" s="284">
        <v>2.1</v>
      </c>
      <c r="O622" s="322">
        <v>1500.0</v>
      </c>
      <c r="P622" s="313">
        <f>MAX(O622:O623)</f>
        <v>1500</v>
      </c>
      <c r="Q622" s="319">
        <f>P622</f>
        <v>1500</v>
      </c>
      <c r="R622" s="329" t="s">
        <v>7949</v>
      </c>
      <c r="S622" s="330">
        <v>46141.46265465277</v>
      </c>
      <c r="T622" s="2"/>
      <c r="U622" s="289">
        <f t="shared" si="353"/>
        <v>1020</v>
      </c>
      <c r="V622" s="304" t="str">
        <f t="shared" si="354"/>
        <v>нет з/ч</v>
      </c>
      <c r="W622" s="2"/>
      <c r="X622" s="289">
        <v>480.0</v>
      </c>
      <c r="Y622" s="139"/>
      <c r="Z622" s="2"/>
      <c r="AA622" s="2" t="s">
        <v>7947</v>
      </c>
      <c r="AB622" s="2" t="s">
        <v>7947</v>
      </c>
      <c r="AC622" s="2"/>
      <c r="AD622" s="2" t="s">
        <v>7947</v>
      </c>
      <c r="AE622" s="3" t="s">
        <v>7946</v>
      </c>
      <c r="AF622" s="2"/>
      <c r="AG622" s="1" t="s">
        <v>1582</v>
      </c>
      <c r="AH622" s="1" t="s">
        <v>5966</v>
      </c>
      <c r="AI622" s="2">
        <v>90.0</v>
      </c>
      <c r="AJ622" s="1" t="s">
        <v>1589</v>
      </c>
      <c r="AK622" s="1" t="s">
        <v>5878</v>
      </c>
      <c r="AL622" s="1" t="s">
        <v>5878</v>
      </c>
      <c r="AM622" s="2"/>
      <c r="AN622" s="2"/>
      <c r="AO622" s="2"/>
      <c r="AP622" s="2"/>
      <c r="AQ622" s="2"/>
      <c r="AR622" s="2"/>
      <c r="AS622" s="2"/>
      <c r="AT622" s="2"/>
      <c r="AU622" s="126">
        <v>480.0</v>
      </c>
      <c r="AV622" s="126">
        <v>1500.0</v>
      </c>
      <c r="AW622" s="2"/>
      <c r="AX622" s="2"/>
      <c r="AY622" s="2"/>
      <c r="AZ622" s="2"/>
      <c r="BA622" s="2"/>
      <c r="BB622" s="2"/>
      <c r="BC622" s="2"/>
      <c r="BD622" s="2"/>
      <c r="BE622" s="2"/>
    </row>
    <row r="623" hidden="1">
      <c r="A623" s="2"/>
      <c r="B623" s="335" t="s">
        <v>7950</v>
      </c>
      <c r="C623" s="93"/>
      <c r="D623" s="31">
        <v>90.0</v>
      </c>
      <c r="E623" s="31" t="s">
        <v>175</v>
      </c>
      <c r="F623" s="11" t="s">
        <v>7832</v>
      </c>
      <c r="G623" s="327" t="s">
        <v>7951</v>
      </c>
      <c r="H623" s="322"/>
      <c r="I623" s="328">
        <v>480.0</v>
      </c>
      <c r="J623" s="324"/>
      <c r="K623" s="322"/>
      <c r="L623" s="323"/>
      <c r="M623" s="324">
        <v>480.0</v>
      </c>
      <c r="N623" s="284">
        <v>2.1</v>
      </c>
      <c r="O623" s="322">
        <v>1500.0</v>
      </c>
      <c r="P623" s="104"/>
      <c r="Q623" s="319">
        <f>P622</f>
        <v>1500</v>
      </c>
      <c r="R623" s="329" t="s">
        <v>7952</v>
      </c>
      <c r="S623" s="330">
        <v>46141.46270729166</v>
      </c>
      <c r="T623" s="2"/>
      <c r="U623" s="289">
        <f t="shared" si="353"/>
        <v>1020</v>
      </c>
      <c r="V623" s="304" t="str">
        <f t="shared" si="354"/>
        <v>нет з/ч</v>
      </c>
      <c r="W623" s="2"/>
      <c r="X623" s="289">
        <v>480.0</v>
      </c>
      <c r="Y623" s="139"/>
      <c r="Z623" s="2"/>
      <c r="AA623" s="2"/>
      <c r="AB623" s="2"/>
      <c r="AC623" s="2"/>
      <c r="AD623" s="2"/>
      <c r="AE623" s="3" t="s">
        <v>7950</v>
      </c>
      <c r="AF623" s="2"/>
      <c r="AG623" s="1" t="s">
        <v>1582</v>
      </c>
      <c r="AH623" s="1" t="s">
        <v>5966</v>
      </c>
      <c r="AI623" s="2">
        <v>90.0</v>
      </c>
      <c r="AJ623" s="1" t="s">
        <v>1589</v>
      </c>
      <c r="AK623" s="1" t="s">
        <v>5878</v>
      </c>
      <c r="AL623" s="1" t="s">
        <v>5878</v>
      </c>
      <c r="AM623" s="2"/>
      <c r="AN623" s="2"/>
      <c r="AO623" s="2"/>
      <c r="AP623" s="2"/>
      <c r="AQ623" s="2"/>
      <c r="AR623" s="2"/>
      <c r="AS623" s="2"/>
      <c r="AT623" s="2"/>
      <c r="AU623" s="126">
        <v>480.0</v>
      </c>
      <c r="AV623" s="126">
        <v>1500.0</v>
      </c>
      <c r="AW623" s="2"/>
      <c r="AX623" s="2"/>
      <c r="AY623" s="2"/>
      <c r="AZ623" s="2"/>
      <c r="BA623" s="2"/>
      <c r="BB623" s="2"/>
      <c r="BC623" s="2"/>
      <c r="BD623" s="2"/>
      <c r="BE623" s="2"/>
    </row>
    <row r="624" hidden="1">
      <c r="A624" s="2"/>
      <c r="B624" s="335" t="s">
        <v>7953</v>
      </c>
      <c r="C624" s="93"/>
      <c r="D624" s="31">
        <v>90.0</v>
      </c>
      <c r="E624" s="31" t="s">
        <v>175</v>
      </c>
      <c r="F624" s="11" t="s">
        <v>7832</v>
      </c>
      <c r="G624" s="327" t="s">
        <v>7954</v>
      </c>
      <c r="H624" s="322"/>
      <c r="I624" s="328">
        <v>480.0</v>
      </c>
      <c r="J624" s="324"/>
      <c r="K624" s="322"/>
      <c r="L624" s="323"/>
      <c r="M624" s="324">
        <v>480.0</v>
      </c>
      <c r="N624" s="284">
        <v>2.1</v>
      </c>
      <c r="O624" s="322">
        <v>1500.0</v>
      </c>
      <c r="P624" s="67"/>
      <c r="Q624" s="319">
        <f>P622</f>
        <v>1500</v>
      </c>
      <c r="R624" s="329" t="s">
        <v>7955</v>
      </c>
      <c r="S624" s="330">
        <v>46141.46275857639</v>
      </c>
      <c r="T624" s="2"/>
      <c r="U624" s="289">
        <f t="shared" si="353"/>
        <v>1020</v>
      </c>
      <c r="V624" s="304" t="str">
        <f t="shared" si="354"/>
        <v>нет з/ч</v>
      </c>
      <c r="W624" s="2"/>
      <c r="X624" s="289">
        <v>480.0</v>
      </c>
      <c r="Y624" s="139"/>
      <c r="Z624" s="2"/>
      <c r="AA624" s="2"/>
      <c r="AB624" s="2"/>
      <c r="AC624" s="2"/>
      <c r="AD624" s="2"/>
      <c r="AE624" s="3" t="s">
        <v>7953</v>
      </c>
      <c r="AF624" s="2"/>
      <c r="AG624" s="1" t="s">
        <v>1582</v>
      </c>
      <c r="AH624" s="1" t="s">
        <v>5966</v>
      </c>
      <c r="AI624" s="2">
        <v>90.0</v>
      </c>
      <c r="AJ624" s="1" t="s">
        <v>1589</v>
      </c>
      <c r="AK624" s="1" t="s">
        <v>5878</v>
      </c>
      <c r="AL624" s="1" t="s">
        <v>5878</v>
      </c>
      <c r="AM624" s="2"/>
      <c r="AN624" s="2"/>
      <c r="AO624" s="2"/>
      <c r="AP624" s="2"/>
      <c r="AQ624" s="2"/>
      <c r="AR624" s="2"/>
      <c r="AS624" s="2"/>
      <c r="AT624" s="2"/>
      <c r="AU624" s="126">
        <v>480.0</v>
      </c>
      <c r="AV624" s="126">
        <v>1500.0</v>
      </c>
      <c r="AW624" s="2"/>
      <c r="AX624" s="2"/>
      <c r="AY624" s="2"/>
      <c r="AZ624" s="2"/>
      <c r="BA624" s="2"/>
      <c r="BB624" s="2"/>
      <c r="BC624" s="2"/>
      <c r="BD624" s="2"/>
      <c r="BE624" s="2"/>
    </row>
    <row r="625" hidden="1">
      <c r="A625" s="2"/>
      <c r="B625" s="335" t="s">
        <v>7956</v>
      </c>
      <c r="C625" s="320" t="s">
        <v>7957</v>
      </c>
      <c r="D625" s="31">
        <v>90.0</v>
      </c>
      <c r="E625" s="31" t="s">
        <v>183</v>
      </c>
      <c r="F625" s="11" t="s">
        <v>7832</v>
      </c>
      <c r="G625" s="327" t="s">
        <v>7958</v>
      </c>
      <c r="H625" s="322"/>
      <c r="I625" s="328">
        <v>550.0</v>
      </c>
      <c r="J625" s="324"/>
      <c r="K625" s="322"/>
      <c r="L625" s="323"/>
      <c r="M625" s="324">
        <v>550.0</v>
      </c>
      <c r="N625" s="284">
        <v>0.45</v>
      </c>
      <c r="O625" s="322">
        <v>800.0</v>
      </c>
      <c r="P625" s="313">
        <f>MAX(O625:O630)</f>
        <v>800</v>
      </c>
      <c r="Q625" s="319">
        <f>P625</f>
        <v>800</v>
      </c>
      <c r="R625" s="329" t="s">
        <v>7959</v>
      </c>
      <c r="S625" s="330">
        <v>46141.4628159375</v>
      </c>
      <c r="T625" s="2"/>
      <c r="U625" s="289">
        <f t="shared" si="353"/>
        <v>250</v>
      </c>
      <c r="V625" s="304" t="str">
        <f t="shared" si="354"/>
        <v>нет з/ч</v>
      </c>
      <c r="W625" s="2"/>
      <c r="X625" s="289">
        <v>550.0</v>
      </c>
      <c r="Y625" s="139"/>
      <c r="Z625" s="2"/>
      <c r="AA625" s="2" t="s">
        <v>7957</v>
      </c>
      <c r="AB625" s="2" t="s">
        <v>7957</v>
      </c>
      <c r="AC625" s="2"/>
      <c r="AD625" s="1" t="s">
        <v>7957</v>
      </c>
      <c r="AE625" s="3" t="s">
        <v>7956</v>
      </c>
      <c r="AF625" s="2"/>
      <c r="AG625" s="1" t="s">
        <v>1582</v>
      </c>
      <c r="AH625" s="1" t="s">
        <v>5975</v>
      </c>
      <c r="AI625" s="2">
        <v>90.0</v>
      </c>
      <c r="AJ625" s="1" t="s">
        <v>1589</v>
      </c>
      <c r="AK625" s="1" t="s">
        <v>5878</v>
      </c>
      <c r="AL625" s="1" t="s">
        <v>5878</v>
      </c>
      <c r="AM625" s="2"/>
      <c r="AN625" s="2"/>
      <c r="AO625" s="2"/>
      <c r="AP625" s="2"/>
      <c r="AQ625" s="2"/>
      <c r="AR625" s="2"/>
      <c r="AS625" s="2"/>
      <c r="AT625" s="2"/>
      <c r="AU625" s="126">
        <v>550.0</v>
      </c>
      <c r="AV625" s="126">
        <v>800.0</v>
      </c>
      <c r="AW625" s="2"/>
      <c r="AX625" s="2"/>
      <c r="AY625" s="2"/>
      <c r="AZ625" s="2"/>
      <c r="BA625" s="2"/>
      <c r="BB625" s="2"/>
      <c r="BC625" s="2"/>
      <c r="BD625" s="2"/>
      <c r="BE625" s="2"/>
    </row>
    <row r="626" hidden="1">
      <c r="A626" s="2"/>
      <c r="B626" s="335" t="s">
        <v>7960</v>
      </c>
      <c r="C626" s="320" t="s">
        <v>7961</v>
      </c>
      <c r="D626" s="31">
        <v>90.0</v>
      </c>
      <c r="E626" s="31" t="s">
        <v>183</v>
      </c>
      <c r="F626" s="11" t="s">
        <v>7832</v>
      </c>
      <c r="G626" s="327" t="s">
        <v>7962</v>
      </c>
      <c r="H626" s="322"/>
      <c r="I626" s="328">
        <v>550.0</v>
      </c>
      <c r="J626" s="324"/>
      <c r="K626" s="322"/>
      <c r="L626" s="323"/>
      <c r="M626" s="324">
        <v>550.0</v>
      </c>
      <c r="N626" s="284">
        <v>0.185</v>
      </c>
      <c r="O626" s="322">
        <v>650.0</v>
      </c>
      <c r="P626" s="104"/>
      <c r="Q626" s="319">
        <f>P625</f>
        <v>800</v>
      </c>
      <c r="R626" s="329" t="s">
        <v>7963</v>
      </c>
      <c r="S626" s="330">
        <v>46141.46287721065</v>
      </c>
      <c r="T626" s="2"/>
      <c r="U626" s="289">
        <f t="shared" si="353"/>
        <v>250</v>
      </c>
      <c r="V626" s="304" t="str">
        <f t="shared" si="354"/>
        <v>нет з/ч</v>
      </c>
      <c r="W626" s="2"/>
      <c r="X626" s="289">
        <v>550.0</v>
      </c>
      <c r="Y626" s="139"/>
      <c r="Z626" s="2"/>
      <c r="AA626" s="2" t="s">
        <v>7961</v>
      </c>
      <c r="AB626" s="2" t="s">
        <v>7961</v>
      </c>
      <c r="AC626" s="2"/>
      <c r="AD626" s="1" t="s">
        <v>7961</v>
      </c>
      <c r="AE626" s="3" t="s">
        <v>7960</v>
      </c>
      <c r="AF626" s="2"/>
      <c r="AG626" s="1" t="s">
        <v>1582</v>
      </c>
      <c r="AH626" s="1" t="s">
        <v>5975</v>
      </c>
      <c r="AI626" s="2">
        <v>90.0</v>
      </c>
      <c r="AJ626" s="1" t="s">
        <v>1589</v>
      </c>
      <c r="AK626" s="1" t="s">
        <v>5878</v>
      </c>
      <c r="AL626" s="1" t="s">
        <v>5878</v>
      </c>
      <c r="AM626" s="2"/>
      <c r="AN626" s="2"/>
      <c r="AO626" s="2"/>
      <c r="AP626" s="2"/>
      <c r="AQ626" s="2"/>
      <c r="AR626" s="2"/>
      <c r="AS626" s="2"/>
      <c r="AT626" s="2"/>
      <c r="AU626" s="126">
        <v>550.0</v>
      </c>
      <c r="AV626" s="126">
        <v>800.0</v>
      </c>
      <c r="AW626" s="2"/>
      <c r="AX626" s="2"/>
      <c r="AY626" s="2"/>
      <c r="AZ626" s="2"/>
      <c r="BA626" s="2"/>
      <c r="BB626" s="2"/>
      <c r="BC626" s="2"/>
      <c r="BD626" s="2"/>
      <c r="BE626" s="2"/>
    </row>
    <row r="627" hidden="1">
      <c r="A627" s="2"/>
      <c r="B627" s="335" t="s">
        <v>7964</v>
      </c>
      <c r="C627" s="320"/>
      <c r="D627" s="31">
        <v>90.0</v>
      </c>
      <c r="E627" s="31" t="s">
        <v>183</v>
      </c>
      <c r="F627" s="11" t="s">
        <v>7832</v>
      </c>
      <c r="G627" s="327" t="s">
        <v>7965</v>
      </c>
      <c r="H627" s="322"/>
      <c r="I627" s="328">
        <v>550.0</v>
      </c>
      <c r="J627" s="324"/>
      <c r="K627" s="322"/>
      <c r="L627" s="323"/>
      <c r="M627" s="324">
        <v>550.0</v>
      </c>
      <c r="N627" s="284">
        <v>0.185</v>
      </c>
      <c r="O627" s="322">
        <v>650.0</v>
      </c>
      <c r="P627" s="104"/>
      <c r="Q627" s="319">
        <f>P625</f>
        <v>800</v>
      </c>
      <c r="R627" s="329" t="s">
        <v>7966</v>
      </c>
      <c r="S627" s="330">
        <v>46141.46292792824</v>
      </c>
      <c r="T627" s="2"/>
      <c r="U627" s="289">
        <f t="shared" si="353"/>
        <v>250</v>
      </c>
      <c r="V627" s="304" t="str">
        <f t="shared" si="354"/>
        <v>нет з/ч</v>
      </c>
      <c r="W627" s="2"/>
      <c r="X627" s="289">
        <v>550.0</v>
      </c>
      <c r="Y627" s="139"/>
      <c r="Z627" s="2"/>
      <c r="AA627" s="2"/>
      <c r="AB627" s="2"/>
      <c r="AC627" s="2"/>
      <c r="AD627" s="2"/>
      <c r="AE627" s="3" t="s">
        <v>7964</v>
      </c>
      <c r="AF627" s="2"/>
      <c r="AG627" s="1" t="s">
        <v>1582</v>
      </c>
      <c r="AH627" s="1" t="s">
        <v>5975</v>
      </c>
      <c r="AI627" s="2">
        <v>90.0</v>
      </c>
      <c r="AJ627" s="1" t="s">
        <v>1589</v>
      </c>
      <c r="AK627" s="1" t="s">
        <v>5878</v>
      </c>
      <c r="AL627" s="1" t="s">
        <v>5878</v>
      </c>
      <c r="AM627" s="2"/>
      <c r="AN627" s="2"/>
      <c r="AO627" s="2"/>
      <c r="AP627" s="2"/>
      <c r="AQ627" s="2"/>
      <c r="AR627" s="2"/>
      <c r="AS627" s="2"/>
      <c r="AT627" s="2"/>
      <c r="AU627" s="126">
        <v>550.0</v>
      </c>
      <c r="AV627" s="126">
        <v>800.0</v>
      </c>
      <c r="AW627" s="2"/>
      <c r="AX627" s="2"/>
      <c r="AY627" s="2"/>
      <c r="AZ627" s="2"/>
      <c r="BA627" s="2"/>
      <c r="BB627" s="2"/>
      <c r="BC627" s="2"/>
      <c r="BD627" s="2"/>
      <c r="BE627" s="2"/>
    </row>
    <row r="628" hidden="1">
      <c r="A628" s="2"/>
      <c r="B628" s="335" t="s">
        <v>7967</v>
      </c>
      <c r="C628" s="320"/>
      <c r="D628" s="31">
        <v>90.0</v>
      </c>
      <c r="E628" s="31" t="s">
        <v>183</v>
      </c>
      <c r="F628" s="11" t="s">
        <v>7832</v>
      </c>
      <c r="G628" s="327" t="s">
        <v>7968</v>
      </c>
      <c r="H628" s="322"/>
      <c r="I628" s="328">
        <v>550.0</v>
      </c>
      <c r="J628" s="324"/>
      <c r="K628" s="322"/>
      <c r="L628" s="323"/>
      <c r="M628" s="324">
        <v>550.0</v>
      </c>
      <c r="N628" s="284">
        <v>0.185</v>
      </c>
      <c r="O628" s="322">
        <v>650.0</v>
      </c>
      <c r="P628" s="104"/>
      <c r="Q628" s="319">
        <f>P625</f>
        <v>800</v>
      </c>
      <c r="R628" s="329" t="s">
        <v>7969</v>
      </c>
      <c r="S628" s="330">
        <v>46141.462990960645</v>
      </c>
      <c r="T628" s="2"/>
      <c r="U628" s="289">
        <f t="shared" si="353"/>
        <v>250</v>
      </c>
      <c r="V628" s="304" t="str">
        <f t="shared" si="354"/>
        <v>нет з/ч</v>
      </c>
      <c r="W628" s="2"/>
      <c r="X628" s="289">
        <v>550.0</v>
      </c>
      <c r="Y628" s="139"/>
      <c r="Z628" s="2"/>
      <c r="AA628" s="2"/>
      <c r="AB628" s="2"/>
      <c r="AC628" s="2"/>
      <c r="AD628" s="2"/>
      <c r="AE628" s="3" t="s">
        <v>7967</v>
      </c>
      <c r="AF628" s="2"/>
      <c r="AG628" s="1" t="s">
        <v>1582</v>
      </c>
      <c r="AH628" s="1" t="s">
        <v>5975</v>
      </c>
      <c r="AI628" s="2">
        <v>90.0</v>
      </c>
      <c r="AJ628" s="1" t="s">
        <v>1589</v>
      </c>
      <c r="AK628" s="1" t="s">
        <v>5878</v>
      </c>
      <c r="AL628" s="1" t="s">
        <v>5878</v>
      </c>
      <c r="AM628" s="2"/>
      <c r="AN628" s="2"/>
      <c r="AO628" s="2"/>
      <c r="AP628" s="2"/>
      <c r="AQ628" s="2"/>
      <c r="AR628" s="2"/>
      <c r="AS628" s="2"/>
      <c r="AT628" s="2"/>
      <c r="AU628" s="126">
        <v>550.0</v>
      </c>
      <c r="AV628" s="126">
        <v>800.0</v>
      </c>
      <c r="AW628" s="2"/>
      <c r="AX628" s="2"/>
      <c r="AY628" s="2"/>
      <c r="AZ628" s="2"/>
      <c r="BA628" s="2"/>
      <c r="BB628" s="2"/>
      <c r="BC628" s="2"/>
      <c r="BD628" s="2"/>
      <c r="BE628" s="2"/>
    </row>
    <row r="629" hidden="1">
      <c r="A629" s="2"/>
      <c r="B629" s="335" t="s">
        <v>7970</v>
      </c>
      <c r="C629" s="320"/>
      <c r="D629" s="31">
        <v>90.0</v>
      </c>
      <c r="E629" s="31" t="s">
        <v>183</v>
      </c>
      <c r="F629" s="11" t="s">
        <v>7832</v>
      </c>
      <c r="G629" s="327" t="s">
        <v>7971</v>
      </c>
      <c r="H629" s="322"/>
      <c r="I629" s="328">
        <v>550.0</v>
      </c>
      <c r="J629" s="324"/>
      <c r="K629" s="322"/>
      <c r="L629" s="323"/>
      <c r="M629" s="324">
        <v>550.0</v>
      </c>
      <c r="N629" s="284">
        <v>0.185</v>
      </c>
      <c r="O629" s="322">
        <v>650.0</v>
      </c>
      <c r="P629" s="104"/>
      <c r="Q629" s="319">
        <f>P625</f>
        <v>800</v>
      </c>
      <c r="R629" s="329" t="s">
        <v>7972</v>
      </c>
      <c r="S629" s="330">
        <v>46141.463042268515</v>
      </c>
      <c r="T629" s="2"/>
      <c r="U629" s="289">
        <f t="shared" si="353"/>
        <v>250</v>
      </c>
      <c r="V629" s="304" t="str">
        <f t="shared" si="354"/>
        <v>нет з/ч</v>
      </c>
      <c r="W629" s="2"/>
      <c r="X629" s="289">
        <v>550.0</v>
      </c>
      <c r="Y629" s="139"/>
      <c r="Z629" s="2"/>
      <c r="AA629" s="2"/>
      <c r="AB629" s="2"/>
      <c r="AC629" s="2"/>
      <c r="AD629" s="2"/>
      <c r="AE629" s="3" t="s">
        <v>7970</v>
      </c>
      <c r="AF629" s="2"/>
      <c r="AG629" s="1" t="s">
        <v>1582</v>
      </c>
      <c r="AH629" s="1" t="s">
        <v>5975</v>
      </c>
      <c r="AI629" s="2">
        <v>90.0</v>
      </c>
      <c r="AJ629" s="1" t="s">
        <v>1589</v>
      </c>
      <c r="AK629" s="1" t="s">
        <v>5878</v>
      </c>
      <c r="AL629" s="1" t="s">
        <v>5878</v>
      </c>
      <c r="AM629" s="2"/>
      <c r="AN629" s="2"/>
      <c r="AO629" s="2"/>
      <c r="AP629" s="2"/>
      <c r="AQ629" s="2"/>
      <c r="AR629" s="2"/>
      <c r="AS629" s="2"/>
      <c r="AT629" s="2"/>
      <c r="AU629" s="126">
        <v>550.0</v>
      </c>
      <c r="AV629" s="126">
        <v>800.0</v>
      </c>
      <c r="AW629" s="2"/>
      <c r="AX629" s="2"/>
      <c r="AY629" s="2"/>
      <c r="AZ629" s="2"/>
      <c r="BA629" s="2"/>
      <c r="BB629" s="2"/>
      <c r="BC629" s="2"/>
      <c r="BD629" s="2"/>
      <c r="BE629" s="2"/>
    </row>
    <row r="630" hidden="1">
      <c r="A630" s="2"/>
      <c r="B630" s="335" t="s">
        <v>7973</v>
      </c>
      <c r="C630" s="320"/>
      <c r="D630" s="31">
        <v>90.0</v>
      </c>
      <c r="E630" s="31" t="s">
        <v>183</v>
      </c>
      <c r="F630" s="11" t="s">
        <v>7832</v>
      </c>
      <c r="G630" s="327" t="s">
        <v>7974</v>
      </c>
      <c r="H630" s="322"/>
      <c r="I630" s="328">
        <v>550.0</v>
      </c>
      <c r="J630" s="324"/>
      <c r="K630" s="322"/>
      <c r="L630" s="323"/>
      <c r="M630" s="324">
        <v>550.0</v>
      </c>
      <c r="N630" s="284">
        <v>0.185</v>
      </c>
      <c r="O630" s="322">
        <v>650.0</v>
      </c>
      <c r="P630" s="67"/>
      <c r="Q630" s="319">
        <f>P625</f>
        <v>800</v>
      </c>
      <c r="R630" s="329" t="s">
        <v>7975</v>
      </c>
      <c r="S630" s="330">
        <v>46141.46309358796</v>
      </c>
      <c r="T630" s="2"/>
      <c r="U630" s="289">
        <f t="shared" si="353"/>
        <v>250</v>
      </c>
      <c r="V630" s="304" t="str">
        <f t="shared" si="354"/>
        <v>нет з/ч</v>
      </c>
      <c r="W630" s="2"/>
      <c r="X630" s="289">
        <v>550.0</v>
      </c>
      <c r="Y630" s="139"/>
      <c r="Z630" s="2"/>
      <c r="AA630" s="2"/>
      <c r="AB630" s="2"/>
      <c r="AC630" s="2"/>
      <c r="AD630" s="2"/>
      <c r="AE630" s="3" t="s">
        <v>7973</v>
      </c>
      <c r="AF630" s="2"/>
      <c r="AG630" s="1" t="s">
        <v>1582</v>
      </c>
      <c r="AH630" s="1" t="s">
        <v>5975</v>
      </c>
      <c r="AI630" s="2">
        <v>90.0</v>
      </c>
      <c r="AJ630" s="1" t="s">
        <v>1589</v>
      </c>
      <c r="AK630" s="1" t="s">
        <v>5878</v>
      </c>
      <c r="AL630" s="1" t="s">
        <v>5878</v>
      </c>
      <c r="AM630" s="2"/>
      <c r="AN630" s="2"/>
      <c r="AO630" s="2"/>
      <c r="AP630" s="2"/>
      <c r="AQ630" s="2"/>
      <c r="AR630" s="2"/>
      <c r="AS630" s="2"/>
      <c r="AT630" s="2"/>
      <c r="AU630" s="126">
        <v>550.0</v>
      </c>
      <c r="AV630" s="126">
        <v>800.0</v>
      </c>
      <c r="AW630" s="2"/>
      <c r="AX630" s="2"/>
      <c r="AY630" s="2"/>
      <c r="AZ630" s="2"/>
      <c r="BA630" s="2"/>
      <c r="BB630" s="2"/>
      <c r="BC630" s="2"/>
      <c r="BD630" s="2"/>
      <c r="BE630" s="2"/>
    </row>
    <row r="631" hidden="1">
      <c r="A631" s="2"/>
      <c r="B631" s="335" t="s">
        <v>7976</v>
      </c>
      <c r="C631" s="320" t="s">
        <v>7977</v>
      </c>
      <c r="D631" s="31">
        <v>90.0</v>
      </c>
      <c r="E631" s="31" t="s">
        <v>185</v>
      </c>
      <c r="F631" s="11" t="s">
        <v>7832</v>
      </c>
      <c r="G631" s="327" t="s">
        <v>7978</v>
      </c>
      <c r="H631" s="322"/>
      <c r="I631" s="328">
        <v>1400.0</v>
      </c>
      <c r="J631" s="324"/>
      <c r="K631" s="322"/>
      <c r="L631" s="323"/>
      <c r="M631" s="324">
        <v>1400.0</v>
      </c>
      <c r="N631" s="284">
        <v>0.185</v>
      </c>
      <c r="O631" s="322">
        <v>1650.0</v>
      </c>
      <c r="P631" s="313">
        <f>MAX(O631:O634)</f>
        <v>1650</v>
      </c>
      <c r="Q631" s="319">
        <f>P631</f>
        <v>1650</v>
      </c>
      <c r="R631" s="329" t="s">
        <v>7979</v>
      </c>
      <c r="S631" s="330">
        <v>46141.46315001158</v>
      </c>
      <c r="T631" s="2"/>
      <c r="U631" s="289">
        <f t="shared" si="353"/>
        <v>250</v>
      </c>
      <c r="V631" s="304" t="str">
        <f t="shared" si="354"/>
        <v>нет з/ч</v>
      </c>
      <c r="W631" s="2"/>
      <c r="X631" s="289">
        <v>1400.0</v>
      </c>
      <c r="Y631" s="139"/>
      <c r="Z631" s="2"/>
      <c r="AA631" s="2" t="s">
        <v>7977</v>
      </c>
      <c r="AB631" s="2" t="s">
        <v>7977</v>
      </c>
      <c r="AC631" s="2"/>
      <c r="AD631" s="1" t="s">
        <v>7977</v>
      </c>
      <c r="AE631" s="3" t="s">
        <v>7976</v>
      </c>
      <c r="AF631" s="2"/>
      <c r="AG631" s="1" t="s">
        <v>1582</v>
      </c>
      <c r="AH631" s="1" t="s">
        <v>5984</v>
      </c>
      <c r="AI631" s="2">
        <v>90.0</v>
      </c>
      <c r="AJ631" s="1" t="s">
        <v>1589</v>
      </c>
      <c r="AK631" s="1" t="s">
        <v>5878</v>
      </c>
      <c r="AL631" s="1" t="s">
        <v>5878</v>
      </c>
      <c r="AM631" s="2"/>
      <c r="AN631" s="2"/>
      <c r="AO631" s="2"/>
      <c r="AP631" s="2"/>
      <c r="AQ631" s="2"/>
      <c r="AR631" s="2"/>
      <c r="AS631" s="2"/>
      <c r="AT631" s="2"/>
      <c r="AU631" s="126">
        <v>1400.0</v>
      </c>
      <c r="AV631" s="126">
        <v>1650.0</v>
      </c>
      <c r="AW631" s="2"/>
      <c r="AX631" s="2"/>
      <c r="AY631" s="2"/>
      <c r="AZ631" s="2"/>
      <c r="BA631" s="2"/>
      <c r="BB631" s="2"/>
      <c r="BC631" s="2"/>
      <c r="BD631" s="2"/>
      <c r="BE631" s="2"/>
    </row>
    <row r="632" hidden="1">
      <c r="A632" s="2"/>
      <c r="B632" s="335" t="s">
        <v>7980</v>
      </c>
      <c r="C632" s="320" t="s">
        <v>7981</v>
      </c>
      <c r="D632" s="31">
        <v>90.0</v>
      </c>
      <c r="E632" s="31" t="s">
        <v>185</v>
      </c>
      <c r="F632" s="11" t="s">
        <v>7832</v>
      </c>
      <c r="G632" s="327" t="s">
        <v>7982</v>
      </c>
      <c r="H632" s="322"/>
      <c r="I632" s="328">
        <v>1400.0</v>
      </c>
      <c r="J632" s="324"/>
      <c r="K632" s="322"/>
      <c r="L632" s="323"/>
      <c r="M632" s="324">
        <v>1400.0</v>
      </c>
      <c r="N632" s="284">
        <v>0.185</v>
      </c>
      <c r="O632" s="322">
        <v>1650.0</v>
      </c>
      <c r="P632" s="104"/>
      <c r="Q632" s="319">
        <f>P631</f>
        <v>1650</v>
      </c>
      <c r="R632" s="329" t="s">
        <v>7983</v>
      </c>
      <c r="S632" s="330">
        <v>46141.46319956018</v>
      </c>
      <c r="T632" s="2"/>
      <c r="U632" s="289">
        <f t="shared" si="353"/>
        <v>250</v>
      </c>
      <c r="V632" s="304" t="str">
        <f t="shared" si="354"/>
        <v>нет з/ч</v>
      </c>
      <c r="W632" s="2"/>
      <c r="X632" s="289">
        <v>1400.0</v>
      </c>
      <c r="Y632" s="139"/>
      <c r="Z632" s="2"/>
      <c r="AA632" s="2" t="s">
        <v>7981</v>
      </c>
      <c r="AB632" s="2" t="s">
        <v>7981</v>
      </c>
      <c r="AC632" s="2"/>
      <c r="AD632" s="1" t="s">
        <v>7981</v>
      </c>
      <c r="AE632" s="3" t="s">
        <v>7980</v>
      </c>
      <c r="AF632" s="2"/>
      <c r="AG632" s="1" t="s">
        <v>1582</v>
      </c>
      <c r="AH632" s="1" t="s">
        <v>5984</v>
      </c>
      <c r="AI632" s="2">
        <v>90.0</v>
      </c>
      <c r="AJ632" s="1" t="s">
        <v>1589</v>
      </c>
      <c r="AK632" s="1" t="s">
        <v>5878</v>
      </c>
      <c r="AL632" s="1" t="s">
        <v>5878</v>
      </c>
      <c r="AM632" s="2"/>
      <c r="AN632" s="2"/>
      <c r="AO632" s="2"/>
      <c r="AP632" s="2"/>
      <c r="AQ632" s="2"/>
      <c r="AR632" s="2"/>
      <c r="AS632" s="2"/>
      <c r="AT632" s="2"/>
      <c r="AU632" s="126">
        <v>1400.0</v>
      </c>
      <c r="AV632" s="126">
        <v>1650.0</v>
      </c>
      <c r="AW632" s="2"/>
      <c r="AX632" s="2"/>
      <c r="AY632" s="2"/>
      <c r="AZ632" s="2"/>
      <c r="BA632" s="2"/>
      <c r="BB632" s="2"/>
      <c r="BC632" s="2"/>
      <c r="BD632" s="2"/>
      <c r="BE632" s="2"/>
    </row>
    <row r="633" hidden="1">
      <c r="A633" s="2"/>
      <c r="B633" s="335" t="s">
        <v>7984</v>
      </c>
      <c r="C633" s="93"/>
      <c r="D633" s="31">
        <v>90.0</v>
      </c>
      <c r="E633" s="31" t="s">
        <v>185</v>
      </c>
      <c r="F633" s="11" t="s">
        <v>7832</v>
      </c>
      <c r="G633" s="321"/>
      <c r="H633" s="322"/>
      <c r="I633" s="323"/>
      <c r="J633" s="324"/>
      <c r="K633" s="322"/>
      <c r="L633" s="323"/>
      <c r="M633" s="324" t="s">
        <v>22</v>
      </c>
      <c r="N633" s="284">
        <v>0.185</v>
      </c>
      <c r="O633" s="322" t="s">
        <v>22</v>
      </c>
      <c r="P633" s="104"/>
      <c r="Q633" s="319">
        <f>P631</f>
        <v>1650</v>
      </c>
      <c r="R633" s="331"/>
      <c r="S633" s="326"/>
      <c r="T633" s="2"/>
      <c r="U633" s="59" t="str">
        <f t="shared" si="353"/>
        <v>нет з/ч</v>
      </c>
      <c r="V633" s="304" t="str">
        <f t="shared" si="354"/>
        <v>нет з/ч</v>
      </c>
      <c r="W633" s="2"/>
      <c r="X633" s="289"/>
      <c r="Y633" s="139"/>
      <c r="Z633" s="2"/>
      <c r="AA633" s="2"/>
      <c r="AB633" s="2"/>
      <c r="AC633" s="2"/>
      <c r="AD633" s="2"/>
      <c r="AE633" s="3" t="s">
        <v>7984</v>
      </c>
      <c r="AF633" s="2"/>
      <c r="AG633" s="1" t="s">
        <v>1582</v>
      </c>
      <c r="AH633" s="1" t="s">
        <v>5984</v>
      </c>
      <c r="AI633" s="2">
        <v>90.0</v>
      </c>
      <c r="AJ633" s="1" t="s">
        <v>1589</v>
      </c>
      <c r="AK633" s="1" t="s">
        <v>5878</v>
      </c>
      <c r="AL633" s="1" t="s">
        <v>5878</v>
      </c>
      <c r="AM633" s="2"/>
      <c r="AN633" s="2"/>
      <c r="AO633" s="2"/>
      <c r="AP633" s="2"/>
      <c r="AQ633" s="2"/>
      <c r="AR633" s="2"/>
      <c r="AS633" s="2"/>
      <c r="AT633" s="2"/>
      <c r="AU633" s="126" t="s">
        <v>22</v>
      </c>
      <c r="AV633" s="126">
        <v>1650.0</v>
      </c>
      <c r="AW633" s="2"/>
      <c r="AX633" s="2"/>
      <c r="AY633" s="2"/>
      <c r="AZ633" s="2"/>
      <c r="BA633" s="2"/>
      <c r="BB633" s="2"/>
      <c r="BC633" s="2"/>
      <c r="BD633" s="2"/>
      <c r="BE633" s="2"/>
    </row>
    <row r="634" hidden="1">
      <c r="A634" s="2"/>
      <c r="B634" s="335" t="s">
        <v>7985</v>
      </c>
      <c r="C634" s="93"/>
      <c r="D634" s="31">
        <v>90.0</v>
      </c>
      <c r="E634" s="31" t="s">
        <v>185</v>
      </c>
      <c r="F634" s="11" t="s">
        <v>7832</v>
      </c>
      <c r="G634" s="321"/>
      <c r="H634" s="322"/>
      <c r="I634" s="323"/>
      <c r="J634" s="324"/>
      <c r="K634" s="322"/>
      <c r="L634" s="323"/>
      <c r="M634" s="324" t="s">
        <v>22</v>
      </c>
      <c r="N634" s="284">
        <v>0.185</v>
      </c>
      <c r="O634" s="322" t="s">
        <v>22</v>
      </c>
      <c r="P634" s="67"/>
      <c r="Q634" s="319">
        <f>P631</f>
        <v>1650</v>
      </c>
      <c r="R634" s="331"/>
      <c r="S634" s="326"/>
      <c r="T634" s="2"/>
      <c r="U634" s="59" t="str">
        <f t="shared" si="353"/>
        <v>нет з/ч</v>
      </c>
      <c r="V634" s="304" t="str">
        <f t="shared" si="354"/>
        <v>нет з/ч</v>
      </c>
      <c r="W634" s="2"/>
      <c r="X634" s="289"/>
      <c r="Y634" s="139"/>
      <c r="Z634" s="2"/>
      <c r="AA634" s="2"/>
      <c r="AB634" s="2"/>
      <c r="AC634" s="2"/>
      <c r="AD634" s="2"/>
      <c r="AE634" s="3" t="s">
        <v>7985</v>
      </c>
      <c r="AF634" s="2"/>
      <c r="AG634" s="1" t="s">
        <v>1582</v>
      </c>
      <c r="AH634" s="1" t="s">
        <v>5984</v>
      </c>
      <c r="AI634" s="2">
        <v>90.0</v>
      </c>
      <c r="AJ634" s="1" t="s">
        <v>1589</v>
      </c>
      <c r="AK634" s="1" t="s">
        <v>5878</v>
      </c>
      <c r="AL634" s="1" t="s">
        <v>5878</v>
      </c>
      <c r="AM634" s="2"/>
      <c r="AN634" s="2"/>
      <c r="AO634" s="2"/>
      <c r="AP634" s="2"/>
      <c r="AQ634" s="2"/>
      <c r="AR634" s="2"/>
      <c r="AS634" s="2"/>
      <c r="AT634" s="2"/>
      <c r="AU634" s="126" t="s">
        <v>22</v>
      </c>
      <c r="AV634" s="126">
        <v>1650.0</v>
      </c>
      <c r="AW634" s="2"/>
      <c r="AX634" s="2"/>
      <c r="AY634" s="2"/>
      <c r="AZ634" s="2"/>
      <c r="BA634" s="2"/>
      <c r="BB634" s="2"/>
      <c r="BC634" s="2"/>
      <c r="BD634" s="2"/>
      <c r="BE634" s="2"/>
    </row>
    <row r="635" hidden="1">
      <c r="A635" s="2"/>
      <c r="B635" s="335" t="s">
        <v>7986</v>
      </c>
      <c r="C635" s="320" t="s">
        <v>7987</v>
      </c>
      <c r="D635" s="31">
        <v>90.0</v>
      </c>
      <c r="E635" s="31" t="s">
        <v>193</v>
      </c>
      <c r="F635" s="11" t="s">
        <v>7832</v>
      </c>
      <c r="G635" s="327" t="s">
        <v>7988</v>
      </c>
      <c r="H635" s="322"/>
      <c r="I635" s="328">
        <v>2000.0</v>
      </c>
      <c r="J635" s="324"/>
      <c r="K635" s="322"/>
      <c r="L635" s="323"/>
      <c r="M635" s="324">
        <v>2000.0</v>
      </c>
      <c r="N635" s="284">
        <v>0.185</v>
      </c>
      <c r="O635" s="322">
        <v>2350.0</v>
      </c>
      <c r="P635" s="313">
        <f>MAX(O635:O638)</f>
        <v>2350</v>
      </c>
      <c r="Q635" s="319">
        <f>P635</f>
        <v>2350</v>
      </c>
      <c r="R635" s="329" t="s">
        <v>7989</v>
      </c>
      <c r="S635" s="330">
        <v>46141.463262523146</v>
      </c>
      <c r="T635" s="2"/>
      <c r="U635" s="289">
        <f t="shared" si="353"/>
        <v>350</v>
      </c>
      <c r="V635" s="304" t="str">
        <f t="shared" si="354"/>
        <v>нет з/ч</v>
      </c>
      <c r="W635" s="2"/>
      <c r="X635" s="289">
        <v>2000.0</v>
      </c>
      <c r="Y635" s="139"/>
      <c r="Z635" s="2"/>
      <c r="AA635" s="2" t="s">
        <v>7987</v>
      </c>
      <c r="AB635" s="2" t="s">
        <v>7987</v>
      </c>
      <c r="AC635" s="2"/>
      <c r="AD635" s="1" t="s">
        <v>7987</v>
      </c>
      <c r="AE635" s="3" t="s">
        <v>7986</v>
      </c>
      <c r="AF635" s="2"/>
      <c r="AG635" s="1" t="s">
        <v>1582</v>
      </c>
      <c r="AH635" s="1" t="s">
        <v>5993</v>
      </c>
      <c r="AI635" s="2">
        <v>90.0</v>
      </c>
      <c r="AJ635" s="1" t="s">
        <v>1589</v>
      </c>
      <c r="AK635" s="1" t="s">
        <v>5878</v>
      </c>
      <c r="AL635" s="1" t="s">
        <v>5878</v>
      </c>
      <c r="AM635" s="2"/>
      <c r="AN635" s="2"/>
      <c r="AO635" s="2"/>
      <c r="AP635" s="2"/>
      <c r="AQ635" s="2"/>
      <c r="AR635" s="2"/>
      <c r="AS635" s="2"/>
      <c r="AT635" s="2"/>
      <c r="AU635" s="167">
        <v>2000.0</v>
      </c>
      <c r="AV635" s="167">
        <v>2350.0</v>
      </c>
      <c r="AW635" s="2"/>
      <c r="AX635" s="2"/>
      <c r="AY635" s="2"/>
      <c r="AZ635" s="2"/>
      <c r="BA635" s="2"/>
      <c r="BB635" s="2"/>
      <c r="BC635" s="2"/>
      <c r="BD635" s="2"/>
      <c r="BE635" s="2"/>
    </row>
    <row r="636" hidden="1">
      <c r="A636" s="2"/>
      <c r="B636" s="335" t="s">
        <v>7990</v>
      </c>
      <c r="C636" s="320" t="s">
        <v>7991</v>
      </c>
      <c r="D636" s="31">
        <v>90.0</v>
      </c>
      <c r="E636" s="31" t="s">
        <v>193</v>
      </c>
      <c r="F636" s="11" t="s">
        <v>7832</v>
      </c>
      <c r="G636" s="327" t="s">
        <v>7992</v>
      </c>
      <c r="H636" s="322"/>
      <c r="I636" s="328">
        <v>2000.0</v>
      </c>
      <c r="J636" s="324"/>
      <c r="K636" s="322"/>
      <c r="L636" s="323"/>
      <c r="M636" s="324">
        <v>2000.0</v>
      </c>
      <c r="N636" s="284">
        <v>0.185</v>
      </c>
      <c r="O636" s="322">
        <v>2350.0</v>
      </c>
      <c r="P636" s="104"/>
      <c r="Q636" s="319">
        <f>P635</f>
        <v>2350</v>
      </c>
      <c r="R636" s="329" t="s">
        <v>7993</v>
      </c>
      <c r="S636" s="330">
        <v>46141.46331476852</v>
      </c>
      <c r="T636" s="2"/>
      <c r="U636" s="289">
        <f t="shared" si="353"/>
        <v>350</v>
      </c>
      <c r="V636" s="304" t="str">
        <f t="shared" si="354"/>
        <v>нет з/ч</v>
      </c>
      <c r="W636" s="2"/>
      <c r="X636" s="289">
        <v>2000.0</v>
      </c>
      <c r="Y636" s="139"/>
      <c r="Z636" s="2"/>
      <c r="AA636" s="2" t="s">
        <v>7991</v>
      </c>
      <c r="AB636" s="2" t="s">
        <v>7991</v>
      </c>
      <c r="AC636" s="2"/>
      <c r="AD636" s="1" t="s">
        <v>7991</v>
      </c>
      <c r="AE636" s="3" t="s">
        <v>7990</v>
      </c>
      <c r="AF636" s="2"/>
      <c r="AG636" s="1" t="s">
        <v>1582</v>
      </c>
      <c r="AH636" s="1" t="s">
        <v>5993</v>
      </c>
      <c r="AI636" s="2">
        <v>90.0</v>
      </c>
      <c r="AJ636" s="1" t="s">
        <v>1589</v>
      </c>
      <c r="AK636" s="1" t="s">
        <v>5878</v>
      </c>
      <c r="AL636" s="1" t="s">
        <v>5878</v>
      </c>
      <c r="AM636" s="2"/>
      <c r="AN636" s="2"/>
      <c r="AO636" s="2"/>
      <c r="AP636" s="2"/>
      <c r="AQ636" s="2"/>
      <c r="AR636" s="2"/>
      <c r="AS636" s="2"/>
      <c r="AT636" s="2"/>
      <c r="AU636" s="167">
        <v>2000.0</v>
      </c>
      <c r="AV636" s="167">
        <v>2350.0</v>
      </c>
      <c r="AW636" s="2"/>
      <c r="AX636" s="2"/>
      <c r="AY636" s="2"/>
      <c r="AZ636" s="2"/>
      <c r="BA636" s="2"/>
      <c r="BB636" s="2"/>
      <c r="BC636" s="2"/>
      <c r="BD636" s="2"/>
      <c r="BE636" s="2"/>
    </row>
    <row r="637" hidden="1">
      <c r="A637" s="2"/>
      <c r="B637" s="335" t="s">
        <v>7994</v>
      </c>
      <c r="C637" s="93"/>
      <c r="D637" s="31">
        <v>90.0</v>
      </c>
      <c r="E637" s="31" t="s">
        <v>193</v>
      </c>
      <c r="F637" s="11" t="s">
        <v>7832</v>
      </c>
      <c r="G637" s="321"/>
      <c r="H637" s="322"/>
      <c r="I637" s="323"/>
      <c r="J637" s="324"/>
      <c r="K637" s="322"/>
      <c r="L637" s="323"/>
      <c r="M637" s="324" t="s">
        <v>22</v>
      </c>
      <c r="N637" s="284">
        <v>0.185</v>
      </c>
      <c r="O637" s="322" t="s">
        <v>22</v>
      </c>
      <c r="P637" s="104"/>
      <c r="Q637" s="319">
        <f>P635</f>
        <v>2350</v>
      </c>
      <c r="R637" s="331"/>
      <c r="S637" s="326"/>
      <c r="T637" s="2"/>
      <c r="U637" s="59" t="str">
        <f t="shared" si="353"/>
        <v>нет з/ч</v>
      </c>
      <c r="V637" s="304" t="str">
        <f t="shared" si="354"/>
        <v>нет з/ч</v>
      </c>
      <c r="W637" s="2"/>
      <c r="X637" s="289"/>
      <c r="Y637" s="139"/>
      <c r="Z637" s="2"/>
      <c r="AA637" s="2"/>
      <c r="AB637" s="2"/>
      <c r="AC637" s="2"/>
      <c r="AD637" s="2"/>
      <c r="AE637" s="3" t="s">
        <v>7994</v>
      </c>
      <c r="AF637" s="2"/>
      <c r="AG637" s="1" t="s">
        <v>1582</v>
      </c>
      <c r="AH637" s="1" t="s">
        <v>5993</v>
      </c>
      <c r="AI637" s="2">
        <v>90.0</v>
      </c>
      <c r="AJ637" s="1" t="s">
        <v>1589</v>
      </c>
      <c r="AK637" s="1" t="s">
        <v>5878</v>
      </c>
      <c r="AL637" s="1" t="s">
        <v>5878</v>
      </c>
      <c r="AM637" s="2"/>
      <c r="AN637" s="2"/>
      <c r="AO637" s="2"/>
      <c r="AP637" s="2"/>
      <c r="AQ637" s="2"/>
      <c r="AR637" s="2"/>
      <c r="AS637" s="2"/>
      <c r="AT637" s="2"/>
      <c r="AU637" s="167" t="s">
        <v>22</v>
      </c>
      <c r="AV637" s="167">
        <v>2350.0</v>
      </c>
      <c r="AW637" s="2"/>
      <c r="AX637" s="2"/>
      <c r="AY637" s="2"/>
      <c r="AZ637" s="2"/>
      <c r="BA637" s="2"/>
      <c r="BB637" s="2"/>
      <c r="BC637" s="2"/>
      <c r="BD637" s="2"/>
      <c r="BE637" s="2"/>
    </row>
    <row r="638" hidden="1">
      <c r="A638" s="2"/>
      <c r="B638" s="335" t="s">
        <v>7995</v>
      </c>
      <c r="C638" s="93"/>
      <c r="D638" s="31">
        <v>90.0</v>
      </c>
      <c r="E638" s="31" t="s">
        <v>193</v>
      </c>
      <c r="F638" s="11" t="s">
        <v>7832</v>
      </c>
      <c r="G638" s="321"/>
      <c r="H638" s="322"/>
      <c r="I638" s="323"/>
      <c r="J638" s="324"/>
      <c r="K638" s="322"/>
      <c r="L638" s="323"/>
      <c r="M638" s="324" t="s">
        <v>22</v>
      </c>
      <c r="N638" s="284">
        <v>0.185</v>
      </c>
      <c r="O638" s="322" t="s">
        <v>22</v>
      </c>
      <c r="P638" s="67"/>
      <c r="Q638" s="319">
        <f>P635</f>
        <v>2350</v>
      </c>
      <c r="R638" s="331"/>
      <c r="S638" s="326"/>
      <c r="T638" s="2"/>
      <c r="U638" s="59" t="str">
        <f t="shared" si="353"/>
        <v>нет з/ч</v>
      </c>
      <c r="V638" s="304" t="str">
        <f t="shared" si="354"/>
        <v>нет з/ч</v>
      </c>
      <c r="W638" s="2"/>
      <c r="X638" s="289"/>
      <c r="Y638" s="139"/>
      <c r="Z638" s="2"/>
      <c r="AA638" s="2"/>
      <c r="AB638" s="2"/>
      <c r="AC638" s="2"/>
      <c r="AD638" s="2"/>
      <c r="AE638" s="3" t="s">
        <v>7995</v>
      </c>
      <c r="AF638" s="2"/>
      <c r="AG638" s="1" t="s">
        <v>1582</v>
      </c>
      <c r="AH638" s="1" t="s">
        <v>5993</v>
      </c>
      <c r="AI638" s="2">
        <v>90.0</v>
      </c>
      <c r="AJ638" s="1" t="s">
        <v>1589</v>
      </c>
      <c r="AK638" s="1" t="s">
        <v>5878</v>
      </c>
      <c r="AL638" s="1" t="s">
        <v>5878</v>
      </c>
      <c r="AM638" s="2"/>
      <c r="AN638" s="2"/>
      <c r="AO638" s="2"/>
      <c r="AP638" s="2"/>
      <c r="AQ638" s="2"/>
      <c r="AR638" s="2"/>
      <c r="AS638" s="2"/>
      <c r="AT638" s="2"/>
      <c r="AU638" s="167" t="s">
        <v>22</v>
      </c>
      <c r="AV638" s="167">
        <v>2350.0</v>
      </c>
      <c r="AW638" s="2"/>
      <c r="AX638" s="2"/>
      <c r="AY638" s="2"/>
      <c r="AZ638" s="2"/>
      <c r="BA638" s="2"/>
      <c r="BB638" s="2"/>
      <c r="BC638" s="2"/>
      <c r="BD638" s="2"/>
      <c r="BE638" s="2"/>
    </row>
    <row r="639" hidden="1">
      <c r="A639" s="2"/>
      <c r="B639" s="335" t="s">
        <v>7996</v>
      </c>
      <c r="C639" s="320" t="s">
        <v>7997</v>
      </c>
      <c r="D639" s="31">
        <v>90.0</v>
      </c>
      <c r="E639" s="31" t="s">
        <v>6628</v>
      </c>
      <c r="F639" s="11" t="s">
        <v>7832</v>
      </c>
      <c r="G639" s="327" t="s">
        <v>7998</v>
      </c>
      <c r="H639" s="322"/>
      <c r="I639" s="328">
        <v>700.0</v>
      </c>
      <c r="J639" s="324"/>
      <c r="K639" s="322"/>
      <c r="L639" s="323"/>
      <c r="M639" s="324">
        <v>700.0</v>
      </c>
      <c r="N639" s="284">
        <v>2.0</v>
      </c>
      <c r="O639" s="322">
        <v>2100.0</v>
      </c>
      <c r="P639" s="313">
        <f>MAX(O639:O645)</f>
        <v>2100</v>
      </c>
      <c r="Q639" s="319">
        <f>P639</f>
        <v>2100</v>
      </c>
      <c r="R639" s="329" t="s">
        <v>7999</v>
      </c>
      <c r="S639" s="330">
        <v>46141.463363483796</v>
      </c>
      <c r="T639" s="2"/>
      <c r="U639" s="289">
        <f t="shared" si="353"/>
        <v>1400</v>
      </c>
      <c r="V639" s="304" t="str">
        <f t="shared" si="354"/>
        <v>нет з/ч</v>
      </c>
      <c r="W639" s="2"/>
      <c r="X639" s="289">
        <v>700.0</v>
      </c>
      <c r="Y639" s="139"/>
      <c r="Z639" s="2"/>
      <c r="AA639" s="2" t="s">
        <v>7997</v>
      </c>
      <c r="AB639" s="2" t="s">
        <v>7997</v>
      </c>
      <c r="AC639" s="2"/>
      <c r="AD639" s="2" t="s">
        <v>7997</v>
      </c>
      <c r="AE639" s="3" t="s">
        <v>7996</v>
      </c>
      <c r="AF639" s="2"/>
      <c r="AG639" s="1" t="s">
        <v>1582</v>
      </c>
      <c r="AH639" s="1" t="s">
        <v>6002</v>
      </c>
      <c r="AI639" s="2">
        <v>90.0</v>
      </c>
      <c r="AJ639" s="1" t="s">
        <v>1589</v>
      </c>
      <c r="AK639" s="1" t="s">
        <v>5878</v>
      </c>
      <c r="AL639" s="1" t="s">
        <v>5878</v>
      </c>
      <c r="AM639" s="2"/>
      <c r="AN639" s="2"/>
      <c r="AO639" s="2"/>
      <c r="AP639" s="2"/>
      <c r="AQ639" s="2"/>
      <c r="AR639" s="2"/>
      <c r="AS639" s="2"/>
      <c r="AT639" s="2"/>
      <c r="AU639" s="126">
        <v>700.0</v>
      </c>
      <c r="AV639" s="126">
        <v>2100.0</v>
      </c>
      <c r="AW639" s="2"/>
      <c r="AX639" s="2"/>
      <c r="AY639" s="2"/>
      <c r="AZ639" s="2"/>
      <c r="BA639" s="2"/>
      <c r="BB639" s="2"/>
      <c r="BC639" s="2"/>
      <c r="BD639" s="2"/>
      <c r="BE639" s="2"/>
    </row>
    <row r="640" hidden="1">
      <c r="A640" s="2"/>
      <c r="B640" s="335" t="s">
        <v>8000</v>
      </c>
      <c r="C640" s="320" t="s">
        <v>8001</v>
      </c>
      <c r="D640" s="31">
        <v>90.0</v>
      </c>
      <c r="E640" s="31" t="s">
        <v>6628</v>
      </c>
      <c r="F640" s="11" t="s">
        <v>7832</v>
      </c>
      <c r="G640" s="327" t="s">
        <v>8002</v>
      </c>
      <c r="H640" s="322"/>
      <c r="I640" s="328">
        <v>700.0</v>
      </c>
      <c r="J640" s="324"/>
      <c r="K640" s="322"/>
      <c r="L640" s="323"/>
      <c r="M640" s="324">
        <v>700.0</v>
      </c>
      <c r="N640" s="284">
        <v>2.0</v>
      </c>
      <c r="O640" s="322">
        <v>2100.0</v>
      </c>
      <c r="P640" s="104"/>
      <c r="Q640" s="319">
        <f>P639</f>
        <v>2100</v>
      </c>
      <c r="R640" s="329" t="s">
        <v>8003</v>
      </c>
      <c r="S640" s="330">
        <v>46141.46341418981</v>
      </c>
      <c r="T640" s="2"/>
      <c r="U640" s="289">
        <f t="shared" si="353"/>
        <v>1400</v>
      </c>
      <c r="V640" s="304" t="str">
        <f t="shared" si="354"/>
        <v>нет з/ч</v>
      </c>
      <c r="W640" s="2"/>
      <c r="X640" s="289">
        <v>700.0</v>
      </c>
      <c r="Y640" s="139"/>
      <c r="Z640" s="2"/>
      <c r="AA640" s="2" t="s">
        <v>8001</v>
      </c>
      <c r="AB640" s="2" t="s">
        <v>8001</v>
      </c>
      <c r="AC640" s="2"/>
      <c r="AD640" s="2" t="s">
        <v>8001</v>
      </c>
      <c r="AE640" s="3" t="s">
        <v>8000</v>
      </c>
      <c r="AF640" s="2"/>
      <c r="AG640" s="1" t="s">
        <v>1582</v>
      </c>
      <c r="AH640" s="1" t="s">
        <v>6002</v>
      </c>
      <c r="AI640" s="2">
        <v>90.0</v>
      </c>
      <c r="AJ640" s="1" t="s">
        <v>1589</v>
      </c>
      <c r="AK640" s="1" t="s">
        <v>5878</v>
      </c>
      <c r="AL640" s="1" t="s">
        <v>5878</v>
      </c>
      <c r="AM640" s="2"/>
      <c r="AN640" s="2"/>
      <c r="AO640" s="2"/>
      <c r="AP640" s="2"/>
      <c r="AQ640" s="2"/>
      <c r="AR640" s="2"/>
      <c r="AS640" s="2"/>
      <c r="AT640" s="2"/>
      <c r="AU640" s="126">
        <v>700.0</v>
      </c>
      <c r="AV640" s="126">
        <v>2100.0</v>
      </c>
      <c r="AW640" s="2"/>
      <c r="AX640" s="2"/>
      <c r="AY640" s="2"/>
      <c r="AZ640" s="2"/>
      <c r="BA640" s="2"/>
      <c r="BB640" s="2"/>
      <c r="BC640" s="2"/>
      <c r="BD640" s="2"/>
      <c r="BE640" s="2"/>
    </row>
    <row r="641" hidden="1">
      <c r="A641" s="2"/>
      <c r="B641" s="335" t="s">
        <v>8004</v>
      </c>
      <c r="C641" s="320" t="s">
        <v>8005</v>
      </c>
      <c r="D641" s="31">
        <v>90.0</v>
      </c>
      <c r="E641" s="31" t="s">
        <v>6628</v>
      </c>
      <c r="F641" s="11" t="s">
        <v>7832</v>
      </c>
      <c r="G641" s="327" t="s">
        <v>8006</v>
      </c>
      <c r="H641" s="322"/>
      <c r="I641" s="328">
        <v>700.0</v>
      </c>
      <c r="J641" s="324"/>
      <c r="K641" s="322"/>
      <c r="L641" s="323"/>
      <c r="M641" s="324">
        <v>700.0</v>
      </c>
      <c r="N641" s="284">
        <v>2.0</v>
      </c>
      <c r="O641" s="322">
        <v>2100.0</v>
      </c>
      <c r="P641" s="104"/>
      <c r="Q641" s="319">
        <f>P639</f>
        <v>2100</v>
      </c>
      <c r="R641" s="329" t="s">
        <v>8007</v>
      </c>
      <c r="S641" s="330">
        <v>46141.463463402775</v>
      </c>
      <c r="T641" s="2"/>
      <c r="U641" s="289">
        <f t="shared" si="353"/>
        <v>1400</v>
      </c>
      <c r="V641" s="304" t="str">
        <f t="shared" si="354"/>
        <v>нет з/ч</v>
      </c>
      <c r="W641" s="2"/>
      <c r="X641" s="289">
        <v>700.0</v>
      </c>
      <c r="Y641" s="139"/>
      <c r="Z641" s="2"/>
      <c r="AA641" s="2" t="s">
        <v>8005</v>
      </c>
      <c r="AB641" s="2" t="s">
        <v>8005</v>
      </c>
      <c r="AC641" s="2"/>
      <c r="AD641" s="2" t="s">
        <v>8005</v>
      </c>
      <c r="AE641" s="3" t="s">
        <v>8004</v>
      </c>
      <c r="AF641" s="2"/>
      <c r="AG641" s="1" t="s">
        <v>1582</v>
      </c>
      <c r="AH641" s="1" t="s">
        <v>6002</v>
      </c>
      <c r="AI641" s="2">
        <v>90.0</v>
      </c>
      <c r="AJ641" s="1" t="s">
        <v>1589</v>
      </c>
      <c r="AK641" s="1" t="s">
        <v>5878</v>
      </c>
      <c r="AL641" s="1" t="s">
        <v>5878</v>
      </c>
      <c r="AM641" s="2"/>
      <c r="AN641" s="2"/>
      <c r="AO641" s="2"/>
      <c r="AP641" s="2"/>
      <c r="AQ641" s="2"/>
      <c r="AR641" s="2"/>
      <c r="AS641" s="2"/>
      <c r="AT641" s="2"/>
      <c r="AU641" s="126">
        <v>700.0</v>
      </c>
      <c r="AV641" s="126">
        <v>2100.0</v>
      </c>
      <c r="AW641" s="2"/>
      <c r="AX641" s="2"/>
      <c r="AY641" s="2"/>
      <c r="AZ641" s="2"/>
      <c r="BA641" s="2"/>
      <c r="BB641" s="2"/>
      <c r="BC641" s="2"/>
      <c r="BD641" s="2"/>
      <c r="BE641" s="2"/>
    </row>
    <row r="642" hidden="1">
      <c r="A642" s="2"/>
      <c r="B642" s="335" t="s">
        <v>8008</v>
      </c>
      <c r="C642" s="93"/>
      <c r="D642" s="31">
        <v>90.0</v>
      </c>
      <c r="E642" s="31" t="s">
        <v>6628</v>
      </c>
      <c r="F642" s="11" t="s">
        <v>7832</v>
      </c>
      <c r="G642" s="321"/>
      <c r="H642" s="322"/>
      <c r="I642" s="323"/>
      <c r="J642" s="324"/>
      <c r="K642" s="322"/>
      <c r="L642" s="323"/>
      <c r="M642" s="324" t="s">
        <v>22</v>
      </c>
      <c r="N642" s="284">
        <v>2.0</v>
      </c>
      <c r="O642" s="322" t="s">
        <v>22</v>
      </c>
      <c r="P642" s="104"/>
      <c r="Q642" s="319">
        <f>P639</f>
        <v>2100</v>
      </c>
      <c r="R642" s="331"/>
      <c r="S642" s="326"/>
      <c r="T642" s="2"/>
      <c r="U642" s="59" t="str">
        <f t="shared" si="353"/>
        <v>нет з/ч</v>
      </c>
      <c r="V642" s="304" t="str">
        <f t="shared" si="354"/>
        <v>нет з/ч</v>
      </c>
      <c r="W642" s="2"/>
      <c r="X642" s="289"/>
      <c r="Y642" s="139"/>
      <c r="Z642" s="2"/>
      <c r="AA642" s="2"/>
      <c r="AB642" s="2"/>
      <c r="AC642" s="2"/>
      <c r="AD642" s="2"/>
      <c r="AE642" s="3" t="s">
        <v>8008</v>
      </c>
      <c r="AF642" s="2"/>
      <c r="AG642" s="1" t="s">
        <v>1582</v>
      </c>
      <c r="AH642" s="1" t="s">
        <v>6002</v>
      </c>
      <c r="AI642" s="2">
        <v>90.0</v>
      </c>
      <c r="AJ642" s="1" t="s">
        <v>1589</v>
      </c>
      <c r="AK642" s="1" t="s">
        <v>5878</v>
      </c>
      <c r="AL642" s="1" t="s">
        <v>5878</v>
      </c>
      <c r="AM642" s="2"/>
      <c r="AN642" s="2"/>
      <c r="AO642" s="2"/>
      <c r="AP642" s="2"/>
      <c r="AQ642" s="2"/>
      <c r="AR642" s="2"/>
      <c r="AS642" s="2"/>
      <c r="AT642" s="2"/>
      <c r="AU642" s="126" t="s">
        <v>22</v>
      </c>
      <c r="AV642" s="126">
        <v>2100.0</v>
      </c>
      <c r="AW642" s="2"/>
      <c r="AX642" s="2"/>
      <c r="AY642" s="2"/>
      <c r="AZ642" s="2"/>
      <c r="BA642" s="2"/>
      <c r="BB642" s="2"/>
      <c r="BC642" s="2"/>
      <c r="BD642" s="2"/>
      <c r="BE642" s="2"/>
    </row>
    <row r="643" hidden="1">
      <c r="A643" s="2"/>
      <c r="B643" s="335" t="s">
        <v>8009</v>
      </c>
      <c r="C643" s="93"/>
      <c r="D643" s="31">
        <v>90.0</v>
      </c>
      <c r="E643" s="31" t="s">
        <v>201</v>
      </c>
      <c r="F643" s="11" t="s">
        <v>7832</v>
      </c>
      <c r="G643" s="327" t="s">
        <v>8010</v>
      </c>
      <c r="H643" s="322"/>
      <c r="I643" s="328">
        <v>700.0</v>
      </c>
      <c r="J643" s="324"/>
      <c r="K643" s="322"/>
      <c r="L643" s="323"/>
      <c r="M643" s="324">
        <v>700.0</v>
      </c>
      <c r="N643" s="284">
        <v>2.0</v>
      </c>
      <c r="O643" s="322">
        <v>2100.0</v>
      </c>
      <c r="P643" s="104"/>
      <c r="Q643" s="319">
        <f>P639</f>
        <v>2100</v>
      </c>
      <c r="R643" s="329" t="s">
        <v>8011</v>
      </c>
      <c r="S643" s="330">
        <v>46141.46351636574</v>
      </c>
      <c r="T643" s="2"/>
      <c r="U643" s="289">
        <f t="shared" si="353"/>
        <v>1400</v>
      </c>
      <c r="V643" s="304" t="str">
        <f t="shared" si="354"/>
        <v>нет з/ч</v>
      </c>
      <c r="W643" s="2"/>
      <c r="X643" s="289">
        <v>700.0</v>
      </c>
      <c r="Y643" s="139"/>
      <c r="Z643" s="2"/>
      <c r="AA643" s="2"/>
      <c r="AB643" s="2"/>
      <c r="AC643" s="2"/>
      <c r="AD643" s="2"/>
      <c r="AE643" s="3" t="s">
        <v>8009</v>
      </c>
      <c r="AF643" s="2"/>
      <c r="AG643" s="1" t="s">
        <v>1582</v>
      </c>
      <c r="AH643" s="1" t="s">
        <v>6002</v>
      </c>
      <c r="AI643" s="2">
        <v>90.0</v>
      </c>
      <c r="AJ643" s="1" t="s">
        <v>1589</v>
      </c>
      <c r="AK643" s="1" t="s">
        <v>5878</v>
      </c>
      <c r="AL643" s="1" t="s">
        <v>5878</v>
      </c>
      <c r="AM643" s="2"/>
      <c r="AN643" s="2"/>
      <c r="AO643" s="2"/>
      <c r="AP643" s="2"/>
      <c r="AQ643" s="2"/>
      <c r="AR643" s="2"/>
      <c r="AS643" s="2"/>
      <c r="AT643" s="2"/>
      <c r="AU643" s="126">
        <v>700.0</v>
      </c>
      <c r="AV643" s="126">
        <v>2100.0</v>
      </c>
      <c r="AW643" s="2"/>
      <c r="AX643" s="2"/>
      <c r="AY643" s="2"/>
      <c r="AZ643" s="2"/>
      <c r="BA643" s="2"/>
      <c r="BB643" s="2"/>
      <c r="BC643" s="2"/>
      <c r="BD643" s="2"/>
      <c r="BE643" s="2"/>
    </row>
    <row r="644" hidden="1">
      <c r="A644" s="2"/>
      <c r="B644" s="335" t="s">
        <v>8012</v>
      </c>
      <c r="C644" s="93"/>
      <c r="D644" s="31">
        <v>90.0</v>
      </c>
      <c r="E644" s="31" t="s">
        <v>201</v>
      </c>
      <c r="F644" s="11" t="s">
        <v>7832</v>
      </c>
      <c r="G644" s="321"/>
      <c r="H644" s="322"/>
      <c r="I644" s="323"/>
      <c r="J644" s="324"/>
      <c r="K644" s="322"/>
      <c r="L644" s="323"/>
      <c r="M644" s="324" t="s">
        <v>22</v>
      </c>
      <c r="N644" s="284">
        <v>2.0</v>
      </c>
      <c r="O644" s="322" t="s">
        <v>22</v>
      </c>
      <c r="P644" s="104"/>
      <c r="Q644" s="319">
        <f>P639</f>
        <v>2100</v>
      </c>
      <c r="R644" s="331"/>
      <c r="S644" s="326"/>
      <c r="T644" s="2"/>
      <c r="U644" s="59" t="str">
        <f t="shared" si="353"/>
        <v>нет з/ч</v>
      </c>
      <c r="V644" s="304" t="str">
        <f t="shared" si="354"/>
        <v>нет з/ч</v>
      </c>
      <c r="W644" s="2"/>
      <c r="X644" s="289"/>
      <c r="Y644" s="139"/>
      <c r="Z644" s="2"/>
      <c r="AA644" s="2"/>
      <c r="AB644" s="2"/>
      <c r="AC644" s="2"/>
      <c r="AD644" s="2"/>
      <c r="AE644" s="3" t="s">
        <v>8012</v>
      </c>
      <c r="AF644" s="2"/>
      <c r="AG644" s="1" t="s">
        <v>1582</v>
      </c>
      <c r="AH644" s="1" t="s">
        <v>6002</v>
      </c>
      <c r="AI644" s="2">
        <v>90.0</v>
      </c>
      <c r="AJ644" s="1" t="s">
        <v>1589</v>
      </c>
      <c r="AK644" s="1" t="s">
        <v>5878</v>
      </c>
      <c r="AL644" s="1" t="s">
        <v>5878</v>
      </c>
      <c r="AM644" s="2"/>
      <c r="AN644" s="2"/>
      <c r="AO644" s="2"/>
      <c r="AP644" s="2"/>
      <c r="AQ644" s="2"/>
      <c r="AR644" s="2"/>
      <c r="AS644" s="2"/>
      <c r="AT644" s="2"/>
      <c r="AU644" s="126" t="s">
        <v>22</v>
      </c>
      <c r="AV644" s="126">
        <v>2100.0</v>
      </c>
      <c r="AW644" s="2"/>
      <c r="AX644" s="2"/>
      <c r="AY644" s="2"/>
      <c r="AZ644" s="2"/>
      <c r="BA644" s="2"/>
      <c r="BB644" s="2"/>
      <c r="BC644" s="2"/>
      <c r="BD644" s="2"/>
      <c r="BE644" s="2"/>
    </row>
    <row r="645" hidden="1">
      <c r="A645" s="2"/>
      <c r="B645" s="335" t="s">
        <v>8013</v>
      </c>
      <c r="C645" s="93"/>
      <c r="D645" s="31">
        <v>90.0</v>
      </c>
      <c r="E645" s="31" t="s">
        <v>220</v>
      </c>
      <c r="F645" s="11" t="s">
        <v>7832</v>
      </c>
      <c r="G645" s="327" t="s">
        <v>8014</v>
      </c>
      <c r="H645" s="322"/>
      <c r="I645" s="328">
        <v>700.0</v>
      </c>
      <c r="J645" s="324"/>
      <c r="K645" s="322"/>
      <c r="L645" s="323"/>
      <c r="M645" s="324">
        <v>700.0</v>
      </c>
      <c r="N645" s="284">
        <v>2.0</v>
      </c>
      <c r="O645" s="322">
        <v>2100.0</v>
      </c>
      <c r="P645" s="67"/>
      <c r="Q645" s="319">
        <f>P639</f>
        <v>2100</v>
      </c>
      <c r="R645" s="329" t="s">
        <v>8015</v>
      </c>
      <c r="S645" s="330">
        <v>46141.463566597224</v>
      </c>
      <c r="T645" s="2"/>
      <c r="U645" s="289">
        <f t="shared" si="353"/>
        <v>1400</v>
      </c>
      <c r="V645" s="304" t="str">
        <f t="shared" si="354"/>
        <v>нет з/ч</v>
      </c>
      <c r="W645" s="2"/>
      <c r="X645" s="289">
        <v>700.0</v>
      </c>
      <c r="Y645" s="139"/>
      <c r="Z645" s="2"/>
      <c r="AA645" s="2"/>
      <c r="AB645" s="2"/>
      <c r="AC645" s="2"/>
      <c r="AD645" s="2"/>
      <c r="AE645" s="3" t="s">
        <v>8013</v>
      </c>
      <c r="AF645" s="2"/>
      <c r="AG645" s="1" t="s">
        <v>1582</v>
      </c>
      <c r="AH645" s="1" t="s">
        <v>7161</v>
      </c>
      <c r="AI645" s="2">
        <v>90.0</v>
      </c>
      <c r="AJ645" s="1" t="s">
        <v>1589</v>
      </c>
      <c r="AK645" s="1" t="s">
        <v>5878</v>
      </c>
      <c r="AL645" s="1" t="s">
        <v>5878</v>
      </c>
      <c r="AM645" s="2"/>
      <c r="AN645" s="2"/>
      <c r="AO645" s="2"/>
      <c r="AP645" s="2"/>
      <c r="AQ645" s="2"/>
      <c r="AR645" s="2"/>
      <c r="AS645" s="2"/>
      <c r="AT645" s="2"/>
      <c r="AU645" s="126">
        <v>700.0</v>
      </c>
      <c r="AV645" s="126">
        <v>2100.0</v>
      </c>
      <c r="AW645" s="2"/>
      <c r="AX645" s="2"/>
      <c r="AY645" s="2"/>
      <c r="AZ645" s="2"/>
      <c r="BA645" s="2"/>
      <c r="BB645" s="2"/>
      <c r="BC645" s="2"/>
      <c r="BD645" s="2"/>
      <c r="BE645" s="2"/>
    </row>
    <row r="646" hidden="1">
      <c r="A646" s="2"/>
      <c r="B646" s="335" t="s">
        <v>8016</v>
      </c>
      <c r="C646" s="320" t="s">
        <v>8017</v>
      </c>
      <c r="D646" s="31">
        <v>90.0</v>
      </c>
      <c r="E646" s="31" t="s">
        <v>212</v>
      </c>
      <c r="F646" s="11" t="s">
        <v>7832</v>
      </c>
      <c r="G646" s="327" t="s">
        <v>8018</v>
      </c>
      <c r="H646" s="322"/>
      <c r="I646" s="328">
        <v>690.0</v>
      </c>
      <c r="J646" s="324"/>
      <c r="K646" s="322"/>
      <c r="L646" s="323"/>
      <c r="M646" s="324">
        <v>690.0</v>
      </c>
      <c r="N646" s="284">
        <v>1.3</v>
      </c>
      <c r="O646" s="322">
        <v>1600.0</v>
      </c>
      <c r="P646" s="313">
        <f>MAX(O646:O651)</f>
        <v>1600</v>
      </c>
      <c r="Q646" s="319">
        <f>P646</f>
        <v>1600</v>
      </c>
      <c r="R646" s="329" t="s">
        <v>8019</v>
      </c>
      <c r="S646" s="330">
        <v>46141.463626944445</v>
      </c>
      <c r="T646" s="2"/>
      <c r="U646" s="289">
        <f t="shared" si="353"/>
        <v>910</v>
      </c>
      <c r="V646" s="304" t="str">
        <f t="shared" si="354"/>
        <v>нет з/ч</v>
      </c>
      <c r="W646" s="2"/>
      <c r="X646" s="289">
        <v>690.0</v>
      </c>
      <c r="Y646" s="139"/>
      <c r="Z646" s="2"/>
      <c r="AA646" s="2" t="s">
        <v>8017</v>
      </c>
      <c r="AB646" s="2" t="s">
        <v>8017</v>
      </c>
      <c r="AC646" s="2"/>
      <c r="AD646" s="2" t="s">
        <v>8017</v>
      </c>
      <c r="AE646" s="3" t="s">
        <v>8016</v>
      </c>
      <c r="AF646" s="2"/>
      <c r="AG646" s="1" t="s">
        <v>1582</v>
      </c>
      <c r="AH646" s="1" t="s">
        <v>6026</v>
      </c>
      <c r="AI646" s="2">
        <v>90.0</v>
      </c>
      <c r="AJ646" s="1" t="s">
        <v>1589</v>
      </c>
      <c r="AK646" s="1" t="s">
        <v>5878</v>
      </c>
      <c r="AL646" s="1" t="s">
        <v>5878</v>
      </c>
      <c r="AM646" s="2"/>
      <c r="AN646" s="2"/>
      <c r="AO646" s="2"/>
      <c r="AP646" s="2"/>
      <c r="AQ646" s="2"/>
      <c r="AR646" s="2"/>
      <c r="AS646" s="2"/>
      <c r="AT646" s="2"/>
      <c r="AU646" s="126">
        <v>690.0</v>
      </c>
      <c r="AV646" s="126">
        <v>1600.0</v>
      </c>
      <c r="AW646" s="2"/>
      <c r="AX646" s="2"/>
      <c r="AY646" s="2"/>
      <c r="AZ646" s="2"/>
      <c r="BA646" s="2"/>
      <c r="BB646" s="2"/>
      <c r="BC646" s="2"/>
      <c r="BD646" s="2"/>
      <c r="BE646" s="2"/>
    </row>
    <row r="647" hidden="1">
      <c r="A647" s="2"/>
      <c r="B647" s="335" t="s">
        <v>8020</v>
      </c>
      <c r="C647" s="93"/>
      <c r="D647" s="31">
        <v>90.0</v>
      </c>
      <c r="E647" s="31" t="s">
        <v>212</v>
      </c>
      <c r="F647" s="11" t="s">
        <v>7832</v>
      </c>
      <c r="G647" s="321"/>
      <c r="H647" s="322"/>
      <c r="I647" s="323"/>
      <c r="J647" s="324"/>
      <c r="K647" s="322"/>
      <c r="L647" s="323"/>
      <c r="M647" s="324" t="s">
        <v>22</v>
      </c>
      <c r="N647" s="284">
        <v>1.3</v>
      </c>
      <c r="O647" s="322" t="s">
        <v>22</v>
      </c>
      <c r="P647" s="104"/>
      <c r="Q647" s="319">
        <f>P646</f>
        <v>1600</v>
      </c>
      <c r="R647" s="331"/>
      <c r="S647" s="326"/>
      <c r="T647" s="2"/>
      <c r="U647" s="59" t="str">
        <f t="shared" si="353"/>
        <v>нет з/ч</v>
      </c>
      <c r="V647" s="304" t="str">
        <f t="shared" si="354"/>
        <v>нет з/ч</v>
      </c>
      <c r="W647" s="2"/>
      <c r="X647" s="289"/>
      <c r="Y647" s="139"/>
      <c r="Z647" s="2"/>
      <c r="AA647" s="2"/>
      <c r="AB647" s="2"/>
      <c r="AC647" s="2"/>
      <c r="AD647" s="2"/>
      <c r="AE647" s="3" t="s">
        <v>8020</v>
      </c>
      <c r="AF647" s="2"/>
      <c r="AG647" s="1" t="s">
        <v>1582</v>
      </c>
      <c r="AH647" s="1" t="s">
        <v>6026</v>
      </c>
      <c r="AI647" s="2">
        <v>90.0</v>
      </c>
      <c r="AJ647" s="1" t="s">
        <v>1589</v>
      </c>
      <c r="AK647" s="1" t="s">
        <v>5878</v>
      </c>
      <c r="AL647" s="1" t="s">
        <v>5878</v>
      </c>
      <c r="AM647" s="2"/>
      <c r="AN647" s="2"/>
      <c r="AO647" s="2"/>
      <c r="AP647" s="2"/>
      <c r="AQ647" s="2"/>
      <c r="AR647" s="2"/>
      <c r="AS647" s="2"/>
      <c r="AT647" s="2"/>
      <c r="AU647" s="126" t="s">
        <v>22</v>
      </c>
      <c r="AV647" s="126">
        <v>1600.0</v>
      </c>
      <c r="AW647" s="2"/>
      <c r="AX647" s="2"/>
      <c r="AY647" s="2"/>
      <c r="AZ647" s="2"/>
      <c r="BA647" s="2"/>
      <c r="BB647" s="2"/>
      <c r="BC647" s="2"/>
      <c r="BD647" s="2"/>
      <c r="BE647" s="2"/>
    </row>
    <row r="648" hidden="1">
      <c r="A648" s="2"/>
      <c r="B648" s="335" t="s">
        <v>8021</v>
      </c>
      <c r="C648" s="93"/>
      <c r="D648" s="31">
        <v>90.0</v>
      </c>
      <c r="E648" s="31" t="s">
        <v>212</v>
      </c>
      <c r="F648" s="11" t="s">
        <v>7832</v>
      </c>
      <c r="G648" s="321"/>
      <c r="H648" s="322"/>
      <c r="I648" s="323"/>
      <c r="J648" s="324"/>
      <c r="K648" s="322"/>
      <c r="L648" s="323"/>
      <c r="M648" s="324" t="s">
        <v>22</v>
      </c>
      <c r="N648" s="284">
        <v>1.3</v>
      </c>
      <c r="O648" s="322" t="s">
        <v>22</v>
      </c>
      <c r="P648" s="104"/>
      <c r="Q648" s="319">
        <f>P646</f>
        <v>1600</v>
      </c>
      <c r="R648" s="331"/>
      <c r="S648" s="326"/>
      <c r="T648" s="2"/>
      <c r="U648" s="59" t="str">
        <f t="shared" si="353"/>
        <v>нет з/ч</v>
      </c>
      <c r="V648" s="304" t="str">
        <f t="shared" si="354"/>
        <v>нет з/ч</v>
      </c>
      <c r="W648" s="2"/>
      <c r="X648" s="289"/>
      <c r="Y648" s="139"/>
      <c r="Z648" s="2"/>
      <c r="AA648" s="2"/>
      <c r="AB648" s="2"/>
      <c r="AC648" s="2"/>
      <c r="AD648" s="2"/>
      <c r="AE648" s="3" t="s">
        <v>8021</v>
      </c>
      <c r="AF648" s="2"/>
      <c r="AG648" s="1" t="s">
        <v>1582</v>
      </c>
      <c r="AH648" s="1" t="s">
        <v>6026</v>
      </c>
      <c r="AI648" s="2">
        <v>90.0</v>
      </c>
      <c r="AJ648" s="1" t="s">
        <v>1589</v>
      </c>
      <c r="AK648" s="1" t="s">
        <v>5878</v>
      </c>
      <c r="AL648" s="1" t="s">
        <v>5878</v>
      </c>
      <c r="AM648" s="2"/>
      <c r="AN648" s="2"/>
      <c r="AO648" s="2"/>
      <c r="AP648" s="2"/>
      <c r="AQ648" s="2"/>
      <c r="AR648" s="2"/>
      <c r="AS648" s="2"/>
      <c r="AT648" s="2"/>
      <c r="AU648" s="126" t="s">
        <v>22</v>
      </c>
      <c r="AV648" s="126">
        <v>1600.0</v>
      </c>
      <c r="AW648" s="2"/>
      <c r="AX648" s="2"/>
      <c r="AY648" s="2"/>
      <c r="AZ648" s="2"/>
      <c r="BA648" s="2"/>
      <c r="BB648" s="2"/>
      <c r="BC648" s="2"/>
      <c r="BD648" s="2"/>
      <c r="BE648" s="2"/>
    </row>
    <row r="649" hidden="1">
      <c r="A649" s="2"/>
      <c r="B649" s="335" t="s">
        <v>8022</v>
      </c>
      <c r="C649" s="93"/>
      <c r="D649" s="31">
        <v>90.0</v>
      </c>
      <c r="E649" s="31" t="s">
        <v>212</v>
      </c>
      <c r="F649" s="11" t="s">
        <v>7832</v>
      </c>
      <c r="G649" s="321"/>
      <c r="H649" s="322"/>
      <c r="I649" s="323"/>
      <c r="J649" s="324"/>
      <c r="K649" s="322"/>
      <c r="L649" s="323"/>
      <c r="M649" s="324" t="s">
        <v>22</v>
      </c>
      <c r="N649" s="284">
        <v>1.3</v>
      </c>
      <c r="O649" s="322" t="s">
        <v>22</v>
      </c>
      <c r="P649" s="104"/>
      <c r="Q649" s="319">
        <f>P646</f>
        <v>1600</v>
      </c>
      <c r="R649" s="331"/>
      <c r="S649" s="326"/>
      <c r="T649" s="2"/>
      <c r="U649" s="59" t="str">
        <f t="shared" si="353"/>
        <v>нет з/ч</v>
      </c>
      <c r="V649" s="304" t="str">
        <f t="shared" si="354"/>
        <v>нет з/ч</v>
      </c>
      <c r="W649" s="2"/>
      <c r="X649" s="289"/>
      <c r="Y649" s="139"/>
      <c r="Z649" s="2"/>
      <c r="AA649" s="2"/>
      <c r="AB649" s="2"/>
      <c r="AC649" s="2"/>
      <c r="AD649" s="2"/>
      <c r="AE649" s="3" t="s">
        <v>8022</v>
      </c>
      <c r="AF649" s="2"/>
      <c r="AG649" s="1" t="s">
        <v>1582</v>
      </c>
      <c r="AH649" s="1" t="s">
        <v>6026</v>
      </c>
      <c r="AI649" s="2">
        <v>90.0</v>
      </c>
      <c r="AJ649" s="1" t="s">
        <v>1589</v>
      </c>
      <c r="AK649" s="1" t="s">
        <v>5878</v>
      </c>
      <c r="AL649" s="1" t="s">
        <v>5878</v>
      </c>
      <c r="AM649" s="2"/>
      <c r="AN649" s="2"/>
      <c r="AO649" s="2"/>
      <c r="AP649" s="2"/>
      <c r="AQ649" s="2"/>
      <c r="AR649" s="2"/>
      <c r="AS649" s="2"/>
      <c r="AT649" s="2"/>
      <c r="AU649" s="126" t="s">
        <v>22</v>
      </c>
      <c r="AV649" s="126">
        <v>1600.0</v>
      </c>
      <c r="AW649" s="2"/>
      <c r="AX649" s="2"/>
      <c r="AY649" s="2"/>
      <c r="AZ649" s="2"/>
      <c r="BA649" s="2"/>
      <c r="BB649" s="2"/>
      <c r="BC649" s="2"/>
      <c r="BD649" s="2"/>
      <c r="BE649" s="2"/>
    </row>
    <row r="650" hidden="1">
      <c r="A650" s="2"/>
      <c r="B650" s="335" t="s">
        <v>8023</v>
      </c>
      <c r="C650" s="93"/>
      <c r="D650" s="31">
        <v>90.0</v>
      </c>
      <c r="E650" s="31" t="s">
        <v>212</v>
      </c>
      <c r="F650" s="11" t="s">
        <v>7832</v>
      </c>
      <c r="G650" s="321"/>
      <c r="H650" s="322"/>
      <c r="I650" s="323"/>
      <c r="J650" s="324"/>
      <c r="K650" s="322"/>
      <c r="L650" s="323"/>
      <c r="M650" s="324" t="s">
        <v>22</v>
      </c>
      <c r="N650" s="284">
        <v>1.3</v>
      </c>
      <c r="O650" s="322" t="s">
        <v>22</v>
      </c>
      <c r="P650" s="104"/>
      <c r="Q650" s="319">
        <f>P646</f>
        <v>1600</v>
      </c>
      <c r="R650" s="331"/>
      <c r="S650" s="326"/>
      <c r="T650" s="2"/>
      <c r="U650" s="59" t="str">
        <f t="shared" si="353"/>
        <v>нет з/ч</v>
      </c>
      <c r="V650" s="304" t="str">
        <f t="shared" si="354"/>
        <v>нет з/ч</v>
      </c>
      <c r="W650" s="2"/>
      <c r="X650" s="289"/>
      <c r="Y650" s="139"/>
      <c r="Z650" s="2"/>
      <c r="AA650" s="2"/>
      <c r="AB650" s="2"/>
      <c r="AC650" s="2"/>
      <c r="AD650" s="2"/>
      <c r="AE650" s="3" t="s">
        <v>8023</v>
      </c>
      <c r="AF650" s="2"/>
      <c r="AG650" s="1" t="s">
        <v>1582</v>
      </c>
      <c r="AH650" s="1" t="s">
        <v>6026</v>
      </c>
      <c r="AI650" s="2">
        <v>90.0</v>
      </c>
      <c r="AJ650" s="1" t="s">
        <v>1589</v>
      </c>
      <c r="AK650" s="1" t="s">
        <v>5878</v>
      </c>
      <c r="AL650" s="1" t="s">
        <v>5878</v>
      </c>
      <c r="AM650" s="2"/>
      <c r="AN650" s="2"/>
      <c r="AO650" s="2"/>
      <c r="AP650" s="2"/>
      <c r="AQ650" s="2"/>
      <c r="AR650" s="2"/>
      <c r="AS650" s="2"/>
      <c r="AT650" s="2"/>
      <c r="AU650" s="126" t="s">
        <v>22</v>
      </c>
      <c r="AV650" s="126">
        <v>1600.0</v>
      </c>
      <c r="AW650" s="2"/>
      <c r="AX650" s="2"/>
      <c r="AY650" s="2"/>
      <c r="AZ650" s="2"/>
      <c r="BA650" s="2"/>
      <c r="BB650" s="2"/>
      <c r="BC650" s="2"/>
      <c r="BD650" s="2"/>
      <c r="BE650" s="2"/>
    </row>
    <row r="651" hidden="1">
      <c r="A651" s="2"/>
      <c r="B651" s="335" t="s">
        <v>8024</v>
      </c>
      <c r="C651" s="93"/>
      <c r="D651" s="31">
        <v>90.0</v>
      </c>
      <c r="E651" s="31" t="s">
        <v>212</v>
      </c>
      <c r="F651" s="11" t="s">
        <v>7832</v>
      </c>
      <c r="G651" s="321"/>
      <c r="H651" s="322"/>
      <c r="I651" s="323"/>
      <c r="J651" s="324"/>
      <c r="K651" s="322"/>
      <c r="L651" s="323"/>
      <c r="M651" s="324" t="s">
        <v>22</v>
      </c>
      <c r="N651" s="284">
        <v>1.3</v>
      </c>
      <c r="O651" s="322" t="s">
        <v>22</v>
      </c>
      <c r="P651" s="67"/>
      <c r="Q651" s="319">
        <f>P646</f>
        <v>1600</v>
      </c>
      <c r="R651" s="331"/>
      <c r="S651" s="326"/>
      <c r="T651" s="2"/>
      <c r="U651" s="59" t="str">
        <f t="shared" si="353"/>
        <v>нет з/ч</v>
      </c>
      <c r="V651" s="304" t="str">
        <f t="shared" si="354"/>
        <v>нет з/ч</v>
      </c>
      <c r="W651" s="2"/>
      <c r="X651" s="289"/>
      <c r="Y651" s="139"/>
      <c r="Z651" s="2"/>
      <c r="AA651" s="2"/>
      <c r="AB651" s="2"/>
      <c r="AC651" s="2"/>
      <c r="AD651" s="2"/>
      <c r="AE651" s="3" t="s">
        <v>8024</v>
      </c>
      <c r="AF651" s="2"/>
      <c r="AG651" s="1" t="s">
        <v>1582</v>
      </c>
      <c r="AH651" s="1" t="s">
        <v>6026</v>
      </c>
      <c r="AI651" s="2">
        <v>90.0</v>
      </c>
      <c r="AJ651" s="1" t="s">
        <v>1589</v>
      </c>
      <c r="AK651" s="1" t="s">
        <v>5878</v>
      </c>
      <c r="AL651" s="1" t="s">
        <v>5878</v>
      </c>
      <c r="AM651" s="2"/>
      <c r="AN651" s="2"/>
      <c r="AO651" s="2"/>
      <c r="AP651" s="2"/>
      <c r="AQ651" s="2"/>
      <c r="AR651" s="2"/>
      <c r="AS651" s="2"/>
      <c r="AT651" s="2"/>
      <c r="AU651" s="126" t="s">
        <v>22</v>
      </c>
      <c r="AV651" s="126">
        <v>1600.0</v>
      </c>
      <c r="AW651" s="2"/>
      <c r="AX651" s="2"/>
      <c r="AY651" s="2"/>
      <c r="AZ651" s="2"/>
      <c r="BA651" s="2"/>
      <c r="BB651" s="2"/>
      <c r="BC651" s="2"/>
      <c r="BD651" s="2"/>
      <c r="BE651" s="2"/>
    </row>
    <row r="652" hidden="1">
      <c r="A652" s="2"/>
      <c r="B652" s="335" t="s">
        <v>8025</v>
      </c>
      <c r="C652" s="320" t="s">
        <v>8026</v>
      </c>
      <c r="D652" s="31">
        <v>90.0</v>
      </c>
      <c r="E652" s="31" t="s">
        <v>228</v>
      </c>
      <c r="F652" s="11" t="s">
        <v>7832</v>
      </c>
      <c r="G652" s="327" t="s">
        <v>8027</v>
      </c>
      <c r="H652" s="322"/>
      <c r="I652" s="328">
        <v>1400.0</v>
      </c>
      <c r="J652" s="324"/>
      <c r="K652" s="322"/>
      <c r="L652" s="323"/>
      <c r="M652" s="324">
        <v>1400.0</v>
      </c>
      <c r="N652" s="284">
        <v>0.85</v>
      </c>
      <c r="O652" s="322">
        <v>2600.0</v>
      </c>
      <c r="P652" s="313">
        <f>MAX(O652:O655)</f>
        <v>2600</v>
      </c>
      <c r="Q652" s="319">
        <f>P652</f>
        <v>2600</v>
      </c>
      <c r="R652" s="329" t="s">
        <v>8028</v>
      </c>
      <c r="S652" s="330">
        <v>46141.4636783912</v>
      </c>
      <c r="T652" s="2"/>
      <c r="U652" s="289">
        <f t="shared" si="353"/>
        <v>1200</v>
      </c>
      <c r="V652" s="304" t="str">
        <f t="shared" si="354"/>
        <v>нет з/ч</v>
      </c>
      <c r="W652" s="2"/>
      <c r="X652" s="289">
        <v>1400.0</v>
      </c>
      <c r="Y652" s="139"/>
      <c r="Z652" s="2"/>
      <c r="AA652" s="2" t="s">
        <v>8026</v>
      </c>
      <c r="AB652" s="2" t="s">
        <v>8026</v>
      </c>
      <c r="AC652" s="2"/>
      <c r="AD652" s="2" t="s">
        <v>8026</v>
      </c>
      <c r="AE652" s="3" t="s">
        <v>8025</v>
      </c>
      <c r="AF652" s="2"/>
      <c r="AG652" s="1" t="s">
        <v>1582</v>
      </c>
      <c r="AH652" s="1" t="s">
        <v>6045</v>
      </c>
      <c r="AI652" s="2">
        <v>90.0</v>
      </c>
      <c r="AJ652" s="1" t="s">
        <v>1589</v>
      </c>
      <c r="AK652" s="1" t="s">
        <v>5878</v>
      </c>
      <c r="AL652" s="1" t="s">
        <v>5878</v>
      </c>
      <c r="AM652" s="2"/>
      <c r="AN652" s="2"/>
      <c r="AO652" s="2"/>
      <c r="AP652" s="2"/>
      <c r="AQ652" s="2"/>
      <c r="AR652" s="2"/>
      <c r="AS652" s="2"/>
      <c r="AT652" s="2"/>
      <c r="AU652" s="126">
        <v>1400.0</v>
      </c>
      <c r="AV652" s="126">
        <v>2600.0</v>
      </c>
      <c r="AW652" s="2"/>
      <c r="AX652" s="2"/>
      <c r="AY652" s="2"/>
      <c r="AZ652" s="2"/>
      <c r="BA652" s="2"/>
      <c r="BB652" s="2"/>
      <c r="BC652" s="2"/>
      <c r="BD652" s="2"/>
      <c r="BE652" s="2"/>
    </row>
    <row r="653" hidden="1">
      <c r="A653" s="2"/>
      <c r="B653" s="335" t="s">
        <v>8029</v>
      </c>
      <c r="C653" s="93"/>
      <c r="D653" s="31">
        <v>90.0</v>
      </c>
      <c r="E653" s="31" t="s">
        <v>228</v>
      </c>
      <c r="F653" s="11" t="s">
        <v>7832</v>
      </c>
      <c r="G653" s="327" t="s">
        <v>8030</v>
      </c>
      <c r="H653" s="322"/>
      <c r="I653" s="328">
        <v>1400.0</v>
      </c>
      <c r="J653" s="324"/>
      <c r="K653" s="322"/>
      <c r="L653" s="323"/>
      <c r="M653" s="324">
        <v>1400.0</v>
      </c>
      <c r="N653" s="284">
        <v>0.85</v>
      </c>
      <c r="O653" s="322">
        <v>2600.0</v>
      </c>
      <c r="P653" s="104"/>
      <c r="Q653" s="319">
        <f>P652</f>
        <v>2600</v>
      </c>
      <c r="R653" s="329" t="s">
        <v>8031</v>
      </c>
      <c r="S653" s="330">
        <v>46141.46372871527</v>
      </c>
      <c r="T653" s="2"/>
      <c r="U653" s="289">
        <f t="shared" si="353"/>
        <v>1200</v>
      </c>
      <c r="V653" s="304" t="str">
        <f t="shared" si="354"/>
        <v>нет з/ч</v>
      </c>
      <c r="W653" s="2"/>
      <c r="X653" s="289">
        <v>1400.0</v>
      </c>
      <c r="Y653" s="139"/>
      <c r="Z653" s="2"/>
      <c r="AA653" s="2"/>
      <c r="AB653" s="2"/>
      <c r="AC653" s="2"/>
      <c r="AD653" s="2"/>
      <c r="AE653" s="3" t="s">
        <v>8029</v>
      </c>
      <c r="AF653" s="2"/>
      <c r="AG653" s="1" t="s">
        <v>1582</v>
      </c>
      <c r="AH653" s="1" t="s">
        <v>6045</v>
      </c>
      <c r="AI653" s="2">
        <v>90.0</v>
      </c>
      <c r="AJ653" s="1" t="s">
        <v>1589</v>
      </c>
      <c r="AK653" s="1" t="s">
        <v>5878</v>
      </c>
      <c r="AL653" s="1" t="s">
        <v>5878</v>
      </c>
      <c r="AM653" s="2"/>
      <c r="AN653" s="2"/>
      <c r="AO653" s="2"/>
      <c r="AP653" s="2"/>
      <c r="AQ653" s="2"/>
      <c r="AR653" s="2"/>
      <c r="AS653" s="2"/>
      <c r="AT653" s="2"/>
      <c r="AU653" s="126">
        <v>1400.0</v>
      </c>
      <c r="AV653" s="126">
        <v>2600.0</v>
      </c>
      <c r="AW653" s="2"/>
      <c r="AX653" s="2"/>
      <c r="AY653" s="2"/>
      <c r="AZ653" s="2"/>
      <c r="BA653" s="2"/>
      <c r="BB653" s="2"/>
      <c r="BC653" s="2"/>
      <c r="BD653" s="2"/>
      <c r="BE653" s="2"/>
    </row>
    <row r="654" hidden="1">
      <c r="A654" s="2"/>
      <c r="B654" s="335" t="s">
        <v>8032</v>
      </c>
      <c r="C654" s="93"/>
      <c r="D654" s="31">
        <v>90.0</v>
      </c>
      <c r="E654" s="31" t="s">
        <v>228</v>
      </c>
      <c r="F654" s="11" t="s">
        <v>7832</v>
      </c>
      <c r="G654" s="327" t="s">
        <v>8033</v>
      </c>
      <c r="H654" s="322"/>
      <c r="I654" s="328">
        <v>1400.0</v>
      </c>
      <c r="J654" s="324"/>
      <c r="K654" s="322"/>
      <c r="L654" s="323"/>
      <c r="M654" s="324">
        <v>1400.0</v>
      </c>
      <c r="N654" s="284">
        <v>0.85</v>
      </c>
      <c r="O654" s="322">
        <v>2600.0</v>
      </c>
      <c r="P654" s="104"/>
      <c r="Q654" s="319">
        <f>P652</f>
        <v>2600</v>
      </c>
      <c r="R654" s="329" t="s">
        <v>8034</v>
      </c>
      <c r="S654" s="330">
        <v>46141.46377833333</v>
      </c>
      <c r="T654" s="2"/>
      <c r="U654" s="289">
        <f t="shared" si="353"/>
        <v>1200</v>
      </c>
      <c r="V654" s="304" t="str">
        <f t="shared" si="354"/>
        <v>нет з/ч</v>
      </c>
      <c r="W654" s="2"/>
      <c r="X654" s="289">
        <v>1400.0</v>
      </c>
      <c r="Y654" s="139"/>
      <c r="Z654" s="2"/>
      <c r="AA654" s="2"/>
      <c r="AB654" s="2"/>
      <c r="AC654" s="2"/>
      <c r="AD654" s="2"/>
      <c r="AE654" s="3" t="s">
        <v>8032</v>
      </c>
      <c r="AF654" s="2"/>
      <c r="AG654" s="1" t="s">
        <v>1582</v>
      </c>
      <c r="AH654" s="1" t="s">
        <v>6045</v>
      </c>
      <c r="AI654" s="2">
        <v>90.0</v>
      </c>
      <c r="AJ654" s="1" t="s">
        <v>1589</v>
      </c>
      <c r="AK654" s="1" t="s">
        <v>5878</v>
      </c>
      <c r="AL654" s="1" t="s">
        <v>5878</v>
      </c>
      <c r="AM654" s="2"/>
      <c r="AN654" s="2"/>
      <c r="AO654" s="2"/>
      <c r="AP654" s="2"/>
      <c r="AQ654" s="2"/>
      <c r="AR654" s="2"/>
      <c r="AS654" s="2"/>
      <c r="AT654" s="2"/>
      <c r="AU654" s="126">
        <v>1400.0</v>
      </c>
      <c r="AV654" s="126">
        <v>2600.0</v>
      </c>
      <c r="AW654" s="2"/>
      <c r="AX654" s="2"/>
      <c r="AY654" s="2"/>
      <c r="AZ654" s="2"/>
      <c r="BA654" s="2"/>
      <c r="BB654" s="2"/>
      <c r="BC654" s="2"/>
      <c r="BD654" s="2"/>
      <c r="BE654" s="2"/>
    </row>
    <row r="655" hidden="1">
      <c r="A655" s="2"/>
      <c r="B655" s="335" t="s">
        <v>8035</v>
      </c>
      <c r="C655" s="93"/>
      <c r="D655" s="31">
        <v>90.0</v>
      </c>
      <c r="E655" s="31" t="s">
        <v>228</v>
      </c>
      <c r="F655" s="11" t="s">
        <v>7832</v>
      </c>
      <c r="G655" s="327" t="s">
        <v>8036</v>
      </c>
      <c r="H655" s="322"/>
      <c r="I655" s="328">
        <v>1400.0</v>
      </c>
      <c r="J655" s="324"/>
      <c r="K655" s="322"/>
      <c r="L655" s="323"/>
      <c r="M655" s="324">
        <v>1400.0</v>
      </c>
      <c r="N655" s="284">
        <v>0.85</v>
      </c>
      <c r="O655" s="322">
        <v>2600.0</v>
      </c>
      <c r="P655" s="67"/>
      <c r="Q655" s="319">
        <f>P652</f>
        <v>2600</v>
      </c>
      <c r="R655" s="329" t="s">
        <v>8037</v>
      </c>
      <c r="S655" s="330">
        <v>46141.46385947916</v>
      </c>
      <c r="T655" s="2"/>
      <c r="U655" s="289">
        <f t="shared" si="353"/>
        <v>1200</v>
      </c>
      <c r="V655" s="304" t="str">
        <f t="shared" si="354"/>
        <v>нет з/ч</v>
      </c>
      <c r="W655" s="2"/>
      <c r="X655" s="289">
        <v>1400.0</v>
      </c>
      <c r="Y655" s="139"/>
      <c r="Z655" s="2"/>
      <c r="AA655" s="2"/>
      <c r="AB655" s="2"/>
      <c r="AC655" s="2"/>
      <c r="AD655" s="2"/>
      <c r="AE655" s="3" t="s">
        <v>8035</v>
      </c>
      <c r="AF655" s="2"/>
      <c r="AG655" s="1" t="s">
        <v>1582</v>
      </c>
      <c r="AH655" s="1" t="s">
        <v>6045</v>
      </c>
      <c r="AI655" s="2">
        <v>90.0</v>
      </c>
      <c r="AJ655" s="1" t="s">
        <v>1589</v>
      </c>
      <c r="AK655" s="1" t="s">
        <v>5878</v>
      </c>
      <c r="AL655" s="1" t="s">
        <v>5878</v>
      </c>
      <c r="AM655" s="2"/>
      <c r="AN655" s="2"/>
      <c r="AO655" s="2"/>
      <c r="AP655" s="2"/>
      <c r="AQ655" s="2"/>
      <c r="AR655" s="2"/>
      <c r="AS655" s="2"/>
      <c r="AT655" s="2"/>
      <c r="AU655" s="126">
        <v>1400.0</v>
      </c>
      <c r="AV655" s="126">
        <v>2600.0</v>
      </c>
      <c r="AW655" s="2"/>
      <c r="AX655" s="2"/>
      <c r="AY655" s="2"/>
      <c r="AZ655" s="2"/>
      <c r="BA655" s="2"/>
      <c r="BB655" s="2"/>
      <c r="BC655" s="2"/>
      <c r="BD655" s="2"/>
      <c r="BE655" s="2"/>
    </row>
    <row r="656" hidden="1">
      <c r="A656" s="2"/>
      <c r="B656" s="335" t="s">
        <v>8038</v>
      </c>
      <c r="C656" s="93"/>
      <c r="D656" s="31">
        <v>90.0</v>
      </c>
      <c r="E656" s="31" t="s">
        <v>236</v>
      </c>
      <c r="F656" s="11" t="s">
        <v>7832</v>
      </c>
      <c r="G656" s="321"/>
      <c r="H656" s="322"/>
      <c r="I656" s="323"/>
      <c r="J656" s="324"/>
      <c r="K656" s="322"/>
      <c r="L656" s="323"/>
      <c r="M656" s="324" t="s">
        <v>22</v>
      </c>
      <c r="N656" s="284">
        <v>1.85</v>
      </c>
      <c r="O656" s="322" t="s">
        <v>22</v>
      </c>
      <c r="P656" s="313">
        <f>MAX(O656:O661)</f>
        <v>2550</v>
      </c>
      <c r="Q656" s="319">
        <f>P656</f>
        <v>2550</v>
      </c>
      <c r="R656" s="331"/>
      <c r="S656" s="326"/>
      <c r="T656" s="2"/>
      <c r="U656" s="59" t="str">
        <f t="shared" si="353"/>
        <v>нет з/ч</v>
      </c>
      <c r="V656" s="304" t="str">
        <f t="shared" si="354"/>
        <v>нет з/ч</v>
      </c>
      <c r="W656" s="2"/>
      <c r="X656" s="289"/>
      <c r="Y656" s="139"/>
      <c r="Z656" s="2"/>
      <c r="AA656" s="2"/>
      <c r="AB656" s="2"/>
      <c r="AC656" s="2"/>
      <c r="AD656" s="2"/>
      <c r="AE656" s="3" t="s">
        <v>8038</v>
      </c>
      <c r="AF656" s="2"/>
      <c r="AG656" s="1" t="s">
        <v>1582</v>
      </c>
      <c r="AH656" s="1" t="s">
        <v>6069</v>
      </c>
      <c r="AI656" s="2">
        <v>90.0</v>
      </c>
      <c r="AJ656" s="1" t="s">
        <v>1589</v>
      </c>
      <c r="AK656" s="1" t="s">
        <v>5878</v>
      </c>
      <c r="AL656" s="1" t="s">
        <v>5878</v>
      </c>
      <c r="AM656" s="2"/>
      <c r="AN656" s="2"/>
      <c r="AO656" s="2"/>
      <c r="AP656" s="2"/>
      <c r="AQ656" s="2"/>
      <c r="AR656" s="2"/>
      <c r="AS656" s="2"/>
      <c r="AT656" s="2"/>
      <c r="AU656" s="126" t="s">
        <v>22</v>
      </c>
      <c r="AV656" s="126">
        <v>2550.0</v>
      </c>
      <c r="AW656" s="2"/>
      <c r="AX656" s="2"/>
      <c r="AY656" s="2"/>
      <c r="AZ656" s="2"/>
      <c r="BA656" s="2"/>
      <c r="BB656" s="2"/>
      <c r="BC656" s="2"/>
      <c r="BD656" s="2"/>
      <c r="BE656" s="2"/>
    </row>
    <row r="657" hidden="1">
      <c r="A657" s="2"/>
      <c r="B657" s="335" t="s">
        <v>8039</v>
      </c>
      <c r="C657" s="320" t="s">
        <v>8040</v>
      </c>
      <c r="D657" s="31">
        <v>90.0</v>
      </c>
      <c r="E657" s="31" t="s">
        <v>236</v>
      </c>
      <c r="F657" s="11" t="s">
        <v>7832</v>
      </c>
      <c r="G657" s="327" t="s">
        <v>8041</v>
      </c>
      <c r="H657" s="322"/>
      <c r="I657" s="328">
        <v>900.0</v>
      </c>
      <c r="J657" s="324"/>
      <c r="K657" s="322"/>
      <c r="L657" s="323"/>
      <c r="M657" s="324">
        <v>900.0</v>
      </c>
      <c r="N657" s="284">
        <v>1.85</v>
      </c>
      <c r="O657" s="322">
        <v>2550.0</v>
      </c>
      <c r="P657" s="104"/>
      <c r="Q657" s="319">
        <f>P656</f>
        <v>2550</v>
      </c>
      <c r="R657" s="329" t="s">
        <v>8042</v>
      </c>
      <c r="S657" s="330">
        <v>46141.46390877315</v>
      </c>
      <c r="T657" s="2"/>
      <c r="U657" s="289">
        <f t="shared" si="353"/>
        <v>1650</v>
      </c>
      <c r="V657" s="304" t="str">
        <f t="shared" si="354"/>
        <v>нет з/ч</v>
      </c>
      <c r="W657" s="2"/>
      <c r="X657" s="289">
        <v>900.0</v>
      </c>
      <c r="Y657" s="139"/>
      <c r="Z657" s="2"/>
      <c r="AA657" s="2" t="s">
        <v>8040</v>
      </c>
      <c r="AB657" s="2" t="s">
        <v>8040</v>
      </c>
      <c r="AC657" s="2"/>
      <c r="AD657" s="2" t="s">
        <v>8040</v>
      </c>
      <c r="AE657" s="3" t="s">
        <v>8039</v>
      </c>
      <c r="AF657" s="2"/>
      <c r="AG657" s="1" t="s">
        <v>1582</v>
      </c>
      <c r="AH657" s="1" t="s">
        <v>6069</v>
      </c>
      <c r="AI657" s="2">
        <v>90.0</v>
      </c>
      <c r="AJ657" s="1" t="s">
        <v>1589</v>
      </c>
      <c r="AK657" s="1" t="s">
        <v>5878</v>
      </c>
      <c r="AL657" s="1" t="s">
        <v>5878</v>
      </c>
      <c r="AM657" s="2"/>
      <c r="AN657" s="2"/>
      <c r="AO657" s="2"/>
      <c r="AP657" s="2"/>
      <c r="AQ657" s="2"/>
      <c r="AR657" s="2"/>
      <c r="AS657" s="2"/>
      <c r="AT657" s="2"/>
      <c r="AU657" s="126">
        <v>900.0</v>
      </c>
      <c r="AV657" s="126">
        <v>2550.0</v>
      </c>
      <c r="AW657" s="2"/>
      <c r="AX657" s="2"/>
      <c r="AY657" s="2"/>
      <c r="AZ657" s="2"/>
      <c r="BA657" s="2"/>
      <c r="BB657" s="2"/>
      <c r="BC657" s="2"/>
      <c r="BD657" s="2"/>
      <c r="BE657" s="2"/>
    </row>
    <row r="658" hidden="1">
      <c r="A658" s="2"/>
      <c r="B658" s="335" t="s">
        <v>8043</v>
      </c>
      <c r="C658" s="93"/>
      <c r="D658" s="31">
        <v>90.0</v>
      </c>
      <c r="E658" s="31" t="s">
        <v>236</v>
      </c>
      <c r="F658" s="11" t="s">
        <v>7832</v>
      </c>
      <c r="G658" s="321"/>
      <c r="H658" s="322"/>
      <c r="I658" s="323"/>
      <c r="J658" s="324"/>
      <c r="K658" s="322"/>
      <c r="L658" s="323"/>
      <c r="M658" s="324" t="s">
        <v>22</v>
      </c>
      <c r="N658" s="284">
        <v>1.85</v>
      </c>
      <c r="O658" s="322" t="s">
        <v>22</v>
      </c>
      <c r="P658" s="104"/>
      <c r="Q658" s="319">
        <f>P656</f>
        <v>2550</v>
      </c>
      <c r="R658" s="331"/>
      <c r="S658" s="326"/>
      <c r="T658" s="2"/>
      <c r="U658" s="59" t="str">
        <f t="shared" si="353"/>
        <v>нет з/ч</v>
      </c>
      <c r="V658" s="304" t="str">
        <f t="shared" si="354"/>
        <v>нет з/ч</v>
      </c>
      <c r="W658" s="2"/>
      <c r="X658" s="289"/>
      <c r="Y658" s="139"/>
      <c r="Z658" s="2"/>
      <c r="AA658" s="2"/>
      <c r="AB658" s="2"/>
      <c r="AC658" s="2"/>
      <c r="AD658" s="2"/>
      <c r="AE658" s="3" t="s">
        <v>8043</v>
      </c>
      <c r="AF658" s="2"/>
      <c r="AG658" s="1" t="s">
        <v>1582</v>
      </c>
      <c r="AH658" s="1" t="s">
        <v>6069</v>
      </c>
      <c r="AI658" s="2">
        <v>90.0</v>
      </c>
      <c r="AJ658" s="1" t="s">
        <v>1589</v>
      </c>
      <c r="AK658" s="1" t="s">
        <v>5878</v>
      </c>
      <c r="AL658" s="1" t="s">
        <v>5878</v>
      </c>
      <c r="AM658" s="2"/>
      <c r="AN658" s="2"/>
      <c r="AO658" s="2"/>
      <c r="AP658" s="2"/>
      <c r="AQ658" s="2"/>
      <c r="AR658" s="2"/>
      <c r="AS658" s="2"/>
      <c r="AT658" s="2"/>
      <c r="AU658" s="126" t="s">
        <v>22</v>
      </c>
      <c r="AV658" s="126">
        <v>2550.0</v>
      </c>
      <c r="AW658" s="2"/>
      <c r="AX658" s="2"/>
      <c r="AY658" s="2"/>
      <c r="AZ658" s="2"/>
      <c r="BA658" s="2"/>
      <c r="BB658" s="2"/>
      <c r="BC658" s="2"/>
      <c r="BD658" s="2"/>
      <c r="BE658" s="2"/>
    </row>
    <row r="659" hidden="1">
      <c r="A659" s="2"/>
      <c r="B659" s="335" t="s">
        <v>8044</v>
      </c>
      <c r="C659" s="93"/>
      <c r="D659" s="31">
        <v>90.0</v>
      </c>
      <c r="E659" s="31" t="s">
        <v>236</v>
      </c>
      <c r="F659" s="11" t="s">
        <v>7832</v>
      </c>
      <c r="G659" s="327" t="s">
        <v>8045</v>
      </c>
      <c r="H659" s="322"/>
      <c r="I659" s="328">
        <v>900.0</v>
      </c>
      <c r="J659" s="324"/>
      <c r="K659" s="322"/>
      <c r="L659" s="323"/>
      <c r="M659" s="324">
        <v>900.0</v>
      </c>
      <c r="N659" s="284">
        <v>1.85</v>
      </c>
      <c r="O659" s="322">
        <v>2550.0</v>
      </c>
      <c r="P659" s="104"/>
      <c r="Q659" s="319">
        <f>P656</f>
        <v>2550</v>
      </c>
      <c r="R659" s="329" t="s">
        <v>8046</v>
      </c>
      <c r="S659" s="330">
        <v>46141.463959050925</v>
      </c>
      <c r="T659" s="2"/>
      <c r="U659" s="289">
        <f t="shared" si="353"/>
        <v>1650</v>
      </c>
      <c r="V659" s="304" t="str">
        <f t="shared" si="354"/>
        <v>нет з/ч</v>
      </c>
      <c r="W659" s="2"/>
      <c r="X659" s="289">
        <v>900.0</v>
      </c>
      <c r="Y659" s="139"/>
      <c r="Z659" s="2"/>
      <c r="AA659" s="2"/>
      <c r="AB659" s="2"/>
      <c r="AC659" s="2"/>
      <c r="AD659" s="2"/>
      <c r="AE659" s="3" t="s">
        <v>8044</v>
      </c>
      <c r="AF659" s="2"/>
      <c r="AG659" s="1" t="s">
        <v>1582</v>
      </c>
      <c r="AH659" s="1" t="s">
        <v>6069</v>
      </c>
      <c r="AI659" s="2">
        <v>90.0</v>
      </c>
      <c r="AJ659" s="1" t="s">
        <v>1589</v>
      </c>
      <c r="AK659" s="1" t="s">
        <v>5878</v>
      </c>
      <c r="AL659" s="1" t="s">
        <v>5878</v>
      </c>
      <c r="AM659" s="2"/>
      <c r="AN659" s="2"/>
      <c r="AO659" s="2"/>
      <c r="AP659" s="2"/>
      <c r="AQ659" s="2"/>
      <c r="AR659" s="2"/>
      <c r="AS659" s="2"/>
      <c r="AT659" s="2"/>
      <c r="AU659" s="126">
        <v>900.0</v>
      </c>
      <c r="AV659" s="126">
        <v>2550.0</v>
      </c>
      <c r="AW659" s="2"/>
      <c r="AX659" s="2"/>
      <c r="AY659" s="2"/>
      <c r="AZ659" s="2"/>
      <c r="BA659" s="2"/>
      <c r="BB659" s="2"/>
      <c r="BC659" s="2"/>
      <c r="BD659" s="2"/>
      <c r="BE659" s="2"/>
    </row>
    <row r="660" hidden="1">
      <c r="A660" s="2"/>
      <c r="B660" s="335" t="s">
        <v>8047</v>
      </c>
      <c r="C660" s="93"/>
      <c r="D660" s="31">
        <v>90.0</v>
      </c>
      <c r="E660" s="31" t="s">
        <v>236</v>
      </c>
      <c r="F660" s="11" t="s">
        <v>7832</v>
      </c>
      <c r="G660" s="321"/>
      <c r="H660" s="322"/>
      <c r="I660" s="323"/>
      <c r="J660" s="324"/>
      <c r="K660" s="322"/>
      <c r="L660" s="323"/>
      <c r="M660" s="324" t="s">
        <v>22</v>
      </c>
      <c r="N660" s="284">
        <v>1.85</v>
      </c>
      <c r="O660" s="322" t="s">
        <v>22</v>
      </c>
      <c r="P660" s="104"/>
      <c r="Q660" s="319">
        <f>P656</f>
        <v>2550</v>
      </c>
      <c r="R660" s="331"/>
      <c r="S660" s="326"/>
      <c r="T660" s="2"/>
      <c r="U660" s="59" t="str">
        <f t="shared" si="353"/>
        <v>нет з/ч</v>
      </c>
      <c r="V660" s="304" t="str">
        <f t="shared" si="354"/>
        <v>нет з/ч</v>
      </c>
      <c r="W660" s="2"/>
      <c r="X660" s="289"/>
      <c r="Y660" s="139"/>
      <c r="Z660" s="2"/>
      <c r="AA660" s="2"/>
      <c r="AB660" s="2"/>
      <c r="AC660" s="2"/>
      <c r="AD660" s="2"/>
      <c r="AE660" s="3" t="s">
        <v>8047</v>
      </c>
      <c r="AF660" s="2"/>
      <c r="AG660" s="1" t="s">
        <v>1582</v>
      </c>
      <c r="AH660" s="1" t="s">
        <v>6069</v>
      </c>
      <c r="AI660" s="2">
        <v>90.0</v>
      </c>
      <c r="AJ660" s="1" t="s">
        <v>1589</v>
      </c>
      <c r="AK660" s="1" t="s">
        <v>5878</v>
      </c>
      <c r="AL660" s="1" t="s">
        <v>5878</v>
      </c>
      <c r="AM660" s="2"/>
      <c r="AN660" s="2"/>
      <c r="AO660" s="2"/>
      <c r="AP660" s="2"/>
      <c r="AQ660" s="2"/>
      <c r="AR660" s="2"/>
      <c r="AS660" s="2"/>
      <c r="AT660" s="2"/>
      <c r="AU660" s="126" t="s">
        <v>22</v>
      </c>
      <c r="AV660" s="126">
        <v>2550.0</v>
      </c>
      <c r="AW660" s="2"/>
      <c r="AX660" s="2"/>
      <c r="AY660" s="2"/>
      <c r="AZ660" s="2"/>
      <c r="BA660" s="2"/>
      <c r="BB660" s="2"/>
      <c r="BC660" s="2"/>
      <c r="BD660" s="2"/>
      <c r="BE660" s="2"/>
    </row>
    <row r="661" hidden="1">
      <c r="A661" s="2"/>
      <c r="B661" s="335" t="s">
        <v>8048</v>
      </c>
      <c r="C661" s="93"/>
      <c r="D661" s="31">
        <v>90.0</v>
      </c>
      <c r="E661" s="31" t="s">
        <v>236</v>
      </c>
      <c r="F661" s="11" t="s">
        <v>7832</v>
      </c>
      <c r="G661" s="321"/>
      <c r="H661" s="322"/>
      <c r="I661" s="323"/>
      <c r="J661" s="324"/>
      <c r="K661" s="322"/>
      <c r="L661" s="323"/>
      <c r="M661" s="324" t="s">
        <v>22</v>
      </c>
      <c r="N661" s="284">
        <v>1.85</v>
      </c>
      <c r="O661" s="322" t="s">
        <v>22</v>
      </c>
      <c r="P661" s="67"/>
      <c r="Q661" s="319">
        <f>P656</f>
        <v>2550</v>
      </c>
      <c r="R661" s="331"/>
      <c r="S661" s="326"/>
      <c r="T661" s="2"/>
      <c r="U661" s="59" t="str">
        <f t="shared" si="353"/>
        <v>нет з/ч</v>
      </c>
      <c r="V661" s="304" t="str">
        <f t="shared" si="354"/>
        <v>нет з/ч</v>
      </c>
      <c r="W661" s="2"/>
      <c r="X661" s="289"/>
      <c r="Y661" s="139"/>
      <c r="Z661" s="2"/>
      <c r="AA661" s="2"/>
      <c r="AB661" s="2"/>
      <c r="AC661" s="2"/>
      <c r="AD661" s="2"/>
      <c r="AE661" s="3" t="s">
        <v>8048</v>
      </c>
      <c r="AF661" s="2"/>
      <c r="AG661" s="1" t="s">
        <v>1582</v>
      </c>
      <c r="AH661" s="1" t="s">
        <v>6069</v>
      </c>
      <c r="AI661" s="2">
        <v>90.0</v>
      </c>
      <c r="AJ661" s="1" t="s">
        <v>1589</v>
      </c>
      <c r="AK661" s="1" t="s">
        <v>5878</v>
      </c>
      <c r="AL661" s="1" t="s">
        <v>5878</v>
      </c>
      <c r="AM661" s="2"/>
      <c r="AN661" s="2"/>
      <c r="AO661" s="2"/>
      <c r="AP661" s="2"/>
      <c r="AQ661" s="2"/>
      <c r="AR661" s="2"/>
      <c r="AS661" s="2"/>
      <c r="AT661" s="2"/>
      <c r="AU661" s="126" t="s">
        <v>22</v>
      </c>
      <c r="AV661" s="126">
        <v>2550.0</v>
      </c>
      <c r="AW661" s="2"/>
      <c r="AX661" s="2"/>
      <c r="AY661" s="2"/>
      <c r="AZ661" s="2"/>
      <c r="BA661" s="2"/>
      <c r="BB661" s="2"/>
      <c r="BC661" s="2"/>
      <c r="BD661" s="2"/>
      <c r="BE661" s="2"/>
    </row>
    <row r="662" hidden="1">
      <c r="A662" s="2"/>
      <c r="B662" s="335" t="s">
        <v>8049</v>
      </c>
      <c r="C662" s="93"/>
      <c r="D662" s="31">
        <v>90.0</v>
      </c>
      <c r="E662" s="31" t="s">
        <v>238</v>
      </c>
      <c r="F662" s="11" t="s">
        <v>7832</v>
      </c>
      <c r="G662" s="327" t="s">
        <v>8050</v>
      </c>
      <c r="H662" s="322"/>
      <c r="I662" s="328">
        <v>1300.0</v>
      </c>
      <c r="J662" s="324"/>
      <c r="K662" s="322"/>
      <c r="L662" s="323"/>
      <c r="M662" s="324">
        <v>1300.0</v>
      </c>
      <c r="N662" s="284">
        <v>1.0</v>
      </c>
      <c r="O662" s="322">
        <v>2600.0</v>
      </c>
      <c r="P662" s="313">
        <f>MAX(O662:O667)</f>
        <v>2600</v>
      </c>
      <c r="Q662" s="319">
        <f>P662</f>
        <v>2600</v>
      </c>
      <c r="R662" s="329" t="s">
        <v>8051</v>
      </c>
      <c r="S662" s="330">
        <v>46141.46401056713</v>
      </c>
      <c r="T662" s="2"/>
      <c r="U662" s="289">
        <f t="shared" si="353"/>
        <v>1300</v>
      </c>
      <c r="V662" s="304" t="str">
        <f t="shared" si="354"/>
        <v>нет з/ч</v>
      </c>
      <c r="W662" s="2"/>
      <c r="X662" s="289">
        <v>1300.0</v>
      </c>
      <c r="Y662" s="139"/>
      <c r="Z662" s="2"/>
      <c r="AA662" s="2"/>
      <c r="AB662" s="2"/>
      <c r="AC662" s="2"/>
      <c r="AD662" s="2"/>
      <c r="AE662" s="3" t="s">
        <v>8049</v>
      </c>
      <c r="AF662" s="2"/>
      <c r="AG662" s="1" t="s">
        <v>1582</v>
      </c>
      <c r="AH662" s="1" t="s">
        <v>6093</v>
      </c>
      <c r="AI662" s="2">
        <v>90.0</v>
      </c>
      <c r="AJ662" s="1" t="s">
        <v>1589</v>
      </c>
      <c r="AK662" s="1" t="s">
        <v>5878</v>
      </c>
      <c r="AL662" s="1" t="s">
        <v>5878</v>
      </c>
      <c r="AM662" s="2"/>
      <c r="AN662" s="2"/>
      <c r="AO662" s="2"/>
      <c r="AP662" s="2"/>
      <c r="AQ662" s="2"/>
      <c r="AR662" s="2"/>
      <c r="AS662" s="2"/>
      <c r="AT662" s="2"/>
      <c r="AU662" s="126">
        <v>1300.0</v>
      </c>
      <c r="AV662" s="126">
        <v>2600.0</v>
      </c>
      <c r="AW662" s="2"/>
      <c r="AX662" s="2"/>
      <c r="AY662" s="2"/>
      <c r="AZ662" s="2"/>
      <c r="BA662" s="2"/>
      <c r="BB662" s="2"/>
      <c r="BC662" s="2"/>
      <c r="BD662" s="2"/>
      <c r="BE662" s="2"/>
    </row>
    <row r="663" hidden="1">
      <c r="A663" s="2"/>
      <c r="B663" s="335" t="s">
        <v>8052</v>
      </c>
      <c r="C663" s="93"/>
      <c r="D663" s="31">
        <v>90.0</v>
      </c>
      <c r="E663" s="31" t="s">
        <v>238</v>
      </c>
      <c r="F663" s="11" t="s">
        <v>7832</v>
      </c>
      <c r="G663" s="321"/>
      <c r="H663" s="322"/>
      <c r="I663" s="323"/>
      <c r="J663" s="324"/>
      <c r="K663" s="322"/>
      <c r="L663" s="323"/>
      <c r="M663" s="324" t="s">
        <v>22</v>
      </c>
      <c r="N663" s="284">
        <v>1.0</v>
      </c>
      <c r="O663" s="322" t="s">
        <v>22</v>
      </c>
      <c r="P663" s="104"/>
      <c r="Q663" s="319">
        <f>P662</f>
        <v>2600</v>
      </c>
      <c r="R663" s="331"/>
      <c r="S663" s="326"/>
      <c r="T663" s="2"/>
      <c r="U663" s="59" t="str">
        <f t="shared" si="353"/>
        <v>нет з/ч</v>
      </c>
      <c r="V663" s="304" t="str">
        <f t="shared" si="354"/>
        <v>нет з/ч</v>
      </c>
      <c r="W663" s="2"/>
      <c r="X663" s="289"/>
      <c r="Y663" s="139"/>
      <c r="Z663" s="2"/>
      <c r="AA663" s="2"/>
      <c r="AB663" s="2"/>
      <c r="AC663" s="2"/>
      <c r="AD663" s="2"/>
      <c r="AE663" s="3" t="s">
        <v>8052</v>
      </c>
      <c r="AF663" s="2"/>
      <c r="AG663" s="1" t="s">
        <v>1582</v>
      </c>
      <c r="AH663" s="1" t="s">
        <v>6093</v>
      </c>
      <c r="AI663" s="2">
        <v>90.0</v>
      </c>
      <c r="AJ663" s="1" t="s">
        <v>1589</v>
      </c>
      <c r="AK663" s="1" t="s">
        <v>5878</v>
      </c>
      <c r="AL663" s="1" t="s">
        <v>5878</v>
      </c>
      <c r="AM663" s="2"/>
      <c r="AN663" s="2"/>
      <c r="AO663" s="2"/>
      <c r="AP663" s="2"/>
      <c r="AQ663" s="2"/>
      <c r="AR663" s="2"/>
      <c r="AS663" s="2"/>
      <c r="AT663" s="2"/>
      <c r="AU663" s="126" t="s">
        <v>22</v>
      </c>
      <c r="AV663" s="126">
        <v>2600.0</v>
      </c>
      <c r="AW663" s="2"/>
      <c r="AX663" s="2"/>
      <c r="AY663" s="2"/>
      <c r="AZ663" s="2"/>
      <c r="BA663" s="2"/>
      <c r="BB663" s="2"/>
      <c r="BC663" s="2"/>
      <c r="BD663" s="2"/>
      <c r="BE663" s="2"/>
    </row>
    <row r="664" hidden="1">
      <c r="A664" s="2"/>
      <c r="B664" s="335" t="s">
        <v>8053</v>
      </c>
      <c r="C664" s="93"/>
      <c r="D664" s="31">
        <v>90.0</v>
      </c>
      <c r="E664" s="31" t="s">
        <v>238</v>
      </c>
      <c r="F664" s="11" t="s">
        <v>7832</v>
      </c>
      <c r="G664" s="321"/>
      <c r="H664" s="322"/>
      <c r="I664" s="323"/>
      <c r="J664" s="324"/>
      <c r="K664" s="322"/>
      <c r="L664" s="323"/>
      <c r="M664" s="324" t="s">
        <v>22</v>
      </c>
      <c r="N664" s="284">
        <v>1.0</v>
      </c>
      <c r="O664" s="322" t="s">
        <v>22</v>
      </c>
      <c r="P664" s="104"/>
      <c r="Q664" s="319">
        <f>P662</f>
        <v>2600</v>
      </c>
      <c r="R664" s="331"/>
      <c r="S664" s="326"/>
      <c r="T664" s="2"/>
      <c r="U664" s="59" t="str">
        <f t="shared" si="353"/>
        <v>нет з/ч</v>
      </c>
      <c r="V664" s="304" t="str">
        <f t="shared" si="354"/>
        <v>нет з/ч</v>
      </c>
      <c r="W664" s="2"/>
      <c r="X664" s="289"/>
      <c r="Y664" s="139"/>
      <c r="Z664" s="2"/>
      <c r="AA664" s="2"/>
      <c r="AB664" s="2"/>
      <c r="AC664" s="2"/>
      <c r="AD664" s="2"/>
      <c r="AE664" s="3" t="s">
        <v>8053</v>
      </c>
      <c r="AF664" s="2"/>
      <c r="AG664" s="1" t="s">
        <v>1582</v>
      </c>
      <c r="AH664" s="1" t="s">
        <v>6093</v>
      </c>
      <c r="AI664" s="2">
        <v>90.0</v>
      </c>
      <c r="AJ664" s="1" t="s">
        <v>1589</v>
      </c>
      <c r="AK664" s="1" t="s">
        <v>5878</v>
      </c>
      <c r="AL664" s="1" t="s">
        <v>5878</v>
      </c>
      <c r="AM664" s="2"/>
      <c r="AN664" s="2"/>
      <c r="AO664" s="2"/>
      <c r="AP664" s="2"/>
      <c r="AQ664" s="2"/>
      <c r="AR664" s="2"/>
      <c r="AS664" s="2"/>
      <c r="AT664" s="2"/>
      <c r="AU664" s="126" t="s">
        <v>22</v>
      </c>
      <c r="AV664" s="126">
        <v>2600.0</v>
      </c>
      <c r="AW664" s="2"/>
      <c r="AX664" s="2"/>
      <c r="AY664" s="2"/>
      <c r="AZ664" s="2"/>
      <c r="BA664" s="2"/>
      <c r="BB664" s="2"/>
      <c r="BC664" s="2"/>
      <c r="BD664" s="2"/>
      <c r="BE664" s="2"/>
    </row>
    <row r="665" hidden="1">
      <c r="A665" s="2"/>
      <c r="B665" s="335" t="s">
        <v>8054</v>
      </c>
      <c r="C665" s="320" t="s">
        <v>8055</v>
      </c>
      <c r="D665" s="31">
        <v>90.0</v>
      </c>
      <c r="E665" s="31" t="s">
        <v>238</v>
      </c>
      <c r="F665" s="11" t="s">
        <v>7832</v>
      </c>
      <c r="G665" s="321"/>
      <c r="H665" s="322"/>
      <c r="I665" s="323"/>
      <c r="J665" s="324"/>
      <c r="K665" s="322"/>
      <c r="L665" s="323"/>
      <c r="M665" s="324" t="s">
        <v>22</v>
      </c>
      <c r="N665" s="284">
        <v>1.0</v>
      </c>
      <c r="O665" s="322" t="s">
        <v>22</v>
      </c>
      <c r="P665" s="104"/>
      <c r="Q665" s="319">
        <f>P662</f>
        <v>2600</v>
      </c>
      <c r="R665" s="331"/>
      <c r="S665" s="326"/>
      <c r="T665" s="2"/>
      <c r="U665" s="59" t="str">
        <f t="shared" si="353"/>
        <v>нет з/ч</v>
      </c>
      <c r="V665" s="304" t="str">
        <f t="shared" si="354"/>
        <v>нет з/ч</v>
      </c>
      <c r="W665" s="2"/>
      <c r="X665" s="289"/>
      <c r="Y665" s="139"/>
      <c r="Z665" s="2"/>
      <c r="AA665" s="2" t="s">
        <v>8055</v>
      </c>
      <c r="AB665" s="2" t="s">
        <v>8055</v>
      </c>
      <c r="AC665" s="2"/>
      <c r="AD665" s="2" t="s">
        <v>8055</v>
      </c>
      <c r="AE665" s="3" t="s">
        <v>8054</v>
      </c>
      <c r="AF665" s="2"/>
      <c r="AG665" s="1" t="s">
        <v>1582</v>
      </c>
      <c r="AH665" s="1" t="s">
        <v>6093</v>
      </c>
      <c r="AI665" s="2">
        <v>90.0</v>
      </c>
      <c r="AJ665" s="1" t="s">
        <v>1589</v>
      </c>
      <c r="AK665" s="1" t="s">
        <v>5878</v>
      </c>
      <c r="AL665" s="1" t="s">
        <v>5878</v>
      </c>
      <c r="AM665" s="2"/>
      <c r="AN665" s="2"/>
      <c r="AO665" s="2"/>
      <c r="AP665" s="2"/>
      <c r="AQ665" s="2"/>
      <c r="AR665" s="2"/>
      <c r="AS665" s="2"/>
      <c r="AT665" s="2"/>
      <c r="AU665" s="126" t="s">
        <v>22</v>
      </c>
      <c r="AV665" s="126">
        <v>2600.0</v>
      </c>
      <c r="AW665" s="2"/>
      <c r="AX665" s="2"/>
      <c r="AY665" s="2"/>
      <c r="AZ665" s="2"/>
      <c r="BA665" s="2"/>
      <c r="BB665" s="2"/>
      <c r="BC665" s="2"/>
      <c r="BD665" s="2"/>
      <c r="BE665" s="2"/>
    </row>
    <row r="666" hidden="1">
      <c r="A666" s="2"/>
      <c r="B666" s="335" t="s">
        <v>8056</v>
      </c>
      <c r="C666" s="93"/>
      <c r="D666" s="31">
        <v>90.0</v>
      </c>
      <c r="E666" s="31" t="s">
        <v>238</v>
      </c>
      <c r="F666" s="11" t="s">
        <v>7832</v>
      </c>
      <c r="G666" s="321"/>
      <c r="H666" s="322"/>
      <c r="I666" s="323"/>
      <c r="J666" s="324"/>
      <c r="K666" s="322"/>
      <c r="L666" s="323"/>
      <c r="M666" s="324" t="s">
        <v>22</v>
      </c>
      <c r="N666" s="284">
        <v>1.0</v>
      </c>
      <c r="O666" s="322" t="s">
        <v>22</v>
      </c>
      <c r="P666" s="104"/>
      <c r="Q666" s="319">
        <f>P662</f>
        <v>2600</v>
      </c>
      <c r="R666" s="331"/>
      <c r="S666" s="326"/>
      <c r="T666" s="2"/>
      <c r="U666" s="59" t="str">
        <f t="shared" si="353"/>
        <v>нет з/ч</v>
      </c>
      <c r="V666" s="304" t="str">
        <f t="shared" si="354"/>
        <v>нет з/ч</v>
      </c>
      <c r="W666" s="2"/>
      <c r="X666" s="289"/>
      <c r="Y666" s="139"/>
      <c r="Z666" s="2"/>
      <c r="AA666" s="2"/>
      <c r="AB666" s="2"/>
      <c r="AC666" s="2"/>
      <c r="AD666" s="2"/>
      <c r="AE666" s="3" t="s">
        <v>8056</v>
      </c>
      <c r="AF666" s="2"/>
      <c r="AG666" s="1" t="s">
        <v>1582</v>
      </c>
      <c r="AH666" s="1" t="s">
        <v>6093</v>
      </c>
      <c r="AI666" s="2">
        <v>90.0</v>
      </c>
      <c r="AJ666" s="1" t="s">
        <v>1589</v>
      </c>
      <c r="AK666" s="1" t="s">
        <v>5878</v>
      </c>
      <c r="AL666" s="1" t="s">
        <v>5878</v>
      </c>
      <c r="AM666" s="2"/>
      <c r="AN666" s="2"/>
      <c r="AO666" s="2"/>
      <c r="AP666" s="2"/>
      <c r="AQ666" s="2"/>
      <c r="AR666" s="2"/>
      <c r="AS666" s="2"/>
      <c r="AT666" s="2"/>
      <c r="AU666" s="126" t="s">
        <v>22</v>
      </c>
      <c r="AV666" s="126">
        <v>2600.0</v>
      </c>
      <c r="AW666" s="2"/>
      <c r="AX666" s="2"/>
      <c r="AY666" s="2"/>
      <c r="AZ666" s="2"/>
      <c r="BA666" s="2"/>
      <c r="BB666" s="2"/>
      <c r="BC666" s="2"/>
      <c r="BD666" s="2"/>
      <c r="BE666" s="2"/>
    </row>
    <row r="667" hidden="1">
      <c r="A667" s="2"/>
      <c r="B667" s="335" t="s">
        <v>8057</v>
      </c>
      <c r="C667" s="93"/>
      <c r="D667" s="31">
        <v>90.0</v>
      </c>
      <c r="E667" s="31" t="s">
        <v>238</v>
      </c>
      <c r="F667" s="11" t="s">
        <v>7832</v>
      </c>
      <c r="G667" s="321"/>
      <c r="H667" s="322"/>
      <c r="I667" s="323"/>
      <c r="J667" s="324"/>
      <c r="K667" s="322"/>
      <c r="L667" s="323"/>
      <c r="M667" s="324" t="s">
        <v>22</v>
      </c>
      <c r="N667" s="284">
        <v>1.0</v>
      </c>
      <c r="O667" s="322" t="s">
        <v>22</v>
      </c>
      <c r="P667" s="67"/>
      <c r="Q667" s="319">
        <f>P662</f>
        <v>2600</v>
      </c>
      <c r="R667" s="331"/>
      <c r="S667" s="326"/>
      <c r="T667" s="2"/>
      <c r="U667" s="59" t="str">
        <f t="shared" si="353"/>
        <v>нет з/ч</v>
      </c>
      <c r="V667" s="304" t="str">
        <f t="shared" si="354"/>
        <v>нет з/ч</v>
      </c>
      <c r="W667" s="2"/>
      <c r="X667" s="289"/>
      <c r="Y667" s="139"/>
      <c r="Z667" s="2"/>
      <c r="AA667" s="2"/>
      <c r="AB667" s="2"/>
      <c r="AC667" s="2"/>
      <c r="AD667" s="2"/>
      <c r="AE667" s="3" t="s">
        <v>8057</v>
      </c>
      <c r="AF667" s="2"/>
      <c r="AG667" s="1" t="s">
        <v>1582</v>
      </c>
      <c r="AH667" s="1" t="s">
        <v>6093</v>
      </c>
      <c r="AI667" s="2">
        <v>90.0</v>
      </c>
      <c r="AJ667" s="1" t="s">
        <v>1589</v>
      </c>
      <c r="AK667" s="1" t="s">
        <v>5878</v>
      </c>
      <c r="AL667" s="1" t="s">
        <v>5878</v>
      </c>
      <c r="AM667" s="2"/>
      <c r="AN667" s="2"/>
      <c r="AO667" s="2"/>
      <c r="AP667" s="2"/>
      <c r="AQ667" s="2"/>
      <c r="AR667" s="2"/>
      <c r="AS667" s="2"/>
      <c r="AT667" s="2"/>
      <c r="AU667" s="126" t="s">
        <v>22</v>
      </c>
      <c r="AV667" s="126">
        <v>2600.0</v>
      </c>
      <c r="AW667" s="2"/>
      <c r="AX667" s="2"/>
      <c r="AY667" s="2"/>
      <c r="AZ667" s="2"/>
      <c r="BA667" s="2"/>
      <c r="BB667" s="2"/>
      <c r="BC667" s="2"/>
      <c r="BD667" s="2"/>
      <c r="BE667" s="2"/>
    </row>
    <row r="668" hidden="1">
      <c r="A668" s="2"/>
      <c r="B668" s="335" t="s">
        <v>8058</v>
      </c>
      <c r="C668" s="320" t="s">
        <v>8059</v>
      </c>
      <c r="D668" s="31">
        <v>90.0</v>
      </c>
      <c r="E668" s="31" t="s">
        <v>246</v>
      </c>
      <c r="F668" s="11" t="s">
        <v>7832</v>
      </c>
      <c r="G668" s="327" t="s">
        <v>8060</v>
      </c>
      <c r="H668" s="322"/>
      <c r="I668" s="328">
        <v>1300.0</v>
      </c>
      <c r="J668" s="324"/>
      <c r="K668" s="322"/>
      <c r="L668" s="323"/>
      <c r="M668" s="324">
        <v>1300.0</v>
      </c>
      <c r="N668" s="284">
        <v>1.3</v>
      </c>
      <c r="O668" s="322">
        <v>3000.0</v>
      </c>
      <c r="P668" s="313">
        <f>MAX(O668:O672)</f>
        <v>3000</v>
      </c>
      <c r="Q668" s="319">
        <f>P668</f>
        <v>3000</v>
      </c>
      <c r="R668" s="329" t="s">
        <v>8061</v>
      </c>
      <c r="S668" s="330">
        <v>46141.46406121527</v>
      </c>
      <c r="T668" s="2"/>
      <c r="U668" s="289">
        <f t="shared" si="353"/>
        <v>1700</v>
      </c>
      <c r="V668" s="304" t="str">
        <f t="shared" si="354"/>
        <v>нет з/ч</v>
      </c>
      <c r="W668" s="2"/>
      <c r="X668" s="289">
        <v>1300.0</v>
      </c>
      <c r="Y668" s="139"/>
      <c r="Z668" s="2"/>
      <c r="AA668" s="2" t="s">
        <v>8059</v>
      </c>
      <c r="AB668" s="2" t="s">
        <v>8059</v>
      </c>
      <c r="AC668" s="2"/>
      <c r="AD668" s="2" t="s">
        <v>8059</v>
      </c>
      <c r="AE668" s="3" t="s">
        <v>8058</v>
      </c>
      <c r="AF668" s="2"/>
      <c r="AG668" s="1" t="s">
        <v>1582</v>
      </c>
      <c r="AH668" s="1" t="s">
        <v>6113</v>
      </c>
      <c r="AI668" s="2">
        <v>90.0</v>
      </c>
      <c r="AJ668" s="1" t="s">
        <v>1589</v>
      </c>
      <c r="AK668" s="1" t="s">
        <v>5878</v>
      </c>
      <c r="AL668" s="1" t="s">
        <v>5878</v>
      </c>
      <c r="AM668" s="2"/>
      <c r="AN668" s="2"/>
      <c r="AO668" s="2"/>
      <c r="AP668" s="2"/>
      <c r="AQ668" s="2"/>
      <c r="AR668" s="2"/>
      <c r="AS668" s="2"/>
      <c r="AT668" s="2"/>
      <c r="AU668" s="126">
        <v>1300.0</v>
      </c>
      <c r="AV668" s="126">
        <v>3000.0</v>
      </c>
      <c r="AW668" s="2"/>
      <c r="AX668" s="2"/>
      <c r="AY668" s="2"/>
      <c r="AZ668" s="2"/>
      <c r="BA668" s="2"/>
      <c r="BB668" s="2"/>
      <c r="BC668" s="2"/>
      <c r="BD668" s="2"/>
      <c r="BE668" s="2"/>
    </row>
    <row r="669" hidden="1">
      <c r="A669" s="2"/>
      <c r="B669" s="335" t="s">
        <v>8062</v>
      </c>
      <c r="C669" s="320" t="s">
        <v>8063</v>
      </c>
      <c r="D669" s="31">
        <v>90.0</v>
      </c>
      <c r="E669" s="31" t="s">
        <v>246</v>
      </c>
      <c r="F669" s="11" t="s">
        <v>7832</v>
      </c>
      <c r="G669" s="327" t="s">
        <v>8064</v>
      </c>
      <c r="H669" s="322"/>
      <c r="I669" s="328">
        <v>1300.0</v>
      </c>
      <c r="J669" s="324"/>
      <c r="K669" s="322"/>
      <c r="L669" s="323"/>
      <c r="M669" s="324">
        <v>1300.0</v>
      </c>
      <c r="N669" s="284">
        <v>1.3</v>
      </c>
      <c r="O669" s="322">
        <v>3000.0</v>
      </c>
      <c r="P669" s="104"/>
      <c r="Q669" s="319">
        <f>P668</f>
        <v>3000</v>
      </c>
      <c r="R669" s="329" t="s">
        <v>8065</v>
      </c>
      <c r="S669" s="330">
        <v>46141.464112291666</v>
      </c>
      <c r="T669" s="2"/>
      <c r="U669" s="289">
        <f t="shared" si="353"/>
        <v>1700</v>
      </c>
      <c r="V669" s="304" t="str">
        <f t="shared" si="354"/>
        <v>нет з/ч</v>
      </c>
      <c r="W669" s="2"/>
      <c r="X669" s="289">
        <v>1300.0</v>
      </c>
      <c r="Y669" s="139"/>
      <c r="Z669" s="2"/>
      <c r="AA669" s="2" t="s">
        <v>8063</v>
      </c>
      <c r="AB669" s="2" t="s">
        <v>8063</v>
      </c>
      <c r="AC669" s="2"/>
      <c r="AD669" s="2" t="s">
        <v>8063</v>
      </c>
      <c r="AE669" s="3" t="s">
        <v>8062</v>
      </c>
      <c r="AF669" s="2"/>
      <c r="AG669" s="1" t="s">
        <v>1582</v>
      </c>
      <c r="AH669" s="1" t="s">
        <v>6113</v>
      </c>
      <c r="AI669" s="2">
        <v>90.0</v>
      </c>
      <c r="AJ669" s="1" t="s">
        <v>1589</v>
      </c>
      <c r="AK669" s="1" t="s">
        <v>5878</v>
      </c>
      <c r="AL669" s="1" t="s">
        <v>5878</v>
      </c>
      <c r="AM669" s="2"/>
      <c r="AN669" s="2"/>
      <c r="AO669" s="2"/>
      <c r="AP669" s="2"/>
      <c r="AQ669" s="2"/>
      <c r="AR669" s="2"/>
      <c r="AS669" s="2"/>
      <c r="AT669" s="2"/>
      <c r="AU669" s="126">
        <v>1300.0</v>
      </c>
      <c r="AV669" s="126">
        <v>3000.0</v>
      </c>
      <c r="AW669" s="2"/>
      <c r="AX669" s="2"/>
      <c r="AY669" s="2"/>
      <c r="AZ669" s="2"/>
      <c r="BA669" s="2"/>
      <c r="BB669" s="2"/>
      <c r="BC669" s="2"/>
      <c r="BD669" s="2"/>
      <c r="BE669" s="2"/>
    </row>
    <row r="670" hidden="1">
      <c r="A670" s="2"/>
      <c r="B670" s="335" t="s">
        <v>8066</v>
      </c>
      <c r="C670" s="93"/>
      <c r="D670" s="31">
        <v>90.0</v>
      </c>
      <c r="E670" s="31" t="s">
        <v>246</v>
      </c>
      <c r="F670" s="11" t="s">
        <v>7832</v>
      </c>
      <c r="G670" s="321"/>
      <c r="H670" s="322"/>
      <c r="I670" s="323"/>
      <c r="J670" s="324"/>
      <c r="K670" s="322"/>
      <c r="L670" s="323"/>
      <c r="M670" s="324" t="s">
        <v>22</v>
      </c>
      <c r="N670" s="284">
        <v>1.3</v>
      </c>
      <c r="O670" s="322" t="s">
        <v>22</v>
      </c>
      <c r="P670" s="104"/>
      <c r="Q670" s="319">
        <f>P668</f>
        <v>3000</v>
      </c>
      <c r="R670" s="331"/>
      <c r="S670" s="326"/>
      <c r="T670" s="2"/>
      <c r="U670" s="59" t="str">
        <f t="shared" si="353"/>
        <v>нет з/ч</v>
      </c>
      <c r="V670" s="304" t="str">
        <f t="shared" si="354"/>
        <v>нет з/ч</v>
      </c>
      <c r="W670" s="2"/>
      <c r="X670" s="289"/>
      <c r="Y670" s="139"/>
      <c r="Z670" s="2"/>
      <c r="AA670" s="2"/>
      <c r="AB670" s="2"/>
      <c r="AC670" s="2"/>
      <c r="AD670" s="2"/>
      <c r="AE670" s="3" t="s">
        <v>8066</v>
      </c>
      <c r="AF670" s="2"/>
      <c r="AG670" s="1" t="s">
        <v>1582</v>
      </c>
      <c r="AH670" s="1" t="s">
        <v>6113</v>
      </c>
      <c r="AI670" s="2">
        <v>90.0</v>
      </c>
      <c r="AJ670" s="1" t="s">
        <v>1589</v>
      </c>
      <c r="AK670" s="1" t="s">
        <v>5878</v>
      </c>
      <c r="AL670" s="1" t="s">
        <v>5878</v>
      </c>
      <c r="AM670" s="2"/>
      <c r="AN670" s="2"/>
      <c r="AO670" s="2"/>
      <c r="AP670" s="2"/>
      <c r="AQ670" s="2"/>
      <c r="AR670" s="2"/>
      <c r="AS670" s="2"/>
      <c r="AT670" s="2"/>
      <c r="AU670" s="126" t="s">
        <v>22</v>
      </c>
      <c r="AV670" s="126">
        <v>3000.0</v>
      </c>
      <c r="AW670" s="2"/>
      <c r="AX670" s="2"/>
      <c r="AY670" s="2"/>
      <c r="AZ670" s="2"/>
      <c r="BA670" s="2"/>
      <c r="BB670" s="2"/>
      <c r="BC670" s="2"/>
      <c r="BD670" s="2"/>
      <c r="BE670" s="2"/>
    </row>
    <row r="671" hidden="1">
      <c r="A671" s="2"/>
      <c r="B671" s="335" t="s">
        <v>8067</v>
      </c>
      <c r="C671" s="320" t="s">
        <v>8068</v>
      </c>
      <c r="D671" s="31">
        <v>90.0</v>
      </c>
      <c r="E671" s="31" t="s">
        <v>246</v>
      </c>
      <c r="F671" s="11" t="s">
        <v>7832</v>
      </c>
      <c r="G671" s="321"/>
      <c r="H671" s="322"/>
      <c r="I671" s="323"/>
      <c r="J671" s="324"/>
      <c r="K671" s="322"/>
      <c r="L671" s="323"/>
      <c r="M671" s="324" t="s">
        <v>22</v>
      </c>
      <c r="N671" s="284">
        <v>1.3</v>
      </c>
      <c r="O671" s="322" t="s">
        <v>22</v>
      </c>
      <c r="P671" s="104"/>
      <c r="Q671" s="319">
        <f>P668</f>
        <v>3000</v>
      </c>
      <c r="R671" s="331"/>
      <c r="S671" s="326"/>
      <c r="T671" s="2"/>
      <c r="U671" s="59" t="str">
        <f t="shared" si="353"/>
        <v>нет з/ч</v>
      </c>
      <c r="V671" s="304" t="str">
        <f t="shared" si="354"/>
        <v>нет з/ч</v>
      </c>
      <c r="W671" s="2"/>
      <c r="X671" s="289"/>
      <c r="Y671" s="139"/>
      <c r="Z671" s="2"/>
      <c r="AA671" s="2" t="s">
        <v>8068</v>
      </c>
      <c r="AB671" s="2" t="s">
        <v>8068</v>
      </c>
      <c r="AC671" s="2"/>
      <c r="AD671" s="2" t="s">
        <v>8068</v>
      </c>
      <c r="AE671" s="3" t="s">
        <v>8067</v>
      </c>
      <c r="AF671" s="2"/>
      <c r="AG671" s="1" t="s">
        <v>1582</v>
      </c>
      <c r="AH671" s="1" t="s">
        <v>6113</v>
      </c>
      <c r="AI671" s="2">
        <v>90.0</v>
      </c>
      <c r="AJ671" s="1" t="s">
        <v>1589</v>
      </c>
      <c r="AK671" s="1" t="s">
        <v>5878</v>
      </c>
      <c r="AL671" s="1" t="s">
        <v>5878</v>
      </c>
      <c r="AM671" s="2"/>
      <c r="AN671" s="2"/>
      <c r="AO671" s="2"/>
      <c r="AP671" s="2"/>
      <c r="AQ671" s="2"/>
      <c r="AR671" s="2"/>
      <c r="AS671" s="2"/>
      <c r="AT671" s="2"/>
      <c r="AU671" s="126" t="s">
        <v>22</v>
      </c>
      <c r="AV671" s="126">
        <v>3000.0</v>
      </c>
      <c r="AW671" s="2"/>
      <c r="AX671" s="2"/>
      <c r="AY671" s="2"/>
      <c r="AZ671" s="2"/>
      <c r="BA671" s="2"/>
      <c r="BB671" s="2"/>
      <c r="BC671" s="2"/>
      <c r="BD671" s="2"/>
      <c r="BE671" s="2"/>
    </row>
    <row r="672" hidden="1">
      <c r="A672" s="2"/>
      <c r="B672" s="335" t="s">
        <v>8069</v>
      </c>
      <c r="C672" s="93"/>
      <c r="D672" s="31">
        <v>90.0</v>
      </c>
      <c r="E672" s="31" t="s">
        <v>246</v>
      </c>
      <c r="F672" s="11" t="s">
        <v>7832</v>
      </c>
      <c r="G672" s="321"/>
      <c r="H672" s="322"/>
      <c r="I672" s="323"/>
      <c r="J672" s="324"/>
      <c r="K672" s="322"/>
      <c r="L672" s="323"/>
      <c r="M672" s="324" t="s">
        <v>22</v>
      </c>
      <c r="N672" s="284">
        <v>1.3</v>
      </c>
      <c r="O672" s="322" t="s">
        <v>22</v>
      </c>
      <c r="P672" s="67"/>
      <c r="Q672" s="319">
        <f>P668</f>
        <v>3000</v>
      </c>
      <c r="R672" s="331"/>
      <c r="S672" s="326"/>
      <c r="T672" s="2"/>
      <c r="U672" s="59" t="str">
        <f t="shared" si="353"/>
        <v>нет з/ч</v>
      </c>
      <c r="V672" s="304" t="str">
        <f t="shared" ref="V672:V698" si="355">IF(L672&gt;0, Q2239 - L672, "нет з/ч")</f>
        <v>нет з/ч</v>
      </c>
      <c r="W672" s="2"/>
      <c r="X672" s="289"/>
      <c r="Y672" s="139"/>
      <c r="Z672" s="2"/>
      <c r="AA672" s="2"/>
      <c r="AB672" s="2"/>
      <c r="AC672" s="2"/>
      <c r="AD672" s="2"/>
      <c r="AE672" s="3" t="s">
        <v>8069</v>
      </c>
      <c r="AF672" s="2"/>
      <c r="AG672" s="1" t="s">
        <v>1582</v>
      </c>
      <c r="AH672" s="1" t="s">
        <v>6113</v>
      </c>
      <c r="AI672" s="2">
        <v>90.0</v>
      </c>
      <c r="AJ672" s="1" t="s">
        <v>1589</v>
      </c>
      <c r="AK672" s="1" t="s">
        <v>5878</v>
      </c>
      <c r="AL672" s="1" t="s">
        <v>5878</v>
      </c>
      <c r="AM672" s="2"/>
      <c r="AN672" s="2"/>
      <c r="AO672" s="2"/>
      <c r="AP672" s="2"/>
      <c r="AQ672" s="2"/>
      <c r="AR672" s="2"/>
      <c r="AS672" s="2"/>
      <c r="AT672" s="2"/>
      <c r="AU672" s="126" t="s">
        <v>22</v>
      </c>
      <c r="AV672" s="126">
        <v>3000.0</v>
      </c>
      <c r="AW672" s="2"/>
      <c r="AX672" s="2"/>
      <c r="AY672" s="2"/>
      <c r="AZ672" s="2"/>
      <c r="BA672" s="2"/>
      <c r="BB672" s="2"/>
      <c r="BC672" s="2"/>
      <c r="BD672" s="2"/>
      <c r="BE672" s="2"/>
    </row>
    <row r="673" hidden="1">
      <c r="A673" s="2"/>
      <c r="B673" s="335" t="s">
        <v>8070</v>
      </c>
      <c r="C673" s="320" t="s">
        <v>8071</v>
      </c>
      <c r="D673" s="31">
        <v>90.0</v>
      </c>
      <c r="E673" s="31" t="s">
        <v>254</v>
      </c>
      <c r="F673" s="11" t="s">
        <v>7832</v>
      </c>
      <c r="G673" s="327" t="s">
        <v>8072</v>
      </c>
      <c r="H673" s="322"/>
      <c r="I673" s="328">
        <v>1300.0</v>
      </c>
      <c r="J673" s="324"/>
      <c r="K673" s="322"/>
      <c r="L673" s="323"/>
      <c r="M673" s="324">
        <v>1300.0</v>
      </c>
      <c r="N673" s="284">
        <v>1.7</v>
      </c>
      <c r="O673" s="322">
        <v>3500.0</v>
      </c>
      <c r="P673" s="313">
        <f>MAX(O673:O677)</f>
        <v>3500</v>
      </c>
      <c r="Q673" s="319">
        <f>P673</f>
        <v>3500</v>
      </c>
      <c r="R673" s="329" t="s">
        <v>8073</v>
      </c>
      <c r="S673" s="330">
        <v>46141.464163530094</v>
      </c>
      <c r="T673" s="2"/>
      <c r="U673" s="289">
        <f t="shared" si="353"/>
        <v>2200</v>
      </c>
      <c r="V673" s="304" t="str">
        <f t="shared" si="355"/>
        <v>нет з/ч</v>
      </c>
      <c r="W673" s="2"/>
      <c r="X673" s="289">
        <v>1300.0</v>
      </c>
      <c r="Y673" s="139"/>
      <c r="Z673" s="2"/>
      <c r="AA673" s="2" t="s">
        <v>8071</v>
      </c>
      <c r="AB673" s="2" t="s">
        <v>8071</v>
      </c>
      <c r="AC673" s="2"/>
      <c r="AD673" s="2" t="s">
        <v>8071</v>
      </c>
      <c r="AE673" s="3" t="s">
        <v>8070</v>
      </c>
      <c r="AF673" s="2"/>
      <c r="AG673" s="1" t="s">
        <v>1582</v>
      </c>
      <c r="AH673" s="1" t="s">
        <v>6137</v>
      </c>
      <c r="AI673" s="2">
        <v>90.0</v>
      </c>
      <c r="AJ673" s="1" t="s">
        <v>1589</v>
      </c>
      <c r="AK673" s="1" t="s">
        <v>5878</v>
      </c>
      <c r="AL673" s="1" t="s">
        <v>5878</v>
      </c>
      <c r="AM673" s="2"/>
      <c r="AN673" s="2"/>
      <c r="AO673" s="2"/>
      <c r="AP673" s="2"/>
      <c r="AQ673" s="2"/>
      <c r="AR673" s="2"/>
      <c r="AS673" s="2"/>
      <c r="AT673" s="2"/>
      <c r="AU673" s="126">
        <v>1300.0</v>
      </c>
      <c r="AV673" s="126">
        <v>3500.0</v>
      </c>
      <c r="AW673" s="2"/>
      <c r="AX673" s="2"/>
      <c r="AY673" s="2"/>
      <c r="AZ673" s="2"/>
      <c r="BA673" s="2"/>
      <c r="BB673" s="2"/>
      <c r="BC673" s="2"/>
      <c r="BD673" s="2"/>
      <c r="BE673" s="2"/>
    </row>
    <row r="674" hidden="1">
      <c r="A674" s="2"/>
      <c r="B674" s="335" t="s">
        <v>8074</v>
      </c>
      <c r="C674" s="320" t="s">
        <v>8075</v>
      </c>
      <c r="D674" s="31">
        <v>90.0</v>
      </c>
      <c r="E674" s="31" t="s">
        <v>254</v>
      </c>
      <c r="F674" s="11" t="s">
        <v>7832</v>
      </c>
      <c r="G674" s="327" t="s">
        <v>8076</v>
      </c>
      <c r="H674" s="322"/>
      <c r="I674" s="328">
        <v>1300.0</v>
      </c>
      <c r="J674" s="324"/>
      <c r="K674" s="322"/>
      <c r="L674" s="323"/>
      <c r="M674" s="324">
        <v>1300.0</v>
      </c>
      <c r="N674" s="284">
        <v>1.7</v>
      </c>
      <c r="O674" s="322">
        <v>3500.0</v>
      </c>
      <c r="P674" s="104"/>
      <c r="Q674" s="319">
        <f>P673</f>
        <v>3500</v>
      </c>
      <c r="R674" s="329" t="s">
        <v>8077</v>
      </c>
      <c r="S674" s="330">
        <v>46141.46421476852</v>
      </c>
      <c r="T674" s="2"/>
      <c r="U674" s="289">
        <f t="shared" si="353"/>
        <v>2200</v>
      </c>
      <c r="V674" s="304" t="str">
        <f t="shared" si="355"/>
        <v>нет з/ч</v>
      </c>
      <c r="W674" s="2"/>
      <c r="X674" s="289">
        <v>1300.0</v>
      </c>
      <c r="Y674" s="139"/>
      <c r="Z674" s="2"/>
      <c r="AA674" s="2" t="s">
        <v>8075</v>
      </c>
      <c r="AB674" s="2" t="s">
        <v>8075</v>
      </c>
      <c r="AC674" s="2"/>
      <c r="AD674" s="2" t="s">
        <v>8075</v>
      </c>
      <c r="AE674" s="3" t="s">
        <v>8074</v>
      </c>
      <c r="AF674" s="2"/>
      <c r="AG674" s="1" t="s">
        <v>1582</v>
      </c>
      <c r="AH674" s="1" t="s">
        <v>6137</v>
      </c>
      <c r="AI674" s="2">
        <v>90.0</v>
      </c>
      <c r="AJ674" s="1" t="s">
        <v>1589</v>
      </c>
      <c r="AK674" s="1" t="s">
        <v>5878</v>
      </c>
      <c r="AL674" s="1" t="s">
        <v>5878</v>
      </c>
      <c r="AM674" s="2"/>
      <c r="AN674" s="2"/>
      <c r="AO674" s="2"/>
      <c r="AP674" s="2"/>
      <c r="AQ674" s="2"/>
      <c r="AR674" s="2"/>
      <c r="AS674" s="2"/>
      <c r="AT674" s="2"/>
      <c r="AU674" s="126">
        <v>1300.0</v>
      </c>
      <c r="AV674" s="126">
        <v>3500.0</v>
      </c>
      <c r="AW674" s="2"/>
      <c r="AX674" s="2"/>
      <c r="AY674" s="2"/>
      <c r="AZ674" s="2"/>
      <c r="BA674" s="2"/>
      <c r="BB674" s="2"/>
      <c r="BC674" s="2"/>
      <c r="BD674" s="2"/>
      <c r="BE674" s="2"/>
    </row>
    <row r="675" hidden="1">
      <c r="A675" s="2"/>
      <c r="B675" s="335" t="s">
        <v>8078</v>
      </c>
      <c r="C675" s="93"/>
      <c r="D675" s="31">
        <v>90.0</v>
      </c>
      <c r="E675" s="31" t="s">
        <v>254</v>
      </c>
      <c r="F675" s="11" t="s">
        <v>7832</v>
      </c>
      <c r="G675" s="321"/>
      <c r="H675" s="322"/>
      <c r="I675" s="323"/>
      <c r="J675" s="324"/>
      <c r="K675" s="322"/>
      <c r="L675" s="323"/>
      <c r="M675" s="324" t="s">
        <v>22</v>
      </c>
      <c r="N675" s="284">
        <v>1.7</v>
      </c>
      <c r="O675" s="322" t="s">
        <v>22</v>
      </c>
      <c r="P675" s="104"/>
      <c r="Q675" s="319">
        <f>P673</f>
        <v>3500</v>
      </c>
      <c r="R675" s="331"/>
      <c r="S675" s="326"/>
      <c r="T675" s="2"/>
      <c r="U675" s="59" t="str">
        <f t="shared" si="353"/>
        <v>нет з/ч</v>
      </c>
      <c r="V675" s="304" t="str">
        <f t="shared" si="355"/>
        <v>нет з/ч</v>
      </c>
      <c r="W675" s="2"/>
      <c r="X675" s="289"/>
      <c r="Y675" s="139"/>
      <c r="Z675" s="2"/>
      <c r="AA675" s="2"/>
      <c r="AB675" s="2"/>
      <c r="AC675" s="2"/>
      <c r="AD675" s="2"/>
      <c r="AE675" s="3" t="s">
        <v>8078</v>
      </c>
      <c r="AF675" s="2"/>
      <c r="AG675" s="1" t="s">
        <v>1582</v>
      </c>
      <c r="AH675" s="1" t="s">
        <v>6137</v>
      </c>
      <c r="AI675" s="2">
        <v>90.0</v>
      </c>
      <c r="AJ675" s="1" t="s">
        <v>1589</v>
      </c>
      <c r="AK675" s="1" t="s">
        <v>5878</v>
      </c>
      <c r="AL675" s="1" t="s">
        <v>5878</v>
      </c>
      <c r="AM675" s="2"/>
      <c r="AN675" s="2"/>
      <c r="AO675" s="2"/>
      <c r="AP675" s="2"/>
      <c r="AQ675" s="2"/>
      <c r="AR675" s="2"/>
      <c r="AS675" s="2"/>
      <c r="AT675" s="2"/>
      <c r="AU675" s="126" t="s">
        <v>22</v>
      </c>
      <c r="AV675" s="126">
        <v>3500.0</v>
      </c>
      <c r="AW675" s="2"/>
      <c r="AX675" s="2"/>
      <c r="AY675" s="2"/>
      <c r="AZ675" s="2"/>
      <c r="BA675" s="2"/>
      <c r="BB675" s="2"/>
      <c r="BC675" s="2"/>
      <c r="BD675" s="2"/>
      <c r="BE675" s="2"/>
    </row>
    <row r="676" hidden="1">
      <c r="A676" s="2"/>
      <c r="B676" s="335" t="s">
        <v>8079</v>
      </c>
      <c r="C676" s="93"/>
      <c r="D676" s="31">
        <v>90.0</v>
      </c>
      <c r="E676" s="31" t="s">
        <v>254</v>
      </c>
      <c r="F676" s="11" t="s">
        <v>7832</v>
      </c>
      <c r="G676" s="321"/>
      <c r="H676" s="322"/>
      <c r="I676" s="323"/>
      <c r="J676" s="324"/>
      <c r="K676" s="322"/>
      <c r="L676" s="323"/>
      <c r="M676" s="324" t="s">
        <v>22</v>
      </c>
      <c r="N676" s="284">
        <v>1.7</v>
      </c>
      <c r="O676" s="322" t="s">
        <v>22</v>
      </c>
      <c r="P676" s="104"/>
      <c r="Q676" s="319">
        <f>P673</f>
        <v>3500</v>
      </c>
      <c r="R676" s="331"/>
      <c r="S676" s="326"/>
      <c r="T676" s="2"/>
      <c r="U676" s="59" t="str">
        <f t="shared" si="353"/>
        <v>нет з/ч</v>
      </c>
      <c r="V676" s="304" t="str">
        <f t="shared" si="355"/>
        <v>нет з/ч</v>
      </c>
      <c r="W676" s="2"/>
      <c r="X676" s="289"/>
      <c r="Y676" s="139"/>
      <c r="Z676" s="2"/>
      <c r="AA676" s="2"/>
      <c r="AB676" s="2"/>
      <c r="AC676" s="2"/>
      <c r="AD676" s="2"/>
      <c r="AE676" s="3" t="s">
        <v>8079</v>
      </c>
      <c r="AF676" s="2"/>
      <c r="AG676" s="1" t="s">
        <v>1582</v>
      </c>
      <c r="AH676" s="1" t="s">
        <v>6137</v>
      </c>
      <c r="AI676" s="2">
        <v>90.0</v>
      </c>
      <c r="AJ676" s="1" t="s">
        <v>1589</v>
      </c>
      <c r="AK676" s="1" t="s">
        <v>5878</v>
      </c>
      <c r="AL676" s="1" t="s">
        <v>5878</v>
      </c>
      <c r="AM676" s="2"/>
      <c r="AN676" s="2"/>
      <c r="AO676" s="2"/>
      <c r="AP676" s="2"/>
      <c r="AQ676" s="2"/>
      <c r="AR676" s="2"/>
      <c r="AS676" s="2"/>
      <c r="AT676" s="2"/>
      <c r="AU676" s="126" t="s">
        <v>22</v>
      </c>
      <c r="AV676" s="126">
        <v>3500.0</v>
      </c>
      <c r="AW676" s="2"/>
      <c r="AX676" s="2"/>
      <c r="AY676" s="2"/>
      <c r="AZ676" s="2"/>
      <c r="BA676" s="2"/>
      <c r="BB676" s="2"/>
      <c r="BC676" s="2"/>
      <c r="BD676" s="2"/>
      <c r="BE676" s="2"/>
    </row>
    <row r="677" hidden="1">
      <c r="A677" s="2"/>
      <c r="B677" s="335" t="s">
        <v>8080</v>
      </c>
      <c r="C677" s="93"/>
      <c r="D677" s="31">
        <v>90.0</v>
      </c>
      <c r="E677" s="31" t="s">
        <v>254</v>
      </c>
      <c r="F677" s="11" t="s">
        <v>7832</v>
      </c>
      <c r="G677" s="321"/>
      <c r="H677" s="322"/>
      <c r="I677" s="323"/>
      <c r="J677" s="324"/>
      <c r="K677" s="322"/>
      <c r="L677" s="323"/>
      <c r="M677" s="324" t="s">
        <v>22</v>
      </c>
      <c r="N677" s="284">
        <v>1.7</v>
      </c>
      <c r="O677" s="322" t="s">
        <v>22</v>
      </c>
      <c r="P677" s="67"/>
      <c r="Q677" s="319">
        <f>P673</f>
        <v>3500</v>
      </c>
      <c r="R677" s="331"/>
      <c r="S677" s="326"/>
      <c r="T677" s="2"/>
      <c r="U677" s="59" t="str">
        <f t="shared" si="353"/>
        <v>нет з/ч</v>
      </c>
      <c r="V677" s="304" t="str">
        <f t="shared" si="355"/>
        <v>нет з/ч</v>
      </c>
      <c r="W677" s="2"/>
      <c r="X677" s="289"/>
      <c r="Y677" s="139"/>
      <c r="Z677" s="2"/>
      <c r="AA677" s="2"/>
      <c r="AB677" s="2"/>
      <c r="AC677" s="2"/>
      <c r="AD677" s="2"/>
      <c r="AE677" s="3" t="s">
        <v>8080</v>
      </c>
      <c r="AF677" s="2"/>
      <c r="AG677" s="1" t="s">
        <v>1582</v>
      </c>
      <c r="AH677" s="1" t="s">
        <v>6137</v>
      </c>
      <c r="AI677" s="2">
        <v>90.0</v>
      </c>
      <c r="AJ677" s="1" t="s">
        <v>1589</v>
      </c>
      <c r="AK677" s="1" t="s">
        <v>5878</v>
      </c>
      <c r="AL677" s="1" t="s">
        <v>5878</v>
      </c>
      <c r="AM677" s="2"/>
      <c r="AN677" s="2"/>
      <c r="AO677" s="2"/>
      <c r="AP677" s="2"/>
      <c r="AQ677" s="2"/>
      <c r="AR677" s="2"/>
      <c r="AS677" s="2"/>
      <c r="AT677" s="2"/>
      <c r="AU677" s="126" t="s">
        <v>22</v>
      </c>
      <c r="AV677" s="126">
        <v>3500.0</v>
      </c>
      <c r="AW677" s="2"/>
      <c r="AX677" s="2"/>
      <c r="AY677" s="2"/>
      <c r="AZ677" s="2"/>
      <c r="BA677" s="2"/>
      <c r="BB677" s="2"/>
      <c r="BC677" s="2"/>
      <c r="BD677" s="2"/>
      <c r="BE677" s="2"/>
    </row>
    <row r="678" hidden="1">
      <c r="A678" s="2"/>
      <c r="B678" s="335" t="s">
        <v>8081</v>
      </c>
      <c r="C678" s="320" t="s">
        <v>8082</v>
      </c>
      <c r="D678" s="31">
        <v>90.0</v>
      </c>
      <c r="E678" s="31" t="s">
        <v>262</v>
      </c>
      <c r="F678" s="11" t="s">
        <v>7832</v>
      </c>
      <c r="G678" s="327" t="s">
        <v>8083</v>
      </c>
      <c r="H678" s="322"/>
      <c r="I678" s="328">
        <v>1100.0</v>
      </c>
      <c r="J678" s="324"/>
      <c r="K678" s="322"/>
      <c r="L678" s="323"/>
      <c r="M678" s="324">
        <v>1100.0</v>
      </c>
      <c r="N678" s="284">
        <v>1.5</v>
      </c>
      <c r="O678" s="322">
        <v>2750.0</v>
      </c>
      <c r="P678" s="313">
        <f>MAX(O678:O683)</f>
        <v>2750</v>
      </c>
      <c r="Q678" s="319">
        <f>P678</f>
        <v>2750</v>
      </c>
      <c r="R678" s="329" t="s">
        <v>8084</v>
      </c>
      <c r="S678" s="330">
        <v>46141.46426493056</v>
      </c>
      <c r="T678" s="2"/>
      <c r="U678" s="289">
        <f t="shared" si="353"/>
        <v>1650</v>
      </c>
      <c r="V678" s="304" t="str">
        <f t="shared" si="355"/>
        <v>нет з/ч</v>
      </c>
      <c r="W678" s="2"/>
      <c r="X678" s="289">
        <v>1100.0</v>
      </c>
      <c r="Y678" s="139"/>
      <c r="Z678" s="2"/>
      <c r="AA678" s="2" t="s">
        <v>8082</v>
      </c>
      <c r="AB678" s="2" t="s">
        <v>8082</v>
      </c>
      <c r="AC678" s="2"/>
      <c r="AD678" s="2" t="s">
        <v>8082</v>
      </c>
      <c r="AE678" s="3" t="s">
        <v>8081</v>
      </c>
      <c r="AF678" s="2"/>
      <c r="AG678" s="1" t="s">
        <v>1582</v>
      </c>
      <c r="AH678" s="1" t="s">
        <v>6161</v>
      </c>
      <c r="AI678" s="2">
        <v>90.0</v>
      </c>
      <c r="AJ678" s="1" t="s">
        <v>1589</v>
      </c>
      <c r="AK678" s="1" t="s">
        <v>5878</v>
      </c>
      <c r="AL678" s="1" t="s">
        <v>5878</v>
      </c>
      <c r="AM678" s="2"/>
      <c r="AN678" s="2"/>
      <c r="AO678" s="2"/>
      <c r="AP678" s="2"/>
      <c r="AQ678" s="2"/>
      <c r="AR678" s="2"/>
      <c r="AS678" s="2"/>
      <c r="AT678" s="2"/>
      <c r="AU678" s="126">
        <v>1100.0</v>
      </c>
      <c r="AV678" s="126">
        <v>2750.0</v>
      </c>
      <c r="AW678" s="2"/>
      <c r="AX678" s="2"/>
      <c r="AY678" s="2"/>
      <c r="AZ678" s="2"/>
      <c r="BA678" s="2"/>
      <c r="BB678" s="2"/>
      <c r="BC678" s="2"/>
      <c r="BD678" s="2"/>
      <c r="BE678" s="2"/>
    </row>
    <row r="679" hidden="1">
      <c r="A679" s="2"/>
      <c r="B679" s="335" t="s">
        <v>8085</v>
      </c>
      <c r="C679" s="320" t="s">
        <v>8086</v>
      </c>
      <c r="D679" s="31">
        <v>90.0</v>
      </c>
      <c r="E679" s="31" t="s">
        <v>262</v>
      </c>
      <c r="F679" s="11" t="s">
        <v>7832</v>
      </c>
      <c r="G679" s="327" t="s">
        <v>8087</v>
      </c>
      <c r="H679" s="322"/>
      <c r="I679" s="328">
        <v>1100.0</v>
      </c>
      <c r="J679" s="324"/>
      <c r="K679" s="322"/>
      <c r="L679" s="323"/>
      <c r="M679" s="324">
        <v>1100.0</v>
      </c>
      <c r="N679" s="284">
        <v>1.5</v>
      </c>
      <c r="O679" s="322">
        <v>2750.0</v>
      </c>
      <c r="P679" s="104"/>
      <c r="Q679" s="319">
        <f>P678</f>
        <v>2750</v>
      </c>
      <c r="R679" s="329" t="s">
        <v>8088</v>
      </c>
      <c r="S679" s="330">
        <v>46141.46431703704</v>
      </c>
      <c r="T679" s="2"/>
      <c r="U679" s="289">
        <f t="shared" si="353"/>
        <v>1650</v>
      </c>
      <c r="V679" s="304" t="str">
        <f t="shared" si="355"/>
        <v>нет з/ч</v>
      </c>
      <c r="W679" s="2"/>
      <c r="X679" s="289">
        <v>1100.0</v>
      </c>
      <c r="Y679" s="139"/>
      <c r="Z679" s="2"/>
      <c r="AA679" s="2" t="s">
        <v>8086</v>
      </c>
      <c r="AB679" s="2" t="s">
        <v>8086</v>
      </c>
      <c r="AC679" s="2"/>
      <c r="AD679" s="2" t="s">
        <v>8086</v>
      </c>
      <c r="AE679" s="3" t="s">
        <v>8085</v>
      </c>
      <c r="AF679" s="2"/>
      <c r="AG679" s="1" t="s">
        <v>1582</v>
      </c>
      <c r="AH679" s="1" t="s">
        <v>6161</v>
      </c>
      <c r="AI679" s="2">
        <v>90.0</v>
      </c>
      <c r="AJ679" s="1" t="s">
        <v>1589</v>
      </c>
      <c r="AK679" s="1" t="s">
        <v>5878</v>
      </c>
      <c r="AL679" s="1" t="s">
        <v>5878</v>
      </c>
      <c r="AM679" s="2"/>
      <c r="AN679" s="2"/>
      <c r="AO679" s="2"/>
      <c r="AP679" s="2"/>
      <c r="AQ679" s="2"/>
      <c r="AR679" s="2"/>
      <c r="AS679" s="2"/>
      <c r="AT679" s="2"/>
      <c r="AU679" s="126">
        <v>1100.0</v>
      </c>
      <c r="AV679" s="126">
        <v>2750.0</v>
      </c>
      <c r="AW679" s="2"/>
      <c r="AX679" s="2"/>
      <c r="AY679" s="2"/>
      <c r="AZ679" s="2"/>
      <c r="BA679" s="2"/>
      <c r="BB679" s="2"/>
      <c r="BC679" s="2"/>
      <c r="BD679" s="2"/>
      <c r="BE679" s="2"/>
    </row>
    <row r="680" hidden="1">
      <c r="A680" s="2"/>
      <c r="B680" s="335" t="s">
        <v>8089</v>
      </c>
      <c r="C680" s="93"/>
      <c r="D680" s="31">
        <v>90.0</v>
      </c>
      <c r="E680" s="31" t="s">
        <v>262</v>
      </c>
      <c r="F680" s="11" t="s">
        <v>7832</v>
      </c>
      <c r="G680" s="321"/>
      <c r="H680" s="322"/>
      <c r="I680" s="323"/>
      <c r="J680" s="324"/>
      <c r="K680" s="322"/>
      <c r="L680" s="323"/>
      <c r="M680" s="324" t="s">
        <v>22</v>
      </c>
      <c r="N680" s="284">
        <v>1.5</v>
      </c>
      <c r="O680" s="322" t="s">
        <v>22</v>
      </c>
      <c r="P680" s="104"/>
      <c r="Q680" s="319">
        <f>P678</f>
        <v>2750</v>
      </c>
      <c r="R680" s="331"/>
      <c r="S680" s="326"/>
      <c r="T680" s="2"/>
      <c r="U680" s="59" t="str">
        <f t="shared" si="353"/>
        <v>нет з/ч</v>
      </c>
      <c r="V680" s="304" t="str">
        <f t="shared" si="355"/>
        <v>нет з/ч</v>
      </c>
      <c r="W680" s="2"/>
      <c r="X680" s="289"/>
      <c r="Y680" s="139"/>
      <c r="Z680" s="2"/>
      <c r="AA680" s="2"/>
      <c r="AB680" s="2"/>
      <c r="AC680" s="2"/>
      <c r="AD680" s="2"/>
      <c r="AE680" s="3" t="s">
        <v>8089</v>
      </c>
      <c r="AF680" s="2"/>
      <c r="AG680" s="1" t="s">
        <v>1582</v>
      </c>
      <c r="AH680" s="1" t="s">
        <v>6161</v>
      </c>
      <c r="AI680" s="2">
        <v>90.0</v>
      </c>
      <c r="AJ680" s="1" t="s">
        <v>1589</v>
      </c>
      <c r="AK680" s="1" t="s">
        <v>5878</v>
      </c>
      <c r="AL680" s="1" t="s">
        <v>5878</v>
      </c>
      <c r="AM680" s="2"/>
      <c r="AN680" s="2"/>
      <c r="AO680" s="2"/>
      <c r="AP680" s="2"/>
      <c r="AQ680" s="2"/>
      <c r="AR680" s="2"/>
      <c r="AS680" s="2"/>
      <c r="AT680" s="2"/>
      <c r="AU680" s="126" t="s">
        <v>22</v>
      </c>
      <c r="AV680" s="126">
        <v>2750.0</v>
      </c>
      <c r="AW680" s="2"/>
      <c r="AX680" s="2"/>
      <c r="AY680" s="2"/>
      <c r="AZ680" s="2"/>
      <c r="BA680" s="2"/>
      <c r="BB680" s="2"/>
      <c r="BC680" s="2"/>
      <c r="BD680" s="2"/>
      <c r="BE680" s="2"/>
    </row>
    <row r="681" hidden="1">
      <c r="A681" s="2"/>
      <c r="B681" s="335" t="s">
        <v>8090</v>
      </c>
      <c r="C681" s="93"/>
      <c r="D681" s="31">
        <v>90.0</v>
      </c>
      <c r="E681" s="31" t="s">
        <v>262</v>
      </c>
      <c r="F681" s="11" t="s">
        <v>7832</v>
      </c>
      <c r="G681" s="321"/>
      <c r="H681" s="322"/>
      <c r="I681" s="323"/>
      <c r="J681" s="324"/>
      <c r="K681" s="322"/>
      <c r="L681" s="323"/>
      <c r="M681" s="324" t="s">
        <v>22</v>
      </c>
      <c r="N681" s="284">
        <v>1.5</v>
      </c>
      <c r="O681" s="322" t="s">
        <v>22</v>
      </c>
      <c r="P681" s="104"/>
      <c r="Q681" s="319">
        <f>P678</f>
        <v>2750</v>
      </c>
      <c r="R681" s="331"/>
      <c r="S681" s="326"/>
      <c r="T681" s="2"/>
      <c r="U681" s="59" t="str">
        <f t="shared" si="353"/>
        <v>нет з/ч</v>
      </c>
      <c r="V681" s="304" t="str">
        <f t="shared" si="355"/>
        <v>нет з/ч</v>
      </c>
      <c r="W681" s="2"/>
      <c r="X681" s="289"/>
      <c r="Y681" s="139"/>
      <c r="Z681" s="2"/>
      <c r="AA681" s="2"/>
      <c r="AB681" s="2"/>
      <c r="AC681" s="2"/>
      <c r="AD681" s="2"/>
      <c r="AE681" s="3" t="s">
        <v>8090</v>
      </c>
      <c r="AF681" s="2"/>
      <c r="AG681" s="1" t="s">
        <v>1582</v>
      </c>
      <c r="AH681" s="1" t="s">
        <v>6161</v>
      </c>
      <c r="AI681" s="2">
        <v>90.0</v>
      </c>
      <c r="AJ681" s="1" t="s">
        <v>1589</v>
      </c>
      <c r="AK681" s="1" t="s">
        <v>5878</v>
      </c>
      <c r="AL681" s="1" t="s">
        <v>5878</v>
      </c>
      <c r="AM681" s="2"/>
      <c r="AN681" s="2"/>
      <c r="AO681" s="2"/>
      <c r="AP681" s="2"/>
      <c r="AQ681" s="2"/>
      <c r="AR681" s="2"/>
      <c r="AS681" s="2"/>
      <c r="AT681" s="2"/>
      <c r="AU681" s="126" t="s">
        <v>22</v>
      </c>
      <c r="AV681" s="126">
        <v>2750.0</v>
      </c>
      <c r="AW681" s="2"/>
      <c r="AX681" s="2"/>
      <c r="AY681" s="2"/>
      <c r="AZ681" s="2"/>
      <c r="BA681" s="2"/>
      <c r="BB681" s="2"/>
      <c r="BC681" s="2"/>
      <c r="BD681" s="2"/>
      <c r="BE681" s="2"/>
    </row>
    <row r="682" hidden="1">
      <c r="A682" s="2"/>
      <c r="B682" s="335" t="s">
        <v>8091</v>
      </c>
      <c r="C682" s="93"/>
      <c r="D682" s="31">
        <v>90.0</v>
      </c>
      <c r="E682" s="31" t="s">
        <v>262</v>
      </c>
      <c r="F682" s="11" t="s">
        <v>7832</v>
      </c>
      <c r="G682" s="321"/>
      <c r="H682" s="322"/>
      <c r="I682" s="323"/>
      <c r="J682" s="324"/>
      <c r="K682" s="322"/>
      <c r="L682" s="323"/>
      <c r="M682" s="324" t="s">
        <v>22</v>
      </c>
      <c r="N682" s="284">
        <v>1.5</v>
      </c>
      <c r="O682" s="322" t="s">
        <v>22</v>
      </c>
      <c r="P682" s="104"/>
      <c r="Q682" s="319">
        <f>P678</f>
        <v>2750</v>
      </c>
      <c r="R682" s="331"/>
      <c r="S682" s="326"/>
      <c r="T682" s="2"/>
      <c r="U682" s="59" t="str">
        <f t="shared" si="353"/>
        <v>нет з/ч</v>
      </c>
      <c r="V682" s="304" t="str">
        <f t="shared" si="355"/>
        <v>нет з/ч</v>
      </c>
      <c r="W682" s="2"/>
      <c r="X682" s="289"/>
      <c r="Y682" s="139"/>
      <c r="Z682" s="2"/>
      <c r="AA682" s="2"/>
      <c r="AB682" s="2"/>
      <c r="AC682" s="2"/>
      <c r="AD682" s="2"/>
      <c r="AE682" s="3" t="s">
        <v>8091</v>
      </c>
      <c r="AF682" s="2"/>
      <c r="AG682" s="1" t="s">
        <v>1582</v>
      </c>
      <c r="AH682" s="1" t="s">
        <v>6161</v>
      </c>
      <c r="AI682" s="2">
        <v>90.0</v>
      </c>
      <c r="AJ682" s="1" t="s">
        <v>1589</v>
      </c>
      <c r="AK682" s="1" t="s">
        <v>5878</v>
      </c>
      <c r="AL682" s="1" t="s">
        <v>5878</v>
      </c>
      <c r="AM682" s="2"/>
      <c r="AN682" s="2"/>
      <c r="AO682" s="2"/>
      <c r="AP682" s="2"/>
      <c r="AQ682" s="2"/>
      <c r="AR682" s="2"/>
      <c r="AS682" s="2"/>
      <c r="AT682" s="2"/>
      <c r="AU682" s="126" t="s">
        <v>22</v>
      </c>
      <c r="AV682" s="126">
        <v>2750.0</v>
      </c>
      <c r="AW682" s="2"/>
      <c r="AX682" s="2"/>
      <c r="AY682" s="2"/>
      <c r="AZ682" s="2"/>
      <c r="BA682" s="2"/>
      <c r="BB682" s="2"/>
      <c r="BC682" s="2"/>
      <c r="BD682" s="2"/>
      <c r="BE682" s="2"/>
    </row>
    <row r="683" hidden="1">
      <c r="A683" s="2"/>
      <c r="B683" s="335" t="s">
        <v>8092</v>
      </c>
      <c r="C683" s="93"/>
      <c r="D683" s="31">
        <v>90.0</v>
      </c>
      <c r="E683" s="31" t="s">
        <v>262</v>
      </c>
      <c r="F683" s="11" t="s">
        <v>7832</v>
      </c>
      <c r="G683" s="321"/>
      <c r="H683" s="322"/>
      <c r="I683" s="323"/>
      <c r="J683" s="324"/>
      <c r="K683" s="322"/>
      <c r="L683" s="323"/>
      <c r="M683" s="324" t="s">
        <v>22</v>
      </c>
      <c r="N683" s="284">
        <v>1.5</v>
      </c>
      <c r="O683" s="322" t="s">
        <v>22</v>
      </c>
      <c r="P683" s="67"/>
      <c r="Q683" s="319">
        <f>P678</f>
        <v>2750</v>
      </c>
      <c r="R683" s="331"/>
      <c r="S683" s="326"/>
      <c r="T683" s="2"/>
      <c r="U683" s="59" t="str">
        <f t="shared" si="353"/>
        <v>нет з/ч</v>
      </c>
      <c r="V683" s="304" t="str">
        <f t="shared" si="355"/>
        <v>нет з/ч</v>
      </c>
      <c r="W683" s="2"/>
      <c r="X683" s="289"/>
      <c r="Y683" s="139"/>
      <c r="Z683" s="2"/>
      <c r="AA683" s="2"/>
      <c r="AB683" s="2"/>
      <c r="AC683" s="2"/>
      <c r="AD683" s="2"/>
      <c r="AE683" s="3" t="s">
        <v>8092</v>
      </c>
      <c r="AF683" s="2"/>
      <c r="AG683" s="1" t="s">
        <v>1582</v>
      </c>
      <c r="AH683" s="1" t="s">
        <v>6161</v>
      </c>
      <c r="AI683" s="2">
        <v>90.0</v>
      </c>
      <c r="AJ683" s="1" t="s">
        <v>1589</v>
      </c>
      <c r="AK683" s="1" t="s">
        <v>5878</v>
      </c>
      <c r="AL683" s="1" t="s">
        <v>5878</v>
      </c>
      <c r="AM683" s="2"/>
      <c r="AN683" s="2"/>
      <c r="AO683" s="2"/>
      <c r="AP683" s="2"/>
      <c r="AQ683" s="2"/>
      <c r="AR683" s="2"/>
      <c r="AS683" s="2"/>
      <c r="AT683" s="2"/>
      <c r="AU683" s="126" t="s">
        <v>22</v>
      </c>
      <c r="AV683" s="126">
        <v>2750.0</v>
      </c>
      <c r="AW683" s="2"/>
      <c r="AX683" s="2"/>
      <c r="AY683" s="2"/>
      <c r="AZ683" s="2"/>
      <c r="BA683" s="2"/>
      <c r="BB683" s="2"/>
      <c r="BC683" s="2"/>
      <c r="BD683" s="2"/>
      <c r="BE683" s="2"/>
    </row>
    <row r="684" hidden="1">
      <c r="A684" s="2"/>
      <c r="B684" s="335" t="s">
        <v>8093</v>
      </c>
      <c r="C684" s="93"/>
      <c r="D684" s="31">
        <v>90.0</v>
      </c>
      <c r="E684" s="31" t="s">
        <v>269</v>
      </c>
      <c r="F684" s="11" t="s">
        <v>7832</v>
      </c>
      <c r="G684" s="327" t="s">
        <v>8094</v>
      </c>
      <c r="H684" s="322"/>
      <c r="I684" s="328">
        <v>1300.0</v>
      </c>
      <c r="J684" s="324"/>
      <c r="K684" s="322"/>
      <c r="L684" s="323"/>
      <c r="M684" s="324">
        <v>1300.0</v>
      </c>
      <c r="N684" s="284">
        <v>1.5</v>
      </c>
      <c r="O684" s="322">
        <v>3250.0</v>
      </c>
      <c r="P684" s="313">
        <f>MAX(O684:O689)</f>
        <v>3250</v>
      </c>
      <c r="Q684" s="319">
        <f>P684</f>
        <v>3250</v>
      </c>
      <c r="R684" s="329" t="s">
        <v>8095</v>
      </c>
      <c r="S684" s="330">
        <v>46141.46436662037</v>
      </c>
      <c r="T684" s="2"/>
      <c r="U684" s="289">
        <f t="shared" si="353"/>
        <v>1950</v>
      </c>
      <c r="V684" s="304" t="str">
        <f t="shared" si="355"/>
        <v>нет з/ч</v>
      </c>
      <c r="W684" s="2"/>
      <c r="X684" s="289">
        <v>1300.0</v>
      </c>
      <c r="Y684" s="139"/>
      <c r="Z684" s="2"/>
      <c r="AA684" s="2"/>
      <c r="AB684" s="2"/>
      <c r="AC684" s="2"/>
      <c r="AD684" s="2"/>
      <c r="AE684" s="3" t="s">
        <v>8093</v>
      </c>
      <c r="AF684" s="2"/>
      <c r="AG684" s="1" t="s">
        <v>1582</v>
      </c>
      <c r="AH684" s="1" t="s">
        <v>6185</v>
      </c>
      <c r="AI684" s="2">
        <v>90.0</v>
      </c>
      <c r="AJ684" s="1" t="s">
        <v>1589</v>
      </c>
      <c r="AK684" s="1" t="s">
        <v>5878</v>
      </c>
      <c r="AL684" s="1" t="s">
        <v>5878</v>
      </c>
      <c r="AM684" s="2"/>
      <c r="AN684" s="2"/>
      <c r="AO684" s="2"/>
      <c r="AP684" s="2"/>
      <c r="AQ684" s="2"/>
      <c r="AR684" s="2"/>
      <c r="AS684" s="2"/>
      <c r="AT684" s="2"/>
      <c r="AU684" s="126">
        <v>1300.0</v>
      </c>
      <c r="AV684" s="126">
        <v>3250.0</v>
      </c>
      <c r="AW684" s="2"/>
      <c r="AX684" s="2"/>
      <c r="AY684" s="2"/>
      <c r="AZ684" s="2"/>
      <c r="BA684" s="2"/>
      <c r="BB684" s="2"/>
      <c r="BC684" s="2"/>
      <c r="BD684" s="2"/>
      <c r="BE684" s="2"/>
    </row>
    <row r="685" hidden="1">
      <c r="A685" s="2"/>
      <c r="B685" s="335" t="s">
        <v>8096</v>
      </c>
      <c r="C685" s="320" t="s">
        <v>8097</v>
      </c>
      <c r="D685" s="31">
        <v>90.0</v>
      </c>
      <c r="E685" s="31" t="s">
        <v>269</v>
      </c>
      <c r="F685" s="11" t="s">
        <v>7832</v>
      </c>
      <c r="G685" s="327" t="s">
        <v>8098</v>
      </c>
      <c r="H685" s="322"/>
      <c r="I685" s="328">
        <v>1300.0</v>
      </c>
      <c r="J685" s="324"/>
      <c r="K685" s="322"/>
      <c r="L685" s="323"/>
      <c r="M685" s="324">
        <v>1300.0</v>
      </c>
      <c r="N685" s="284">
        <v>1.5</v>
      </c>
      <c r="O685" s="322">
        <v>3250.0</v>
      </c>
      <c r="P685" s="104"/>
      <c r="Q685" s="319">
        <f>P684</f>
        <v>3250</v>
      </c>
      <c r="R685" s="329" t="s">
        <v>8099</v>
      </c>
      <c r="S685" s="330">
        <v>46141.46441799769</v>
      </c>
      <c r="T685" s="2"/>
      <c r="U685" s="289">
        <f t="shared" si="353"/>
        <v>1950</v>
      </c>
      <c r="V685" s="304" t="str">
        <f t="shared" si="355"/>
        <v>нет з/ч</v>
      </c>
      <c r="W685" s="2"/>
      <c r="X685" s="289">
        <v>1300.0</v>
      </c>
      <c r="Y685" s="139"/>
      <c r="Z685" s="2"/>
      <c r="AA685" s="2" t="s">
        <v>8097</v>
      </c>
      <c r="AB685" s="2" t="s">
        <v>8097</v>
      </c>
      <c r="AC685" s="2"/>
      <c r="AD685" s="2" t="s">
        <v>8097</v>
      </c>
      <c r="AE685" s="3" t="s">
        <v>8096</v>
      </c>
      <c r="AF685" s="2"/>
      <c r="AG685" s="1" t="s">
        <v>1582</v>
      </c>
      <c r="AH685" s="1" t="s">
        <v>6185</v>
      </c>
      <c r="AI685" s="2">
        <v>90.0</v>
      </c>
      <c r="AJ685" s="1" t="s">
        <v>1589</v>
      </c>
      <c r="AK685" s="1" t="s">
        <v>5878</v>
      </c>
      <c r="AL685" s="1" t="s">
        <v>5878</v>
      </c>
      <c r="AM685" s="2"/>
      <c r="AN685" s="2"/>
      <c r="AO685" s="2"/>
      <c r="AP685" s="2"/>
      <c r="AQ685" s="2"/>
      <c r="AR685" s="2"/>
      <c r="AS685" s="2"/>
      <c r="AT685" s="2"/>
      <c r="AU685" s="126">
        <v>1300.0</v>
      </c>
      <c r="AV685" s="126">
        <v>3250.0</v>
      </c>
      <c r="AW685" s="2"/>
      <c r="AX685" s="2"/>
      <c r="AY685" s="2"/>
      <c r="AZ685" s="2"/>
      <c r="BA685" s="2"/>
      <c r="BB685" s="2"/>
      <c r="BC685" s="2"/>
      <c r="BD685" s="2"/>
      <c r="BE685" s="2"/>
    </row>
    <row r="686" hidden="1">
      <c r="A686" s="2"/>
      <c r="B686" s="335" t="s">
        <v>8100</v>
      </c>
      <c r="C686" s="93"/>
      <c r="D686" s="31">
        <v>90.0</v>
      </c>
      <c r="E686" s="31" t="s">
        <v>269</v>
      </c>
      <c r="F686" s="11" t="s">
        <v>7832</v>
      </c>
      <c r="G686" s="321"/>
      <c r="H686" s="322"/>
      <c r="I686" s="323"/>
      <c r="J686" s="324"/>
      <c r="K686" s="322"/>
      <c r="L686" s="323"/>
      <c r="M686" s="324" t="s">
        <v>22</v>
      </c>
      <c r="N686" s="284">
        <v>1.5</v>
      </c>
      <c r="O686" s="322" t="s">
        <v>22</v>
      </c>
      <c r="P686" s="104"/>
      <c r="Q686" s="319">
        <f>P684</f>
        <v>3250</v>
      </c>
      <c r="R686" s="331"/>
      <c r="S686" s="326"/>
      <c r="T686" s="2"/>
      <c r="U686" s="59" t="str">
        <f t="shared" si="353"/>
        <v>нет з/ч</v>
      </c>
      <c r="V686" s="304" t="str">
        <f t="shared" si="355"/>
        <v>нет з/ч</v>
      </c>
      <c r="W686" s="2"/>
      <c r="X686" s="289"/>
      <c r="Y686" s="139"/>
      <c r="Z686" s="2"/>
      <c r="AA686" s="2"/>
      <c r="AB686" s="2"/>
      <c r="AC686" s="2"/>
      <c r="AD686" s="2"/>
      <c r="AE686" s="3" t="s">
        <v>8100</v>
      </c>
      <c r="AF686" s="2"/>
      <c r="AG686" s="1" t="s">
        <v>1582</v>
      </c>
      <c r="AH686" s="1" t="s">
        <v>6185</v>
      </c>
      <c r="AI686" s="2">
        <v>90.0</v>
      </c>
      <c r="AJ686" s="1" t="s">
        <v>1589</v>
      </c>
      <c r="AK686" s="1" t="s">
        <v>5878</v>
      </c>
      <c r="AL686" s="1" t="s">
        <v>5878</v>
      </c>
      <c r="AM686" s="2"/>
      <c r="AN686" s="2"/>
      <c r="AO686" s="2"/>
      <c r="AP686" s="2"/>
      <c r="AQ686" s="2"/>
      <c r="AR686" s="2"/>
      <c r="AS686" s="2"/>
      <c r="AT686" s="2"/>
      <c r="AU686" s="126" t="s">
        <v>22</v>
      </c>
      <c r="AV686" s="126">
        <v>3250.0</v>
      </c>
      <c r="AW686" s="2"/>
      <c r="AX686" s="2"/>
      <c r="AY686" s="2"/>
      <c r="AZ686" s="2"/>
      <c r="BA686" s="2"/>
      <c r="BB686" s="2"/>
      <c r="BC686" s="2"/>
      <c r="BD686" s="2"/>
      <c r="BE686" s="2"/>
    </row>
    <row r="687" hidden="1">
      <c r="A687" s="2"/>
      <c r="B687" s="335" t="s">
        <v>8101</v>
      </c>
      <c r="C687" s="93"/>
      <c r="D687" s="31">
        <v>90.0</v>
      </c>
      <c r="E687" s="31" t="s">
        <v>269</v>
      </c>
      <c r="F687" s="11" t="s">
        <v>7832</v>
      </c>
      <c r="G687" s="321"/>
      <c r="H687" s="322"/>
      <c r="I687" s="323"/>
      <c r="J687" s="324"/>
      <c r="K687" s="322"/>
      <c r="L687" s="323"/>
      <c r="M687" s="324" t="s">
        <v>22</v>
      </c>
      <c r="N687" s="284">
        <v>1.5</v>
      </c>
      <c r="O687" s="322" t="s">
        <v>22</v>
      </c>
      <c r="P687" s="104"/>
      <c r="Q687" s="319">
        <f>P684</f>
        <v>3250</v>
      </c>
      <c r="R687" s="331"/>
      <c r="S687" s="326"/>
      <c r="T687" s="2"/>
      <c r="U687" s="59" t="str">
        <f t="shared" si="353"/>
        <v>нет з/ч</v>
      </c>
      <c r="V687" s="304" t="str">
        <f t="shared" si="355"/>
        <v>нет з/ч</v>
      </c>
      <c r="W687" s="2"/>
      <c r="X687" s="289"/>
      <c r="Y687" s="139"/>
      <c r="Z687" s="2"/>
      <c r="AA687" s="2"/>
      <c r="AB687" s="2"/>
      <c r="AC687" s="2"/>
      <c r="AD687" s="2"/>
      <c r="AE687" s="3" t="s">
        <v>8101</v>
      </c>
      <c r="AF687" s="2"/>
      <c r="AG687" s="1" t="s">
        <v>1582</v>
      </c>
      <c r="AH687" s="1" t="s">
        <v>6185</v>
      </c>
      <c r="AI687" s="2">
        <v>90.0</v>
      </c>
      <c r="AJ687" s="1" t="s">
        <v>1589</v>
      </c>
      <c r="AK687" s="1" t="s">
        <v>5878</v>
      </c>
      <c r="AL687" s="1" t="s">
        <v>5878</v>
      </c>
      <c r="AM687" s="2"/>
      <c r="AN687" s="2"/>
      <c r="AO687" s="2"/>
      <c r="AP687" s="2"/>
      <c r="AQ687" s="2"/>
      <c r="AR687" s="2"/>
      <c r="AS687" s="2"/>
      <c r="AT687" s="2"/>
      <c r="AU687" s="126" t="s">
        <v>22</v>
      </c>
      <c r="AV687" s="126">
        <v>3250.0</v>
      </c>
      <c r="AW687" s="2"/>
      <c r="AX687" s="2"/>
      <c r="AY687" s="2"/>
      <c r="AZ687" s="2"/>
      <c r="BA687" s="2"/>
      <c r="BB687" s="2"/>
      <c r="BC687" s="2"/>
      <c r="BD687" s="2"/>
      <c r="BE687" s="2"/>
    </row>
    <row r="688" hidden="1">
      <c r="A688" s="2"/>
      <c r="B688" s="335" t="s">
        <v>8102</v>
      </c>
      <c r="C688" s="93"/>
      <c r="D688" s="31">
        <v>90.0</v>
      </c>
      <c r="E688" s="31" t="s">
        <v>269</v>
      </c>
      <c r="F688" s="11" t="s">
        <v>7832</v>
      </c>
      <c r="G688" s="321"/>
      <c r="H688" s="322"/>
      <c r="I688" s="323"/>
      <c r="J688" s="324"/>
      <c r="K688" s="322"/>
      <c r="L688" s="323"/>
      <c r="M688" s="324" t="s">
        <v>22</v>
      </c>
      <c r="N688" s="284">
        <v>1.5</v>
      </c>
      <c r="O688" s="322" t="s">
        <v>22</v>
      </c>
      <c r="P688" s="104"/>
      <c r="Q688" s="319">
        <f>P684</f>
        <v>3250</v>
      </c>
      <c r="R688" s="331"/>
      <c r="S688" s="326"/>
      <c r="T688" s="2"/>
      <c r="U688" s="59" t="str">
        <f t="shared" si="353"/>
        <v>нет з/ч</v>
      </c>
      <c r="V688" s="304" t="str">
        <f t="shared" si="355"/>
        <v>нет з/ч</v>
      </c>
      <c r="W688" s="2"/>
      <c r="X688" s="289"/>
      <c r="Y688" s="139"/>
      <c r="Z688" s="2"/>
      <c r="AA688" s="2"/>
      <c r="AB688" s="2"/>
      <c r="AC688" s="2"/>
      <c r="AD688" s="2"/>
      <c r="AE688" s="3" t="s">
        <v>8102</v>
      </c>
      <c r="AF688" s="2"/>
      <c r="AG688" s="1" t="s">
        <v>1582</v>
      </c>
      <c r="AH688" s="1" t="s">
        <v>6185</v>
      </c>
      <c r="AI688" s="2">
        <v>90.0</v>
      </c>
      <c r="AJ688" s="1" t="s">
        <v>1589</v>
      </c>
      <c r="AK688" s="1" t="s">
        <v>5878</v>
      </c>
      <c r="AL688" s="1" t="s">
        <v>5878</v>
      </c>
      <c r="AM688" s="2"/>
      <c r="AN688" s="2"/>
      <c r="AO688" s="2"/>
      <c r="AP688" s="2"/>
      <c r="AQ688" s="2"/>
      <c r="AR688" s="2"/>
      <c r="AS688" s="2"/>
      <c r="AT688" s="2"/>
      <c r="AU688" s="126" t="s">
        <v>22</v>
      </c>
      <c r="AV688" s="126">
        <v>3250.0</v>
      </c>
      <c r="AW688" s="2"/>
      <c r="AX688" s="2"/>
      <c r="AY688" s="2"/>
      <c r="AZ688" s="2"/>
      <c r="BA688" s="2"/>
      <c r="BB688" s="2"/>
      <c r="BC688" s="2"/>
      <c r="BD688" s="2"/>
      <c r="BE688" s="2"/>
    </row>
    <row r="689" hidden="1">
      <c r="A689" s="2"/>
      <c r="B689" s="335" t="s">
        <v>8103</v>
      </c>
      <c r="C689" s="93"/>
      <c r="D689" s="31">
        <v>90.0</v>
      </c>
      <c r="E689" s="31" t="s">
        <v>269</v>
      </c>
      <c r="F689" s="11" t="s">
        <v>7832</v>
      </c>
      <c r="G689" s="321"/>
      <c r="H689" s="322"/>
      <c r="I689" s="323"/>
      <c r="J689" s="324"/>
      <c r="K689" s="322"/>
      <c r="L689" s="323"/>
      <c r="M689" s="324" t="s">
        <v>22</v>
      </c>
      <c r="N689" s="284">
        <v>1.5</v>
      </c>
      <c r="O689" s="322" t="s">
        <v>22</v>
      </c>
      <c r="P689" s="67"/>
      <c r="Q689" s="319">
        <f>P684</f>
        <v>3250</v>
      </c>
      <c r="R689" s="331"/>
      <c r="S689" s="326"/>
      <c r="T689" s="2"/>
      <c r="U689" s="59" t="str">
        <f t="shared" si="353"/>
        <v>нет з/ч</v>
      </c>
      <c r="V689" s="304" t="str">
        <f t="shared" si="355"/>
        <v>нет з/ч</v>
      </c>
      <c r="W689" s="2"/>
      <c r="X689" s="289"/>
      <c r="Y689" s="139"/>
      <c r="Z689" s="2"/>
      <c r="AA689" s="2"/>
      <c r="AB689" s="2"/>
      <c r="AC689" s="2"/>
      <c r="AD689" s="2"/>
      <c r="AE689" s="3" t="s">
        <v>8103</v>
      </c>
      <c r="AF689" s="2"/>
      <c r="AG689" s="1" t="s">
        <v>1582</v>
      </c>
      <c r="AH689" s="1" t="s">
        <v>6185</v>
      </c>
      <c r="AI689" s="2">
        <v>90.0</v>
      </c>
      <c r="AJ689" s="1" t="s">
        <v>1589</v>
      </c>
      <c r="AK689" s="1" t="s">
        <v>5878</v>
      </c>
      <c r="AL689" s="1" t="s">
        <v>5878</v>
      </c>
      <c r="AM689" s="2"/>
      <c r="AN689" s="2"/>
      <c r="AO689" s="2"/>
      <c r="AP689" s="2"/>
      <c r="AQ689" s="2"/>
      <c r="AR689" s="2"/>
      <c r="AS689" s="2"/>
      <c r="AT689" s="2"/>
      <c r="AU689" s="126" t="s">
        <v>22</v>
      </c>
      <c r="AV689" s="126">
        <v>3250.0</v>
      </c>
      <c r="AW689" s="2"/>
      <c r="AX689" s="2"/>
      <c r="AY689" s="2"/>
      <c r="AZ689" s="2"/>
      <c r="BA689" s="2"/>
      <c r="BB689" s="2"/>
      <c r="BC689" s="2"/>
      <c r="BD689" s="2"/>
      <c r="BE689" s="2"/>
    </row>
    <row r="690" hidden="1">
      <c r="A690" s="2"/>
      <c r="B690" s="335" t="s">
        <v>8104</v>
      </c>
      <c r="C690" s="320" t="s">
        <v>8105</v>
      </c>
      <c r="D690" s="31">
        <v>90.0</v>
      </c>
      <c r="E690" s="31" t="s">
        <v>276</v>
      </c>
      <c r="F690" s="11" t="s">
        <v>7832</v>
      </c>
      <c r="G690" s="327" t="s">
        <v>8106</v>
      </c>
      <c r="H690" s="322"/>
      <c r="I690" s="328">
        <v>1600.0</v>
      </c>
      <c r="J690" s="324"/>
      <c r="K690" s="322"/>
      <c r="L690" s="323"/>
      <c r="M690" s="324">
        <v>1600.0</v>
      </c>
      <c r="N690" s="284">
        <v>1.5</v>
      </c>
      <c r="O690" s="322">
        <v>4000.0</v>
      </c>
      <c r="P690" s="313">
        <f>MAX(O690:O693)</f>
        <v>4000</v>
      </c>
      <c r="Q690" s="319">
        <f>P690</f>
        <v>4000</v>
      </c>
      <c r="R690" s="329" t="s">
        <v>8107</v>
      </c>
      <c r="S690" s="330">
        <v>46141.46447086806</v>
      </c>
      <c r="T690" s="2"/>
      <c r="U690" s="289">
        <f t="shared" si="353"/>
        <v>2400</v>
      </c>
      <c r="V690" s="304" t="str">
        <f t="shared" si="355"/>
        <v>нет з/ч</v>
      </c>
      <c r="W690" s="2"/>
      <c r="X690" s="289">
        <v>1600.0</v>
      </c>
      <c r="Y690" s="139"/>
      <c r="Z690" s="2"/>
      <c r="AA690" s="2" t="s">
        <v>8105</v>
      </c>
      <c r="AB690" s="2" t="s">
        <v>8105</v>
      </c>
      <c r="AC690" s="2"/>
      <c r="AD690" s="2" t="s">
        <v>8105</v>
      </c>
      <c r="AE690" s="3" t="s">
        <v>8104</v>
      </c>
      <c r="AF690" s="2"/>
      <c r="AG690" s="1" t="s">
        <v>1582</v>
      </c>
      <c r="AH690" s="1" t="s">
        <v>6205</v>
      </c>
      <c r="AI690" s="2">
        <v>90.0</v>
      </c>
      <c r="AJ690" s="1" t="s">
        <v>1589</v>
      </c>
      <c r="AK690" s="1" t="s">
        <v>5878</v>
      </c>
      <c r="AL690" s="1" t="s">
        <v>5878</v>
      </c>
      <c r="AM690" s="2"/>
      <c r="AN690" s="2"/>
      <c r="AO690" s="2"/>
      <c r="AP690" s="2"/>
      <c r="AQ690" s="2"/>
      <c r="AR690" s="2"/>
      <c r="AS690" s="2"/>
      <c r="AT690" s="2"/>
      <c r="AU690" s="126">
        <v>1600.0</v>
      </c>
      <c r="AV690" s="126">
        <v>4000.0</v>
      </c>
      <c r="AW690" s="2"/>
      <c r="AX690" s="2"/>
      <c r="AY690" s="2"/>
      <c r="AZ690" s="2"/>
      <c r="BA690" s="2"/>
      <c r="BB690" s="2"/>
      <c r="BC690" s="2"/>
      <c r="BD690" s="2"/>
      <c r="BE690" s="2"/>
    </row>
    <row r="691" hidden="1">
      <c r="A691" s="2"/>
      <c r="B691" s="335" t="s">
        <v>8108</v>
      </c>
      <c r="C691" s="320" t="s">
        <v>8109</v>
      </c>
      <c r="D691" s="31">
        <v>90.0</v>
      </c>
      <c r="E691" s="31" t="s">
        <v>276</v>
      </c>
      <c r="F691" s="11" t="s">
        <v>7832</v>
      </c>
      <c r="G691" s="327" t="s">
        <v>8110</v>
      </c>
      <c r="H691" s="322"/>
      <c r="I691" s="328">
        <v>1600.0</v>
      </c>
      <c r="J691" s="324"/>
      <c r="K691" s="322"/>
      <c r="L691" s="323"/>
      <c r="M691" s="324">
        <v>1600.0</v>
      </c>
      <c r="N691" s="284">
        <v>1.5</v>
      </c>
      <c r="O691" s="322">
        <v>4000.0</v>
      </c>
      <c r="P691" s="104"/>
      <c r="Q691" s="319">
        <f>P690</f>
        <v>4000</v>
      </c>
      <c r="R691" s="329" t="s">
        <v>8111</v>
      </c>
      <c r="S691" s="330">
        <v>46141.46452538195</v>
      </c>
      <c r="T691" s="2"/>
      <c r="U691" s="289">
        <f t="shared" si="353"/>
        <v>2400</v>
      </c>
      <c r="V691" s="304" t="str">
        <f t="shared" si="355"/>
        <v>нет з/ч</v>
      </c>
      <c r="W691" s="2"/>
      <c r="X691" s="289">
        <v>1600.0</v>
      </c>
      <c r="Y691" s="139"/>
      <c r="Z691" s="2"/>
      <c r="AA691" s="2" t="s">
        <v>8109</v>
      </c>
      <c r="AB691" s="2" t="s">
        <v>8109</v>
      </c>
      <c r="AC691" s="2"/>
      <c r="AD691" s="2" t="s">
        <v>8109</v>
      </c>
      <c r="AE691" s="3" t="s">
        <v>8108</v>
      </c>
      <c r="AF691" s="2"/>
      <c r="AG691" s="1" t="s">
        <v>1582</v>
      </c>
      <c r="AH691" s="1" t="s">
        <v>6205</v>
      </c>
      <c r="AI691" s="2">
        <v>90.0</v>
      </c>
      <c r="AJ691" s="1" t="s">
        <v>1589</v>
      </c>
      <c r="AK691" s="1" t="s">
        <v>5878</v>
      </c>
      <c r="AL691" s="1" t="s">
        <v>5878</v>
      </c>
      <c r="AM691" s="2"/>
      <c r="AN691" s="2"/>
      <c r="AO691" s="2"/>
      <c r="AP691" s="2"/>
      <c r="AQ691" s="2"/>
      <c r="AR691" s="2"/>
      <c r="AS691" s="2"/>
      <c r="AT691" s="2"/>
      <c r="AU691" s="126">
        <v>1600.0</v>
      </c>
      <c r="AV691" s="126">
        <v>4000.0</v>
      </c>
      <c r="AW691" s="2"/>
      <c r="AX691" s="2"/>
      <c r="AY691" s="2"/>
      <c r="AZ691" s="2"/>
      <c r="BA691" s="2"/>
      <c r="BB691" s="2"/>
      <c r="BC691" s="2"/>
      <c r="BD691" s="2"/>
      <c r="BE691" s="2"/>
    </row>
    <row r="692" hidden="1">
      <c r="A692" s="2"/>
      <c r="B692" s="335" t="s">
        <v>8112</v>
      </c>
      <c r="C692" s="320" t="s">
        <v>8113</v>
      </c>
      <c r="D692" s="31">
        <v>90.0</v>
      </c>
      <c r="E692" s="31" t="s">
        <v>276</v>
      </c>
      <c r="F692" s="11" t="s">
        <v>7832</v>
      </c>
      <c r="G692" s="321"/>
      <c r="H692" s="322"/>
      <c r="I692" s="323"/>
      <c r="J692" s="324"/>
      <c r="K692" s="322"/>
      <c r="L692" s="323"/>
      <c r="M692" s="324" t="s">
        <v>22</v>
      </c>
      <c r="N692" s="284">
        <v>1.5</v>
      </c>
      <c r="O692" s="322" t="s">
        <v>22</v>
      </c>
      <c r="P692" s="104"/>
      <c r="Q692" s="319">
        <f>P690</f>
        <v>4000</v>
      </c>
      <c r="R692" s="331"/>
      <c r="S692" s="326"/>
      <c r="T692" s="2"/>
      <c r="U692" s="59" t="str">
        <f t="shared" si="353"/>
        <v>нет з/ч</v>
      </c>
      <c r="V692" s="304" t="str">
        <f t="shared" si="355"/>
        <v>нет з/ч</v>
      </c>
      <c r="W692" s="2"/>
      <c r="X692" s="289"/>
      <c r="Y692" s="139"/>
      <c r="Z692" s="2"/>
      <c r="AA692" s="2" t="s">
        <v>8113</v>
      </c>
      <c r="AB692" s="2" t="s">
        <v>8113</v>
      </c>
      <c r="AC692" s="2"/>
      <c r="AD692" s="2" t="s">
        <v>8113</v>
      </c>
      <c r="AE692" s="3" t="s">
        <v>8112</v>
      </c>
      <c r="AF692" s="2"/>
      <c r="AG692" s="1" t="s">
        <v>1582</v>
      </c>
      <c r="AH692" s="1" t="s">
        <v>6205</v>
      </c>
      <c r="AI692" s="2">
        <v>90.0</v>
      </c>
      <c r="AJ692" s="1" t="s">
        <v>1589</v>
      </c>
      <c r="AK692" s="1" t="s">
        <v>5878</v>
      </c>
      <c r="AL692" s="1" t="s">
        <v>5878</v>
      </c>
      <c r="AM692" s="2"/>
      <c r="AN692" s="2"/>
      <c r="AO692" s="2"/>
      <c r="AP692" s="2"/>
      <c r="AQ692" s="2"/>
      <c r="AR692" s="2"/>
      <c r="AS692" s="2"/>
      <c r="AT692" s="2"/>
      <c r="AU692" s="126" t="s">
        <v>22</v>
      </c>
      <c r="AV692" s="126">
        <v>4000.0</v>
      </c>
      <c r="AW692" s="2"/>
      <c r="AX692" s="2"/>
      <c r="AY692" s="2"/>
      <c r="AZ692" s="2"/>
      <c r="BA692" s="2"/>
      <c r="BB692" s="2"/>
      <c r="BC692" s="2"/>
      <c r="BD692" s="2"/>
      <c r="BE692" s="2"/>
    </row>
    <row r="693" hidden="1">
      <c r="A693" s="2"/>
      <c r="B693" s="335" t="s">
        <v>8114</v>
      </c>
      <c r="C693" s="93"/>
      <c r="D693" s="31">
        <v>90.0</v>
      </c>
      <c r="E693" s="31" t="s">
        <v>276</v>
      </c>
      <c r="F693" s="11" t="s">
        <v>7832</v>
      </c>
      <c r="G693" s="321"/>
      <c r="H693" s="322"/>
      <c r="I693" s="323"/>
      <c r="J693" s="324"/>
      <c r="K693" s="322"/>
      <c r="L693" s="323"/>
      <c r="M693" s="324" t="s">
        <v>22</v>
      </c>
      <c r="N693" s="284">
        <v>1.5</v>
      </c>
      <c r="O693" s="322" t="s">
        <v>22</v>
      </c>
      <c r="P693" s="67"/>
      <c r="Q693" s="319">
        <f>P690</f>
        <v>4000</v>
      </c>
      <c r="R693" s="331"/>
      <c r="S693" s="326"/>
      <c r="T693" s="2"/>
      <c r="U693" s="59" t="str">
        <f t="shared" si="353"/>
        <v>нет з/ч</v>
      </c>
      <c r="V693" s="304" t="str">
        <f t="shared" si="355"/>
        <v>нет з/ч</v>
      </c>
      <c r="W693" s="2"/>
      <c r="X693" s="289"/>
      <c r="Y693" s="139"/>
      <c r="Z693" s="2"/>
      <c r="AA693" s="2"/>
      <c r="AB693" s="2"/>
      <c r="AC693" s="2"/>
      <c r="AD693" s="2"/>
      <c r="AE693" s="3" t="s">
        <v>8114</v>
      </c>
      <c r="AF693" s="2"/>
      <c r="AG693" s="1" t="s">
        <v>1582</v>
      </c>
      <c r="AH693" s="1" t="s">
        <v>6205</v>
      </c>
      <c r="AI693" s="2">
        <v>90.0</v>
      </c>
      <c r="AJ693" s="1" t="s">
        <v>1589</v>
      </c>
      <c r="AK693" s="1" t="s">
        <v>5878</v>
      </c>
      <c r="AL693" s="1" t="s">
        <v>5878</v>
      </c>
      <c r="AM693" s="2"/>
      <c r="AN693" s="2"/>
      <c r="AO693" s="2"/>
      <c r="AP693" s="2"/>
      <c r="AQ693" s="2"/>
      <c r="AR693" s="2"/>
      <c r="AS693" s="2"/>
      <c r="AT693" s="2"/>
      <c r="AU693" s="126" t="s">
        <v>22</v>
      </c>
      <c r="AV693" s="126">
        <v>4000.0</v>
      </c>
      <c r="AW693" s="2"/>
      <c r="AX693" s="2"/>
      <c r="AY693" s="2"/>
      <c r="AZ693" s="2"/>
      <c r="BA693" s="2"/>
      <c r="BB693" s="2"/>
      <c r="BC693" s="2"/>
      <c r="BD693" s="2"/>
      <c r="BE693" s="2"/>
    </row>
    <row r="694" hidden="1">
      <c r="A694" s="2"/>
      <c r="B694" s="335" t="s">
        <v>8115</v>
      </c>
      <c r="C694" s="320" t="s">
        <v>8116</v>
      </c>
      <c r="D694" s="31">
        <v>90.0</v>
      </c>
      <c r="E694" s="31" t="s">
        <v>283</v>
      </c>
      <c r="F694" s="11" t="s">
        <v>7832</v>
      </c>
      <c r="G694" s="327" t="s">
        <v>8117</v>
      </c>
      <c r="H694" s="322"/>
      <c r="I694" s="328">
        <v>1850.0</v>
      </c>
      <c r="J694" s="324"/>
      <c r="K694" s="322"/>
      <c r="L694" s="323"/>
      <c r="M694" s="324">
        <v>1850.0</v>
      </c>
      <c r="N694" s="284">
        <v>1.5</v>
      </c>
      <c r="O694" s="322">
        <v>4650.0</v>
      </c>
      <c r="P694" s="313">
        <f>MAX(O694:O697)</f>
        <v>4650</v>
      </c>
      <c r="Q694" s="319">
        <f>P694</f>
        <v>4650</v>
      </c>
      <c r="R694" s="329" t="s">
        <v>8118</v>
      </c>
      <c r="S694" s="330">
        <v>46141.46457715278</v>
      </c>
      <c r="T694" s="2"/>
      <c r="U694" s="289">
        <f t="shared" si="353"/>
        <v>2800</v>
      </c>
      <c r="V694" s="304" t="str">
        <f t="shared" si="355"/>
        <v>нет з/ч</v>
      </c>
      <c r="W694" s="2"/>
      <c r="X694" s="289">
        <v>1850.0</v>
      </c>
      <c r="Y694" s="139"/>
      <c r="Z694" s="2"/>
      <c r="AA694" s="2" t="s">
        <v>8116</v>
      </c>
      <c r="AB694" s="2" t="s">
        <v>8116</v>
      </c>
      <c r="AC694" s="2"/>
      <c r="AD694" s="2" t="s">
        <v>8116</v>
      </c>
      <c r="AE694" s="3" t="s">
        <v>8115</v>
      </c>
      <c r="AF694" s="2"/>
      <c r="AG694" s="1" t="s">
        <v>1582</v>
      </c>
      <c r="AH694" s="1" t="s">
        <v>6229</v>
      </c>
      <c r="AI694" s="2">
        <v>90.0</v>
      </c>
      <c r="AJ694" s="1" t="s">
        <v>1589</v>
      </c>
      <c r="AK694" s="1" t="s">
        <v>5878</v>
      </c>
      <c r="AL694" s="1" t="s">
        <v>5878</v>
      </c>
      <c r="AM694" s="2"/>
      <c r="AN694" s="2"/>
      <c r="AO694" s="2"/>
      <c r="AP694" s="2"/>
      <c r="AQ694" s="2"/>
      <c r="AR694" s="2"/>
      <c r="AS694" s="2"/>
      <c r="AT694" s="2"/>
      <c r="AU694" s="126">
        <v>1850.0</v>
      </c>
      <c r="AV694" s="126">
        <v>4650.0</v>
      </c>
      <c r="AW694" s="2"/>
      <c r="AX694" s="2"/>
      <c r="AY694" s="2"/>
      <c r="AZ694" s="2"/>
      <c r="BA694" s="2"/>
      <c r="BB694" s="2"/>
      <c r="BC694" s="2"/>
      <c r="BD694" s="2"/>
      <c r="BE694" s="2"/>
    </row>
    <row r="695" hidden="1">
      <c r="A695" s="2"/>
      <c r="B695" s="335" t="s">
        <v>8119</v>
      </c>
      <c r="C695" s="320" t="s">
        <v>8120</v>
      </c>
      <c r="D695" s="31">
        <v>90.0</v>
      </c>
      <c r="E695" s="31" t="s">
        <v>283</v>
      </c>
      <c r="F695" s="11" t="s">
        <v>7832</v>
      </c>
      <c r="G695" s="327" t="s">
        <v>8121</v>
      </c>
      <c r="H695" s="322"/>
      <c r="I695" s="328">
        <v>1850.0</v>
      </c>
      <c r="J695" s="324"/>
      <c r="K695" s="322"/>
      <c r="L695" s="323"/>
      <c r="M695" s="324">
        <v>1850.0</v>
      </c>
      <c r="N695" s="284">
        <v>1.5</v>
      </c>
      <c r="O695" s="322">
        <v>4650.0</v>
      </c>
      <c r="P695" s="104"/>
      <c r="Q695" s="319">
        <f>P694</f>
        <v>4650</v>
      </c>
      <c r="R695" s="329" t="s">
        <v>8122</v>
      </c>
      <c r="S695" s="330">
        <v>46141.464627141206</v>
      </c>
      <c r="T695" s="2"/>
      <c r="U695" s="289">
        <f t="shared" si="353"/>
        <v>2800</v>
      </c>
      <c r="V695" s="304" t="str">
        <f t="shared" si="355"/>
        <v>нет з/ч</v>
      </c>
      <c r="W695" s="2"/>
      <c r="X695" s="289">
        <v>1850.0</v>
      </c>
      <c r="Y695" s="139"/>
      <c r="Z695" s="2"/>
      <c r="AA695" s="2" t="s">
        <v>8120</v>
      </c>
      <c r="AB695" s="2" t="s">
        <v>8120</v>
      </c>
      <c r="AC695" s="2"/>
      <c r="AD695" s="2" t="s">
        <v>8120</v>
      </c>
      <c r="AE695" s="3" t="s">
        <v>8119</v>
      </c>
      <c r="AF695" s="2"/>
      <c r="AG695" s="1" t="s">
        <v>1582</v>
      </c>
      <c r="AH695" s="1" t="s">
        <v>6229</v>
      </c>
      <c r="AI695" s="2">
        <v>90.0</v>
      </c>
      <c r="AJ695" s="1" t="s">
        <v>1589</v>
      </c>
      <c r="AK695" s="1" t="s">
        <v>5878</v>
      </c>
      <c r="AL695" s="1" t="s">
        <v>5878</v>
      </c>
      <c r="AM695" s="2"/>
      <c r="AN695" s="2"/>
      <c r="AO695" s="2"/>
      <c r="AP695" s="2"/>
      <c r="AQ695" s="2"/>
      <c r="AR695" s="2"/>
      <c r="AS695" s="2"/>
      <c r="AT695" s="2"/>
      <c r="AU695" s="126">
        <v>1850.0</v>
      </c>
      <c r="AV695" s="126">
        <v>4650.0</v>
      </c>
      <c r="AW695" s="2"/>
      <c r="AX695" s="2"/>
      <c r="AY695" s="2"/>
      <c r="AZ695" s="2"/>
      <c r="BA695" s="2"/>
      <c r="BB695" s="2"/>
      <c r="BC695" s="2"/>
      <c r="BD695" s="2"/>
      <c r="BE695" s="2"/>
    </row>
    <row r="696" hidden="1">
      <c r="A696" s="2"/>
      <c r="B696" s="335" t="s">
        <v>8123</v>
      </c>
      <c r="C696" s="320" t="s">
        <v>8124</v>
      </c>
      <c r="D696" s="31">
        <v>90.0</v>
      </c>
      <c r="E696" s="31" t="s">
        <v>283</v>
      </c>
      <c r="F696" s="11" t="s">
        <v>7832</v>
      </c>
      <c r="G696" s="321"/>
      <c r="H696" s="322"/>
      <c r="I696" s="323"/>
      <c r="J696" s="324"/>
      <c r="K696" s="322"/>
      <c r="L696" s="323"/>
      <c r="M696" s="324" t="s">
        <v>22</v>
      </c>
      <c r="N696" s="284">
        <v>1.5</v>
      </c>
      <c r="O696" s="322" t="s">
        <v>22</v>
      </c>
      <c r="P696" s="104"/>
      <c r="Q696" s="319">
        <f>P694</f>
        <v>4650</v>
      </c>
      <c r="R696" s="331"/>
      <c r="S696" s="326"/>
      <c r="T696" s="2"/>
      <c r="U696" s="59" t="str">
        <f t="shared" si="353"/>
        <v>нет з/ч</v>
      </c>
      <c r="V696" s="304" t="str">
        <f t="shared" si="355"/>
        <v>нет з/ч</v>
      </c>
      <c r="W696" s="2"/>
      <c r="X696" s="289"/>
      <c r="Y696" s="139"/>
      <c r="Z696" s="2"/>
      <c r="AA696" s="2" t="s">
        <v>8124</v>
      </c>
      <c r="AB696" s="2" t="s">
        <v>8124</v>
      </c>
      <c r="AC696" s="2"/>
      <c r="AD696" s="2" t="s">
        <v>8124</v>
      </c>
      <c r="AE696" s="3" t="s">
        <v>8123</v>
      </c>
      <c r="AF696" s="2"/>
      <c r="AG696" s="1" t="s">
        <v>1582</v>
      </c>
      <c r="AH696" s="1" t="s">
        <v>6229</v>
      </c>
      <c r="AI696" s="2">
        <v>90.0</v>
      </c>
      <c r="AJ696" s="1" t="s">
        <v>1589</v>
      </c>
      <c r="AK696" s="1" t="s">
        <v>5878</v>
      </c>
      <c r="AL696" s="1" t="s">
        <v>5878</v>
      </c>
      <c r="AM696" s="2"/>
      <c r="AN696" s="2"/>
      <c r="AO696" s="2"/>
      <c r="AP696" s="2"/>
      <c r="AQ696" s="2"/>
      <c r="AR696" s="2"/>
      <c r="AS696" s="2"/>
      <c r="AT696" s="2"/>
      <c r="AU696" s="126" t="s">
        <v>22</v>
      </c>
      <c r="AV696" s="126">
        <v>4650.0</v>
      </c>
      <c r="AW696" s="2"/>
      <c r="AX696" s="2"/>
      <c r="AY696" s="2"/>
      <c r="AZ696" s="2"/>
      <c r="BA696" s="2"/>
      <c r="BB696" s="2"/>
      <c r="BC696" s="2"/>
      <c r="BD696" s="2"/>
      <c r="BE696" s="2"/>
    </row>
    <row r="697" hidden="1">
      <c r="A697" s="2"/>
      <c r="B697" s="335" t="s">
        <v>8125</v>
      </c>
      <c r="C697" s="93"/>
      <c r="D697" s="31">
        <v>90.0</v>
      </c>
      <c r="E697" s="31" t="s">
        <v>283</v>
      </c>
      <c r="F697" s="11" t="s">
        <v>7832</v>
      </c>
      <c r="G697" s="321"/>
      <c r="H697" s="322"/>
      <c r="I697" s="323"/>
      <c r="J697" s="324"/>
      <c r="K697" s="322"/>
      <c r="L697" s="323"/>
      <c r="M697" s="324" t="s">
        <v>22</v>
      </c>
      <c r="N697" s="284">
        <v>1.5</v>
      </c>
      <c r="O697" s="322" t="s">
        <v>22</v>
      </c>
      <c r="P697" s="67"/>
      <c r="Q697" s="319">
        <f>P694</f>
        <v>4650</v>
      </c>
      <c r="R697" s="331"/>
      <c r="S697" s="326"/>
      <c r="T697" s="2"/>
      <c r="U697" s="59" t="str">
        <f t="shared" si="353"/>
        <v>нет з/ч</v>
      </c>
      <c r="V697" s="304" t="str">
        <f t="shared" si="355"/>
        <v>нет з/ч</v>
      </c>
      <c r="W697" s="2"/>
      <c r="X697" s="289"/>
      <c r="Y697" s="139"/>
      <c r="Z697" s="2"/>
      <c r="AA697" s="2"/>
      <c r="AB697" s="2"/>
      <c r="AC697" s="2"/>
      <c r="AD697" s="2"/>
      <c r="AE697" s="3" t="s">
        <v>8125</v>
      </c>
      <c r="AF697" s="2"/>
      <c r="AG697" s="1" t="s">
        <v>1582</v>
      </c>
      <c r="AH697" s="1" t="s">
        <v>6229</v>
      </c>
      <c r="AI697" s="2">
        <v>90.0</v>
      </c>
      <c r="AJ697" s="1" t="s">
        <v>1589</v>
      </c>
      <c r="AK697" s="1" t="s">
        <v>5878</v>
      </c>
      <c r="AL697" s="1" t="s">
        <v>5878</v>
      </c>
      <c r="AM697" s="2"/>
      <c r="AN697" s="2"/>
      <c r="AO697" s="2"/>
      <c r="AP697" s="2"/>
      <c r="AQ697" s="2"/>
      <c r="AR697" s="2"/>
      <c r="AS697" s="2"/>
      <c r="AT697" s="2"/>
      <c r="AU697" s="126" t="s">
        <v>22</v>
      </c>
      <c r="AV697" s="126">
        <v>4650.0</v>
      </c>
      <c r="AW697" s="2"/>
      <c r="AX697" s="2"/>
      <c r="AY697" s="2"/>
      <c r="AZ697" s="2"/>
      <c r="BA697" s="2"/>
      <c r="BB697" s="2"/>
      <c r="BC697" s="2"/>
      <c r="BD697" s="2"/>
      <c r="BE697" s="2"/>
    </row>
    <row r="698" hidden="1">
      <c r="A698" s="2"/>
      <c r="B698" s="335" t="s">
        <v>8126</v>
      </c>
      <c r="C698" s="320" t="s">
        <v>8127</v>
      </c>
      <c r="D698" s="31">
        <v>90.0</v>
      </c>
      <c r="E698" s="31" t="s">
        <v>290</v>
      </c>
      <c r="F698" s="11" t="s">
        <v>7832</v>
      </c>
      <c r="G698" s="327" t="s">
        <v>8128</v>
      </c>
      <c r="H698" s="322"/>
      <c r="I698" s="328">
        <v>1500.0</v>
      </c>
      <c r="J698" s="324"/>
      <c r="K698" s="322"/>
      <c r="L698" s="323"/>
      <c r="M698" s="324">
        <v>1500.0</v>
      </c>
      <c r="N698" s="284">
        <v>1.5</v>
      </c>
      <c r="O698" s="322">
        <v>3750.0</v>
      </c>
      <c r="P698" s="313">
        <f>MAX(O698:O702)</f>
        <v>3750</v>
      </c>
      <c r="Q698" s="319">
        <f>P698</f>
        <v>3750</v>
      </c>
      <c r="R698" s="329" t="s">
        <v>8129</v>
      </c>
      <c r="S698" s="330">
        <v>46141.46467914352</v>
      </c>
      <c r="T698" s="2"/>
      <c r="U698" s="289">
        <f t="shared" si="353"/>
        <v>2250</v>
      </c>
      <c r="V698" s="304" t="str">
        <f t="shared" si="355"/>
        <v>нет з/ч</v>
      </c>
      <c r="W698" s="2"/>
      <c r="X698" s="289">
        <v>1500.0</v>
      </c>
      <c r="Y698" s="139"/>
      <c r="Z698" s="2"/>
      <c r="AA698" s="2" t="s">
        <v>8127</v>
      </c>
      <c r="AB698" s="2" t="s">
        <v>8127</v>
      </c>
      <c r="AC698" s="2"/>
      <c r="AD698" s="2" t="s">
        <v>8127</v>
      </c>
      <c r="AE698" s="3" t="s">
        <v>8126</v>
      </c>
      <c r="AF698" s="2"/>
      <c r="AG698" s="1" t="s">
        <v>1582</v>
      </c>
      <c r="AH698" s="1" t="s">
        <v>6253</v>
      </c>
      <c r="AI698" s="2">
        <v>90.0</v>
      </c>
      <c r="AJ698" s="1" t="s">
        <v>1589</v>
      </c>
      <c r="AK698" s="1" t="s">
        <v>5878</v>
      </c>
      <c r="AL698" s="1" t="s">
        <v>5878</v>
      </c>
      <c r="AM698" s="2"/>
      <c r="AN698" s="2"/>
      <c r="AO698" s="2"/>
      <c r="AP698" s="2"/>
      <c r="AQ698" s="2"/>
      <c r="AR698" s="2"/>
      <c r="AS698" s="2"/>
      <c r="AT698" s="2"/>
      <c r="AU698" s="126">
        <v>1500.0</v>
      </c>
      <c r="AV698" s="126">
        <v>3750.0</v>
      </c>
      <c r="AW698" s="2"/>
      <c r="AX698" s="2"/>
      <c r="AY698" s="2"/>
      <c r="AZ698" s="2"/>
      <c r="BA698" s="2"/>
      <c r="BB698" s="2"/>
      <c r="BC698" s="2"/>
      <c r="BD698" s="2"/>
      <c r="BE698" s="2"/>
    </row>
    <row r="699" hidden="1">
      <c r="A699" s="2"/>
      <c r="B699" s="335" t="s">
        <v>8130</v>
      </c>
      <c r="C699" s="93"/>
      <c r="D699" s="31">
        <v>90.0</v>
      </c>
      <c r="E699" s="31" t="s">
        <v>290</v>
      </c>
      <c r="F699" s="11" t="s">
        <v>7832</v>
      </c>
      <c r="G699" s="321"/>
      <c r="H699" s="322"/>
      <c r="I699" s="323"/>
      <c r="J699" s="324"/>
      <c r="K699" s="322"/>
      <c r="L699" s="323"/>
      <c r="M699" s="324" t="s">
        <v>22</v>
      </c>
      <c r="N699" s="284">
        <v>1.5</v>
      </c>
      <c r="O699" s="322" t="s">
        <v>22</v>
      </c>
      <c r="P699" s="104"/>
      <c r="Q699" s="319">
        <f>P698</f>
        <v>3750</v>
      </c>
      <c r="R699" s="331"/>
      <c r="S699" s="326"/>
      <c r="T699" s="2"/>
      <c r="U699" s="59" t="str">
        <f t="shared" si="353"/>
        <v>нет з/ч</v>
      </c>
      <c r="V699" s="304" t="str">
        <f t="shared" ref="V699:V720" si="356">IF(L699&gt;0, Q2267 - L699, "нет з/ч")</f>
        <v>нет з/ч</v>
      </c>
      <c r="W699" s="2"/>
      <c r="X699" s="289"/>
      <c r="Y699" s="139"/>
      <c r="Z699" s="2"/>
      <c r="AA699" s="2"/>
      <c r="AB699" s="2"/>
      <c r="AC699" s="2"/>
      <c r="AD699" s="2"/>
      <c r="AE699" s="3" t="s">
        <v>8130</v>
      </c>
      <c r="AF699" s="2"/>
      <c r="AG699" s="1" t="s">
        <v>1582</v>
      </c>
      <c r="AH699" s="1" t="s">
        <v>6253</v>
      </c>
      <c r="AI699" s="2">
        <v>90.0</v>
      </c>
      <c r="AJ699" s="1" t="s">
        <v>1589</v>
      </c>
      <c r="AK699" s="1" t="s">
        <v>5878</v>
      </c>
      <c r="AL699" s="1" t="s">
        <v>5878</v>
      </c>
      <c r="AM699" s="2"/>
      <c r="AN699" s="2"/>
      <c r="AO699" s="2"/>
      <c r="AP699" s="2"/>
      <c r="AQ699" s="2"/>
      <c r="AR699" s="2"/>
      <c r="AS699" s="2"/>
      <c r="AT699" s="2"/>
      <c r="AU699" s="126" t="s">
        <v>22</v>
      </c>
      <c r="AV699" s="126">
        <v>3750.0</v>
      </c>
      <c r="AW699" s="2"/>
      <c r="AX699" s="2"/>
      <c r="AY699" s="2"/>
      <c r="AZ699" s="2"/>
      <c r="BA699" s="2"/>
      <c r="BB699" s="2"/>
      <c r="BC699" s="2"/>
      <c r="BD699" s="2"/>
      <c r="BE699" s="2"/>
    </row>
    <row r="700" hidden="1">
      <c r="A700" s="2"/>
      <c r="B700" s="335" t="s">
        <v>8131</v>
      </c>
      <c r="C700" s="93"/>
      <c r="D700" s="31">
        <v>90.0</v>
      </c>
      <c r="E700" s="31" t="s">
        <v>290</v>
      </c>
      <c r="F700" s="11" t="s">
        <v>7832</v>
      </c>
      <c r="G700" s="327" t="s">
        <v>8132</v>
      </c>
      <c r="H700" s="322"/>
      <c r="I700" s="328">
        <v>1500.0</v>
      </c>
      <c r="J700" s="324"/>
      <c r="K700" s="322"/>
      <c r="L700" s="323"/>
      <c r="M700" s="324">
        <v>1500.0</v>
      </c>
      <c r="N700" s="284">
        <v>1.5</v>
      </c>
      <c r="O700" s="322">
        <v>3750.0</v>
      </c>
      <c r="P700" s="104"/>
      <c r="Q700" s="319">
        <f>P698</f>
        <v>3750</v>
      </c>
      <c r="R700" s="329" t="s">
        <v>8133</v>
      </c>
      <c r="S700" s="330">
        <v>46141.464732650464</v>
      </c>
      <c r="T700" s="2"/>
      <c r="U700" s="289">
        <f t="shared" si="353"/>
        <v>2250</v>
      </c>
      <c r="V700" s="304" t="str">
        <f t="shared" si="356"/>
        <v>нет з/ч</v>
      </c>
      <c r="W700" s="2"/>
      <c r="X700" s="289">
        <v>1500.0</v>
      </c>
      <c r="Y700" s="139"/>
      <c r="Z700" s="2"/>
      <c r="AA700" s="2"/>
      <c r="AB700" s="2"/>
      <c r="AC700" s="2"/>
      <c r="AD700" s="2"/>
      <c r="AE700" s="3" t="s">
        <v>8131</v>
      </c>
      <c r="AF700" s="2"/>
      <c r="AG700" s="1" t="s">
        <v>1582</v>
      </c>
      <c r="AH700" s="1" t="s">
        <v>6253</v>
      </c>
      <c r="AI700" s="2">
        <v>90.0</v>
      </c>
      <c r="AJ700" s="1" t="s">
        <v>1589</v>
      </c>
      <c r="AK700" s="1" t="s">
        <v>5878</v>
      </c>
      <c r="AL700" s="1" t="s">
        <v>5878</v>
      </c>
      <c r="AM700" s="2"/>
      <c r="AN700" s="2"/>
      <c r="AO700" s="2"/>
      <c r="AP700" s="2"/>
      <c r="AQ700" s="2"/>
      <c r="AR700" s="2"/>
      <c r="AS700" s="2"/>
      <c r="AT700" s="2"/>
      <c r="AU700" s="126">
        <v>1500.0</v>
      </c>
      <c r="AV700" s="126">
        <v>3750.0</v>
      </c>
      <c r="AW700" s="2"/>
      <c r="AX700" s="2"/>
      <c r="AY700" s="2"/>
      <c r="AZ700" s="2"/>
      <c r="BA700" s="2"/>
      <c r="BB700" s="2"/>
      <c r="BC700" s="2"/>
      <c r="BD700" s="2"/>
      <c r="BE700" s="2"/>
    </row>
    <row r="701" hidden="1">
      <c r="A701" s="2"/>
      <c r="B701" s="335" t="s">
        <v>8134</v>
      </c>
      <c r="C701" s="93"/>
      <c r="D701" s="31">
        <v>90.0</v>
      </c>
      <c r="E701" s="31" t="s">
        <v>290</v>
      </c>
      <c r="F701" s="11" t="s">
        <v>7832</v>
      </c>
      <c r="G701" s="321"/>
      <c r="H701" s="322"/>
      <c r="I701" s="323"/>
      <c r="J701" s="324"/>
      <c r="K701" s="322"/>
      <c r="L701" s="323"/>
      <c r="M701" s="324" t="s">
        <v>22</v>
      </c>
      <c r="N701" s="284">
        <v>1.5</v>
      </c>
      <c r="O701" s="322" t="s">
        <v>22</v>
      </c>
      <c r="P701" s="104"/>
      <c r="Q701" s="319">
        <f>P698</f>
        <v>3750</v>
      </c>
      <c r="R701" s="331"/>
      <c r="S701" s="326"/>
      <c r="T701" s="2"/>
      <c r="U701" s="59" t="str">
        <f t="shared" si="353"/>
        <v>нет з/ч</v>
      </c>
      <c r="V701" s="304" t="str">
        <f t="shared" si="356"/>
        <v>нет з/ч</v>
      </c>
      <c r="W701" s="2"/>
      <c r="X701" s="289"/>
      <c r="Y701" s="139"/>
      <c r="Z701" s="2"/>
      <c r="AA701" s="2"/>
      <c r="AB701" s="2"/>
      <c r="AC701" s="2"/>
      <c r="AD701" s="2"/>
      <c r="AE701" s="3" t="s">
        <v>8134</v>
      </c>
      <c r="AF701" s="2"/>
      <c r="AG701" s="1" t="s">
        <v>1582</v>
      </c>
      <c r="AH701" s="1" t="s">
        <v>6253</v>
      </c>
      <c r="AI701" s="2">
        <v>90.0</v>
      </c>
      <c r="AJ701" s="1" t="s">
        <v>1589</v>
      </c>
      <c r="AK701" s="1" t="s">
        <v>5878</v>
      </c>
      <c r="AL701" s="1" t="s">
        <v>5878</v>
      </c>
      <c r="AM701" s="2"/>
      <c r="AN701" s="2"/>
      <c r="AO701" s="2"/>
      <c r="AP701" s="2"/>
      <c r="AQ701" s="2"/>
      <c r="AR701" s="2"/>
      <c r="AS701" s="2"/>
      <c r="AT701" s="2"/>
      <c r="AU701" s="126" t="s">
        <v>22</v>
      </c>
      <c r="AV701" s="126">
        <v>3750.0</v>
      </c>
      <c r="AW701" s="2"/>
      <c r="AX701" s="2"/>
      <c r="AY701" s="2"/>
      <c r="AZ701" s="2"/>
      <c r="BA701" s="2"/>
      <c r="BB701" s="2"/>
      <c r="BC701" s="2"/>
      <c r="BD701" s="2"/>
      <c r="BE701" s="2"/>
    </row>
    <row r="702" hidden="1">
      <c r="A702" s="2"/>
      <c r="B702" s="335" t="s">
        <v>8135</v>
      </c>
      <c r="C702" s="93"/>
      <c r="D702" s="31">
        <v>90.0</v>
      </c>
      <c r="E702" s="31" t="s">
        <v>290</v>
      </c>
      <c r="F702" s="11" t="s">
        <v>7832</v>
      </c>
      <c r="G702" s="321"/>
      <c r="H702" s="322"/>
      <c r="I702" s="323"/>
      <c r="J702" s="324"/>
      <c r="K702" s="322"/>
      <c r="L702" s="323"/>
      <c r="M702" s="324" t="s">
        <v>22</v>
      </c>
      <c r="N702" s="284">
        <v>1.5</v>
      </c>
      <c r="O702" s="322" t="s">
        <v>22</v>
      </c>
      <c r="P702" s="67"/>
      <c r="Q702" s="319">
        <f>P698</f>
        <v>3750</v>
      </c>
      <c r="R702" s="331"/>
      <c r="S702" s="326"/>
      <c r="T702" s="2"/>
      <c r="U702" s="59" t="str">
        <f t="shared" si="353"/>
        <v>нет з/ч</v>
      </c>
      <c r="V702" s="304" t="str">
        <f t="shared" si="356"/>
        <v>нет з/ч</v>
      </c>
      <c r="W702" s="2"/>
      <c r="X702" s="289"/>
      <c r="Y702" s="139"/>
      <c r="Z702" s="2"/>
      <c r="AA702" s="2"/>
      <c r="AB702" s="2"/>
      <c r="AC702" s="2"/>
      <c r="AD702" s="2"/>
      <c r="AE702" s="3" t="s">
        <v>8135</v>
      </c>
      <c r="AF702" s="2"/>
      <c r="AG702" s="1" t="s">
        <v>1582</v>
      </c>
      <c r="AH702" s="1" t="s">
        <v>6253</v>
      </c>
      <c r="AI702" s="2">
        <v>90.0</v>
      </c>
      <c r="AJ702" s="1" t="s">
        <v>1589</v>
      </c>
      <c r="AK702" s="1" t="s">
        <v>5878</v>
      </c>
      <c r="AL702" s="1" t="s">
        <v>5878</v>
      </c>
      <c r="AM702" s="2"/>
      <c r="AN702" s="2"/>
      <c r="AO702" s="2"/>
      <c r="AP702" s="2"/>
      <c r="AQ702" s="2"/>
      <c r="AR702" s="2"/>
      <c r="AS702" s="2"/>
      <c r="AT702" s="2"/>
      <c r="AU702" s="126" t="s">
        <v>22</v>
      </c>
      <c r="AV702" s="126">
        <v>3750.0</v>
      </c>
      <c r="AW702" s="2"/>
      <c r="AX702" s="2"/>
      <c r="AY702" s="2"/>
      <c r="AZ702" s="2"/>
      <c r="BA702" s="2"/>
      <c r="BB702" s="2"/>
      <c r="BC702" s="2"/>
      <c r="BD702" s="2"/>
      <c r="BE702" s="2"/>
    </row>
    <row r="703" hidden="1">
      <c r="A703" s="2"/>
      <c r="B703" s="335" t="s">
        <v>8136</v>
      </c>
      <c r="C703" s="320" t="s">
        <v>8137</v>
      </c>
      <c r="D703" s="31">
        <v>90.0</v>
      </c>
      <c r="E703" s="31" t="s">
        <v>297</v>
      </c>
      <c r="F703" s="11" t="s">
        <v>7832</v>
      </c>
      <c r="G703" s="327" t="s">
        <v>8138</v>
      </c>
      <c r="H703" s="322"/>
      <c r="I703" s="328">
        <v>1900.0</v>
      </c>
      <c r="J703" s="324"/>
      <c r="K703" s="322"/>
      <c r="L703" s="323"/>
      <c r="M703" s="324">
        <v>1900.0</v>
      </c>
      <c r="N703" s="284">
        <v>1.5</v>
      </c>
      <c r="O703" s="322">
        <v>4750.0</v>
      </c>
      <c r="P703" s="313">
        <f>MAX(O703:O707)</f>
        <v>4750</v>
      </c>
      <c r="Q703" s="319">
        <f>P703</f>
        <v>4750</v>
      </c>
      <c r="R703" s="329" t="s">
        <v>8139</v>
      </c>
      <c r="S703" s="330">
        <v>46141.46478851852</v>
      </c>
      <c r="T703" s="2"/>
      <c r="U703" s="289">
        <f t="shared" si="353"/>
        <v>2850</v>
      </c>
      <c r="V703" s="304" t="str">
        <f t="shared" si="356"/>
        <v>нет з/ч</v>
      </c>
      <c r="W703" s="2"/>
      <c r="X703" s="289">
        <v>1900.0</v>
      </c>
      <c r="Y703" s="139"/>
      <c r="Z703" s="2"/>
      <c r="AA703" s="2" t="s">
        <v>8137</v>
      </c>
      <c r="AB703" s="2" t="s">
        <v>8137</v>
      </c>
      <c r="AC703" s="2"/>
      <c r="AD703" s="2" t="s">
        <v>8137</v>
      </c>
      <c r="AE703" s="3" t="s">
        <v>8136</v>
      </c>
      <c r="AF703" s="2"/>
      <c r="AG703" s="1" t="s">
        <v>1582</v>
      </c>
      <c r="AH703" s="1" t="s">
        <v>6277</v>
      </c>
      <c r="AI703" s="2">
        <v>90.0</v>
      </c>
      <c r="AJ703" s="1" t="s">
        <v>1589</v>
      </c>
      <c r="AK703" s="1" t="s">
        <v>5878</v>
      </c>
      <c r="AL703" s="1" t="s">
        <v>5878</v>
      </c>
      <c r="AM703" s="2"/>
      <c r="AN703" s="2"/>
      <c r="AO703" s="2"/>
      <c r="AP703" s="2"/>
      <c r="AQ703" s="2"/>
      <c r="AR703" s="2"/>
      <c r="AS703" s="2"/>
      <c r="AT703" s="2"/>
      <c r="AU703" s="126">
        <v>1900.0</v>
      </c>
      <c r="AV703" s="126">
        <v>4750.0</v>
      </c>
      <c r="AW703" s="2"/>
      <c r="AX703" s="2"/>
      <c r="AY703" s="2"/>
      <c r="AZ703" s="2"/>
      <c r="BA703" s="2"/>
      <c r="BB703" s="2"/>
      <c r="BC703" s="2"/>
      <c r="BD703" s="2"/>
      <c r="BE703" s="2"/>
    </row>
    <row r="704" hidden="1">
      <c r="A704" s="2"/>
      <c r="B704" s="335" t="s">
        <v>8140</v>
      </c>
      <c r="C704" s="93"/>
      <c r="D704" s="31">
        <v>90.0</v>
      </c>
      <c r="E704" s="31" t="s">
        <v>297</v>
      </c>
      <c r="F704" s="11" t="s">
        <v>7832</v>
      </c>
      <c r="G704" s="321"/>
      <c r="H704" s="322"/>
      <c r="I704" s="323"/>
      <c r="J704" s="324"/>
      <c r="K704" s="322"/>
      <c r="L704" s="323"/>
      <c r="M704" s="324" t="s">
        <v>22</v>
      </c>
      <c r="N704" s="284">
        <v>1.5</v>
      </c>
      <c r="O704" s="322" t="s">
        <v>22</v>
      </c>
      <c r="P704" s="104"/>
      <c r="Q704" s="319">
        <f>P703</f>
        <v>4750</v>
      </c>
      <c r="R704" s="331"/>
      <c r="S704" s="326"/>
      <c r="T704" s="2"/>
      <c r="U704" s="59" t="str">
        <f t="shared" si="353"/>
        <v>нет з/ч</v>
      </c>
      <c r="V704" s="304" t="str">
        <f t="shared" si="356"/>
        <v>нет з/ч</v>
      </c>
      <c r="W704" s="2"/>
      <c r="X704" s="289"/>
      <c r="Y704" s="139"/>
      <c r="Z704" s="2"/>
      <c r="AA704" s="2"/>
      <c r="AB704" s="2"/>
      <c r="AC704" s="2"/>
      <c r="AD704" s="2"/>
      <c r="AE704" s="3" t="s">
        <v>8140</v>
      </c>
      <c r="AF704" s="2"/>
      <c r="AG704" s="1" t="s">
        <v>1582</v>
      </c>
      <c r="AH704" s="1" t="s">
        <v>6277</v>
      </c>
      <c r="AI704" s="2">
        <v>90.0</v>
      </c>
      <c r="AJ704" s="1" t="s">
        <v>1589</v>
      </c>
      <c r="AK704" s="1" t="s">
        <v>5878</v>
      </c>
      <c r="AL704" s="1" t="s">
        <v>5878</v>
      </c>
      <c r="AM704" s="2"/>
      <c r="AN704" s="2"/>
      <c r="AO704" s="2"/>
      <c r="AP704" s="2"/>
      <c r="AQ704" s="2"/>
      <c r="AR704" s="2"/>
      <c r="AS704" s="2"/>
      <c r="AT704" s="2"/>
      <c r="AU704" s="126" t="s">
        <v>22</v>
      </c>
      <c r="AV704" s="126">
        <v>4750.0</v>
      </c>
      <c r="AW704" s="2"/>
      <c r="AX704" s="2"/>
      <c r="AY704" s="2"/>
      <c r="AZ704" s="2"/>
      <c r="BA704" s="2"/>
      <c r="BB704" s="2"/>
      <c r="BC704" s="2"/>
      <c r="BD704" s="2"/>
      <c r="BE704" s="2"/>
    </row>
    <row r="705" hidden="1">
      <c r="A705" s="2"/>
      <c r="B705" s="335" t="s">
        <v>8141</v>
      </c>
      <c r="C705" s="93"/>
      <c r="D705" s="31">
        <v>90.0</v>
      </c>
      <c r="E705" s="31" t="s">
        <v>297</v>
      </c>
      <c r="F705" s="11" t="s">
        <v>7832</v>
      </c>
      <c r="G705" s="327" t="s">
        <v>8142</v>
      </c>
      <c r="H705" s="322"/>
      <c r="I705" s="328">
        <v>1900.0</v>
      </c>
      <c r="J705" s="324"/>
      <c r="K705" s="322"/>
      <c r="L705" s="323"/>
      <c r="M705" s="324">
        <v>1900.0</v>
      </c>
      <c r="N705" s="284">
        <v>1.5</v>
      </c>
      <c r="O705" s="322">
        <v>4750.0</v>
      </c>
      <c r="P705" s="104"/>
      <c r="Q705" s="319">
        <f>P703</f>
        <v>4750</v>
      </c>
      <c r="R705" s="329" t="s">
        <v>8143</v>
      </c>
      <c r="S705" s="330">
        <v>46141.464841423614</v>
      </c>
      <c r="T705" s="2"/>
      <c r="U705" s="289">
        <f t="shared" si="353"/>
        <v>2850</v>
      </c>
      <c r="V705" s="304" t="str">
        <f t="shared" si="356"/>
        <v>нет з/ч</v>
      </c>
      <c r="W705" s="2"/>
      <c r="X705" s="289">
        <v>1900.0</v>
      </c>
      <c r="Y705" s="139"/>
      <c r="Z705" s="2"/>
      <c r="AA705" s="2"/>
      <c r="AB705" s="2"/>
      <c r="AC705" s="2"/>
      <c r="AD705" s="2"/>
      <c r="AE705" s="3" t="s">
        <v>8141</v>
      </c>
      <c r="AF705" s="2"/>
      <c r="AG705" s="1" t="s">
        <v>1582</v>
      </c>
      <c r="AH705" s="1" t="s">
        <v>6277</v>
      </c>
      <c r="AI705" s="2">
        <v>90.0</v>
      </c>
      <c r="AJ705" s="1" t="s">
        <v>1589</v>
      </c>
      <c r="AK705" s="1" t="s">
        <v>5878</v>
      </c>
      <c r="AL705" s="1" t="s">
        <v>5878</v>
      </c>
      <c r="AM705" s="2"/>
      <c r="AN705" s="2"/>
      <c r="AO705" s="2"/>
      <c r="AP705" s="2"/>
      <c r="AQ705" s="2"/>
      <c r="AR705" s="2"/>
      <c r="AS705" s="2"/>
      <c r="AT705" s="2"/>
      <c r="AU705" s="126">
        <v>1900.0</v>
      </c>
      <c r="AV705" s="126">
        <v>4750.0</v>
      </c>
      <c r="AW705" s="2"/>
      <c r="AX705" s="2"/>
      <c r="AY705" s="2"/>
      <c r="AZ705" s="2"/>
      <c r="BA705" s="2"/>
      <c r="BB705" s="2"/>
      <c r="BC705" s="2"/>
      <c r="BD705" s="2"/>
      <c r="BE705" s="2"/>
    </row>
    <row r="706" hidden="1">
      <c r="A706" s="2"/>
      <c r="B706" s="335" t="s">
        <v>8144</v>
      </c>
      <c r="C706" s="93"/>
      <c r="D706" s="31">
        <v>90.0</v>
      </c>
      <c r="E706" s="31" t="s">
        <v>297</v>
      </c>
      <c r="F706" s="11" t="s">
        <v>7832</v>
      </c>
      <c r="G706" s="321"/>
      <c r="H706" s="322"/>
      <c r="I706" s="323"/>
      <c r="J706" s="324"/>
      <c r="K706" s="322"/>
      <c r="L706" s="323"/>
      <c r="M706" s="324" t="s">
        <v>22</v>
      </c>
      <c r="N706" s="284">
        <v>1.5</v>
      </c>
      <c r="O706" s="322" t="s">
        <v>22</v>
      </c>
      <c r="P706" s="104"/>
      <c r="Q706" s="319">
        <f>P703</f>
        <v>4750</v>
      </c>
      <c r="R706" s="331"/>
      <c r="S706" s="326"/>
      <c r="T706" s="2"/>
      <c r="U706" s="59" t="str">
        <f t="shared" si="353"/>
        <v>нет з/ч</v>
      </c>
      <c r="V706" s="304" t="str">
        <f t="shared" si="356"/>
        <v>нет з/ч</v>
      </c>
      <c r="W706" s="2"/>
      <c r="X706" s="289"/>
      <c r="Y706" s="139"/>
      <c r="Z706" s="2"/>
      <c r="AA706" s="2"/>
      <c r="AB706" s="2"/>
      <c r="AC706" s="2"/>
      <c r="AD706" s="2"/>
      <c r="AE706" s="3" t="s">
        <v>8144</v>
      </c>
      <c r="AF706" s="2"/>
      <c r="AG706" s="1" t="s">
        <v>1582</v>
      </c>
      <c r="AH706" s="1" t="s">
        <v>6277</v>
      </c>
      <c r="AI706" s="2">
        <v>90.0</v>
      </c>
      <c r="AJ706" s="1" t="s">
        <v>1589</v>
      </c>
      <c r="AK706" s="1" t="s">
        <v>5878</v>
      </c>
      <c r="AL706" s="1" t="s">
        <v>5878</v>
      </c>
      <c r="AM706" s="2"/>
      <c r="AN706" s="2"/>
      <c r="AO706" s="2"/>
      <c r="AP706" s="2"/>
      <c r="AQ706" s="2"/>
      <c r="AR706" s="2"/>
      <c r="AS706" s="2"/>
      <c r="AT706" s="2"/>
      <c r="AU706" s="126" t="s">
        <v>22</v>
      </c>
      <c r="AV706" s="126">
        <v>4750.0</v>
      </c>
      <c r="AW706" s="2"/>
      <c r="AX706" s="2"/>
      <c r="AY706" s="2"/>
      <c r="AZ706" s="2"/>
      <c r="BA706" s="2"/>
      <c r="BB706" s="2"/>
      <c r="BC706" s="2"/>
      <c r="BD706" s="2"/>
      <c r="BE706" s="2"/>
    </row>
    <row r="707" hidden="1">
      <c r="A707" s="2"/>
      <c r="B707" s="335" t="s">
        <v>8145</v>
      </c>
      <c r="C707" s="93"/>
      <c r="D707" s="31">
        <v>90.0</v>
      </c>
      <c r="E707" s="31" t="s">
        <v>297</v>
      </c>
      <c r="F707" s="11" t="s">
        <v>7832</v>
      </c>
      <c r="G707" s="321"/>
      <c r="H707" s="322"/>
      <c r="I707" s="323"/>
      <c r="J707" s="324"/>
      <c r="K707" s="322"/>
      <c r="L707" s="323"/>
      <c r="M707" s="324" t="s">
        <v>22</v>
      </c>
      <c r="N707" s="284">
        <v>1.5</v>
      </c>
      <c r="O707" s="322" t="s">
        <v>22</v>
      </c>
      <c r="P707" s="67"/>
      <c r="Q707" s="319">
        <f>P703</f>
        <v>4750</v>
      </c>
      <c r="R707" s="331"/>
      <c r="S707" s="326"/>
      <c r="T707" s="2"/>
      <c r="U707" s="59" t="str">
        <f t="shared" si="353"/>
        <v>нет з/ч</v>
      </c>
      <c r="V707" s="304" t="str">
        <f t="shared" si="356"/>
        <v>нет з/ч</v>
      </c>
      <c r="W707" s="2"/>
      <c r="X707" s="289"/>
      <c r="Y707" s="139"/>
      <c r="Z707" s="2"/>
      <c r="AA707" s="2"/>
      <c r="AB707" s="2"/>
      <c r="AC707" s="2"/>
      <c r="AD707" s="2"/>
      <c r="AE707" s="3" t="s">
        <v>8145</v>
      </c>
      <c r="AF707" s="2"/>
      <c r="AG707" s="1" t="s">
        <v>1582</v>
      </c>
      <c r="AH707" s="1" t="s">
        <v>6277</v>
      </c>
      <c r="AI707" s="2">
        <v>90.0</v>
      </c>
      <c r="AJ707" s="1" t="s">
        <v>1589</v>
      </c>
      <c r="AK707" s="1" t="s">
        <v>5878</v>
      </c>
      <c r="AL707" s="1" t="s">
        <v>5878</v>
      </c>
      <c r="AM707" s="2"/>
      <c r="AN707" s="2"/>
      <c r="AO707" s="2"/>
      <c r="AP707" s="2"/>
      <c r="AQ707" s="2"/>
      <c r="AR707" s="2"/>
      <c r="AS707" s="2"/>
      <c r="AT707" s="2"/>
      <c r="AU707" s="126" t="s">
        <v>22</v>
      </c>
      <c r="AV707" s="126">
        <v>4750.0</v>
      </c>
      <c r="AW707" s="2"/>
      <c r="AX707" s="2"/>
      <c r="AY707" s="2"/>
      <c r="AZ707" s="2"/>
      <c r="BA707" s="2"/>
      <c r="BB707" s="2"/>
      <c r="BC707" s="2"/>
      <c r="BD707" s="2"/>
      <c r="BE707" s="2"/>
    </row>
    <row r="708" hidden="1">
      <c r="A708" s="2"/>
      <c r="B708" s="335" t="s">
        <v>8146</v>
      </c>
      <c r="C708" s="320" t="s">
        <v>8147</v>
      </c>
      <c r="D708" s="31">
        <v>90.0</v>
      </c>
      <c r="E708" s="31" t="s">
        <v>304</v>
      </c>
      <c r="F708" s="11" t="s">
        <v>7832</v>
      </c>
      <c r="G708" s="327" t="s">
        <v>8148</v>
      </c>
      <c r="H708" s="322"/>
      <c r="I708" s="328">
        <v>1800.0</v>
      </c>
      <c r="J708" s="324"/>
      <c r="K708" s="322"/>
      <c r="L708" s="323"/>
      <c r="M708" s="324">
        <v>1800.0</v>
      </c>
      <c r="N708" s="284">
        <v>1.5</v>
      </c>
      <c r="O708" s="322">
        <v>4500.0</v>
      </c>
      <c r="P708" s="313">
        <f>MAX(O708:O711)</f>
        <v>4500</v>
      </c>
      <c r="Q708" s="319">
        <f>P708</f>
        <v>4500</v>
      </c>
      <c r="R708" s="329" t="s">
        <v>8149</v>
      </c>
      <c r="S708" s="330">
        <v>46141.46489478009</v>
      </c>
      <c r="T708" s="2"/>
      <c r="U708" s="289">
        <f t="shared" si="353"/>
        <v>2700</v>
      </c>
      <c r="V708" s="304" t="str">
        <f t="shared" si="356"/>
        <v>нет з/ч</v>
      </c>
      <c r="W708" s="2"/>
      <c r="X708" s="289">
        <v>1800.0</v>
      </c>
      <c r="Y708" s="139"/>
      <c r="Z708" s="2"/>
      <c r="AA708" s="2" t="s">
        <v>8147</v>
      </c>
      <c r="AB708" s="2" t="s">
        <v>8147</v>
      </c>
      <c r="AC708" s="2"/>
      <c r="AD708" s="2" t="s">
        <v>8147</v>
      </c>
      <c r="AE708" s="3" t="s">
        <v>8146</v>
      </c>
      <c r="AF708" s="2"/>
      <c r="AG708" s="1" t="s">
        <v>1582</v>
      </c>
      <c r="AH708" s="1" t="s">
        <v>6295</v>
      </c>
      <c r="AI708" s="2">
        <v>90.0</v>
      </c>
      <c r="AJ708" s="1" t="s">
        <v>1589</v>
      </c>
      <c r="AK708" s="1" t="s">
        <v>5878</v>
      </c>
      <c r="AL708" s="1" t="s">
        <v>5878</v>
      </c>
      <c r="AM708" s="2"/>
      <c r="AN708" s="2"/>
      <c r="AO708" s="2"/>
      <c r="AP708" s="2"/>
      <c r="AQ708" s="2"/>
      <c r="AR708" s="2"/>
      <c r="AS708" s="2"/>
      <c r="AT708" s="2"/>
      <c r="AU708" s="126">
        <v>1800.0</v>
      </c>
      <c r="AV708" s="126">
        <v>4500.0</v>
      </c>
      <c r="AW708" s="2"/>
      <c r="AX708" s="2"/>
      <c r="AY708" s="2"/>
      <c r="AZ708" s="2"/>
      <c r="BA708" s="2"/>
      <c r="BB708" s="2"/>
      <c r="BC708" s="2"/>
      <c r="BD708" s="2"/>
      <c r="BE708" s="2"/>
    </row>
    <row r="709" hidden="1">
      <c r="A709" s="2"/>
      <c r="B709" s="335" t="s">
        <v>8150</v>
      </c>
      <c r="C709" s="93"/>
      <c r="D709" s="31">
        <v>90.0</v>
      </c>
      <c r="E709" s="31" t="s">
        <v>304</v>
      </c>
      <c r="F709" s="11" t="s">
        <v>7832</v>
      </c>
      <c r="G709" s="327" t="s">
        <v>8151</v>
      </c>
      <c r="H709" s="322"/>
      <c r="I709" s="328">
        <v>1800.0</v>
      </c>
      <c r="J709" s="324"/>
      <c r="K709" s="322"/>
      <c r="L709" s="323"/>
      <c r="M709" s="324">
        <v>1800.0</v>
      </c>
      <c r="N709" s="284">
        <v>1.5</v>
      </c>
      <c r="O709" s="322">
        <v>4500.0</v>
      </c>
      <c r="P709" s="104"/>
      <c r="Q709" s="319">
        <f>P708</f>
        <v>4500</v>
      </c>
      <c r="R709" s="329" t="s">
        <v>8152</v>
      </c>
      <c r="S709" s="330">
        <v>46141.46494438658</v>
      </c>
      <c r="T709" s="2"/>
      <c r="U709" s="289">
        <f t="shared" si="353"/>
        <v>2700</v>
      </c>
      <c r="V709" s="304" t="str">
        <f t="shared" si="356"/>
        <v>нет з/ч</v>
      </c>
      <c r="W709" s="2"/>
      <c r="X709" s="289">
        <v>1800.0</v>
      </c>
      <c r="Y709" s="139"/>
      <c r="Z709" s="2"/>
      <c r="AA709" s="2"/>
      <c r="AB709" s="2"/>
      <c r="AC709" s="2"/>
      <c r="AD709" s="2"/>
      <c r="AE709" s="3" t="s">
        <v>8150</v>
      </c>
      <c r="AF709" s="2"/>
      <c r="AG709" s="1" t="s">
        <v>1582</v>
      </c>
      <c r="AH709" s="1" t="s">
        <v>6295</v>
      </c>
      <c r="AI709" s="2">
        <v>90.0</v>
      </c>
      <c r="AJ709" s="1" t="s">
        <v>1589</v>
      </c>
      <c r="AK709" s="1" t="s">
        <v>5878</v>
      </c>
      <c r="AL709" s="1" t="s">
        <v>5878</v>
      </c>
      <c r="AM709" s="2"/>
      <c r="AN709" s="2"/>
      <c r="AO709" s="2"/>
      <c r="AP709" s="2"/>
      <c r="AQ709" s="2"/>
      <c r="AR709" s="2"/>
      <c r="AS709" s="2"/>
      <c r="AT709" s="2"/>
      <c r="AU709" s="126">
        <v>1800.0</v>
      </c>
      <c r="AV709" s="126">
        <v>4500.0</v>
      </c>
      <c r="AW709" s="2"/>
      <c r="AX709" s="2"/>
      <c r="AY709" s="2"/>
      <c r="AZ709" s="2"/>
      <c r="BA709" s="2"/>
      <c r="BB709" s="2"/>
      <c r="BC709" s="2"/>
      <c r="BD709" s="2"/>
      <c r="BE709" s="2"/>
    </row>
    <row r="710" hidden="1">
      <c r="A710" s="2"/>
      <c r="B710" s="335" t="s">
        <v>8153</v>
      </c>
      <c r="C710" s="93"/>
      <c r="D710" s="31">
        <v>90.0</v>
      </c>
      <c r="E710" s="31" t="s">
        <v>304</v>
      </c>
      <c r="F710" s="11" t="s">
        <v>7832</v>
      </c>
      <c r="G710" s="321"/>
      <c r="H710" s="322"/>
      <c r="I710" s="323"/>
      <c r="J710" s="324"/>
      <c r="K710" s="322"/>
      <c r="L710" s="323"/>
      <c r="M710" s="324" t="s">
        <v>22</v>
      </c>
      <c r="N710" s="284">
        <v>1.5</v>
      </c>
      <c r="O710" s="322" t="s">
        <v>22</v>
      </c>
      <c r="P710" s="104"/>
      <c r="Q710" s="319">
        <f>P708</f>
        <v>4500</v>
      </c>
      <c r="R710" s="331"/>
      <c r="S710" s="326"/>
      <c r="T710" s="2"/>
      <c r="U710" s="59" t="str">
        <f t="shared" si="353"/>
        <v>нет з/ч</v>
      </c>
      <c r="V710" s="304" t="str">
        <f t="shared" si="356"/>
        <v>нет з/ч</v>
      </c>
      <c r="W710" s="2"/>
      <c r="X710" s="289"/>
      <c r="Y710" s="139"/>
      <c r="Z710" s="2"/>
      <c r="AA710" s="2"/>
      <c r="AB710" s="2"/>
      <c r="AC710" s="2"/>
      <c r="AD710" s="2"/>
      <c r="AE710" s="3" t="s">
        <v>8153</v>
      </c>
      <c r="AF710" s="2"/>
      <c r="AG710" s="1" t="s">
        <v>1582</v>
      </c>
      <c r="AH710" s="1" t="s">
        <v>6295</v>
      </c>
      <c r="AI710" s="2">
        <v>90.0</v>
      </c>
      <c r="AJ710" s="1" t="s">
        <v>1589</v>
      </c>
      <c r="AK710" s="1" t="s">
        <v>5878</v>
      </c>
      <c r="AL710" s="1" t="s">
        <v>5878</v>
      </c>
      <c r="AM710" s="2"/>
      <c r="AN710" s="2"/>
      <c r="AO710" s="2"/>
      <c r="AP710" s="2"/>
      <c r="AQ710" s="2"/>
      <c r="AR710" s="2"/>
      <c r="AS710" s="2"/>
      <c r="AT710" s="2"/>
      <c r="AU710" s="126" t="s">
        <v>22</v>
      </c>
      <c r="AV710" s="126">
        <v>4500.0</v>
      </c>
      <c r="AW710" s="2"/>
      <c r="AX710" s="2"/>
      <c r="AY710" s="2"/>
      <c r="AZ710" s="2"/>
      <c r="BA710" s="2"/>
      <c r="BB710" s="2"/>
      <c r="BC710" s="2"/>
      <c r="BD710" s="2"/>
      <c r="BE710" s="2"/>
    </row>
    <row r="711" hidden="1">
      <c r="A711" s="2"/>
      <c r="B711" s="335" t="s">
        <v>8154</v>
      </c>
      <c r="C711" s="93"/>
      <c r="D711" s="31">
        <v>90.0</v>
      </c>
      <c r="E711" s="31" t="s">
        <v>304</v>
      </c>
      <c r="F711" s="11" t="s">
        <v>7832</v>
      </c>
      <c r="G711" s="321"/>
      <c r="H711" s="322"/>
      <c r="I711" s="323"/>
      <c r="J711" s="324"/>
      <c r="K711" s="322"/>
      <c r="L711" s="323"/>
      <c r="M711" s="324" t="s">
        <v>22</v>
      </c>
      <c r="N711" s="284">
        <v>1.5</v>
      </c>
      <c r="O711" s="322" t="s">
        <v>22</v>
      </c>
      <c r="P711" s="67"/>
      <c r="Q711" s="319">
        <f>P708</f>
        <v>4500</v>
      </c>
      <c r="R711" s="331"/>
      <c r="S711" s="326"/>
      <c r="T711" s="2"/>
      <c r="U711" s="59" t="str">
        <f t="shared" si="353"/>
        <v>нет з/ч</v>
      </c>
      <c r="V711" s="304" t="str">
        <f t="shared" si="356"/>
        <v>нет з/ч</v>
      </c>
      <c r="W711" s="2"/>
      <c r="X711" s="289"/>
      <c r="Y711" s="139"/>
      <c r="Z711" s="2"/>
      <c r="AA711" s="2"/>
      <c r="AB711" s="2"/>
      <c r="AC711" s="2"/>
      <c r="AD711" s="2"/>
      <c r="AE711" s="3" t="s">
        <v>8154</v>
      </c>
      <c r="AF711" s="2"/>
      <c r="AG711" s="1" t="s">
        <v>1582</v>
      </c>
      <c r="AH711" s="1" t="s">
        <v>6295</v>
      </c>
      <c r="AI711" s="2">
        <v>90.0</v>
      </c>
      <c r="AJ711" s="1" t="s">
        <v>1589</v>
      </c>
      <c r="AK711" s="1" t="s">
        <v>5878</v>
      </c>
      <c r="AL711" s="1" t="s">
        <v>5878</v>
      </c>
      <c r="AM711" s="2"/>
      <c r="AN711" s="2"/>
      <c r="AO711" s="2"/>
      <c r="AP711" s="2"/>
      <c r="AQ711" s="2"/>
      <c r="AR711" s="2"/>
      <c r="AS711" s="2"/>
      <c r="AT711" s="2"/>
      <c r="AU711" s="126" t="s">
        <v>22</v>
      </c>
      <c r="AV711" s="126">
        <v>4500.0</v>
      </c>
      <c r="AW711" s="2"/>
      <c r="AX711" s="2"/>
      <c r="AY711" s="2"/>
      <c r="AZ711" s="2"/>
      <c r="BA711" s="2"/>
      <c r="BB711" s="2"/>
      <c r="BC711" s="2"/>
      <c r="BD711" s="2"/>
      <c r="BE711" s="2"/>
    </row>
    <row r="712" hidden="1">
      <c r="A712" s="2"/>
      <c r="B712" s="335" t="s">
        <v>8155</v>
      </c>
      <c r="C712" s="320" t="s">
        <v>8156</v>
      </c>
      <c r="D712" s="31">
        <v>90.0</v>
      </c>
      <c r="E712" s="31" t="s">
        <v>311</v>
      </c>
      <c r="F712" s="11" t="s">
        <v>7832</v>
      </c>
      <c r="G712" s="327" t="s">
        <v>8157</v>
      </c>
      <c r="H712" s="322"/>
      <c r="I712" s="328">
        <v>2000.0</v>
      </c>
      <c r="J712" s="324"/>
      <c r="K712" s="322"/>
      <c r="L712" s="323"/>
      <c r="M712" s="324">
        <v>2000.0</v>
      </c>
      <c r="N712" s="284">
        <v>1.5</v>
      </c>
      <c r="O712" s="322">
        <v>5000.0</v>
      </c>
      <c r="P712" s="313">
        <f>MAX(O712:O715)</f>
        <v>5000</v>
      </c>
      <c r="Q712" s="319">
        <f>P712</f>
        <v>5000</v>
      </c>
      <c r="R712" s="329" t="s">
        <v>8158</v>
      </c>
      <c r="S712" s="330">
        <v>46141.464994317124</v>
      </c>
      <c r="T712" s="2"/>
      <c r="U712" s="289">
        <f t="shared" si="353"/>
        <v>3000</v>
      </c>
      <c r="V712" s="304" t="str">
        <f t="shared" si="356"/>
        <v>нет з/ч</v>
      </c>
      <c r="W712" s="2"/>
      <c r="X712" s="289">
        <v>2000.0</v>
      </c>
      <c r="Y712" s="139"/>
      <c r="Z712" s="2"/>
      <c r="AA712" s="2" t="s">
        <v>8156</v>
      </c>
      <c r="AB712" s="2" t="s">
        <v>8156</v>
      </c>
      <c r="AC712" s="2"/>
      <c r="AD712" s="2" t="s">
        <v>8156</v>
      </c>
      <c r="AE712" s="3" t="s">
        <v>8155</v>
      </c>
      <c r="AF712" s="2"/>
      <c r="AG712" s="1" t="s">
        <v>1582</v>
      </c>
      <c r="AH712" s="1" t="s">
        <v>6319</v>
      </c>
      <c r="AI712" s="2">
        <v>90.0</v>
      </c>
      <c r="AJ712" s="1" t="s">
        <v>1589</v>
      </c>
      <c r="AK712" s="1" t="s">
        <v>5878</v>
      </c>
      <c r="AL712" s="1" t="s">
        <v>5878</v>
      </c>
      <c r="AM712" s="2"/>
      <c r="AN712" s="2"/>
      <c r="AO712" s="2"/>
      <c r="AP712" s="2"/>
      <c r="AQ712" s="2"/>
      <c r="AR712" s="2"/>
      <c r="AS712" s="2"/>
      <c r="AT712" s="2"/>
      <c r="AU712" s="126">
        <v>2000.0</v>
      </c>
      <c r="AV712" s="126">
        <v>5000.0</v>
      </c>
      <c r="AW712" s="2"/>
      <c r="AX712" s="2"/>
      <c r="AY712" s="2"/>
      <c r="AZ712" s="2"/>
      <c r="BA712" s="2"/>
      <c r="BB712" s="2"/>
      <c r="BC712" s="2"/>
      <c r="BD712" s="2"/>
      <c r="BE712" s="2"/>
    </row>
    <row r="713" hidden="1">
      <c r="A713" s="2"/>
      <c r="B713" s="335" t="s">
        <v>8159</v>
      </c>
      <c r="C713" s="93"/>
      <c r="D713" s="31">
        <v>90.0</v>
      </c>
      <c r="E713" s="31" t="s">
        <v>311</v>
      </c>
      <c r="F713" s="11" t="s">
        <v>7832</v>
      </c>
      <c r="G713" s="327" t="s">
        <v>8160</v>
      </c>
      <c r="H713" s="322"/>
      <c r="I713" s="328">
        <v>2000.0</v>
      </c>
      <c r="J713" s="324"/>
      <c r="K713" s="322"/>
      <c r="L713" s="323"/>
      <c r="M713" s="324">
        <v>2000.0</v>
      </c>
      <c r="N713" s="284">
        <v>1.5</v>
      </c>
      <c r="O713" s="322">
        <v>5000.0</v>
      </c>
      <c r="P713" s="104"/>
      <c r="Q713" s="319">
        <f>P712</f>
        <v>5000</v>
      </c>
      <c r="R713" s="329" t="s">
        <v>8161</v>
      </c>
      <c r="S713" s="330">
        <v>46141.465049895836</v>
      </c>
      <c r="T713" s="2"/>
      <c r="U713" s="289">
        <f t="shared" si="353"/>
        <v>3000</v>
      </c>
      <c r="V713" s="304" t="str">
        <f t="shared" si="356"/>
        <v>нет з/ч</v>
      </c>
      <c r="W713" s="2"/>
      <c r="X713" s="289">
        <v>2000.0</v>
      </c>
      <c r="Y713" s="139"/>
      <c r="Z713" s="2"/>
      <c r="AA713" s="2"/>
      <c r="AB713" s="2"/>
      <c r="AC713" s="2"/>
      <c r="AD713" s="2"/>
      <c r="AE713" s="3" t="s">
        <v>8159</v>
      </c>
      <c r="AF713" s="2"/>
      <c r="AG713" s="1" t="s">
        <v>1582</v>
      </c>
      <c r="AH713" s="1" t="s">
        <v>6319</v>
      </c>
      <c r="AI713" s="2">
        <v>90.0</v>
      </c>
      <c r="AJ713" s="1" t="s">
        <v>1589</v>
      </c>
      <c r="AK713" s="1" t="s">
        <v>5878</v>
      </c>
      <c r="AL713" s="1" t="s">
        <v>5878</v>
      </c>
      <c r="AM713" s="2"/>
      <c r="AN713" s="2"/>
      <c r="AO713" s="2"/>
      <c r="AP713" s="2"/>
      <c r="AQ713" s="2"/>
      <c r="AR713" s="2"/>
      <c r="AS713" s="2"/>
      <c r="AT713" s="2"/>
      <c r="AU713" s="126">
        <v>2000.0</v>
      </c>
      <c r="AV713" s="126">
        <v>5000.0</v>
      </c>
      <c r="AW713" s="2"/>
      <c r="AX713" s="2"/>
      <c r="AY713" s="2"/>
      <c r="AZ713" s="2"/>
      <c r="BA713" s="2"/>
      <c r="BB713" s="2"/>
      <c r="BC713" s="2"/>
      <c r="BD713" s="2"/>
      <c r="BE713" s="2"/>
    </row>
    <row r="714" hidden="1">
      <c r="A714" s="2"/>
      <c r="B714" s="335" t="s">
        <v>8162</v>
      </c>
      <c r="C714" s="93"/>
      <c r="D714" s="31">
        <v>90.0</v>
      </c>
      <c r="E714" s="31" t="s">
        <v>311</v>
      </c>
      <c r="F714" s="11" t="s">
        <v>7832</v>
      </c>
      <c r="G714" s="321"/>
      <c r="H714" s="322"/>
      <c r="I714" s="323"/>
      <c r="J714" s="324"/>
      <c r="K714" s="322"/>
      <c r="L714" s="323"/>
      <c r="M714" s="324" t="s">
        <v>22</v>
      </c>
      <c r="N714" s="284">
        <v>1.5</v>
      </c>
      <c r="O714" s="322" t="s">
        <v>22</v>
      </c>
      <c r="P714" s="104"/>
      <c r="Q714" s="319">
        <f>P712</f>
        <v>5000</v>
      </c>
      <c r="R714" s="331"/>
      <c r="S714" s="326"/>
      <c r="T714" s="2"/>
      <c r="U714" s="59" t="str">
        <f t="shared" si="353"/>
        <v>нет з/ч</v>
      </c>
      <c r="V714" s="304" t="str">
        <f t="shared" si="356"/>
        <v>нет з/ч</v>
      </c>
      <c r="W714" s="2"/>
      <c r="X714" s="289"/>
      <c r="Y714" s="139"/>
      <c r="Z714" s="2"/>
      <c r="AA714" s="2"/>
      <c r="AB714" s="2"/>
      <c r="AC714" s="2"/>
      <c r="AD714" s="2"/>
      <c r="AE714" s="3" t="s">
        <v>8162</v>
      </c>
      <c r="AF714" s="2"/>
      <c r="AG714" s="1" t="s">
        <v>1582</v>
      </c>
      <c r="AH714" s="1" t="s">
        <v>6319</v>
      </c>
      <c r="AI714" s="2">
        <v>90.0</v>
      </c>
      <c r="AJ714" s="1" t="s">
        <v>1589</v>
      </c>
      <c r="AK714" s="1" t="s">
        <v>5878</v>
      </c>
      <c r="AL714" s="1" t="s">
        <v>5878</v>
      </c>
      <c r="AM714" s="2"/>
      <c r="AN714" s="2"/>
      <c r="AO714" s="2"/>
      <c r="AP714" s="2"/>
      <c r="AQ714" s="2"/>
      <c r="AR714" s="2"/>
      <c r="AS714" s="2"/>
      <c r="AT714" s="2"/>
      <c r="AU714" s="126" t="s">
        <v>22</v>
      </c>
      <c r="AV714" s="126">
        <v>5000.0</v>
      </c>
      <c r="AW714" s="2"/>
      <c r="AX714" s="2"/>
      <c r="AY714" s="2"/>
      <c r="AZ714" s="2"/>
      <c r="BA714" s="2"/>
      <c r="BB714" s="2"/>
      <c r="BC714" s="2"/>
      <c r="BD714" s="2"/>
      <c r="BE714" s="2"/>
    </row>
    <row r="715" hidden="1">
      <c r="A715" s="2"/>
      <c r="B715" s="335" t="s">
        <v>8163</v>
      </c>
      <c r="C715" s="93"/>
      <c r="D715" s="31">
        <v>90.0</v>
      </c>
      <c r="E715" s="31" t="s">
        <v>311</v>
      </c>
      <c r="F715" s="11" t="s">
        <v>7832</v>
      </c>
      <c r="G715" s="321"/>
      <c r="H715" s="322"/>
      <c r="I715" s="323"/>
      <c r="J715" s="324"/>
      <c r="K715" s="322"/>
      <c r="L715" s="323"/>
      <c r="M715" s="324" t="s">
        <v>22</v>
      </c>
      <c r="N715" s="284">
        <v>1.5</v>
      </c>
      <c r="O715" s="322" t="s">
        <v>22</v>
      </c>
      <c r="P715" s="67"/>
      <c r="Q715" s="319">
        <f>P712</f>
        <v>5000</v>
      </c>
      <c r="R715" s="331"/>
      <c r="S715" s="326"/>
      <c r="T715" s="2"/>
      <c r="U715" s="59" t="str">
        <f t="shared" si="353"/>
        <v>нет з/ч</v>
      </c>
      <c r="V715" s="304" t="str">
        <f t="shared" si="356"/>
        <v>нет з/ч</v>
      </c>
      <c r="W715" s="2"/>
      <c r="X715" s="289"/>
      <c r="Y715" s="139"/>
      <c r="Z715" s="2"/>
      <c r="AA715" s="2"/>
      <c r="AB715" s="2"/>
      <c r="AC715" s="2"/>
      <c r="AD715" s="2"/>
      <c r="AE715" s="3" t="s">
        <v>8163</v>
      </c>
      <c r="AF715" s="2"/>
      <c r="AG715" s="1" t="s">
        <v>1582</v>
      </c>
      <c r="AH715" s="1" t="s">
        <v>6319</v>
      </c>
      <c r="AI715" s="2">
        <v>90.0</v>
      </c>
      <c r="AJ715" s="1" t="s">
        <v>1589</v>
      </c>
      <c r="AK715" s="1" t="s">
        <v>5878</v>
      </c>
      <c r="AL715" s="1" t="s">
        <v>5878</v>
      </c>
      <c r="AM715" s="2"/>
      <c r="AN715" s="2"/>
      <c r="AO715" s="2"/>
      <c r="AP715" s="2"/>
      <c r="AQ715" s="2"/>
      <c r="AR715" s="2"/>
      <c r="AS715" s="2"/>
      <c r="AT715" s="2"/>
      <c r="AU715" s="126" t="s">
        <v>22</v>
      </c>
      <c r="AV715" s="126">
        <v>5000.0</v>
      </c>
      <c r="AW715" s="2"/>
      <c r="AX715" s="2"/>
      <c r="AY715" s="2"/>
      <c r="AZ715" s="2"/>
      <c r="BA715" s="2"/>
      <c r="BB715" s="2"/>
      <c r="BC715" s="2"/>
      <c r="BD715" s="2"/>
      <c r="BE715" s="2"/>
    </row>
    <row r="716" hidden="1">
      <c r="A716" s="2"/>
      <c r="B716" s="335" t="s">
        <v>8164</v>
      </c>
      <c r="C716" s="320" t="s">
        <v>8165</v>
      </c>
      <c r="D716" s="31">
        <v>90.0</v>
      </c>
      <c r="E716" s="31" t="s">
        <v>318</v>
      </c>
      <c r="F716" s="11" t="s">
        <v>7832</v>
      </c>
      <c r="G716" s="327" t="s">
        <v>8166</v>
      </c>
      <c r="H716" s="322"/>
      <c r="I716" s="328">
        <v>2000.0</v>
      </c>
      <c r="J716" s="324"/>
      <c r="K716" s="322"/>
      <c r="L716" s="323"/>
      <c r="M716" s="324">
        <v>2000.0</v>
      </c>
      <c r="N716" s="284">
        <v>1.5</v>
      </c>
      <c r="O716" s="322">
        <v>5000.0</v>
      </c>
      <c r="P716" s="313">
        <f>MAX(O716:O720)</f>
        <v>5000</v>
      </c>
      <c r="Q716" s="319">
        <f>P716</f>
        <v>5000</v>
      </c>
      <c r="R716" s="329" t="s">
        <v>8167</v>
      </c>
      <c r="S716" s="330">
        <v>46141.46509893519</v>
      </c>
      <c r="T716" s="2"/>
      <c r="U716" s="289">
        <f t="shared" si="353"/>
        <v>3000</v>
      </c>
      <c r="V716" s="304" t="str">
        <f t="shared" si="356"/>
        <v>нет з/ч</v>
      </c>
      <c r="W716" s="2"/>
      <c r="X716" s="289">
        <v>2000.0</v>
      </c>
      <c r="Y716" s="139"/>
      <c r="Z716" s="2"/>
      <c r="AA716" s="2" t="s">
        <v>8165</v>
      </c>
      <c r="AB716" s="2" t="s">
        <v>8165</v>
      </c>
      <c r="AC716" s="2"/>
      <c r="AD716" s="2" t="s">
        <v>8165</v>
      </c>
      <c r="AE716" s="3" t="s">
        <v>8164</v>
      </c>
      <c r="AF716" s="2"/>
      <c r="AG716" s="1" t="s">
        <v>1582</v>
      </c>
      <c r="AH716" s="1" t="s">
        <v>6343</v>
      </c>
      <c r="AI716" s="2">
        <v>90.0</v>
      </c>
      <c r="AJ716" s="1" t="s">
        <v>1589</v>
      </c>
      <c r="AK716" s="1" t="s">
        <v>5878</v>
      </c>
      <c r="AL716" s="1" t="s">
        <v>5878</v>
      </c>
      <c r="AM716" s="2"/>
      <c r="AN716" s="2"/>
      <c r="AO716" s="2"/>
      <c r="AP716" s="2"/>
      <c r="AQ716" s="2"/>
      <c r="AR716" s="2"/>
      <c r="AS716" s="2"/>
      <c r="AT716" s="2"/>
      <c r="AU716" s="126">
        <v>2000.0</v>
      </c>
      <c r="AV716" s="126">
        <v>5000.0</v>
      </c>
      <c r="AW716" s="2"/>
      <c r="AX716" s="2"/>
      <c r="AY716" s="2"/>
      <c r="AZ716" s="2"/>
      <c r="BA716" s="2"/>
      <c r="BB716" s="2"/>
      <c r="BC716" s="2"/>
      <c r="BD716" s="2"/>
      <c r="BE716" s="2"/>
    </row>
    <row r="717" hidden="1">
      <c r="A717" s="2"/>
      <c r="B717" s="335" t="s">
        <v>8168</v>
      </c>
      <c r="C717" s="93"/>
      <c r="D717" s="31">
        <v>90.0</v>
      </c>
      <c r="E717" s="31" t="s">
        <v>318</v>
      </c>
      <c r="F717" s="11" t="s">
        <v>7832</v>
      </c>
      <c r="G717" s="327" t="s">
        <v>8169</v>
      </c>
      <c r="H717" s="322"/>
      <c r="I717" s="328">
        <v>2000.0</v>
      </c>
      <c r="J717" s="324"/>
      <c r="K717" s="322"/>
      <c r="L717" s="323"/>
      <c r="M717" s="324">
        <v>2000.0</v>
      </c>
      <c r="N717" s="284">
        <v>1.5</v>
      </c>
      <c r="O717" s="322">
        <v>5000.0</v>
      </c>
      <c r="P717" s="104"/>
      <c r="Q717" s="319">
        <f>P716</f>
        <v>5000</v>
      </c>
      <c r="R717" s="329" t="s">
        <v>8170</v>
      </c>
      <c r="S717" s="330">
        <v>46141.46534621528</v>
      </c>
      <c r="T717" s="2"/>
      <c r="U717" s="289">
        <f t="shared" si="353"/>
        <v>3000</v>
      </c>
      <c r="V717" s="304" t="str">
        <f t="shared" si="356"/>
        <v>нет з/ч</v>
      </c>
      <c r="W717" s="2"/>
      <c r="X717" s="289">
        <v>2000.0</v>
      </c>
      <c r="Y717" s="139"/>
      <c r="Z717" s="2"/>
      <c r="AA717" s="2"/>
      <c r="AB717" s="2"/>
      <c r="AC717" s="2"/>
      <c r="AD717" s="2"/>
      <c r="AE717" s="3" t="s">
        <v>8168</v>
      </c>
      <c r="AF717" s="2"/>
      <c r="AG717" s="1" t="s">
        <v>1582</v>
      </c>
      <c r="AH717" s="1" t="s">
        <v>6343</v>
      </c>
      <c r="AI717" s="2">
        <v>90.0</v>
      </c>
      <c r="AJ717" s="1" t="s">
        <v>1589</v>
      </c>
      <c r="AK717" s="1" t="s">
        <v>5878</v>
      </c>
      <c r="AL717" s="1" t="s">
        <v>5878</v>
      </c>
      <c r="AM717" s="2"/>
      <c r="AN717" s="2"/>
      <c r="AO717" s="2"/>
      <c r="AP717" s="2"/>
      <c r="AQ717" s="2"/>
      <c r="AR717" s="2"/>
      <c r="AS717" s="2"/>
      <c r="AT717" s="2"/>
      <c r="AU717" s="126">
        <v>2000.0</v>
      </c>
      <c r="AV717" s="126">
        <v>5000.0</v>
      </c>
      <c r="AW717" s="2"/>
      <c r="AX717" s="2"/>
      <c r="AY717" s="2"/>
      <c r="AZ717" s="2"/>
      <c r="BA717" s="2"/>
      <c r="BB717" s="2"/>
      <c r="BC717" s="2"/>
      <c r="BD717" s="2"/>
      <c r="BE717" s="2"/>
    </row>
    <row r="718" hidden="1">
      <c r="A718" s="2"/>
      <c r="B718" s="335" t="s">
        <v>8171</v>
      </c>
      <c r="C718" s="93"/>
      <c r="D718" s="31">
        <v>90.0</v>
      </c>
      <c r="E718" s="31" t="s">
        <v>318</v>
      </c>
      <c r="F718" s="11" t="s">
        <v>7832</v>
      </c>
      <c r="G718" s="321"/>
      <c r="H718" s="322"/>
      <c r="I718" s="323"/>
      <c r="J718" s="324"/>
      <c r="K718" s="322"/>
      <c r="L718" s="323"/>
      <c r="M718" s="324" t="s">
        <v>22</v>
      </c>
      <c r="N718" s="284">
        <v>1.5</v>
      </c>
      <c r="O718" s="322" t="s">
        <v>22</v>
      </c>
      <c r="P718" s="104"/>
      <c r="Q718" s="319">
        <f>P716</f>
        <v>5000</v>
      </c>
      <c r="R718" s="331"/>
      <c r="S718" s="326"/>
      <c r="T718" s="2"/>
      <c r="U718" s="59" t="str">
        <f t="shared" si="353"/>
        <v>нет з/ч</v>
      </c>
      <c r="V718" s="304" t="str">
        <f t="shared" si="356"/>
        <v>нет з/ч</v>
      </c>
      <c r="W718" s="2"/>
      <c r="X718" s="289"/>
      <c r="Y718" s="139"/>
      <c r="Z718" s="2"/>
      <c r="AA718" s="2"/>
      <c r="AB718" s="2"/>
      <c r="AC718" s="2"/>
      <c r="AD718" s="2"/>
      <c r="AE718" s="3" t="s">
        <v>8171</v>
      </c>
      <c r="AF718" s="2"/>
      <c r="AG718" s="1" t="s">
        <v>1582</v>
      </c>
      <c r="AH718" s="1" t="s">
        <v>6343</v>
      </c>
      <c r="AI718" s="2">
        <v>90.0</v>
      </c>
      <c r="AJ718" s="1" t="s">
        <v>1589</v>
      </c>
      <c r="AK718" s="1" t="s">
        <v>5878</v>
      </c>
      <c r="AL718" s="1" t="s">
        <v>5878</v>
      </c>
      <c r="AM718" s="2"/>
      <c r="AN718" s="2"/>
      <c r="AO718" s="2"/>
      <c r="AP718" s="2"/>
      <c r="AQ718" s="2"/>
      <c r="AR718" s="2"/>
      <c r="AS718" s="2"/>
      <c r="AT718" s="2"/>
      <c r="AU718" s="126" t="s">
        <v>22</v>
      </c>
      <c r="AV718" s="126">
        <v>5000.0</v>
      </c>
      <c r="AW718" s="2"/>
      <c r="AX718" s="2"/>
      <c r="AY718" s="2"/>
      <c r="AZ718" s="2"/>
      <c r="BA718" s="2"/>
      <c r="BB718" s="2"/>
      <c r="BC718" s="2"/>
      <c r="BD718" s="2"/>
      <c r="BE718" s="2"/>
    </row>
    <row r="719" hidden="1">
      <c r="A719" s="2"/>
      <c r="B719" s="335" t="s">
        <v>8172</v>
      </c>
      <c r="C719" s="93"/>
      <c r="D719" s="31">
        <v>90.0</v>
      </c>
      <c r="E719" s="31" t="s">
        <v>318</v>
      </c>
      <c r="F719" s="11" t="s">
        <v>7832</v>
      </c>
      <c r="G719" s="321"/>
      <c r="H719" s="322"/>
      <c r="I719" s="323"/>
      <c r="J719" s="324"/>
      <c r="K719" s="322"/>
      <c r="L719" s="323"/>
      <c r="M719" s="324" t="s">
        <v>22</v>
      </c>
      <c r="N719" s="284">
        <v>1.5</v>
      </c>
      <c r="O719" s="322" t="s">
        <v>22</v>
      </c>
      <c r="P719" s="104"/>
      <c r="Q719" s="319">
        <f>P716</f>
        <v>5000</v>
      </c>
      <c r="R719" s="331"/>
      <c r="S719" s="326"/>
      <c r="T719" s="2"/>
      <c r="U719" s="59" t="str">
        <f t="shared" si="353"/>
        <v>нет з/ч</v>
      </c>
      <c r="V719" s="304" t="str">
        <f t="shared" si="356"/>
        <v>нет з/ч</v>
      </c>
      <c r="W719" s="2"/>
      <c r="X719" s="289"/>
      <c r="Y719" s="139"/>
      <c r="Z719" s="2"/>
      <c r="AA719" s="2"/>
      <c r="AB719" s="2"/>
      <c r="AC719" s="2"/>
      <c r="AD719" s="2"/>
      <c r="AE719" s="3" t="s">
        <v>8172</v>
      </c>
      <c r="AF719" s="2"/>
      <c r="AG719" s="1" t="s">
        <v>1582</v>
      </c>
      <c r="AH719" s="1" t="s">
        <v>6343</v>
      </c>
      <c r="AI719" s="2">
        <v>90.0</v>
      </c>
      <c r="AJ719" s="1" t="s">
        <v>1589</v>
      </c>
      <c r="AK719" s="1" t="s">
        <v>5878</v>
      </c>
      <c r="AL719" s="1" t="s">
        <v>5878</v>
      </c>
      <c r="AM719" s="2"/>
      <c r="AN719" s="2"/>
      <c r="AO719" s="2"/>
      <c r="AP719" s="2"/>
      <c r="AQ719" s="2"/>
      <c r="AR719" s="2"/>
      <c r="AS719" s="2"/>
      <c r="AT719" s="2"/>
      <c r="AU719" s="126" t="s">
        <v>22</v>
      </c>
      <c r="AV719" s="126">
        <v>5000.0</v>
      </c>
      <c r="AW719" s="2"/>
      <c r="AX719" s="2"/>
      <c r="AY719" s="2"/>
      <c r="AZ719" s="2"/>
      <c r="BA719" s="2"/>
      <c r="BB719" s="2"/>
      <c r="BC719" s="2"/>
      <c r="BD719" s="2"/>
      <c r="BE719" s="2"/>
    </row>
    <row r="720" hidden="1">
      <c r="A720" s="2"/>
      <c r="B720" s="335" t="s">
        <v>8173</v>
      </c>
      <c r="C720" s="93"/>
      <c r="D720" s="31">
        <v>90.0</v>
      </c>
      <c r="E720" s="31" t="s">
        <v>318</v>
      </c>
      <c r="F720" s="11" t="s">
        <v>7832</v>
      </c>
      <c r="G720" s="321"/>
      <c r="H720" s="322"/>
      <c r="I720" s="323"/>
      <c r="J720" s="324"/>
      <c r="K720" s="322"/>
      <c r="L720" s="323"/>
      <c r="M720" s="324" t="s">
        <v>22</v>
      </c>
      <c r="N720" s="284">
        <v>1.5</v>
      </c>
      <c r="O720" s="322" t="s">
        <v>22</v>
      </c>
      <c r="P720" s="67"/>
      <c r="Q720" s="319">
        <f>P716</f>
        <v>5000</v>
      </c>
      <c r="R720" s="331"/>
      <c r="S720" s="326"/>
      <c r="T720" s="2"/>
      <c r="U720" s="59" t="str">
        <f t="shared" si="353"/>
        <v>нет з/ч</v>
      </c>
      <c r="V720" s="304" t="str">
        <f t="shared" si="356"/>
        <v>нет з/ч</v>
      </c>
      <c r="W720" s="2"/>
      <c r="X720" s="289"/>
      <c r="Y720" s="139"/>
      <c r="Z720" s="2"/>
      <c r="AA720" s="2"/>
      <c r="AB720" s="2"/>
      <c r="AC720" s="2"/>
      <c r="AD720" s="2"/>
      <c r="AE720" s="3" t="s">
        <v>8173</v>
      </c>
      <c r="AF720" s="2"/>
      <c r="AG720" s="1" t="s">
        <v>1582</v>
      </c>
      <c r="AH720" s="1" t="s">
        <v>6343</v>
      </c>
      <c r="AI720" s="2">
        <v>90.0</v>
      </c>
      <c r="AJ720" s="1" t="s">
        <v>1589</v>
      </c>
      <c r="AK720" s="1" t="s">
        <v>5878</v>
      </c>
      <c r="AL720" s="1" t="s">
        <v>5878</v>
      </c>
      <c r="AM720" s="2"/>
      <c r="AN720" s="2"/>
      <c r="AO720" s="2"/>
      <c r="AP720" s="2"/>
      <c r="AQ720" s="2"/>
      <c r="AR720" s="2"/>
      <c r="AS720" s="2"/>
      <c r="AT720" s="2"/>
      <c r="AU720" s="126" t="s">
        <v>22</v>
      </c>
      <c r="AV720" s="126">
        <v>5000.0</v>
      </c>
      <c r="AW720" s="2"/>
      <c r="AX720" s="2"/>
      <c r="AY720" s="2"/>
      <c r="AZ720" s="2"/>
      <c r="BA720" s="2"/>
      <c r="BB720" s="2"/>
      <c r="BC720" s="2"/>
      <c r="BD720" s="2"/>
      <c r="BE720" s="2"/>
    </row>
    <row r="721" hidden="1">
      <c r="A721" s="2"/>
      <c r="B721" s="335" t="s">
        <v>8174</v>
      </c>
      <c r="C721" s="93"/>
      <c r="D721" s="31">
        <v>90.0</v>
      </c>
      <c r="E721" s="31" t="s">
        <v>325</v>
      </c>
      <c r="F721" s="11" t="s">
        <v>7832</v>
      </c>
      <c r="G721" s="321"/>
      <c r="H721" s="322"/>
      <c r="I721" s="323"/>
      <c r="J721" s="324"/>
      <c r="K721" s="322"/>
      <c r="L721" s="323"/>
      <c r="M721" s="324" t="s">
        <v>22</v>
      </c>
      <c r="N721" s="284">
        <v>1.5</v>
      </c>
      <c r="O721" s="322" t="s">
        <v>22</v>
      </c>
      <c r="P721" s="313">
        <f>MAX(O721:O722)</f>
        <v>0</v>
      </c>
      <c r="Q721" s="319">
        <f>P721</f>
        <v>0</v>
      </c>
      <c r="R721" s="331"/>
      <c r="S721" s="326"/>
      <c r="T721" s="2"/>
      <c r="U721" s="59"/>
      <c r="V721" s="304"/>
      <c r="W721" s="2"/>
      <c r="X721" s="289"/>
      <c r="Y721" s="139"/>
      <c r="Z721" s="2"/>
      <c r="AA721" s="2"/>
      <c r="AB721" s="2"/>
      <c r="AC721" s="2"/>
      <c r="AD721" s="2"/>
      <c r="AE721" s="3" t="s">
        <v>8174</v>
      </c>
      <c r="AF721" s="2"/>
      <c r="AG721" s="1" t="s">
        <v>1582</v>
      </c>
      <c r="AH721" s="1" t="s">
        <v>6359</v>
      </c>
      <c r="AI721" s="2">
        <v>90.0</v>
      </c>
      <c r="AJ721" s="1" t="s">
        <v>1589</v>
      </c>
      <c r="AK721" s="1" t="s">
        <v>5878</v>
      </c>
      <c r="AL721" s="1" t="s">
        <v>5878</v>
      </c>
      <c r="AM721" s="2"/>
      <c r="AN721" s="2"/>
      <c r="AO721" s="2"/>
      <c r="AP721" s="2"/>
      <c r="AQ721" s="2"/>
      <c r="AR721" s="2"/>
      <c r="AS721" s="2"/>
      <c r="AT721" s="2"/>
      <c r="AU721" s="126" t="s">
        <v>22</v>
      </c>
      <c r="AV721" s="126">
        <v>0.0</v>
      </c>
      <c r="AW721" s="2"/>
      <c r="AX721" s="2"/>
      <c r="AY721" s="2"/>
      <c r="AZ721" s="2"/>
      <c r="BA721" s="2"/>
      <c r="BB721" s="2"/>
      <c r="BC721" s="2"/>
      <c r="BD721" s="2"/>
      <c r="BE721" s="2"/>
    </row>
    <row r="722" hidden="1">
      <c r="A722" s="2"/>
      <c r="B722" s="335" t="s">
        <v>8175</v>
      </c>
      <c r="C722" s="93"/>
      <c r="D722" s="31">
        <v>90.0</v>
      </c>
      <c r="E722" s="31" t="s">
        <v>325</v>
      </c>
      <c r="F722" s="11" t="s">
        <v>7832</v>
      </c>
      <c r="G722" s="321"/>
      <c r="H722" s="322"/>
      <c r="I722" s="323"/>
      <c r="J722" s="324"/>
      <c r="K722" s="322"/>
      <c r="L722" s="323"/>
      <c r="M722" s="324" t="s">
        <v>22</v>
      </c>
      <c r="N722" s="284">
        <v>1.5</v>
      </c>
      <c r="O722" s="322" t="s">
        <v>22</v>
      </c>
      <c r="P722" s="67"/>
      <c r="Q722" s="319">
        <f>P721</f>
        <v>0</v>
      </c>
      <c r="R722" s="331"/>
      <c r="S722" s="326"/>
      <c r="T722" s="2"/>
      <c r="U722" s="59"/>
      <c r="V722" s="304"/>
      <c r="W722" s="2"/>
      <c r="X722" s="289"/>
      <c r="Y722" s="139"/>
      <c r="Z722" s="2"/>
      <c r="AA722" s="2"/>
      <c r="AB722" s="2"/>
      <c r="AC722" s="2"/>
      <c r="AD722" s="2"/>
      <c r="AE722" s="3" t="s">
        <v>8175</v>
      </c>
      <c r="AF722" s="2"/>
      <c r="AG722" s="1" t="s">
        <v>1582</v>
      </c>
      <c r="AH722" s="1" t="s">
        <v>6359</v>
      </c>
      <c r="AI722" s="2">
        <v>90.0</v>
      </c>
      <c r="AJ722" s="1" t="s">
        <v>1589</v>
      </c>
      <c r="AK722" s="1" t="s">
        <v>5878</v>
      </c>
      <c r="AL722" s="1" t="s">
        <v>5878</v>
      </c>
      <c r="AM722" s="2"/>
      <c r="AN722" s="2"/>
      <c r="AO722" s="2"/>
      <c r="AP722" s="2"/>
      <c r="AQ722" s="2"/>
      <c r="AR722" s="2"/>
      <c r="AS722" s="2"/>
      <c r="AT722" s="2"/>
      <c r="AU722" s="126" t="s">
        <v>22</v>
      </c>
      <c r="AV722" s="126">
        <v>0.0</v>
      </c>
      <c r="AW722" s="2"/>
      <c r="AX722" s="2"/>
      <c r="AY722" s="2"/>
      <c r="AZ722" s="2"/>
      <c r="BA722" s="2"/>
      <c r="BB722" s="2"/>
      <c r="BC722" s="2"/>
      <c r="BD722" s="2"/>
      <c r="BE722" s="2"/>
    </row>
    <row r="723" hidden="1">
      <c r="A723" s="2"/>
      <c r="B723" s="335" t="s">
        <v>8176</v>
      </c>
      <c r="C723" s="93"/>
      <c r="D723" s="31">
        <v>90.0</v>
      </c>
      <c r="E723" s="31" t="s">
        <v>332</v>
      </c>
      <c r="F723" s="11" t="s">
        <v>7832</v>
      </c>
      <c r="G723" s="327" t="s">
        <v>8177</v>
      </c>
      <c r="H723" s="322"/>
      <c r="I723" s="328">
        <v>2300.0</v>
      </c>
      <c r="J723" s="324"/>
      <c r="K723" s="322"/>
      <c r="L723" s="323"/>
      <c r="M723" s="324">
        <v>2300.0</v>
      </c>
      <c r="N723" s="284">
        <v>1.5</v>
      </c>
      <c r="O723" s="322">
        <v>5750.0</v>
      </c>
      <c r="P723" s="313">
        <f>MAX(O723:O727)</f>
        <v>5750</v>
      </c>
      <c r="Q723" s="319">
        <f>P723</f>
        <v>5750</v>
      </c>
      <c r="R723" s="329" t="s">
        <v>8178</v>
      </c>
      <c r="S723" s="330">
        <v>46141.46540071759</v>
      </c>
      <c r="T723" s="2"/>
      <c r="U723" s="289">
        <f t="shared" ref="U723:U815" si="357">IF(I723&gt;0, Q723 - I723, "нет з/ч")</f>
        <v>3450</v>
      </c>
      <c r="V723" s="304" t="str">
        <f t="shared" ref="V723:V747" si="358">IF(L723&gt;0, Q2289 - L723, "нет з/ч")</f>
        <v>нет з/ч</v>
      </c>
      <c r="W723" s="2"/>
      <c r="X723" s="289">
        <v>2300.0</v>
      </c>
      <c r="Y723" s="139"/>
      <c r="Z723" s="2"/>
      <c r="AA723" s="2"/>
      <c r="AB723" s="2"/>
      <c r="AC723" s="2"/>
      <c r="AD723" s="2"/>
      <c r="AE723" s="3" t="s">
        <v>8176</v>
      </c>
      <c r="AF723" s="2"/>
      <c r="AG723" s="1" t="s">
        <v>1582</v>
      </c>
      <c r="AH723" s="1" t="s">
        <v>6373</v>
      </c>
      <c r="AI723" s="2">
        <v>90.0</v>
      </c>
      <c r="AJ723" s="1" t="s">
        <v>1589</v>
      </c>
      <c r="AK723" s="1" t="s">
        <v>5878</v>
      </c>
      <c r="AL723" s="1" t="s">
        <v>5878</v>
      </c>
      <c r="AM723" s="2"/>
      <c r="AN723" s="2"/>
      <c r="AO723" s="2"/>
      <c r="AP723" s="2"/>
      <c r="AQ723" s="2"/>
      <c r="AR723" s="2"/>
      <c r="AS723" s="2"/>
      <c r="AT723" s="2"/>
      <c r="AU723" s="126">
        <v>2300.0</v>
      </c>
      <c r="AV723" s="126">
        <v>5750.0</v>
      </c>
      <c r="AW723" s="2"/>
      <c r="AX723" s="2"/>
      <c r="AY723" s="2"/>
      <c r="AZ723" s="2"/>
      <c r="BA723" s="2"/>
      <c r="BB723" s="2"/>
      <c r="BC723" s="2"/>
      <c r="BD723" s="2"/>
      <c r="BE723" s="2"/>
    </row>
    <row r="724" hidden="1">
      <c r="A724" s="2"/>
      <c r="B724" s="335" t="s">
        <v>8179</v>
      </c>
      <c r="C724" s="93"/>
      <c r="D724" s="31">
        <v>90.0</v>
      </c>
      <c r="E724" s="31" t="s">
        <v>332</v>
      </c>
      <c r="F724" s="11" t="s">
        <v>7832</v>
      </c>
      <c r="G724" s="327" t="s">
        <v>8180</v>
      </c>
      <c r="H724" s="322"/>
      <c r="I724" s="328">
        <v>2300.0</v>
      </c>
      <c r="J724" s="324"/>
      <c r="K724" s="322"/>
      <c r="L724" s="323"/>
      <c r="M724" s="324">
        <v>2300.0</v>
      </c>
      <c r="N724" s="284">
        <v>1.5</v>
      </c>
      <c r="O724" s="322">
        <v>5750.0</v>
      </c>
      <c r="P724" s="104"/>
      <c r="Q724" s="319">
        <f>P723</f>
        <v>5750</v>
      </c>
      <c r="R724" s="329" t="s">
        <v>8181</v>
      </c>
      <c r="S724" s="330">
        <v>46141.46545056713</v>
      </c>
      <c r="T724" s="2"/>
      <c r="U724" s="289">
        <f t="shared" si="357"/>
        <v>3450</v>
      </c>
      <c r="V724" s="304" t="str">
        <f t="shared" si="358"/>
        <v>нет з/ч</v>
      </c>
      <c r="W724" s="2"/>
      <c r="X724" s="289">
        <v>2300.0</v>
      </c>
      <c r="Y724" s="139"/>
      <c r="Z724" s="2"/>
      <c r="AA724" s="2"/>
      <c r="AB724" s="2"/>
      <c r="AC724" s="2"/>
      <c r="AD724" s="2"/>
      <c r="AE724" s="3" t="s">
        <v>8179</v>
      </c>
      <c r="AF724" s="2"/>
      <c r="AG724" s="1" t="s">
        <v>1582</v>
      </c>
      <c r="AH724" s="1" t="s">
        <v>6373</v>
      </c>
      <c r="AI724" s="2">
        <v>90.0</v>
      </c>
      <c r="AJ724" s="1" t="s">
        <v>1589</v>
      </c>
      <c r="AK724" s="1" t="s">
        <v>5878</v>
      </c>
      <c r="AL724" s="1" t="s">
        <v>5878</v>
      </c>
      <c r="AM724" s="2"/>
      <c r="AN724" s="2"/>
      <c r="AO724" s="2"/>
      <c r="AP724" s="2"/>
      <c r="AQ724" s="2"/>
      <c r="AR724" s="2"/>
      <c r="AS724" s="2"/>
      <c r="AT724" s="2"/>
      <c r="AU724" s="126">
        <v>2300.0</v>
      </c>
      <c r="AV724" s="126">
        <v>5750.0</v>
      </c>
      <c r="AW724" s="2"/>
      <c r="AX724" s="2"/>
      <c r="AY724" s="2"/>
      <c r="AZ724" s="2"/>
      <c r="BA724" s="2"/>
      <c r="BB724" s="2"/>
      <c r="BC724" s="2"/>
      <c r="BD724" s="2"/>
      <c r="BE724" s="2"/>
    </row>
    <row r="725" hidden="1">
      <c r="A725" s="2"/>
      <c r="B725" s="335" t="s">
        <v>8182</v>
      </c>
      <c r="C725" s="93"/>
      <c r="D725" s="31">
        <v>90.0</v>
      </c>
      <c r="E725" s="31" t="s">
        <v>332</v>
      </c>
      <c r="F725" s="11" t="s">
        <v>7832</v>
      </c>
      <c r="G725" s="321"/>
      <c r="H725" s="322"/>
      <c r="I725" s="323"/>
      <c r="J725" s="324"/>
      <c r="K725" s="322"/>
      <c r="L725" s="323"/>
      <c r="M725" s="324" t="s">
        <v>22</v>
      </c>
      <c r="N725" s="284">
        <v>1.5</v>
      </c>
      <c r="O725" s="322" t="s">
        <v>22</v>
      </c>
      <c r="P725" s="104"/>
      <c r="Q725" s="319">
        <f>P723</f>
        <v>5750</v>
      </c>
      <c r="R725" s="331"/>
      <c r="S725" s="326"/>
      <c r="T725" s="2"/>
      <c r="U725" s="59" t="str">
        <f t="shared" si="357"/>
        <v>нет з/ч</v>
      </c>
      <c r="V725" s="304" t="str">
        <f t="shared" si="358"/>
        <v>нет з/ч</v>
      </c>
      <c r="W725" s="2"/>
      <c r="X725" s="289"/>
      <c r="Y725" s="139"/>
      <c r="Z725" s="2"/>
      <c r="AA725" s="2"/>
      <c r="AB725" s="2"/>
      <c r="AC725" s="2"/>
      <c r="AD725" s="2"/>
      <c r="AE725" s="3" t="s">
        <v>8182</v>
      </c>
      <c r="AF725" s="2"/>
      <c r="AG725" s="1" t="s">
        <v>1582</v>
      </c>
      <c r="AH725" s="1" t="s">
        <v>6373</v>
      </c>
      <c r="AI725" s="2">
        <v>90.0</v>
      </c>
      <c r="AJ725" s="1" t="s">
        <v>1589</v>
      </c>
      <c r="AK725" s="1" t="s">
        <v>5878</v>
      </c>
      <c r="AL725" s="1" t="s">
        <v>5878</v>
      </c>
      <c r="AM725" s="2"/>
      <c r="AN725" s="2"/>
      <c r="AO725" s="2"/>
      <c r="AP725" s="2"/>
      <c r="AQ725" s="2"/>
      <c r="AR725" s="2"/>
      <c r="AS725" s="2"/>
      <c r="AT725" s="2"/>
      <c r="AU725" s="126" t="s">
        <v>22</v>
      </c>
      <c r="AV725" s="126">
        <v>5750.0</v>
      </c>
      <c r="AW725" s="2"/>
      <c r="AX725" s="2"/>
      <c r="AY725" s="2"/>
      <c r="AZ725" s="2"/>
      <c r="BA725" s="2"/>
      <c r="BB725" s="2"/>
      <c r="BC725" s="2"/>
      <c r="BD725" s="2"/>
      <c r="BE725" s="2"/>
    </row>
    <row r="726" hidden="1">
      <c r="A726" s="2"/>
      <c r="B726" s="335" t="s">
        <v>8183</v>
      </c>
      <c r="C726" s="93"/>
      <c r="D726" s="31">
        <v>90.0</v>
      </c>
      <c r="E726" s="31" t="s">
        <v>332</v>
      </c>
      <c r="F726" s="11" t="s">
        <v>7832</v>
      </c>
      <c r="G726" s="321"/>
      <c r="H726" s="322"/>
      <c r="I726" s="323"/>
      <c r="J726" s="324"/>
      <c r="K726" s="322"/>
      <c r="L726" s="323"/>
      <c r="M726" s="324" t="s">
        <v>22</v>
      </c>
      <c r="N726" s="284">
        <v>1.5</v>
      </c>
      <c r="O726" s="322" t="s">
        <v>22</v>
      </c>
      <c r="P726" s="104"/>
      <c r="Q726" s="319">
        <f>P723</f>
        <v>5750</v>
      </c>
      <c r="R726" s="331"/>
      <c r="S726" s="326"/>
      <c r="T726" s="2"/>
      <c r="U726" s="59" t="str">
        <f t="shared" si="357"/>
        <v>нет з/ч</v>
      </c>
      <c r="V726" s="304" t="str">
        <f t="shared" si="358"/>
        <v>нет з/ч</v>
      </c>
      <c r="W726" s="2"/>
      <c r="X726" s="289"/>
      <c r="Y726" s="139"/>
      <c r="Z726" s="2"/>
      <c r="AA726" s="2"/>
      <c r="AB726" s="2"/>
      <c r="AC726" s="2"/>
      <c r="AD726" s="2"/>
      <c r="AE726" s="3" t="s">
        <v>8183</v>
      </c>
      <c r="AF726" s="2"/>
      <c r="AG726" s="1" t="s">
        <v>1582</v>
      </c>
      <c r="AH726" s="1" t="s">
        <v>6373</v>
      </c>
      <c r="AI726" s="2">
        <v>90.0</v>
      </c>
      <c r="AJ726" s="1" t="s">
        <v>1589</v>
      </c>
      <c r="AK726" s="1" t="s">
        <v>5878</v>
      </c>
      <c r="AL726" s="1" t="s">
        <v>5878</v>
      </c>
      <c r="AM726" s="2"/>
      <c r="AN726" s="2"/>
      <c r="AO726" s="2"/>
      <c r="AP726" s="2"/>
      <c r="AQ726" s="2"/>
      <c r="AR726" s="2"/>
      <c r="AS726" s="2"/>
      <c r="AT726" s="2"/>
      <c r="AU726" s="126" t="s">
        <v>22</v>
      </c>
      <c r="AV726" s="126">
        <v>5750.0</v>
      </c>
      <c r="AW726" s="2"/>
      <c r="AX726" s="2"/>
      <c r="AY726" s="2"/>
      <c r="AZ726" s="2"/>
      <c r="BA726" s="2"/>
      <c r="BB726" s="2"/>
      <c r="BC726" s="2"/>
      <c r="BD726" s="2"/>
      <c r="BE726" s="2"/>
    </row>
    <row r="727" hidden="1">
      <c r="A727" s="2"/>
      <c r="B727" s="335" t="s">
        <v>8184</v>
      </c>
      <c r="C727" s="93"/>
      <c r="D727" s="31">
        <v>90.0</v>
      </c>
      <c r="E727" s="31" t="s">
        <v>332</v>
      </c>
      <c r="F727" s="11" t="s">
        <v>7832</v>
      </c>
      <c r="G727" s="321"/>
      <c r="H727" s="322"/>
      <c r="I727" s="323"/>
      <c r="J727" s="324"/>
      <c r="K727" s="322"/>
      <c r="L727" s="323"/>
      <c r="M727" s="324" t="s">
        <v>22</v>
      </c>
      <c r="N727" s="284">
        <v>1.5</v>
      </c>
      <c r="O727" s="322" t="s">
        <v>22</v>
      </c>
      <c r="P727" s="67"/>
      <c r="Q727" s="319">
        <f>P723</f>
        <v>5750</v>
      </c>
      <c r="R727" s="331"/>
      <c r="S727" s="326"/>
      <c r="T727" s="2"/>
      <c r="U727" s="59" t="str">
        <f t="shared" si="357"/>
        <v>нет з/ч</v>
      </c>
      <c r="V727" s="304" t="str">
        <f t="shared" si="358"/>
        <v>нет з/ч</v>
      </c>
      <c r="W727" s="2"/>
      <c r="X727" s="289"/>
      <c r="Y727" s="139"/>
      <c r="Z727" s="2"/>
      <c r="AA727" s="2"/>
      <c r="AB727" s="2"/>
      <c r="AC727" s="2"/>
      <c r="AD727" s="2"/>
      <c r="AE727" s="3" t="s">
        <v>8184</v>
      </c>
      <c r="AF727" s="2"/>
      <c r="AG727" s="1" t="s">
        <v>1582</v>
      </c>
      <c r="AH727" s="1" t="s">
        <v>6373</v>
      </c>
      <c r="AI727" s="2">
        <v>90.0</v>
      </c>
      <c r="AJ727" s="1" t="s">
        <v>1589</v>
      </c>
      <c r="AK727" s="1" t="s">
        <v>5878</v>
      </c>
      <c r="AL727" s="1" t="s">
        <v>5878</v>
      </c>
      <c r="AM727" s="2"/>
      <c r="AN727" s="2"/>
      <c r="AO727" s="2"/>
      <c r="AP727" s="2"/>
      <c r="AQ727" s="2"/>
      <c r="AR727" s="2"/>
      <c r="AS727" s="2"/>
      <c r="AT727" s="2"/>
      <c r="AU727" s="126" t="s">
        <v>22</v>
      </c>
      <c r="AV727" s="126">
        <v>5750.0</v>
      </c>
      <c r="AW727" s="2"/>
      <c r="AX727" s="2"/>
      <c r="AY727" s="2"/>
      <c r="AZ727" s="2"/>
      <c r="BA727" s="2"/>
      <c r="BB727" s="2"/>
      <c r="BC727" s="2"/>
      <c r="BD727" s="2"/>
      <c r="BE727" s="2"/>
    </row>
    <row r="728" hidden="1">
      <c r="A728" s="2"/>
      <c r="B728" s="335" t="s">
        <v>8185</v>
      </c>
      <c r="C728" s="93"/>
      <c r="D728" s="31">
        <v>90.0</v>
      </c>
      <c r="E728" s="31" t="s">
        <v>339</v>
      </c>
      <c r="F728" s="11" t="s">
        <v>7832</v>
      </c>
      <c r="G728" s="327" t="s">
        <v>8186</v>
      </c>
      <c r="H728" s="322"/>
      <c r="I728" s="328">
        <v>2000.0</v>
      </c>
      <c r="J728" s="324"/>
      <c r="K728" s="322"/>
      <c r="L728" s="323"/>
      <c r="M728" s="324">
        <v>2000.0</v>
      </c>
      <c r="N728" s="284">
        <v>1.5</v>
      </c>
      <c r="O728" s="322">
        <v>5000.0</v>
      </c>
      <c r="P728" s="313">
        <f>MAX(O728:O731)</f>
        <v>5000</v>
      </c>
      <c r="Q728" s="319">
        <f>P728</f>
        <v>5000</v>
      </c>
      <c r="R728" s="329" t="s">
        <v>8187</v>
      </c>
      <c r="S728" s="330">
        <v>46141.46550233796</v>
      </c>
      <c r="T728" s="2"/>
      <c r="U728" s="289">
        <f t="shared" si="357"/>
        <v>3000</v>
      </c>
      <c r="V728" s="304" t="str">
        <f t="shared" si="358"/>
        <v>нет з/ч</v>
      </c>
      <c r="W728" s="2"/>
      <c r="X728" s="289">
        <v>2000.0</v>
      </c>
      <c r="Y728" s="139"/>
      <c r="Z728" s="2"/>
      <c r="AA728" s="2"/>
      <c r="AB728" s="2"/>
      <c r="AC728" s="2"/>
      <c r="AD728" s="2"/>
      <c r="AE728" s="3" t="s">
        <v>8185</v>
      </c>
      <c r="AF728" s="2"/>
      <c r="AG728" s="1" t="s">
        <v>1582</v>
      </c>
      <c r="AH728" s="1" t="s">
        <v>6389</v>
      </c>
      <c r="AI728" s="2">
        <v>90.0</v>
      </c>
      <c r="AJ728" s="1" t="s">
        <v>1589</v>
      </c>
      <c r="AK728" s="1" t="s">
        <v>5878</v>
      </c>
      <c r="AL728" s="1" t="s">
        <v>5878</v>
      </c>
      <c r="AM728" s="2"/>
      <c r="AN728" s="2"/>
      <c r="AO728" s="2"/>
      <c r="AP728" s="2"/>
      <c r="AQ728" s="2"/>
      <c r="AR728" s="2"/>
      <c r="AS728" s="2"/>
      <c r="AT728" s="2"/>
      <c r="AU728" s="126">
        <v>2000.0</v>
      </c>
      <c r="AV728" s="126">
        <v>5000.0</v>
      </c>
      <c r="AW728" s="2"/>
      <c r="AX728" s="2"/>
      <c r="AY728" s="2"/>
      <c r="AZ728" s="2"/>
      <c r="BA728" s="2"/>
      <c r="BB728" s="2"/>
      <c r="BC728" s="2"/>
      <c r="BD728" s="2"/>
      <c r="BE728" s="2"/>
    </row>
    <row r="729" hidden="1">
      <c r="A729" s="2"/>
      <c r="B729" s="335" t="s">
        <v>8188</v>
      </c>
      <c r="C729" s="93"/>
      <c r="D729" s="31">
        <v>90.0</v>
      </c>
      <c r="E729" s="31" t="s">
        <v>339</v>
      </c>
      <c r="F729" s="11" t="s">
        <v>7832</v>
      </c>
      <c r="G729" s="327" t="s">
        <v>8189</v>
      </c>
      <c r="H729" s="322"/>
      <c r="I729" s="328">
        <v>2000.0</v>
      </c>
      <c r="J729" s="324"/>
      <c r="K729" s="322"/>
      <c r="L729" s="323"/>
      <c r="M729" s="324">
        <v>2000.0</v>
      </c>
      <c r="N729" s="284">
        <v>1.5</v>
      </c>
      <c r="O729" s="322">
        <v>5000.0</v>
      </c>
      <c r="P729" s="104"/>
      <c r="Q729" s="319">
        <f>P728</f>
        <v>5000</v>
      </c>
      <c r="R729" s="329" t="s">
        <v>8190</v>
      </c>
      <c r="S729" s="330">
        <v>46141.46555175926</v>
      </c>
      <c r="T729" s="2"/>
      <c r="U729" s="289">
        <f t="shared" si="357"/>
        <v>3000</v>
      </c>
      <c r="V729" s="304" t="str">
        <f t="shared" si="358"/>
        <v>нет з/ч</v>
      </c>
      <c r="W729" s="2"/>
      <c r="X729" s="289">
        <v>2000.0</v>
      </c>
      <c r="Y729" s="139"/>
      <c r="Z729" s="2"/>
      <c r="AA729" s="2"/>
      <c r="AB729" s="2"/>
      <c r="AC729" s="2"/>
      <c r="AD729" s="2"/>
      <c r="AE729" s="3" t="s">
        <v>8188</v>
      </c>
      <c r="AF729" s="2"/>
      <c r="AG729" s="1" t="s">
        <v>1582</v>
      </c>
      <c r="AH729" s="1" t="s">
        <v>6389</v>
      </c>
      <c r="AI729" s="2">
        <v>90.0</v>
      </c>
      <c r="AJ729" s="1" t="s">
        <v>1589</v>
      </c>
      <c r="AK729" s="1" t="s">
        <v>5878</v>
      </c>
      <c r="AL729" s="1" t="s">
        <v>5878</v>
      </c>
      <c r="AM729" s="2"/>
      <c r="AN729" s="2"/>
      <c r="AO729" s="2"/>
      <c r="AP729" s="2"/>
      <c r="AQ729" s="2"/>
      <c r="AR729" s="2"/>
      <c r="AS729" s="2"/>
      <c r="AT729" s="2"/>
      <c r="AU729" s="126">
        <v>2000.0</v>
      </c>
      <c r="AV729" s="126">
        <v>5000.0</v>
      </c>
      <c r="AW729" s="2"/>
      <c r="AX729" s="2"/>
      <c r="AY729" s="2"/>
      <c r="AZ729" s="2"/>
      <c r="BA729" s="2"/>
      <c r="BB729" s="2"/>
      <c r="BC729" s="2"/>
      <c r="BD729" s="2"/>
      <c r="BE729" s="2"/>
    </row>
    <row r="730" hidden="1">
      <c r="A730" s="2"/>
      <c r="B730" s="335" t="s">
        <v>8191</v>
      </c>
      <c r="C730" s="93"/>
      <c r="D730" s="31">
        <v>90.0</v>
      </c>
      <c r="E730" s="31" t="s">
        <v>339</v>
      </c>
      <c r="F730" s="11" t="s">
        <v>7832</v>
      </c>
      <c r="G730" s="321"/>
      <c r="H730" s="322"/>
      <c r="I730" s="323"/>
      <c r="J730" s="324"/>
      <c r="K730" s="322"/>
      <c r="L730" s="323"/>
      <c r="M730" s="324" t="s">
        <v>22</v>
      </c>
      <c r="N730" s="284">
        <v>1.5</v>
      </c>
      <c r="O730" s="322" t="s">
        <v>22</v>
      </c>
      <c r="P730" s="104"/>
      <c r="Q730" s="319">
        <f>P728</f>
        <v>5000</v>
      </c>
      <c r="R730" s="331"/>
      <c r="S730" s="326"/>
      <c r="T730" s="2"/>
      <c r="U730" s="59" t="str">
        <f t="shared" si="357"/>
        <v>нет з/ч</v>
      </c>
      <c r="V730" s="304" t="str">
        <f t="shared" si="358"/>
        <v>нет з/ч</v>
      </c>
      <c r="W730" s="2"/>
      <c r="X730" s="289"/>
      <c r="Y730" s="139"/>
      <c r="Z730" s="2"/>
      <c r="AA730" s="2"/>
      <c r="AB730" s="2"/>
      <c r="AC730" s="2"/>
      <c r="AD730" s="2"/>
      <c r="AE730" s="3" t="s">
        <v>8191</v>
      </c>
      <c r="AF730" s="2"/>
      <c r="AG730" s="1" t="s">
        <v>1582</v>
      </c>
      <c r="AH730" s="1" t="s">
        <v>6389</v>
      </c>
      <c r="AI730" s="2">
        <v>90.0</v>
      </c>
      <c r="AJ730" s="1" t="s">
        <v>1589</v>
      </c>
      <c r="AK730" s="1" t="s">
        <v>5878</v>
      </c>
      <c r="AL730" s="1" t="s">
        <v>5878</v>
      </c>
      <c r="AM730" s="2"/>
      <c r="AN730" s="2"/>
      <c r="AO730" s="2"/>
      <c r="AP730" s="2"/>
      <c r="AQ730" s="2"/>
      <c r="AR730" s="2"/>
      <c r="AS730" s="2"/>
      <c r="AT730" s="2"/>
      <c r="AU730" s="126" t="s">
        <v>22</v>
      </c>
      <c r="AV730" s="126">
        <v>5000.0</v>
      </c>
      <c r="AW730" s="2"/>
      <c r="AX730" s="2"/>
      <c r="AY730" s="2"/>
      <c r="AZ730" s="2"/>
      <c r="BA730" s="2"/>
      <c r="BB730" s="2"/>
      <c r="BC730" s="2"/>
      <c r="BD730" s="2"/>
      <c r="BE730" s="2"/>
    </row>
    <row r="731" hidden="1">
      <c r="A731" s="2"/>
      <c r="B731" s="335" t="s">
        <v>8192</v>
      </c>
      <c r="C731" s="93"/>
      <c r="D731" s="31">
        <v>90.0</v>
      </c>
      <c r="E731" s="31" t="s">
        <v>339</v>
      </c>
      <c r="F731" s="11" t="s">
        <v>7832</v>
      </c>
      <c r="G731" s="321"/>
      <c r="H731" s="322"/>
      <c r="I731" s="323"/>
      <c r="J731" s="324"/>
      <c r="K731" s="322"/>
      <c r="L731" s="323"/>
      <c r="M731" s="324" t="s">
        <v>22</v>
      </c>
      <c r="N731" s="284">
        <v>1.5</v>
      </c>
      <c r="O731" s="322" t="s">
        <v>22</v>
      </c>
      <c r="P731" s="67"/>
      <c r="Q731" s="319">
        <f>P728</f>
        <v>5000</v>
      </c>
      <c r="R731" s="331"/>
      <c r="S731" s="326"/>
      <c r="T731" s="2"/>
      <c r="U731" s="59" t="str">
        <f t="shared" si="357"/>
        <v>нет з/ч</v>
      </c>
      <c r="V731" s="304" t="str">
        <f t="shared" si="358"/>
        <v>нет з/ч</v>
      </c>
      <c r="W731" s="2"/>
      <c r="X731" s="289"/>
      <c r="Y731" s="139"/>
      <c r="Z731" s="2"/>
      <c r="AA731" s="2"/>
      <c r="AB731" s="2"/>
      <c r="AC731" s="2"/>
      <c r="AD731" s="2"/>
      <c r="AE731" s="3" t="s">
        <v>8192</v>
      </c>
      <c r="AF731" s="2"/>
      <c r="AG731" s="1" t="s">
        <v>1582</v>
      </c>
      <c r="AH731" s="1" t="s">
        <v>6389</v>
      </c>
      <c r="AI731" s="2">
        <v>90.0</v>
      </c>
      <c r="AJ731" s="1" t="s">
        <v>1589</v>
      </c>
      <c r="AK731" s="1" t="s">
        <v>5878</v>
      </c>
      <c r="AL731" s="1" t="s">
        <v>5878</v>
      </c>
      <c r="AM731" s="2"/>
      <c r="AN731" s="2"/>
      <c r="AO731" s="2"/>
      <c r="AP731" s="2"/>
      <c r="AQ731" s="2"/>
      <c r="AR731" s="2"/>
      <c r="AS731" s="2"/>
      <c r="AT731" s="2"/>
      <c r="AU731" s="126" t="s">
        <v>22</v>
      </c>
      <c r="AV731" s="126">
        <v>5000.0</v>
      </c>
      <c r="AW731" s="2"/>
      <c r="AX731" s="2"/>
      <c r="AY731" s="2"/>
      <c r="AZ731" s="2"/>
      <c r="BA731" s="2"/>
      <c r="BB731" s="2"/>
      <c r="BC731" s="2"/>
      <c r="BD731" s="2"/>
      <c r="BE731" s="2"/>
    </row>
    <row r="732" hidden="1">
      <c r="A732" s="2"/>
      <c r="B732" s="335" t="s">
        <v>8193</v>
      </c>
      <c r="C732" s="320" t="s">
        <v>8194</v>
      </c>
      <c r="D732" s="31">
        <v>90.0</v>
      </c>
      <c r="E732" s="31" t="s">
        <v>346</v>
      </c>
      <c r="F732" s="11" t="s">
        <v>7832</v>
      </c>
      <c r="G732" s="327" t="s">
        <v>8195</v>
      </c>
      <c r="H732" s="322"/>
      <c r="I732" s="328">
        <v>2300.0</v>
      </c>
      <c r="J732" s="324"/>
      <c r="K732" s="322"/>
      <c r="L732" s="323"/>
      <c r="M732" s="324">
        <v>2300.0</v>
      </c>
      <c r="N732" s="284">
        <v>1.5</v>
      </c>
      <c r="O732" s="322">
        <v>5750.0</v>
      </c>
      <c r="P732" s="313">
        <f>MAX(O732:O735)</f>
        <v>5750</v>
      </c>
      <c r="Q732" s="319">
        <f>P732</f>
        <v>5750</v>
      </c>
      <c r="R732" s="329" t="s">
        <v>8196</v>
      </c>
      <c r="S732" s="330">
        <v>46141.465601435186</v>
      </c>
      <c r="T732" s="2"/>
      <c r="U732" s="289">
        <f t="shared" si="357"/>
        <v>3450</v>
      </c>
      <c r="V732" s="304" t="str">
        <f t="shared" si="358"/>
        <v>нет з/ч</v>
      </c>
      <c r="W732" s="2"/>
      <c r="X732" s="289">
        <v>2300.0</v>
      </c>
      <c r="Y732" s="139"/>
      <c r="Z732" s="2"/>
      <c r="AA732" s="2" t="s">
        <v>8194</v>
      </c>
      <c r="AB732" s="2" t="s">
        <v>8194</v>
      </c>
      <c r="AC732" s="2"/>
      <c r="AD732" s="2" t="s">
        <v>8194</v>
      </c>
      <c r="AE732" s="3" t="s">
        <v>8193</v>
      </c>
      <c r="AF732" s="2"/>
      <c r="AG732" s="1" t="s">
        <v>1582</v>
      </c>
      <c r="AH732" s="1" t="s">
        <v>6407</v>
      </c>
      <c r="AI732" s="2">
        <v>90.0</v>
      </c>
      <c r="AJ732" s="1" t="s">
        <v>1589</v>
      </c>
      <c r="AK732" s="1" t="s">
        <v>5878</v>
      </c>
      <c r="AL732" s="1" t="s">
        <v>5878</v>
      </c>
      <c r="AM732" s="2"/>
      <c r="AN732" s="2"/>
      <c r="AO732" s="2"/>
      <c r="AP732" s="2"/>
      <c r="AQ732" s="2"/>
      <c r="AR732" s="2"/>
      <c r="AS732" s="2"/>
      <c r="AT732" s="2"/>
      <c r="AU732" s="126">
        <v>2300.0</v>
      </c>
      <c r="AV732" s="126">
        <v>5750.0</v>
      </c>
      <c r="AW732" s="2"/>
      <c r="AX732" s="2"/>
      <c r="AY732" s="2"/>
      <c r="AZ732" s="2"/>
      <c r="BA732" s="2"/>
      <c r="BB732" s="2"/>
      <c r="BC732" s="2"/>
      <c r="BD732" s="2"/>
      <c r="BE732" s="2"/>
    </row>
    <row r="733" hidden="1">
      <c r="A733" s="2"/>
      <c r="B733" s="335" t="s">
        <v>8197</v>
      </c>
      <c r="C733" s="93"/>
      <c r="D733" s="31">
        <v>90.0</v>
      </c>
      <c r="E733" s="31" t="s">
        <v>346</v>
      </c>
      <c r="F733" s="11" t="s">
        <v>7832</v>
      </c>
      <c r="G733" s="327" t="s">
        <v>8198</v>
      </c>
      <c r="H733" s="322"/>
      <c r="I733" s="328">
        <v>2300.0</v>
      </c>
      <c r="J733" s="324"/>
      <c r="K733" s="322"/>
      <c r="L733" s="323"/>
      <c r="M733" s="324">
        <v>2300.0</v>
      </c>
      <c r="N733" s="284">
        <v>1.5</v>
      </c>
      <c r="O733" s="322">
        <v>5750.0</v>
      </c>
      <c r="P733" s="104"/>
      <c r="Q733" s="319">
        <f>P732</f>
        <v>5750</v>
      </c>
      <c r="R733" s="329" t="s">
        <v>8199</v>
      </c>
      <c r="S733" s="330">
        <v>46141.46565034722</v>
      </c>
      <c r="T733" s="2"/>
      <c r="U733" s="289">
        <f t="shared" si="357"/>
        <v>3450</v>
      </c>
      <c r="V733" s="304" t="str">
        <f t="shared" si="358"/>
        <v>нет з/ч</v>
      </c>
      <c r="W733" s="2"/>
      <c r="X733" s="289">
        <v>2300.0</v>
      </c>
      <c r="Y733" s="139"/>
      <c r="Z733" s="2"/>
      <c r="AA733" s="2"/>
      <c r="AB733" s="2"/>
      <c r="AC733" s="2"/>
      <c r="AD733" s="2"/>
      <c r="AE733" s="3" t="s">
        <v>8197</v>
      </c>
      <c r="AF733" s="2"/>
      <c r="AG733" s="1" t="s">
        <v>1582</v>
      </c>
      <c r="AH733" s="1" t="s">
        <v>6407</v>
      </c>
      <c r="AI733" s="2">
        <v>90.0</v>
      </c>
      <c r="AJ733" s="1" t="s">
        <v>1589</v>
      </c>
      <c r="AK733" s="1" t="s">
        <v>5878</v>
      </c>
      <c r="AL733" s="1" t="s">
        <v>5878</v>
      </c>
      <c r="AM733" s="2"/>
      <c r="AN733" s="2"/>
      <c r="AO733" s="2"/>
      <c r="AP733" s="2"/>
      <c r="AQ733" s="2"/>
      <c r="AR733" s="2"/>
      <c r="AS733" s="2"/>
      <c r="AT733" s="2"/>
      <c r="AU733" s="126">
        <v>2300.0</v>
      </c>
      <c r="AV733" s="126">
        <v>5750.0</v>
      </c>
      <c r="AW733" s="2"/>
      <c r="AX733" s="2"/>
      <c r="AY733" s="2"/>
      <c r="AZ733" s="2"/>
      <c r="BA733" s="2"/>
      <c r="BB733" s="2"/>
      <c r="BC733" s="2"/>
      <c r="BD733" s="2"/>
      <c r="BE733" s="2"/>
    </row>
    <row r="734" hidden="1">
      <c r="A734" s="2"/>
      <c r="B734" s="335" t="s">
        <v>8200</v>
      </c>
      <c r="C734" s="93"/>
      <c r="D734" s="31">
        <v>90.0</v>
      </c>
      <c r="E734" s="31" t="s">
        <v>346</v>
      </c>
      <c r="F734" s="11" t="s">
        <v>7832</v>
      </c>
      <c r="G734" s="321"/>
      <c r="H734" s="322"/>
      <c r="I734" s="323"/>
      <c r="J734" s="324"/>
      <c r="K734" s="322"/>
      <c r="L734" s="323"/>
      <c r="M734" s="324" t="s">
        <v>22</v>
      </c>
      <c r="N734" s="284">
        <v>1.5</v>
      </c>
      <c r="O734" s="322" t="s">
        <v>22</v>
      </c>
      <c r="P734" s="104"/>
      <c r="Q734" s="319">
        <f>P732</f>
        <v>5750</v>
      </c>
      <c r="R734" s="331"/>
      <c r="S734" s="326"/>
      <c r="T734" s="2"/>
      <c r="U734" s="59" t="str">
        <f t="shared" si="357"/>
        <v>нет з/ч</v>
      </c>
      <c r="V734" s="304" t="str">
        <f t="shared" si="358"/>
        <v>нет з/ч</v>
      </c>
      <c r="W734" s="2"/>
      <c r="X734" s="289"/>
      <c r="Y734" s="139"/>
      <c r="Z734" s="2"/>
      <c r="AA734" s="2"/>
      <c r="AB734" s="2"/>
      <c r="AC734" s="2"/>
      <c r="AD734" s="2"/>
      <c r="AE734" s="3" t="s">
        <v>8200</v>
      </c>
      <c r="AF734" s="2"/>
      <c r="AG734" s="1" t="s">
        <v>1582</v>
      </c>
      <c r="AH734" s="1" t="s">
        <v>6407</v>
      </c>
      <c r="AI734" s="2">
        <v>90.0</v>
      </c>
      <c r="AJ734" s="1" t="s">
        <v>1589</v>
      </c>
      <c r="AK734" s="1" t="s">
        <v>5878</v>
      </c>
      <c r="AL734" s="1" t="s">
        <v>5878</v>
      </c>
      <c r="AM734" s="2"/>
      <c r="AN734" s="2"/>
      <c r="AO734" s="2"/>
      <c r="AP734" s="2"/>
      <c r="AQ734" s="2"/>
      <c r="AR734" s="2"/>
      <c r="AS734" s="2"/>
      <c r="AT734" s="2"/>
      <c r="AU734" s="126" t="s">
        <v>22</v>
      </c>
      <c r="AV734" s="126">
        <v>5750.0</v>
      </c>
      <c r="AW734" s="2"/>
      <c r="AX734" s="2"/>
      <c r="AY734" s="2"/>
      <c r="AZ734" s="2"/>
      <c r="BA734" s="2"/>
      <c r="BB734" s="2"/>
      <c r="BC734" s="2"/>
      <c r="BD734" s="2"/>
      <c r="BE734" s="2"/>
    </row>
    <row r="735" hidden="1">
      <c r="A735" s="2"/>
      <c r="B735" s="335" t="s">
        <v>8201</v>
      </c>
      <c r="C735" s="93"/>
      <c r="D735" s="31">
        <v>90.0</v>
      </c>
      <c r="E735" s="31" t="s">
        <v>346</v>
      </c>
      <c r="F735" s="11" t="s">
        <v>7832</v>
      </c>
      <c r="G735" s="321"/>
      <c r="H735" s="322"/>
      <c r="I735" s="323"/>
      <c r="J735" s="324"/>
      <c r="K735" s="322"/>
      <c r="L735" s="323"/>
      <c r="M735" s="324" t="s">
        <v>22</v>
      </c>
      <c r="N735" s="284">
        <v>1.5</v>
      </c>
      <c r="O735" s="322" t="s">
        <v>22</v>
      </c>
      <c r="P735" s="67"/>
      <c r="Q735" s="319">
        <f>P732</f>
        <v>5750</v>
      </c>
      <c r="R735" s="331"/>
      <c r="S735" s="326"/>
      <c r="T735" s="2"/>
      <c r="U735" s="59" t="str">
        <f t="shared" si="357"/>
        <v>нет з/ч</v>
      </c>
      <c r="V735" s="304" t="str">
        <f t="shared" si="358"/>
        <v>нет з/ч</v>
      </c>
      <c r="W735" s="2"/>
      <c r="X735" s="289"/>
      <c r="Y735" s="139"/>
      <c r="Z735" s="2"/>
      <c r="AA735" s="2"/>
      <c r="AB735" s="2"/>
      <c r="AC735" s="2"/>
      <c r="AD735" s="2"/>
      <c r="AE735" s="3" t="s">
        <v>8201</v>
      </c>
      <c r="AF735" s="2"/>
      <c r="AG735" s="1" t="s">
        <v>1582</v>
      </c>
      <c r="AH735" s="1" t="s">
        <v>6407</v>
      </c>
      <c r="AI735" s="2">
        <v>90.0</v>
      </c>
      <c r="AJ735" s="1" t="s">
        <v>1589</v>
      </c>
      <c r="AK735" s="1" t="s">
        <v>5878</v>
      </c>
      <c r="AL735" s="1" t="s">
        <v>5878</v>
      </c>
      <c r="AM735" s="2"/>
      <c r="AN735" s="2"/>
      <c r="AO735" s="2"/>
      <c r="AP735" s="2"/>
      <c r="AQ735" s="2"/>
      <c r="AR735" s="2"/>
      <c r="AS735" s="2"/>
      <c r="AT735" s="2"/>
      <c r="AU735" s="126" t="s">
        <v>22</v>
      </c>
      <c r="AV735" s="126">
        <v>5750.0</v>
      </c>
      <c r="AW735" s="2"/>
      <c r="AX735" s="2"/>
      <c r="AY735" s="2"/>
      <c r="AZ735" s="2"/>
      <c r="BA735" s="2"/>
      <c r="BB735" s="2"/>
      <c r="BC735" s="2"/>
      <c r="BD735" s="2"/>
      <c r="BE735" s="2"/>
    </row>
    <row r="736" hidden="1">
      <c r="A736" s="2"/>
      <c r="B736" s="335" t="s">
        <v>8202</v>
      </c>
      <c r="C736" s="320" t="s">
        <v>8203</v>
      </c>
      <c r="D736" s="31">
        <v>90.0</v>
      </c>
      <c r="E736" s="31" t="s">
        <v>353</v>
      </c>
      <c r="F736" s="11" t="s">
        <v>7832</v>
      </c>
      <c r="G736" s="327" t="s">
        <v>8204</v>
      </c>
      <c r="H736" s="322"/>
      <c r="I736" s="328">
        <v>3300.0</v>
      </c>
      <c r="J736" s="324"/>
      <c r="K736" s="322"/>
      <c r="L736" s="323"/>
      <c r="M736" s="324">
        <v>3300.0</v>
      </c>
      <c r="N736" s="284">
        <v>0.5</v>
      </c>
      <c r="O736" s="322">
        <v>4950.0</v>
      </c>
      <c r="P736" s="313">
        <f>MAX(O736:O740)</f>
        <v>4950</v>
      </c>
      <c r="Q736" s="319">
        <f>P736</f>
        <v>4950</v>
      </c>
      <c r="R736" s="329" t="s">
        <v>8205</v>
      </c>
      <c r="S736" s="330">
        <v>46141.4656985301</v>
      </c>
      <c r="T736" s="2"/>
      <c r="U736" s="289">
        <f t="shared" si="357"/>
        <v>1650</v>
      </c>
      <c r="V736" s="304" t="str">
        <f t="shared" si="358"/>
        <v>нет з/ч</v>
      </c>
      <c r="W736" s="2"/>
      <c r="X736" s="289">
        <v>3300.0</v>
      </c>
      <c r="Y736" s="139"/>
      <c r="Z736" s="2"/>
      <c r="AA736" s="2" t="s">
        <v>8203</v>
      </c>
      <c r="AB736" s="2" t="s">
        <v>8203</v>
      </c>
      <c r="AC736" s="2"/>
      <c r="AD736" s="2" t="s">
        <v>8203</v>
      </c>
      <c r="AE736" s="3" t="s">
        <v>8202</v>
      </c>
      <c r="AF736" s="2"/>
      <c r="AG736" s="1" t="s">
        <v>1582</v>
      </c>
      <c r="AH736" s="1" t="s">
        <v>6922</v>
      </c>
      <c r="AI736" s="2">
        <v>90.0</v>
      </c>
      <c r="AJ736" s="1" t="s">
        <v>1589</v>
      </c>
      <c r="AK736" s="1" t="s">
        <v>5878</v>
      </c>
      <c r="AL736" s="1" t="s">
        <v>5878</v>
      </c>
      <c r="AM736" s="2"/>
      <c r="AN736" s="2"/>
      <c r="AO736" s="2"/>
      <c r="AP736" s="2"/>
      <c r="AQ736" s="2"/>
      <c r="AR736" s="2"/>
      <c r="AS736" s="2"/>
      <c r="AT736" s="2"/>
      <c r="AU736" s="126">
        <v>3300.0</v>
      </c>
      <c r="AV736" s="126">
        <v>4950.0</v>
      </c>
      <c r="AW736" s="2"/>
      <c r="AX736" s="2"/>
      <c r="AY736" s="2"/>
      <c r="AZ736" s="2"/>
      <c r="BA736" s="2"/>
      <c r="BB736" s="2"/>
      <c r="BC736" s="2"/>
      <c r="BD736" s="2"/>
      <c r="BE736" s="2"/>
    </row>
    <row r="737" hidden="1">
      <c r="A737" s="2"/>
      <c r="B737" s="335" t="s">
        <v>8206</v>
      </c>
      <c r="C737" s="93"/>
      <c r="D737" s="31">
        <v>90.0</v>
      </c>
      <c r="E737" s="31" t="s">
        <v>353</v>
      </c>
      <c r="F737" s="11" t="s">
        <v>7832</v>
      </c>
      <c r="G737" s="321"/>
      <c r="H737" s="322"/>
      <c r="I737" s="323"/>
      <c r="J737" s="324"/>
      <c r="K737" s="322"/>
      <c r="L737" s="323"/>
      <c r="M737" s="324" t="s">
        <v>22</v>
      </c>
      <c r="N737" s="284">
        <v>0.5</v>
      </c>
      <c r="O737" s="322" t="s">
        <v>22</v>
      </c>
      <c r="P737" s="104"/>
      <c r="Q737" s="319">
        <f>P736</f>
        <v>4950</v>
      </c>
      <c r="R737" s="331"/>
      <c r="S737" s="326"/>
      <c r="T737" s="2"/>
      <c r="U737" s="59" t="str">
        <f t="shared" si="357"/>
        <v>нет з/ч</v>
      </c>
      <c r="V737" s="304" t="str">
        <f t="shared" si="358"/>
        <v>нет з/ч</v>
      </c>
      <c r="W737" s="2"/>
      <c r="X737" s="289"/>
      <c r="Y737" s="139"/>
      <c r="Z737" s="2"/>
      <c r="AA737" s="2"/>
      <c r="AB737" s="2"/>
      <c r="AC737" s="2"/>
      <c r="AD737" s="2"/>
      <c r="AE737" s="3" t="s">
        <v>8206</v>
      </c>
      <c r="AF737" s="2"/>
      <c r="AG737" s="1" t="s">
        <v>1582</v>
      </c>
      <c r="AH737" s="1" t="s">
        <v>6922</v>
      </c>
      <c r="AI737" s="2">
        <v>90.0</v>
      </c>
      <c r="AJ737" s="1" t="s">
        <v>1589</v>
      </c>
      <c r="AK737" s="1" t="s">
        <v>5878</v>
      </c>
      <c r="AL737" s="1" t="s">
        <v>5878</v>
      </c>
      <c r="AM737" s="2"/>
      <c r="AN737" s="2"/>
      <c r="AO737" s="2"/>
      <c r="AP737" s="2"/>
      <c r="AQ737" s="2"/>
      <c r="AR737" s="2"/>
      <c r="AS737" s="2"/>
      <c r="AT737" s="2"/>
      <c r="AU737" s="126" t="s">
        <v>22</v>
      </c>
      <c r="AV737" s="126">
        <v>4950.0</v>
      </c>
      <c r="AW737" s="2"/>
      <c r="AX737" s="2"/>
      <c r="AY737" s="2"/>
      <c r="AZ737" s="2"/>
      <c r="BA737" s="2"/>
      <c r="BB737" s="2"/>
      <c r="BC737" s="2"/>
      <c r="BD737" s="2"/>
      <c r="BE737" s="2"/>
    </row>
    <row r="738" hidden="1">
      <c r="A738" s="2"/>
      <c r="B738" s="335" t="s">
        <v>8207</v>
      </c>
      <c r="C738" s="93"/>
      <c r="D738" s="31">
        <v>90.0</v>
      </c>
      <c r="E738" s="31" t="s">
        <v>353</v>
      </c>
      <c r="F738" s="11" t="s">
        <v>7832</v>
      </c>
      <c r="G738" s="321"/>
      <c r="H738" s="322"/>
      <c r="I738" s="323"/>
      <c r="J738" s="324"/>
      <c r="K738" s="322"/>
      <c r="L738" s="323"/>
      <c r="M738" s="324" t="s">
        <v>22</v>
      </c>
      <c r="N738" s="284">
        <v>0.5</v>
      </c>
      <c r="O738" s="322" t="s">
        <v>22</v>
      </c>
      <c r="P738" s="104"/>
      <c r="Q738" s="319">
        <f>P736</f>
        <v>4950</v>
      </c>
      <c r="R738" s="331"/>
      <c r="S738" s="326"/>
      <c r="T738" s="2"/>
      <c r="U738" s="59" t="str">
        <f t="shared" si="357"/>
        <v>нет з/ч</v>
      </c>
      <c r="V738" s="304" t="str">
        <f t="shared" si="358"/>
        <v>нет з/ч</v>
      </c>
      <c r="W738" s="2"/>
      <c r="X738" s="289"/>
      <c r="Y738" s="139"/>
      <c r="Z738" s="2"/>
      <c r="AA738" s="2"/>
      <c r="AB738" s="2"/>
      <c r="AC738" s="2"/>
      <c r="AD738" s="2"/>
      <c r="AE738" s="3" t="s">
        <v>8207</v>
      </c>
      <c r="AF738" s="2"/>
      <c r="AG738" s="1" t="s">
        <v>1582</v>
      </c>
      <c r="AH738" s="1" t="s">
        <v>6922</v>
      </c>
      <c r="AI738" s="2">
        <v>90.0</v>
      </c>
      <c r="AJ738" s="1" t="s">
        <v>1589</v>
      </c>
      <c r="AK738" s="1" t="s">
        <v>5878</v>
      </c>
      <c r="AL738" s="1" t="s">
        <v>5878</v>
      </c>
      <c r="AM738" s="2"/>
      <c r="AN738" s="2"/>
      <c r="AO738" s="2"/>
      <c r="AP738" s="2"/>
      <c r="AQ738" s="2"/>
      <c r="AR738" s="2"/>
      <c r="AS738" s="2"/>
      <c r="AT738" s="2"/>
      <c r="AU738" s="126" t="s">
        <v>22</v>
      </c>
      <c r="AV738" s="126">
        <v>4950.0</v>
      </c>
      <c r="AW738" s="2"/>
      <c r="AX738" s="2"/>
      <c r="AY738" s="2"/>
      <c r="AZ738" s="2"/>
      <c r="BA738" s="2"/>
      <c r="BB738" s="2"/>
      <c r="BC738" s="2"/>
      <c r="BD738" s="2"/>
      <c r="BE738" s="2"/>
    </row>
    <row r="739" hidden="1">
      <c r="A739" s="2"/>
      <c r="B739" s="335" t="s">
        <v>8208</v>
      </c>
      <c r="C739" s="93"/>
      <c r="D739" s="31">
        <v>90.0</v>
      </c>
      <c r="E739" s="31" t="s">
        <v>353</v>
      </c>
      <c r="F739" s="11" t="s">
        <v>7832</v>
      </c>
      <c r="G739" s="321"/>
      <c r="H739" s="322"/>
      <c r="I739" s="323"/>
      <c r="J739" s="324"/>
      <c r="K739" s="322"/>
      <c r="L739" s="323"/>
      <c r="M739" s="324" t="s">
        <v>22</v>
      </c>
      <c r="N739" s="284">
        <v>0.5</v>
      </c>
      <c r="O739" s="322" t="s">
        <v>22</v>
      </c>
      <c r="P739" s="104"/>
      <c r="Q739" s="319">
        <f>P736</f>
        <v>4950</v>
      </c>
      <c r="R739" s="331"/>
      <c r="S739" s="326"/>
      <c r="T739" s="2"/>
      <c r="U739" s="59" t="str">
        <f t="shared" si="357"/>
        <v>нет з/ч</v>
      </c>
      <c r="V739" s="304" t="str">
        <f t="shared" si="358"/>
        <v>нет з/ч</v>
      </c>
      <c r="W739" s="2"/>
      <c r="X739" s="289"/>
      <c r="Y739" s="139"/>
      <c r="Z739" s="2"/>
      <c r="AA739" s="2"/>
      <c r="AB739" s="2"/>
      <c r="AC739" s="2"/>
      <c r="AD739" s="2"/>
      <c r="AE739" s="3" t="s">
        <v>8208</v>
      </c>
      <c r="AF739" s="2"/>
      <c r="AG739" s="1" t="s">
        <v>1582</v>
      </c>
      <c r="AH739" s="1" t="s">
        <v>6922</v>
      </c>
      <c r="AI739" s="2">
        <v>90.0</v>
      </c>
      <c r="AJ739" s="1" t="s">
        <v>1589</v>
      </c>
      <c r="AK739" s="1" t="s">
        <v>5878</v>
      </c>
      <c r="AL739" s="1" t="s">
        <v>5878</v>
      </c>
      <c r="AM739" s="2"/>
      <c r="AN739" s="2"/>
      <c r="AO739" s="2"/>
      <c r="AP739" s="2"/>
      <c r="AQ739" s="2"/>
      <c r="AR739" s="2"/>
      <c r="AS739" s="2"/>
      <c r="AT739" s="2"/>
      <c r="AU739" s="126" t="s">
        <v>22</v>
      </c>
      <c r="AV739" s="126">
        <v>4950.0</v>
      </c>
      <c r="AW739" s="2"/>
      <c r="AX739" s="2"/>
      <c r="AY739" s="2"/>
      <c r="AZ739" s="2"/>
      <c r="BA739" s="2"/>
      <c r="BB739" s="2"/>
      <c r="BC739" s="2"/>
      <c r="BD739" s="2"/>
      <c r="BE739" s="2"/>
    </row>
    <row r="740" hidden="1">
      <c r="A740" s="2"/>
      <c r="B740" s="335" t="s">
        <v>8209</v>
      </c>
      <c r="C740" s="93"/>
      <c r="D740" s="31">
        <v>90.0</v>
      </c>
      <c r="E740" s="31" t="s">
        <v>353</v>
      </c>
      <c r="F740" s="11" t="s">
        <v>7832</v>
      </c>
      <c r="G740" s="321"/>
      <c r="H740" s="322"/>
      <c r="I740" s="323"/>
      <c r="J740" s="324"/>
      <c r="K740" s="322"/>
      <c r="L740" s="323"/>
      <c r="M740" s="324" t="s">
        <v>22</v>
      </c>
      <c r="N740" s="284">
        <v>0.5</v>
      </c>
      <c r="O740" s="322" t="s">
        <v>22</v>
      </c>
      <c r="P740" s="67"/>
      <c r="Q740" s="319">
        <f>P736</f>
        <v>4950</v>
      </c>
      <c r="R740" s="331"/>
      <c r="S740" s="326"/>
      <c r="T740" s="2"/>
      <c r="U740" s="59" t="str">
        <f t="shared" si="357"/>
        <v>нет з/ч</v>
      </c>
      <c r="V740" s="304" t="str">
        <f t="shared" si="358"/>
        <v>нет з/ч</v>
      </c>
      <c r="W740" s="2"/>
      <c r="X740" s="289"/>
      <c r="Y740" s="139"/>
      <c r="Z740" s="2"/>
      <c r="AA740" s="2"/>
      <c r="AB740" s="2"/>
      <c r="AC740" s="2"/>
      <c r="AD740" s="2"/>
      <c r="AE740" s="3" t="s">
        <v>8209</v>
      </c>
      <c r="AF740" s="2"/>
      <c r="AG740" s="1" t="s">
        <v>1582</v>
      </c>
      <c r="AH740" s="1" t="s">
        <v>6922</v>
      </c>
      <c r="AI740" s="2">
        <v>90.0</v>
      </c>
      <c r="AJ740" s="1" t="s">
        <v>1589</v>
      </c>
      <c r="AK740" s="1" t="s">
        <v>5878</v>
      </c>
      <c r="AL740" s="1" t="s">
        <v>5878</v>
      </c>
      <c r="AM740" s="2"/>
      <c r="AN740" s="2"/>
      <c r="AO740" s="2"/>
      <c r="AP740" s="2"/>
      <c r="AQ740" s="2"/>
      <c r="AR740" s="2"/>
      <c r="AS740" s="2"/>
      <c r="AT740" s="2"/>
      <c r="AU740" s="126" t="s">
        <v>22</v>
      </c>
      <c r="AV740" s="126">
        <v>4950.0</v>
      </c>
      <c r="AW740" s="2"/>
      <c r="AX740" s="2"/>
      <c r="AY740" s="2"/>
      <c r="AZ740" s="2"/>
      <c r="BA740" s="2"/>
      <c r="BB740" s="2"/>
      <c r="BC740" s="2"/>
      <c r="BD740" s="2"/>
      <c r="BE740" s="2"/>
    </row>
    <row r="741" hidden="1">
      <c r="A741" s="2"/>
      <c r="B741" s="335" t="s">
        <v>8210</v>
      </c>
      <c r="C741" s="93"/>
      <c r="D741" s="31">
        <v>90.0</v>
      </c>
      <c r="E741" s="31" t="s">
        <v>360</v>
      </c>
      <c r="F741" s="11" t="s">
        <v>7832</v>
      </c>
      <c r="G741" s="327" t="s">
        <v>8211</v>
      </c>
      <c r="H741" s="322"/>
      <c r="I741" s="328">
        <v>3500.0</v>
      </c>
      <c r="J741" s="324"/>
      <c r="K741" s="322"/>
      <c r="L741" s="323"/>
      <c r="M741" s="324">
        <v>3500.0</v>
      </c>
      <c r="N741" s="284">
        <v>0.85</v>
      </c>
      <c r="O741" s="322">
        <v>6500.0</v>
      </c>
      <c r="P741" s="313">
        <f>MAX(O741:O744)</f>
        <v>6500</v>
      </c>
      <c r="Q741" s="319">
        <f>P741</f>
        <v>6500</v>
      </c>
      <c r="R741" s="329" t="s">
        <v>8212</v>
      </c>
      <c r="S741" s="330">
        <v>46141.465750601856</v>
      </c>
      <c r="T741" s="2"/>
      <c r="U741" s="289">
        <f t="shared" si="357"/>
        <v>3000</v>
      </c>
      <c r="V741" s="304" t="str">
        <f t="shared" si="358"/>
        <v>нет з/ч</v>
      </c>
      <c r="W741" s="2"/>
      <c r="X741" s="289">
        <v>3500.0</v>
      </c>
      <c r="Y741" s="139"/>
      <c r="Z741" s="2"/>
      <c r="AA741" s="2"/>
      <c r="AB741" s="2"/>
      <c r="AC741" s="2"/>
      <c r="AD741" s="2"/>
      <c r="AE741" s="3" t="s">
        <v>8210</v>
      </c>
      <c r="AF741" s="2"/>
      <c r="AG741" s="1" t="s">
        <v>1582</v>
      </c>
      <c r="AH741" s="1" t="s">
        <v>6934</v>
      </c>
      <c r="AI741" s="2">
        <v>90.0</v>
      </c>
      <c r="AJ741" s="1" t="s">
        <v>1589</v>
      </c>
      <c r="AK741" s="1" t="s">
        <v>5878</v>
      </c>
      <c r="AL741" s="1" t="s">
        <v>5878</v>
      </c>
      <c r="AM741" s="2"/>
      <c r="AN741" s="2"/>
      <c r="AO741" s="2"/>
      <c r="AP741" s="2"/>
      <c r="AQ741" s="2"/>
      <c r="AR741" s="2"/>
      <c r="AS741" s="2"/>
      <c r="AT741" s="2"/>
      <c r="AU741" s="126">
        <v>3500.0</v>
      </c>
      <c r="AV741" s="126">
        <v>6500.0</v>
      </c>
      <c r="AW741" s="2"/>
      <c r="AX741" s="2"/>
      <c r="AY741" s="2"/>
      <c r="AZ741" s="2"/>
      <c r="BA741" s="2"/>
      <c r="BB741" s="2"/>
      <c r="BC741" s="2"/>
      <c r="BD741" s="2"/>
      <c r="BE741" s="2"/>
    </row>
    <row r="742" hidden="1">
      <c r="A742" s="2"/>
      <c r="B742" s="335" t="s">
        <v>8213</v>
      </c>
      <c r="C742" s="93"/>
      <c r="D742" s="31">
        <v>90.0</v>
      </c>
      <c r="E742" s="31" t="s">
        <v>360</v>
      </c>
      <c r="F742" s="11" t="s">
        <v>7832</v>
      </c>
      <c r="G742" s="321"/>
      <c r="H742" s="322"/>
      <c r="I742" s="323"/>
      <c r="J742" s="324"/>
      <c r="K742" s="322"/>
      <c r="L742" s="323"/>
      <c r="M742" s="324" t="s">
        <v>22</v>
      </c>
      <c r="N742" s="284">
        <v>0.85</v>
      </c>
      <c r="O742" s="322" t="s">
        <v>22</v>
      </c>
      <c r="P742" s="104"/>
      <c r="Q742" s="319">
        <f>P741</f>
        <v>6500</v>
      </c>
      <c r="R742" s="331"/>
      <c r="S742" s="326"/>
      <c r="T742" s="2"/>
      <c r="U742" s="59" t="str">
        <f t="shared" si="357"/>
        <v>нет з/ч</v>
      </c>
      <c r="V742" s="304" t="str">
        <f t="shared" si="358"/>
        <v>нет з/ч</v>
      </c>
      <c r="W742" s="2"/>
      <c r="X742" s="289"/>
      <c r="Y742" s="139"/>
      <c r="Z742" s="2"/>
      <c r="AA742" s="2"/>
      <c r="AB742" s="2"/>
      <c r="AC742" s="2"/>
      <c r="AD742" s="2"/>
      <c r="AE742" s="3" t="s">
        <v>8213</v>
      </c>
      <c r="AF742" s="2"/>
      <c r="AG742" s="1" t="s">
        <v>1582</v>
      </c>
      <c r="AH742" s="1" t="s">
        <v>6934</v>
      </c>
      <c r="AI742" s="2">
        <v>90.0</v>
      </c>
      <c r="AJ742" s="1" t="s">
        <v>1589</v>
      </c>
      <c r="AK742" s="1" t="s">
        <v>5878</v>
      </c>
      <c r="AL742" s="1" t="s">
        <v>5878</v>
      </c>
      <c r="AM742" s="2"/>
      <c r="AN742" s="2"/>
      <c r="AO742" s="2"/>
      <c r="AP742" s="2"/>
      <c r="AQ742" s="2"/>
      <c r="AR742" s="2"/>
      <c r="AS742" s="2"/>
      <c r="AT742" s="2"/>
      <c r="AU742" s="126" t="s">
        <v>22</v>
      </c>
      <c r="AV742" s="126">
        <v>6500.0</v>
      </c>
      <c r="AW742" s="2"/>
      <c r="AX742" s="2"/>
      <c r="AY742" s="2"/>
      <c r="AZ742" s="2"/>
      <c r="BA742" s="2"/>
      <c r="BB742" s="2"/>
      <c r="BC742" s="2"/>
      <c r="BD742" s="2"/>
      <c r="BE742" s="2"/>
    </row>
    <row r="743" hidden="1">
      <c r="A743" s="2"/>
      <c r="B743" s="335" t="s">
        <v>8214</v>
      </c>
      <c r="C743" s="93"/>
      <c r="D743" s="31">
        <v>90.0</v>
      </c>
      <c r="E743" s="31" t="s">
        <v>360</v>
      </c>
      <c r="F743" s="11" t="s">
        <v>7832</v>
      </c>
      <c r="G743" s="321"/>
      <c r="H743" s="322"/>
      <c r="I743" s="323"/>
      <c r="J743" s="324"/>
      <c r="K743" s="322"/>
      <c r="L743" s="323"/>
      <c r="M743" s="324" t="s">
        <v>22</v>
      </c>
      <c r="N743" s="284">
        <v>0.85</v>
      </c>
      <c r="O743" s="322" t="s">
        <v>22</v>
      </c>
      <c r="P743" s="104"/>
      <c r="Q743" s="319">
        <f>P741</f>
        <v>6500</v>
      </c>
      <c r="R743" s="331"/>
      <c r="S743" s="326"/>
      <c r="T743" s="2"/>
      <c r="U743" s="59" t="str">
        <f t="shared" si="357"/>
        <v>нет з/ч</v>
      </c>
      <c r="V743" s="304" t="str">
        <f t="shared" si="358"/>
        <v>нет з/ч</v>
      </c>
      <c r="W743" s="2"/>
      <c r="X743" s="289"/>
      <c r="Y743" s="139"/>
      <c r="Z743" s="2"/>
      <c r="AA743" s="2"/>
      <c r="AB743" s="2"/>
      <c r="AC743" s="2"/>
      <c r="AD743" s="2"/>
      <c r="AE743" s="3" t="s">
        <v>8214</v>
      </c>
      <c r="AF743" s="2"/>
      <c r="AG743" s="1" t="s">
        <v>1582</v>
      </c>
      <c r="AH743" s="1" t="s">
        <v>6934</v>
      </c>
      <c r="AI743" s="2">
        <v>90.0</v>
      </c>
      <c r="AJ743" s="1" t="s">
        <v>1589</v>
      </c>
      <c r="AK743" s="1" t="s">
        <v>5878</v>
      </c>
      <c r="AL743" s="1" t="s">
        <v>5878</v>
      </c>
      <c r="AM743" s="2"/>
      <c r="AN743" s="2"/>
      <c r="AO743" s="2"/>
      <c r="AP743" s="2"/>
      <c r="AQ743" s="2"/>
      <c r="AR743" s="2"/>
      <c r="AS743" s="2"/>
      <c r="AT743" s="2"/>
      <c r="AU743" s="126" t="s">
        <v>22</v>
      </c>
      <c r="AV743" s="126">
        <v>6500.0</v>
      </c>
      <c r="AW743" s="2"/>
      <c r="AX743" s="2"/>
      <c r="AY743" s="2"/>
      <c r="AZ743" s="2"/>
      <c r="BA743" s="2"/>
      <c r="BB743" s="2"/>
      <c r="BC743" s="2"/>
      <c r="BD743" s="2"/>
      <c r="BE743" s="2"/>
    </row>
    <row r="744" hidden="1">
      <c r="A744" s="2"/>
      <c r="B744" s="335" t="s">
        <v>8215</v>
      </c>
      <c r="C744" s="93"/>
      <c r="D744" s="31">
        <v>90.0</v>
      </c>
      <c r="E744" s="31" t="s">
        <v>360</v>
      </c>
      <c r="F744" s="11" t="s">
        <v>7832</v>
      </c>
      <c r="G744" s="321"/>
      <c r="H744" s="322"/>
      <c r="I744" s="323"/>
      <c r="J744" s="324"/>
      <c r="K744" s="322"/>
      <c r="L744" s="323"/>
      <c r="M744" s="324" t="s">
        <v>22</v>
      </c>
      <c r="N744" s="284">
        <v>0.85</v>
      </c>
      <c r="O744" s="322" t="s">
        <v>22</v>
      </c>
      <c r="P744" s="67"/>
      <c r="Q744" s="319">
        <f>P741</f>
        <v>6500</v>
      </c>
      <c r="R744" s="331"/>
      <c r="S744" s="326"/>
      <c r="T744" s="2"/>
      <c r="U744" s="59" t="str">
        <f t="shared" si="357"/>
        <v>нет з/ч</v>
      </c>
      <c r="V744" s="304" t="str">
        <f t="shared" si="358"/>
        <v>нет з/ч</v>
      </c>
      <c r="W744" s="2"/>
      <c r="X744" s="289"/>
      <c r="Y744" s="139"/>
      <c r="Z744" s="2"/>
      <c r="AA744" s="2"/>
      <c r="AB744" s="2"/>
      <c r="AC744" s="2"/>
      <c r="AD744" s="2"/>
      <c r="AE744" s="3" t="s">
        <v>8215</v>
      </c>
      <c r="AF744" s="2"/>
      <c r="AG744" s="1" t="s">
        <v>1582</v>
      </c>
      <c r="AH744" s="1" t="s">
        <v>6934</v>
      </c>
      <c r="AI744" s="2">
        <v>90.0</v>
      </c>
      <c r="AJ744" s="1" t="s">
        <v>1589</v>
      </c>
      <c r="AK744" s="1" t="s">
        <v>5878</v>
      </c>
      <c r="AL744" s="1" t="s">
        <v>5878</v>
      </c>
      <c r="AM744" s="2"/>
      <c r="AN744" s="2"/>
      <c r="AO744" s="2"/>
      <c r="AP744" s="2"/>
      <c r="AQ744" s="2"/>
      <c r="AR744" s="2"/>
      <c r="AS744" s="2"/>
      <c r="AT744" s="2"/>
      <c r="AU744" s="126" t="s">
        <v>22</v>
      </c>
      <c r="AV744" s="126">
        <v>6500.0</v>
      </c>
      <c r="AW744" s="2"/>
      <c r="AX744" s="2"/>
      <c r="AY744" s="2"/>
      <c r="AZ744" s="2"/>
      <c r="BA744" s="2"/>
      <c r="BB744" s="2"/>
      <c r="BC744" s="2"/>
      <c r="BD744" s="2"/>
      <c r="BE744" s="2"/>
    </row>
    <row r="745" hidden="1">
      <c r="A745" s="2"/>
      <c r="B745" s="335" t="s">
        <v>8216</v>
      </c>
      <c r="C745" s="93"/>
      <c r="D745" s="31">
        <v>90.0</v>
      </c>
      <c r="E745" s="31" t="s">
        <v>367</v>
      </c>
      <c r="F745" s="11" t="s">
        <v>7832</v>
      </c>
      <c r="G745" s="321"/>
      <c r="H745" s="322"/>
      <c r="I745" s="323"/>
      <c r="J745" s="324"/>
      <c r="K745" s="322"/>
      <c r="L745" s="323"/>
      <c r="M745" s="324" t="s">
        <v>22</v>
      </c>
      <c r="N745" s="284">
        <v>0.6</v>
      </c>
      <c r="O745" s="322" t="s">
        <v>22</v>
      </c>
      <c r="P745" s="313">
        <f>MAX(O745:O747)</f>
        <v>7700</v>
      </c>
      <c r="Q745" s="319">
        <f>P745</f>
        <v>7700</v>
      </c>
      <c r="R745" s="331"/>
      <c r="S745" s="326"/>
      <c r="T745" s="2"/>
      <c r="U745" s="59" t="str">
        <f t="shared" si="357"/>
        <v>нет з/ч</v>
      </c>
      <c r="V745" s="304" t="str">
        <f t="shared" si="358"/>
        <v>нет з/ч</v>
      </c>
      <c r="W745" s="2"/>
      <c r="X745" s="289"/>
      <c r="Y745" s="139"/>
      <c r="Z745" s="2"/>
      <c r="AA745" s="2"/>
      <c r="AB745" s="2"/>
      <c r="AC745" s="2"/>
      <c r="AD745" s="2"/>
      <c r="AE745" s="3" t="s">
        <v>8216</v>
      </c>
      <c r="AF745" s="2"/>
      <c r="AG745" s="1" t="s">
        <v>1582</v>
      </c>
      <c r="AH745" s="1" t="s">
        <v>6946</v>
      </c>
      <c r="AI745" s="2">
        <v>90.0</v>
      </c>
      <c r="AJ745" s="1" t="s">
        <v>1589</v>
      </c>
      <c r="AK745" s="1" t="s">
        <v>5878</v>
      </c>
      <c r="AL745" s="1" t="s">
        <v>5878</v>
      </c>
      <c r="AM745" s="2"/>
      <c r="AN745" s="2"/>
      <c r="AO745" s="2"/>
      <c r="AP745" s="2"/>
      <c r="AQ745" s="2"/>
      <c r="AR745" s="2"/>
      <c r="AS745" s="2"/>
      <c r="AT745" s="2"/>
      <c r="AU745" s="126" t="s">
        <v>22</v>
      </c>
      <c r="AV745" s="126">
        <v>7700.0</v>
      </c>
      <c r="AW745" s="2"/>
      <c r="AX745" s="2"/>
      <c r="AY745" s="2"/>
      <c r="AZ745" s="2"/>
      <c r="BA745" s="2"/>
      <c r="BB745" s="2"/>
      <c r="BC745" s="2"/>
      <c r="BD745" s="2"/>
      <c r="BE745" s="2"/>
    </row>
    <row r="746" hidden="1">
      <c r="A746" s="2"/>
      <c r="B746" s="335" t="s">
        <v>8217</v>
      </c>
      <c r="C746" s="93"/>
      <c r="D746" s="31">
        <v>90.0</v>
      </c>
      <c r="E746" s="31" t="s">
        <v>367</v>
      </c>
      <c r="F746" s="11" t="s">
        <v>7832</v>
      </c>
      <c r="G746" s="321"/>
      <c r="H746" s="322"/>
      <c r="I746" s="323"/>
      <c r="J746" s="324"/>
      <c r="K746" s="322"/>
      <c r="L746" s="323"/>
      <c r="M746" s="324" t="s">
        <v>22</v>
      </c>
      <c r="N746" s="284">
        <v>0.6</v>
      </c>
      <c r="O746" s="322" t="s">
        <v>22</v>
      </c>
      <c r="P746" s="104"/>
      <c r="Q746" s="319">
        <f>P745</f>
        <v>7700</v>
      </c>
      <c r="R746" s="331"/>
      <c r="S746" s="326"/>
      <c r="T746" s="2"/>
      <c r="U746" s="59" t="str">
        <f t="shared" si="357"/>
        <v>нет з/ч</v>
      </c>
      <c r="V746" s="304" t="str">
        <f t="shared" si="358"/>
        <v>нет з/ч</v>
      </c>
      <c r="W746" s="2"/>
      <c r="X746" s="289"/>
      <c r="Y746" s="139"/>
      <c r="Z746" s="2"/>
      <c r="AA746" s="2"/>
      <c r="AB746" s="2"/>
      <c r="AC746" s="2"/>
      <c r="AD746" s="2"/>
      <c r="AE746" s="3" t="s">
        <v>8217</v>
      </c>
      <c r="AF746" s="2"/>
      <c r="AG746" s="1" t="s">
        <v>1582</v>
      </c>
      <c r="AH746" s="1" t="s">
        <v>6946</v>
      </c>
      <c r="AI746" s="2">
        <v>90.0</v>
      </c>
      <c r="AJ746" s="1" t="s">
        <v>1589</v>
      </c>
      <c r="AK746" s="1" t="s">
        <v>5878</v>
      </c>
      <c r="AL746" s="1" t="s">
        <v>5878</v>
      </c>
      <c r="AM746" s="2"/>
      <c r="AN746" s="2"/>
      <c r="AO746" s="2"/>
      <c r="AP746" s="2"/>
      <c r="AQ746" s="2"/>
      <c r="AR746" s="2"/>
      <c r="AS746" s="2"/>
      <c r="AT746" s="2"/>
      <c r="AU746" s="126" t="s">
        <v>22</v>
      </c>
      <c r="AV746" s="126">
        <v>7700.0</v>
      </c>
      <c r="AW746" s="2"/>
      <c r="AX746" s="2"/>
      <c r="AY746" s="2"/>
      <c r="AZ746" s="2"/>
      <c r="BA746" s="2"/>
      <c r="BB746" s="2"/>
      <c r="BC746" s="2"/>
      <c r="BD746" s="2"/>
      <c r="BE746" s="2"/>
    </row>
    <row r="747" hidden="1">
      <c r="A747" s="2"/>
      <c r="B747" s="335" t="s">
        <v>8218</v>
      </c>
      <c r="C747" s="93"/>
      <c r="D747" s="31">
        <v>90.0</v>
      </c>
      <c r="E747" s="31" t="s">
        <v>367</v>
      </c>
      <c r="F747" s="11" t="s">
        <v>7832</v>
      </c>
      <c r="G747" s="327" t="s">
        <v>8219</v>
      </c>
      <c r="H747" s="322"/>
      <c r="I747" s="328">
        <v>4800.0</v>
      </c>
      <c r="J747" s="324"/>
      <c r="K747" s="322"/>
      <c r="L747" s="323"/>
      <c r="M747" s="324">
        <v>4800.0</v>
      </c>
      <c r="N747" s="284">
        <v>0.6</v>
      </c>
      <c r="O747" s="322">
        <v>7700.0</v>
      </c>
      <c r="P747" s="67"/>
      <c r="Q747" s="319">
        <f>P745</f>
        <v>7700</v>
      </c>
      <c r="R747" s="329" t="s">
        <v>8220</v>
      </c>
      <c r="S747" s="330">
        <v>46141.465800543985</v>
      </c>
      <c r="T747" s="2"/>
      <c r="U747" s="289">
        <f t="shared" si="357"/>
        <v>2900</v>
      </c>
      <c r="V747" s="304" t="str">
        <f t="shared" si="358"/>
        <v>нет з/ч</v>
      </c>
      <c r="W747" s="2"/>
      <c r="X747" s="289">
        <v>4800.0</v>
      </c>
      <c r="Y747" s="139"/>
      <c r="Z747" s="2"/>
      <c r="AA747" s="2"/>
      <c r="AB747" s="2"/>
      <c r="AC747" s="2"/>
      <c r="AD747" s="2"/>
      <c r="AE747" s="3" t="s">
        <v>8218</v>
      </c>
      <c r="AF747" s="2"/>
      <c r="AG747" s="1" t="s">
        <v>1582</v>
      </c>
      <c r="AH747" s="1" t="s">
        <v>6946</v>
      </c>
      <c r="AI747" s="2">
        <v>90.0</v>
      </c>
      <c r="AJ747" s="1" t="s">
        <v>1589</v>
      </c>
      <c r="AK747" s="1" t="s">
        <v>5878</v>
      </c>
      <c r="AL747" s="1" t="s">
        <v>5878</v>
      </c>
      <c r="AM747" s="2"/>
      <c r="AN747" s="2"/>
      <c r="AO747" s="2"/>
      <c r="AP747" s="2"/>
      <c r="AQ747" s="2"/>
      <c r="AR747" s="2"/>
      <c r="AS747" s="2"/>
      <c r="AT747" s="2"/>
      <c r="AU747" s="126">
        <v>4800.0</v>
      </c>
      <c r="AV747" s="126">
        <v>7700.0</v>
      </c>
      <c r="AW747" s="2"/>
      <c r="AX747" s="2"/>
      <c r="AY747" s="2"/>
      <c r="AZ747" s="2"/>
      <c r="BA747" s="2"/>
      <c r="BB747" s="2"/>
      <c r="BC747" s="2"/>
      <c r="BD747" s="2"/>
      <c r="BE747" s="2"/>
    </row>
    <row r="748" hidden="1">
      <c r="A748" s="2"/>
      <c r="B748" s="335" t="s">
        <v>8221</v>
      </c>
      <c r="C748" s="93"/>
      <c r="D748" s="31">
        <v>90.0</v>
      </c>
      <c r="E748" s="31" t="s">
        <v>374</v>
      </c>
      <c r="F748" s="11" t="s">
        <v>7832</v>
      </c>
      <c r="G748" s="321"/>
      <c r="H748" s="322"/>
      <c r="I748" s="323"/>
      <c r="J748" s="324"/>
      <c r="K748" s="322"/>
      <c r="L748" s="323"/>
      <c r="M748" s="324" t="s">
        <v>22</v>
      </c>
      <c r="N748" s="284">
        <v>0.6</v>
      </c>
      <c r="O748" s="322" t="s">
        <v>22</v>
      </c>
      <c r="P748" s="313">
        <f>MAX(O748:O750)</f>
        <v>8800</v>
      </c>
      <c r="Q748" s="319">
        <f>P748</f>
        <v>8800</v>
      </c>
      <c r="R748" s="331"/>
      <c r="S748" s="326"/>
      <c r="T748" s="2"/>
      <c r="U748" s="59" t="str">
        <f t="shared" si="357"/>
        <v>нет з/ч</v>
      </c>
      <c r="V748" s="304" t="str">
        <f t="shared" ref="V748:V750" si="359">IF(L748&gt;0, Q2317 - L748, "нет з/ч")</f>
        <v>нет з/ч</v>
      </c>
      <c r="W748" s="2"/>
      <c r="X748" s="289"/>
      <c r="Y748" s="139"/>
      <c r="Z748" s="2"/>
      <c r="AA748" s="2"/>
      <c r="AB748" s="2"/>
      <c r="AC748" s="2"/>
      <c r="AD748" s="2"/>
      <c r="AE748" s="3" t="s">
        <v>8221</v>
      </c>
      <c r="AF748" s="2"/>
      <c r="AG748" s="1" t="s">
        <v>1582</v>
      </c>
      <c r="AH748" s="1" t="s">
        <v>6958</v>
      </c>
      <c r="AI748" s="2">
        <v>90.0</v>
      </c>
      <c r="AJ748" s="1" t="s">
        <v>1589</v>
      </c>
      <c r="AK748" s="1" t="s">
        <v>5878</v>
      </c>
      <c r="AL748" s="1" t="s">
        <v>5878</v>
      </c>
      <c r="AM748" s="2"/>
      <c r="AN748" s="2"/>
      <c r="AO748" s="2"/>
      <c r="AP748" s="2"/>
      <c r="AQ748" s="2"/>
      <c r="AR748" s="2"/>
      <c r="AS748" s="2"/>
      <c r="AT748" s="2"/>
      <c r="AU748" s="126" t="s">
        <v>22</v>
      </c>
      <c r="AV748" s="126">
        <v>8800.0</v>
      </c>
      <c r="AW748" s="2"/>
      <c r="AX748" s="2"/>
      <c r="AY748" s="2"/>
      <c r="AZ748" s="2"/>
      <c r="BA748" s="2"/>
      <c r="BB748" s="2"/>
      <c r="BC748" s="2"/>
      <c r="BD748" s="2"/>
      <c r="BE748" s="2"/>
    </row>
    <row r="749" hidden="1">
      <c r="A749" s="2"/>
      <c r="B749" s="335" t="s">
        <v>8222</v>
      </c>
      <c r="C749" s="93"/>
      <c r="D749" s="31">
        <v>90.0</v>
      </c>
      <c r="E749" s="31" t="s">
        <v>374</v>
      </c>
      <c r="F749" s="11" t="s">
        <v>7832</v>
      </c>
      <c r="G749" s="321"/>
      <c r="H749" s="322"/>
      <c r="I749" s="323"/>
      <c r="J749" s="324"/>
      <c r="K749" s="322"/>
      <c r="L749" s="323"/>
      <c r="M749" s="324" t="s">
        <v>22</v>
      </c>
      <c r="N749" s="284">
        <v>0.6</v>
      </c>
      <c r="O749" s="322" t="s">
        <v>22</v>
      </c>
      <c r="P749" s="104"/>
      <c r="Q749" s="319">
        <f>P748</f>
        <v>8800</v>
      </c>
      <c r="R749" s="331"/>
      <c r="S749" s="326"/>
      <c r="T749" s="2"/>
      <c r="U749" s="59" t="str">
        <f t="shared" si="357"/>
        <v>нет з/ч</v>
      </c>
      <c r="V749" s="304" t="str">
        <f t="shared" si="359"/>
        <v>нет з/ч</v>
      </c>
      <c r="W749" s="2"/>
      <c r="X749" s="289"/>
      <c r="Y749" s="139"/>
      <c r="Z749" s="2"/>
      <c r="AA749" s="2"/>
      <c r="AB749" s="2"/>
      <c r="AC749" s="2"/>
      <c r="AD749" s="2"/>
      <c r="AE749" s="3" t="s">
        <v>8222</v>
      </c>
      <c r="AF749" s="2"/>
      <c r="AG749" s="1" t="s">
        <v>1582</v>
      </c>
      <c r="AH749" s="1" t="s">
        <v>6958</v>
      </c>
      <c r="AI749" s="2">
        <v>90.0</v>
      </c>
      <c r="AJ749" s="1" t="s">
        <v>1589</v>
      </c>
      <c r="AK749" s="1" t="s">
        <v>5878</v>
      </c>
      <c r="AL749" s="1" t="s">
        <v>5878</v>
      </c>
      <c r="AM749" s="2"/>
      <c r="AN749" s="2"/>
      <c r="AO749" s="2"/>
      <c r="AP749" s="2"/>
      <c r="AQ749" s="2"/>
      <c r="AR749" s="2"/>
      <c r="AS749" s="2"/>
      <c r="AT749" s="2"/>
      <c r="AU749" s="126" t="s">
        <v>22</v>
      </c>
      <c r="AV749" s="126">
        <v>8800.0</v>
      </c>
      <c r="AW749" s="2"/>
      <c r="AX749" s="2"/>
      <c r="AY749" s="2"/>
      <c r="AZ749" s="2"/>
      <c r="BA749" s="2"/>
      <c r="BB749" s="2"/>
      <c r="BC749" s="2"/>
      <c r="BD749" s="2"/>
      <c r="BE749" s="2"/>
    </row>
    <row r="750" hidden="1">
      <c r="A750" s="2"/>
      <c r="B750" s="335" t="s">
        <v>8223</v>
      </c>
      <c r="C750" s="93"/>
      <c r="D750" s="31">
        <v>90.0</v>
      </c>
      <c r="E750" s="31" t="s">
        <v>374</v>
      </c>
      <c r="F750" s="11" t="s">
        <v>7832</v>
      </c>
      <c r="G750" s="327" t="s">
        <v>8224</v>
      </c>
      <c r="H750" s="322"/>
      <c r="I750" s="328">
        <v>5500.0</v>
      </c>
      <c r="J750" s="324"/>
      <c r="K750" s="322"/>
      <c r="L750" s="323"/>
      <c r="M750" s="324">
        <v>5500.0</v>
      </c>
      <c r="N750" s="284">
        <v>0.6</v>
      </c>
      <c r="O750" s="322">
        <v>8800.0</v>
      </c>
      <c r="P750" s="67"/>
      <c r="Q750" s="319">
        <f>P748</f>
        <v>8800</v>
      </c>
      <c r="R750" s="329" t="s">
        <v>8225</v>
      </c>
      <c r="S750" s="330">
        <v>46141.4658583912</v>
      </c>
      <c r="T750" s="2"/>
      <c r="U750" s="289">
        <f t="shared" si="357"/>
        <v>3300</v>
      </c>
      <c r="V750" s="304" t="str">
        <f t="shared" si="359"/>
        <v>нет з/ч</v>
      </c>
      <c r="W750" s="2"/>
      <c r="X750" s="289">
        <v>5500.0</v>
      </c>
      <c r="Y750" s="139"/>
      <c r="Z750" s="2"/>
      <c r="AA750" s="2"/>
      <c r="AB750" s="2"/>
      <c r="AC750" s="2"/>
      <c r="AD750" s="2"/>
      <c r="AE750" s="3" t="s">
        <v>8223</v>
      </c>
      <c r="AF750" s="2"/>
      <c r="AG750" s="1" t="s">
        <v>1582</v>
      </c>
      <c r="AH750" s="1" t="s">
        <v>6958</v>
      </c>
      <c r="AI750" s="2">
        <v>90.0</v>
      </c>
      <c r="AJ750" s="1" t="s">
        <v>1589</v>
      </c>
      <c r="AK750" s="1" t="s">
        <v>5878</v>
      </c>
      <c r="AL750" s="1" t="s">
        <v>5878</v>
      </c>
      <c r="AM750" s="2"/>
      <c r="AN750" s="2"/>
      <c r="AO750" s="2"/>
      <c r="AP750" s="2"/>
      <c r="AQ750" s="2"/>
      <c r="AR750" s="2"/>
      <c r="AS750" s="2"/>
      <c r="AT750" s="2"/>
      <c r="AU750" s="126">
        <v>5500.0</v>
      </c>
      <c r="AV750" s="126">
        <v>8800.0</v>
      </c>
      <c r="AW750" s="2"/>
      <c r="AX750" s="2"/>
      <c r="AY750" s="2"/>
      <c r="AZ750" s="2"/>
      <c r="BA750" s="2"/>
      <c r="BB750" s="2"/>
      <c r="BC750" s="2"/>
      <c r="BD750" s="2"/>
      <c r="BE750" s="2"/>
    </row>
    <row r="751" hidden="1">
      <c r="A751" s="2"/>
      <c r="B751" s="337" t="s">
        <v>8226</v>
      </c>
      <c r="C751" s="320" t="s">
        <v>8227</v>
      </c>
      <c r="D751" s="31">
        <v>90.0</v>
      </c>
      <c r="E751" s="31" t="s">
        <v>67</v>
      </c>
      <c r="F751" s="11" t="s">
        <v>8228</v>
      </c>
      <c r="G751" s="321"/>
      <c r="H751" s="322"/>
      <c r="I751" s="323"/>
      <c r="J751" s="324"/>
      <c r="K751" s="322"/>
      <c r="L751" s="323"/>
      <c r="M751" s="324" t="s">
        <v>22</v>
      </c>
      <c r="N751" s="284">
        <v>0.185</v>
      </c>
      <c r="O751" s="322" t="s">
        <v>22</v>
      </c>
      <c r="P751" s="333">
        <v>50.0</v>
      </c>
      <c r="Q751" s="319">
        <f>P751</f>
        <v>50</v>
      </c>
      <c r="R751" s="331"/>
      <c r="S751" s="326"/>
      <c r="T751" s="2"/>
      <c r="U751" s="59" t="str">
        <f t="shared" si="357"/>
        <v>нет з/ч</v>
      </c>
      <c r="V751" s="304" t="str">
        <f t="shared" ref="V751:V813" si="360">IF(L751&gt;0, Q2327 - L751, "нет з/ч")</f>
        <v>нет з/ч</v>
      </c>
      <c r="W751" s="2"/>
      <c r="X751" s="289"/>
      <c r="Y751" s="139"/>
      <c r="Z751" s="2"/>
      <c r="AA751" s="2" t="s">
        <v>8227</v>
      </c>
      <c r="AB751" s="2" t="s">
        <v>8227</v>
      </c>
      <c r="AC751" s="2"/>
      <c r="AD751" s="2" t="s">
        <v>8227</v>
      </c>
      <c r="AE751" s="3" t="s">
        <v>8226</v>
      </c>
      <c r="AF751" s="2"/>
      <c r="AG751" s="1" t="s">
        <v>1582</v>
      </c>
      <c r="AH751" s="1" t="s">
        <v>5876</v>
      </c>
      <c r="AI751" s="2">
        <v>90.0</v>
      </c>
      <c r="AJ751" s="1" t="s">
        <v>1589</v>
      </c>
      <c r="AK751" s="1" t="s">
        <v>5878</v>
      </c>
      <c r="AL751" s="1" t="s">
        <v>5878</v>
      </c>
      <c r="AM751" s="2"/>
      <c r="AN751" s="2"/>
      <c r="AO751" s="2"/>
      <c r="AP751" s="2"/>
      <c r="AQ751" s="2"/>
      <c r="AR751" s="2"/>
      <c r="AS751" s="2"/>
      <c r="AT751" s="2"/>
      <c r="AU751" s="126" t="s">
        <v>22</v>
      </c>
      <c r="AV751" s="126">
        <v>50.0</v>
      </c>
      <c r="AW751" s="2"/>
      <c r="AX751" s="2"/>
      <c r="AY751" s="2"/>
      <c r="AZ751" s="2"/>
      <c r="BA751" s="2"/>
      <c r="BB751" s="2"/>
      <c r="BC751" s="2"/>
      <c r="BD751" s="2"/>
      <c r="BE751" s="2"/>
    </row>
    <row r="752" hidden="1">
      <c r="A752" s="2"/>
      <c r="B752" s="337" t="s">
        <v>8229</v>
      </c>
      <c r="C752" s="320" t="s">
        <v>8230</v>
      </c>
      <c r="D752" s="31">
        <v>90.0</v>
      </c>
      <c r="E752" s="31" t="s">
        <v>1481</v>
      </c>
      <c r="F752" s="11" t="s">
        <v>8228</v>
      </c>
      <c r="G752" s="321"/>
      <c r="H752" s="322"/>
      <c r="I752" s="323"/>
      <c r="J752" s="324"/>
      <c r="K752" s="322"/>
      <c r="L752" s="323"/>
      <c r="M752" s="324" t="s">
        <v>22</v>
      </c>
      <c r="N752" s="284">
        <v>0.185</v>
      </c>
      <c r="O752" s="322" t="s">
        <v>22</v>
      </c>
      <c r="P752" s="104"/>
      <c r="Q752" s="319">
        <f>P751</f>
        <v>50</v>
      </c>
      <c r="R752" s="331"/>
      <c r="S752" s="326"/>
      <c r="T752" s="2"/>
      <c r="U752" s="59" t="str">
        <f t="shared" si="357"/>
        <v>нет з/ч</v>
      </c>
      <c r="V752" s="304" t="str">
        <f t="shared" si="360"/>
        <v>нет з/ч</v>
      </c>
      <c r="W752" s="2"/>
      <c r="X752" s="289"/>
      <c r="Y752" s="139"/>
      <c r="Z752" s="2"/>
      <c r="AA752" s="2" t="s">
        <v>8230</v>
      </c>
      <c r="AB752" s="2" t="s">
        <v>8230</v>
      </c>
      <c r="AC752" s="2"/>
      <c r="AD752" s="2" t="s">
        <v>8230</v>
      </c>
      <c r="AE752" s="3" t="s">
        <v>8229</v>
      </c>
      <c r="AF752" s="2"/>
      <c r="AG752" s="1" t="s">
        <v>1582</v>
      </c>
      <c r="AH752" s="1" t="s">
        <v>5883</v>
      </c>
      <c r="AI752" s="2">
        <v>90.0</v>
      </c>
      <c r="AJ752" s="1" t="s">
        <v>1589</v>
      </c>
      <c r="AK752" s="1" t="s">
        <v>5878</v>
      </c>
      <c r="AL752" s="1" t="s">
        <v>5878</v>
      </c>
      <c r="AM752" s="2"/>
      <c r="AN752" s="2"/>
      <c r="AO752" s="2"/>
      <c r="AP752" s="2"/>
      <c r="AQ752" s="2"/>
      <c r="AR752" s="2"/>
      <c r="AS752" s="2"/>
      <c r="AT752" s="2"/>
      <c r="AU752" s="126" t="s">
        <v>22</v>
      </c>
      <c r="AV752" s="126">
        <v>50.0</v>
      </c>
      <c r="AW752" s="2"/>
      <c r="AX752" s="2"/>
      <c r="AY752" s="2"/>
      <c r="AZ752" s="2"/>
      <c r="BA752" s="2"/>
      <c r="BB752" s="2"/>
      <c r="BC752" s="2"/>
      <c r="BD752" s="2"/>
      <c r="BE752" s="2"/>
    </row>
    <row r="753" hidden="1">
      <c r="A753" s="2"/>
      <c r="B753" s="337" t="s">
        <v>8231</v>
      </c>
      <c r="C753" s="320" t="s">
        <v>8232</v>
      </c>
      <c r="D753" s="31">
        <v>90.0</v>
      </c>
      <c r="E753" s="31" t="s">
        <v>71</v>
      </c>
      <c r="F753" s="11" t="s">
        <v>8228</v>
      </c>
      <c r="G753" s="321"/>
      <c r="H753" s="322"/>
      <c r="I753" s="323"/>
      <c r="J753" s="324"/>
      <c r="K753" s="322"/>
      <c r="L753" s="323"/>
      <c r="M753" s="324" t="s">
        <v>22</v>
      </c>
      <c r="N753" s="284">
        <v>0.185</v>
      </c>
      <c r="O753" s="322" t="s">
        <v>22</v>
      </c>
      <c r="P753" s="104"/>
      <c r="Q753" s="319">
        <f>P751</f>
        <v>50</v>
      </c>
      <c r="R753" s="331"/>
      <c r="S753" s="326"/>
      <c r="T753" s="2"/>
      <c r="U753" s="59" t="str">
        <f t="shared" si="357"/>
        <v>нет з/ч</v>
      </c>
      <c r="V753" s="304" t="str">
        <f t="shared" si="360"/>
        <v>нет з/ч</v>
      </c>
      <c r="W753" s="2"/>
      <c r="X753" s="289"/>
      <c r="Y753" s="139"/>
      <c r="Z753" s="2"/>
      <c r="AA753" s="2" t="s">
        <v>8232</v>
      </c>
      <c r="AB753" s="2" t="s">
        <v>8232</v>
      </c>
      <c r="AC753" s="2"/>
      <c r="AD753" s="2" t="s">
        <v>8232</v>
      </c>
      <c r="AE753" s="3" t="s">
        <v>8231</v>
      </c>
      <c r="AF753" s="2"/>
      <c r="AG753" s="1" t="s">
        <v>1582</v>
      </c>
      <c r="AH753" s="1" t="s">
        <v>6429</v>
      </c>
      <c r="AI753" s="2">
        <v>90.0</v>
      </c>
      <c r="AJ753" s="1" t="s">
        <v>1589</v>
      </c>
      <c r="AK753" s="1" t="s">
        <v>5878</v>
      </c>
      <c r="AL753" s="1" t="s">
        <v>5878</v>
      </c>
      <c r="AM753" s="2"/>
      <c r="AN753" s="2"/>
      <c r="AO753" s="2"/>
      <c r="AP753" s="2"/>
      <c r="AQ753" s="2"/>
      <c r="AR753" s="2"/>
      <c r="AS753" s="2"/>
      <c r="AT753" s="2"/>
      <c r="AU753" s="126" t="s">
        <v>22</v>
      </c>
      <c r="AV753" s="126">
        <v>50.0</v>
      </c>
      <c r="AW753" s="2"/>
      <c r="AX753" s="2"/>
      <c r="AY753" s="2"/>
      <c r="AZ753" s="2"/>
      <c r="BA753" s="2"/>
      <c r="BB753" s="2"/>
      <c r="BC753" s="2"/>
      <c r="BD753" s="2"/>
      <c r="BE753" s="2"/>
    </row>
    <row r="754" hidden="1">
      <c r="A754" s="2"/>
      <c r="B754" s="337" t="s">
        <v>8233</v>
      </c>
      <c r="C754" s="320" t="s">
        <v>8234</v>
      </c>
      <c r="D754" s="31">
        <v>90.0</v>
      </c>
      <c r="E754" s="31" t="s">
        <v>77</v>
      </c>
      <c r="F754" s="11" t="s">
        <v>8228</v>
      </c>
      <c r="G754" s="321"/>
      <c r="H754" s="322"/>
      <c r="I754" s="323"/>
      <c r="J754" s="324"/>
      <c r="K754" s="322"/>
      <c r="L754" s="323"/>
      <c r="M754" s="324" t="s">
        <v>22</v>
      </c>
      <c r="N754" s="284">
        <v>0.185</v>
      </c>
      <c r="O754" s="322" t="s">
        <v>22</v>
      </c>
      <c r="P754" s="104"/>
      <c r="Q754" s="319">
        <f>P751</f>
        <v>50</v>
      </c>
      <c r="R754" s="331"/>
      <c r="S754" s="326"/>
      <c r="T754" s="2"/>
      <c r="U754" s="59" t="str">
        <f t="shared" si="357"/>
        <v>нет з/ч</v>
      </c>
      <c r="V754" s="304" t="str">
        <f t="shared" si="360"/>
        <v>нет з/ч</v>
      </c>
      <c r="W754" s="2"/>
      <c r="X754" s="289"/>
      <c r="Y754" s="139"/>
      <c r="Z754" s="2"/>
      <c r="AA754" s="2" t="s">
        <v>8234</v>
      </c>
      <c r="AB754" s="2" t="s">
        <v>8234</v>
      </c>
      <c r="AC754" s="2"/>
      <c r="AD754" s="2" t="s">
        <v>8234</v>
      </c>
      <c r="AE754" s="3" t="s">
        <v>8233</v>
      </c>
      <c r="AF754" s="2"/>
      <c r="AG754" s="1" t="s">
        <v>1582</v>
      </c>
      <c r="AH754" s="1" t="s">
        <v>5888</v>
      </c>
      <c r="AI754" s="2">
        <v>90.0</v>
      </c>
      <c r="AJ754" s="1" t="s">
        <v>1589</v>
      </c>
      <c r="AK754" s="1" t="s">
        <v>5878</v>
      </c>
      <c r="AL754" s="1" t="s">
        <v>5878</v>
      </c>
      <c r="AM754" s="2"/>
      <c r="AN754" s="2"/>
      <c r="AO754" s="2"/>
      <c r="AP754" s="2"/>
      <c r="AQ754" s="2"/>
      <c r="AR754" s="2"/>
      <c r="AS754" s="2"/>
      <c r="AT754" s="2"/>
      <c r="AU754" s="126" t="s">
        <v>22</v>
      </c>
      <c r="AV754" s="126">
        <v>50.0</v>
      </c>
      <c r="AW754" s="2"/>
      <c r="AX754" s="2"/>
      <c r="AY754" s="2"/>
      <c r="AZ754" s="2"/>
      <c r="BA754" s="2"/>
      <c r="BB754" s="2"/>
      <c r="BC754" s="2"/>
      <c r="BD754" s="2"/>
      <c r="BE754" s="2"/>
    </row>
    <row r="755" hidden="1">
      <c r="A755" s="2"/>
      <c r="B755" s="338" t="s">
        <v>8235</v>
      </c>
      <c r="C755" s="320" t="s">
        <v>8236</v>
      </c>
      <c r="D755" s="31">
        <v>90.0</v>
      </c>
      <c r="E755" s="31" t="s">
        <v>83</v>
      </c>
      <c r="F755" s="11" t="s">
        <v>8228</v>
      </c>
      <c r="G755" s="327" t="s">
        <v>8237</v>
      </c>
      <c r="H755" s="322"/>
      <c r="I755" s="328">
        <v>200.0</v>
      </c>
      <c r="J755" s="324"/>
      <c r="K755" s="322"/>
      <c r="L755" s="323"/>
      <c r="M755" s="324">
        <v>200.0</v>
      </c>
      <c r="N755" s="284">
        <v>2.0</v>
      </c>
      <c r="O755" s="322">
        <v>600.0</v>
      </c>
      <c r="P755" s="313">
        <f t="shared" ref="P755:Q755" si="361">O755</f>
        <v>600</v>
      </c>
      <c r="Q755" s="319">
        <f t="shared" si="361"/>
        <v>600</v>
      </c>
      <c r="R755" s="329" t="s">
        <v>8238</v>
      </c>
      <c r="S755" s="330">
        <v>46141.48336569444</v>
      </c>
      <c r="T755" s="2"/>
      <c r="U755" s="289">
        <f t="shared" si="357"/>
        <v>400</v>
      </c>
      <c r="V755" s="304" t="str">
        <f t="shared" si="360"/>
        <v>нет з/ч</v>
      </c>
      <c r="W755" s="2"/>
      <c r="X755" s="289">
        <v>200.0</v>
      </c>
      <c r="Y755" s="139"/>
      <c r="Z755" s="2"/>
      <c r="AA755" s="2" t="s">
        <v>8236</v>
      </c>
      <c r="AB755" s="2" t="s">
        <v>8236</v>
      </c>
      <c r="AC755" s="2"/>
      <c r="AD755" s="2" t="s">
        <v>8236</v>
      </c>
      <c r="AE755" s="3" t="s">
        <v>8235</v>
      </c>
      <c r="AF755" s="2"/>
      <c r="AG755" s="1" t="s">
        <v>1582</v>
      </c>
      <c r="AH755" s="1" t="s">
        <v>5893</v>
      </c>
      <c r="AI755" s="2">
        <v>90.0</v>
      </c>
      <c r="AJ755" s="1" t="s">
        <v>1589</v>
      </c>
      <c r="AK755" s="1" t="s">
        <v>5878</v>
      </c>
      <c r="AL755" s="1" t="s">
        <v>5878</v>
      </c>
      <c r="AM755" s="2"/>
      <c r="AN755" s="2"/>
      <c r="AO755" s="2"/>
      <c r="AP755" s="2"/>
      <c r="AQ755" s="2"/>
      <c r="AR755" s="2"/>
      <c r="AS755" s="2"/>
      <c r="AT755" s="2"/>
      <c r="AU755" s="126">
        <v>200.0</v>
      </c>
      <c r="AV755" s="126">
        <v>600.0</v>
      </c>
      <c r="AW755" s="2"/>
      <c r="AX755" s="2"/>
      <c r="AY755" s="2"/>
      <c r="AZ755" s="2"/>
      <c r="BA755" s="2"/>
      <c r="BB755" s="2"/>
      <c r="BC755" s="2"/>
      <c r="BD755" s="2"/>
      <c r="BE755" s="2"/>
    </row>
    <row r="756" hidden="1">
      <c r="A756" s="2"/>
      <c r="B756" s="338" t="s">
        <v>8239</v>
      </c>
      <c r="C756" s="320" t="s">
        <v>8240</v>
      </c>
      <c r="D756" s="31">
        <v>90.0</v>
      </c>
      <c r="E756" s="31" t="s">
        <v>90</v>
      </c>
      <c r="F756" s="11" t="s">
        <v>8228</v>
      </c>
      <c r="G756" s="327" t="s">
        <v>8241</v>
      </c>
      <c r="H756" s="322"/>
      <c r="I756" s="328">
        <v>250.0</v>
      </c>
      <c r="J756" s="324"/>
      <c r="K756" s="322"/>
      <c r="L756" s="323"/>
      <c r="M756" s="324">
        <v>250.0</v>
      </c>
      <c r="N756" s="284">
        <v>2.9</v>
      </c>
      <c r="O756" s="322">
        <v>1000.0</v>
      </c>
      <c r="P756" s="313">
        <f t="shared" ref="P756:Q756" si="362">O756</f>
        <v>1000</v>
      </c>
      <c r="Q756" s="319">
        <f t="shared" si="362"/>
        <v>1000</v>
      </c>
      <c r="R756" s="329" t="s">
        <v>8242</v>
      </c>
      <c r="S756" s="330">
        <v>46141.4834178125</v>
      </c>
      <c r="T756" s="2"/>
      <c r="U756" s="289">
        <f t="shared" si="357"/>
        <v>750</v>
      </c>
      <c r="V756" s="304" t="str">
        <f t="shared" si="360"/>
        <v>нет з/ч</v>
      </c>
      <c r="W756" s="2"/>
      <c r="X756" s="289">
        <v>250.0</v>
      </c>
      <c r="Y756" s="139"/>
      <c r="Z756" s="2"/>
      <c r="AA756" s="2" t="s">
        <v>8240</v>
      </c>
      <c r="AB756" s="2" t="s">
        <v>8240</v>
      </c>
      <c r="AC756" s="2"/>
      <c r="AD756" s="2" t="s">
        <v>8240</v>
      </c>
      <c r="AE756" s="3" t="s">
        <v>8239</v>
      </c>
      <c r="AF756" s="2"/>
      <c r="AG756" s="1" t="s">
        <v>1582</v>
      </c>
      <c r="AH756" s="1" t="s">
        <v>5898</v>
      </c>
      <c r="AI756" s="2">
        <v>90.0</v>
      </c>
      <c r="AJ756" s="1" t="s">
        <v>1589</v>
      </c>
      <c r="AK756" s="1" t="s">
        <v>5878</v>
      </c>
      <c r="AL756" s="1" t="s">
        <v>5878</v>
      </c>
      <c r="AM756" s="2"/>
      <c r="AN756" s="2"/>
      <c r="AO756" s="2"/>
      <c r="AP756" s="2"/>
      <c r="AQ756" s="2"/>
      <c r="AR756" s="2"/>
      <c r="AS756" s="2"/>
      <c r="AT756" s="2"/>
      <c r="AU756" s="126">
        <v>250.0</v>
      </c>
      <c r="AV756" s="126">
        <v>1000.0</v>
      </c>
      <c r="AW756" s="2"/>
      <c r="AX756" s="2"/>
      <c r="AY756" s="2"/>
      <c r="AZ756" s="2"/>
      <c r="BA756" s="2"/>
      <c r="BB756" s="2"/>
      <c r="BC756" s="2"/>
      <c r="BD756" s="2"/>
      <c r="BE756" s="2"/>
    </row>
    <row r="757" hidden="1">
      <c r="A757" s="2"/>
      <c r="B757" s="338" t="s">
        <v>8243</v>
      </c>
      <c r="C757" s="320" t="s">
        <v>8244</v>
      </c>
      <c r="D757" s="31">
        <v>90.0</v>
      </c>
      <c r="E757" s="31" t="s">
        <v>97</v>
      </c>
      <c r="F757" s="11" t="s">
        <v>8228</v>
      </c>
      <c r="G757" s="327" t="s">
        <v>8245</v>
      </c>
      <c r="H757" s="322"/>
      <c r="I757" s="328">
        <v>350.0</v>
      </c>
      <c r="J757" s="324"/>
      <c r="K757" s="322"/>
      <c r="L757" s="323"/>
      <c r="M757" s="324">
        <v>350.0</v>
      </c>
      <c r="N757" s="284">
        <v>2.4</v>
      </c>
      <c r="O757" s="322">
        <v>1200.0</v>
      </c>
      <c r="P757" s="313">
        <f t="shared" ref="P757:Q757" si="363">O757</f>
        <v>1200</v>
      </c>
      <c r="Q757" s="319">
        <f t="shared" si="363"/>
        <v>1200</v>
      </c>
      <c r="R757" s="329" t="s">
        <v>8246</v>
      </c>
      <c r="S757" s="330">
        <v>46141.483471087966</v>
      </c>
      <c r="T757" s="2"/>
      <c r="U757" s="289">
        <f t="shared" si="357"/>
        <v>850</v>
      </c>
      <c r="V757" s="304" t="str">
        <f t="shared" si="360"/>
        <v>нет з/ч</v>
      </c>
      <c r="W757" s="2"/>
      <c r="X757" s="289">
        <v>350.0</v>
      </c>
      <c r="Y757" s="139"/>
      <c r="Z757" s="2"/>
      <c r="AA757" s="2" t="s">
        <v>8244</v>
      </c>
      <c r="AB757" s="2" t="s">
        <v>8244</v>
      </c>
      <c r="AC757" s="2"/>
      <c r="AD757" s="2" t="s">
        <v>8244</v>
      </c>
      <c r="AE757" s="3" t="s">
        <v>8243</v>
      </c>
      <c r="AF757" s="2"/>
      <c r="AG757" s="1" t="s">
        <v>1582</v>
      </c>
      <c r="AH757" s="1" t="s">
        <v>5903</v>
      </c>
      <c r="AI757" s="2">
        <v>90.0</v>
      </c>
      <c r="AJ757" s="1" t="s">
        <v>1589</v>
      </c>
      <c r="AK757" s="1" t="s">
        <v>5878</v>
      </c>
      <c r="AL757" s="1" t="s">
        <v>5878</v>
      </c>
      <c r="AM757" s="2"/>
      <c r="AN757" s="2"/>
      <c r="AO757" s="2"/>
      <c r="AP757" s="2"/>
      <c r="AQ757" s="2"/>
      <c r="AR757" s="2"/>
      <c r="AS757" s="2"/>
      <c r="AT757" s="2"/>
      <c r="AU757" s="126">
        <v>350.0</v>
      </c>
      <c r="AV757" s="126">
        <v>1200.0</v>
      </c>
      <c r="AW757" s="2"/>
      <c r="AX757" s="2"/>
      <c r="AY757" s="2"/>
      <c r="AZ757" s="2"/>
      <c r="BA757" s="2"/>
      <c r="BB757" s="2"/>
      <c r="BC757" s="2"/>
      <c r="BD757" s="2"/>
      <c r="BE757" s="2"/>
    </row>
    <row r="758" hidden="1">
      <c r="A758" s="2"/>
      <c r="B758" s="338" t="s">
        <v>8247</v>
      </c>
      <c r="C758" s="320" t="s">
        <v>8248</v>
      </c>
      <c r="D758" s="31">
        <v>90.0</v>
      </c>
      <c r="E758" s="31" t="s">
        <v>104</v>
      </c>
      <c r="F758" s="11" t="s">
        <v>8228</v>
      </c>
      <c r="G758" s="327" t="s">
        <v>8249</v>
      </c>
      <c r="H758" s="322"/>
      <c r="I758" s="328">
        <v>500.0</v>
      </c>
      <c r="J758" s="324"/>
      <c r="K758" s="322"/>
      <c r="L758" s="323"/>
      <c r="M758" s="324">
        <v>500.0</v>
      </c>
      <c r="N758" s="284">
        <v>4.4</v>
      </c>
      <c r="O758" s="322">
        <v>2700.0</v>
      </c>
      <c r="P758" s="313">
        <f t="shared" ref="P758:Q758" si="364">O758</f>
        <v>2700</v>
      </c>
      <c r="Q758" s="319">
        <f t="shared" si="364"/>
        <v>2700</v>
      </c>
      <c r="R758" s="329" t="s">
        <v>8250</v>
      </c>
      <c r="S758" s="330">
        <v>46141.483531550926</v>
      </c>
      <c r="T758" s="2"/>
      <c r="U758" s="289">
        <f t="shared" si="357"/>
        <v>2200</v>
      </c>
      <c r="V758" s="304" t="str">
        <f t="shared" si="360"/>
        <v>нет з/ч</v>
      </c>
      <c r="W758" s="2"/>
      <c r="X758" s="289">
        <v>500.0</v>
      </c>
      <c r="Y758" s="139"/>
      <c r="Z758" s="2"/>
      <c r="AA758" s="2" t="s">
        <v>8248</v>
      </c>
      <c r="AB758" s="2" t="s">
        <v>8248</v>
      </c>
      <c r="AC758" s="2"/>
      <c r="AD758" s="2" t="s">
        <v>8248</v>
      </c>
      <c r="AE758" s="3" t="s">
        <v>8247</v>
      </c>
      <c r="AF758" s="2"/>
      <c r="AG758" s="1" t="s">
        <v>1582</v>
      </c>
      <c r="AH758" s="1" t="s">
        <v>5908</v>
      </c>
      <c r="AI758" s="2">
        <v>90.0</v>
      </c>
      <c r="AJ758" s="1" t="s">
        <v>1589</v>
      </c>
      <c r="AK758" s="1" t="s">
        <v>5878</v>
      </c>
      <c r="AL758" s="1" t="s">
        <v>5878</v>
      </c>
      <c r="AM758" s="2"/>
      <c r="AN758" s="2"/>
      <c r="AO758" s="2"/>
      <c r="AP758" s="2"/>
      <c r="AQ758" s="2"/>
      <c r="AR758" s="2"/>
      <c r="AS758" s="2"/>
      <c r="AT758" s="2"/>
      <c r="AU758" s="126">
        <v>500.0</v>
      </c>
      <c r="AV758" s="126">
        <v>2700.0</v>
      </c>
      <c r="AW758" s="2"/>
      <c r="AX758" s="2"/>
      <c r="AY758" s="2"/>
      <c r="AZ758" s="2"/>
      <c r="BA758" s="2"/>
      <c r="BB758" s="2"/>
      <c r="BC758" s="2"/>
      <c r="BD758" s="2"/>
      <c r="BE758" s="2"/>
    </row>
    <row r="759" hidden="1">
      <c r="A759" s="2"/>
      <c r="B759" s="338" t="s">
        <v>8251</v>
      </c>
      <c r="C759" s="320" t="s">
        <v>8252</v>
      </c>
      <c r="D759" s="31">
        <v>90.0</v>
      </c>
      <c r="E759" s="31" t="s">
        <v>111</v>
      </c>
      <c r="F759" s="11" t="s">
        <v>8228</v>
      </c>
      <c r="G759" s="327" t="s">
        <v>8253</v>
      </c>
      <c r="H759" s="322"/>
      <c r="I759" s="328">
        <v>570.0</v>
      </c>
      <c r="J759" s="324"/>
      <c r="K759" s="322"/>
      <c r="L759" s="323"/>
      <c r="M759" s="324">
        <v>570.0</v>
      </c>
      <c r="N759" s="284">
        <v>2.7</v>
      </c>
      <c r="O759" s="322">
        <v>2100.0</v>
      </c>
      <c r="P759" s="313">
        <f t="shared" ref="P759:Q759" si="365">O759</f>
        <v>2100</v>
      </c>
      <c r="Q759" s="319">
        <f t="shared" si="365"/>
        <v>2100</v>
      </c>
      <c r="R759" s="329" t="s">
        <v>8254</v>
      </c>
      <c r="S759" s="330">
        <v>46141.483584814814</v>
      </c>
      <c r="T759" s="2"/>
      <c r="U759" s="289">
        <f t="shared" si="357"/>
        <v>1530</v>
      </c>
      <c r="V759" s="304" t="str">
        <f t="shared" si="360"/>
        <v>нет з/ч</v>
      </c>
      <c r="W759" s="2"/>
      <c r="X759" s="289">
        <v>570.0</v>
      </c>
      <c r="Y759" s="139"/>
      <c r="Z759" s="2"/>
      <c r="AA759" s="2" t="s">
        <v>8252</v>
      </c>
      <c r="AB759" s="2" t="s">
        <v>8252</v>
      </c>
      <c r="AC759" s="2"/>
      <c r="AD759" s="2" t="s">
        <v>8252</v>
      </c>
      <c r="AE759" s="3" t="s">
        <v>8251</v>
      </c>
      <c r="AF759" s="2"/>
      <c r="AG759" s="1" t="s">
        <v>1582</v>
      </c>
      <c r="AH759" s="1" t="s">
        <v>5913</v>
      </c>
      <c r="AI759" s="2">
        <v>90.0</v>
      </c>
      <c r="AJ759" s="1" t="s">
        <v>1589</v>
      </c>
      <c r="AK759" s="1" t="s">
        <v>5878</v>
      </c>
      <c r="AL759" s="1" t="s">
        <v>5878</v>
      </c>
      <c r="AM759" s="2"/>
      <c r="AN759" s="2"/>
      <c r="AO759" s="2"/>
      <c r="AP759" s="2"/>
      <c r="AQ759" s="2"/>
      <c r="AR759" s="2"/>
      <c r="AS759" s="2"/>
      <c r="AT759" s="2"/>
      <c r="AU759" s="126">
        <v>570.0</v>
      </c>
      <c r="AV759" s="126">
        <v>2100.0</v>
      </c>
      <c r="AW759" s="2"/>
      <c r="AX759" s="2"/>
      <c r="AY759" s="2"/>
      <c r="AZ759" s="2"/>
      <c r="BA759" s="2"/>
      <c r="BB759" s="2"/>
      <c r="BC759" s="2"/>
      <c r="BD759" s="2"/>
      <c r="BE759" s="2"/>
    </row>
    <row r="760" hidden="1">
      <c r="A760" s="2"/>
      <c r="B760" s="338" t="s">
        <v>8255</v>
      </c>
      <c r="C760" s="320" t="s">
        <v>8256</v>
      </c>
      <c r="D760" s="31">
        <v>90.0</v>
      </c>
      <c r="E760" s="31" t="s">
        <v>118</v>
      </c>
      <c r="F760" s="11" t="s">
        <v>8228</v>
      </c>
      <c r="G760" s="327" t="s">
        <v>8257</v>
      </c>
      <c r="H760" s="322"/>
      <c r="I760" s="328">
        <v>1200.0</v>
      </c>
      <c r="J760" s="324"/>
      <c r="K760" s="322"/>
      <c r="L760" s="323"/>
      <c r="M760" s="324">
        <v>1200.0</v>
      </c>
      <c r="N760" s="284">
        <v>1.6</v>
      </c>
      <c r="O760" s="322">
        <v>3100.0</v>
      </c>
      <c r="P760" s="313">
        <f t="shared" ref="P760:Q760" si="366">O760</f>
        <v>3100</v>
      </c>
      <c r="Q760" s="319">
        <f t="shared" si="366"/>
        <v>3100</v>
      </c>
      <c r="R760" s="329" t="s">
        <v>8258</v>
      </c>
      <c r="S760" s="330">
        <v>46141.483638391204</v>
      </c>
      <c r="T760" s="2"/>
      <c r="U760" s="289">
        <f t="shared" si="357"/>
        <v>1900</v>
      </c>
      <c r="V760" s="304" t="str">
        <f t="shared" si="360"/>
        <v>нет з/ч</v>
      </c>
      <c r="W760" s="2"/>
      <c r="X760" s="289">
        <v>1200.0</v>
      </c>
      <c r="Y760" s="139"/>
      <c r="Z760" s="2"/>
      <c r="AA760" s="2" t="s">
        <v>8256</v>
      </c>
      <c r="AB760" s="2" t="s">
        <v>8256</v>
      </c>
      <c r="AC760" s="2"/>
      <c r="AD760" s="2" t="s">
        <v>8256</v>
      </c>
      <c r="AE760" s="3" t="s">
        <v>8255</v>
      </c>
      <c r="AF760" s="2"/>
      <c r="AG760" s="1" t="s">
        <v>1582</v>
      </c>
      <c r="AH760" s="1" t="s">
        <v>5918</v>
      </c>
      <c r="AI760" s="2">
        <v>90.0</v>
      </c>
      <c r="AJ760" s="1" t="s">
        <v>1589</v>
      </c>
      <c r="AK760" s="1" t="s">
        <v>5878</v>
      </c>
      <c r="AL760" s="1" t="s">
        <v>5878</v>
      </c>
      <c r="AM760" s="2"/>
      <c r="AN760" s="2"/>
      <c r="AO760" s="2"/>
      <c r="AP760" s="2"/>
      <c r="AQ760" s="2"/>
      <c r="AR760" s="2"/>
      <c r="AS760" s="2"/>
      <c r="AT760" s="2"/>
      <c r="AU760" s="126">
        <v>1200.0</v>
      </c>
      <c r="AV760" s="126">
        <v>3100.0</v>
      </c>
      <c r="AW760" s="2"/>
      <c r="AX760" s="2"/>
      <c r="AY760" s="2"/>
      <c r="AZ760" s="2"/>
      <c r="BA760" s="2"/>
      <c r="BB760" s="2"/>
      <c r="BC760" s="2"/>
      <c r="BD760" s="2"/>
      <c r="BE760" s="2"/>
    </row>
    <row r="761" hidden="1">
      <c r="A761" s="2"/>
      <c r="B761" s="338" t="s">
        <v>8259</v>
      </c>
      <c r="C761" s="320" t="s">
        <v>8260</v>
      </c>
      <c r="D761" s="31">
        <v>90.0</v>
      </c>
      <c r="E761" s="31" t="s">
        <v>125</v>
      </c>
      <c r="F761" s="11" t="s">
        <v>8228</v>
      </c>
      <c r="G761" s="327" t="s">
        <v>8261</v>
      </c>
      <c r="H761" s="322"/>
      <c r="I761" s="328">
        <v>790.0</v>
      </c>
      <c r="J761" s="324"/>
      <c r="K761" s="322"/>
      <c r="L761" s="323"/>
      <c r="M761" s="324">
        <v>790.0</v>
      </c>
      <c r="N761" s="284">
        <v>1.4</v>
      </c>
      <c r="O761" s="322">
        <v>1900.0</v>
      </c>
      <c r="P761" s="313">
        <f t="shared" ref="P761:Q761" si="367">O761</f>
        <v>1900</v>
      </c>
      <c r="Q761" s="319">
        <f t="shared" si="367"/>
        <v>1900</v>
      </c>
      <c r="R761" s="329" t="s">
        <v>8262</v>
      </c>
      <c r="S761" s="330">
        <v>46141.48368958333</v>
      </c>
      <c r="T761" s="2"/>
      <c r="U761" s="289">
        <f t="shared" si="357"/>
        <v>1110</v>
      </c>
      <c r="V761" s="304" t="str">
        <f t="shared" si="360"/>
        <v>нет з/ч</v>
      </c>
      <c r="W761" s="2"/>
      <c r="X761" s="289">
        <v>790.0</v>
      </c>
      <c r="Y761" s="139"/>
      <c r="Z761" s="2"/>
      <c r="AA761" s="2" t="s">
        <v>8260</v>
      </c>
      <c r="AB761" s="2" t="s">
        <v>8260</v>
      </c>
      <c r="AC761" s="2"/>
      <c r="AD761" s="2" t="s">
        <v>8260</v>
      </c>
      <c r="AE761" s="3" t="s">
        <v>8259</v>
      </c>
      <c r="AF761" s="2"/>
      <c r="AG761" s="1" t="s">
        <v>1582</v>
      </c>
      <c r="AH761" s="1" t="s">
        <v>5923</v>
      </c>
      <c r="AI761" s="2">
        <v>90.0</v>
      </c>
      <c r="AJ761" s="1" t="s">
        <v>1589</v>
      </c>
      <c r="AK761" s="1" t="s">
        <v>5878</v>
      </c>
      <c r="AL761" s="1" t="s">
        <v>5878</v>
      </c>
      <c r="AM761" s="2"/>
      <c r="AN761" s="2"/>
      <c r="AO761" s="2"/>
      <c r="AP761" s="2"/>
      <c r="AQ761" s="2"/>
      <c r="AR761" s="2"/>
      <c r="AS761" s="2"/>
      <c r="AT761" s="2"/>
      <c r="AU761" s="126">
        <v>790.0</v>
      </c>
      <c r="AV761" s="126">
        <v>1900.0</v>
      </c>
      <c r="AW761" s="2"/>
      <c r="AX761" s="2"/>
      <c r="AY761" s="2"/>
      <c r="AZ761" s="2"/>
      <c r="BA761" s="2"/>
      <c r="BB761" s="2"/>
      <c r="BC761" s="2"/>
      <c r="BD761" s="2"/>
      <c r="BE761" s="2"/>
    </row>
    <row r="762" hidden="1">
      <c r="A762" s="2"/>
      <c r="B762" s="338" t="s">
        <v>8263</v>
      </c>
      <c r="C762" s="320" t="s">
        <v>8264</v>
      </c>
      <c r="D762" s="31">
        <v>90.0</v>
      </c>
      <c r="E762" s="31" t="s">
        <v>132</v>
      </c>
      <c r="F762" s="11" t="s">
        <v>8228</v>
      </c>
      <c r="G762" s="327" t="s">
        <v>8265</v>
      </c>
      <c r="H762" s="322"/>
      <c r="I762" s="328">
        <v>1350.0</v>
      </c>
      <c r="J762" s="324"/>
      <c r="K762" s="322"/>
      <c r="L762" s="323"/>
      <c r="M762" s="324">
        <v>1350.0</v>
      </c>
      <c r="N762" s="284">
        <v>1.15</v>
      </c>
      <c r="O762" s="322">
        <v>2900.0</v>
      </c>
      <c r="P762" s="313">
        <f t="shared" ref="P762:Q762" si="368">O762</f>
        <v>2900</v>
      </c>
      <c r="Q762" s="319">
        <f t="shared" si="368"/>
        <v>2900</v>
      </c>
      <c r="R762" s="329" t="s">
        <v>8266</v>
      </c>
      <c r="S762" s="330">
        <v>46141.4837419213</v>
      </c>
      <c r="T762" s="2"/>
      <c r="U762" s="289">
        <f t="shared" si="357"/>
        <v>1550</v>
      </c>
      <c r="V762" s="304" t="str">
        <f t="shared" si="360"/>
        <v>нет з/ч</v>
      </c>
      <c r="W762" s="2"/>
      <c r="X762" s="289">
        <v>1350.0</v>
      </c>
      <c r="Y762" s="139"/>
      <c r="Z762" s="2"/>
      <c r="AA762" s="2" t="s">
        <v>8264</v>
      </c>
      <c r="AB762" s="2" t="s">
        <v>8264</v>
      </c>
      <c r="AC762" s="2"/>
      <c r="AD762" s="2" t="s">
        <v>8264</v>
      </c>
      <c r="AE762" s="3" t="s">
        <v>8263</v>
      </c>
      <c r="AF762" s="2"/>
      <c r="AG762" s="1" t="s">
        <v>1582</v>
      </c>
      <c r="AH762" s="1" t="s">
        <v>5928</v>
      </c>
      <c r="AI762" s="2">
        <v>90.0</v>
      </c>
      <c r="AJ762" s="1" t="s">
        <v>1589</v>
      </c>
      <c r="AK762" s="1" t="s">
        <v>5878</v>
      </c>
      <c r="AL762" s="1" t="s">
        <v>5878</v>
      </c>
      <c r="AM762" s="2"/>
      <c r="AN762" s="2"/>
      <c r="AO762" s="2"/>
      <c r="AP762" s="2"/>
      <c r="AQ762" s="2"/>
      <c r="AR762" s="2"/>
      <c r="AS762" s="2"/>
      <c r="AT762" s="2"/>
      <c r="AU762" s="126">
        <v>1350.0</v>
      </c>
      <c r="AV762" s="126">
        <v>2900.0</v>
      </c>
      <c r="AW762" s="2"/>
      <c r="AX762" s="2"/>
      <c r="AY762" s="2"/>
      <c r="AZ762" s="2"/>
      <c r="BA762" s="2"/>
      <c r="BB762" s="2"/>
      <c r="BC762" s="2"/>
      <c r="BD762" s="2"/>
      <c r="BE762" s="2"/>
    </row>
    <row r="763" hidden="1">
      <c r="A763" s="2"/>
      <c r="B763" s="338" t="s">
        <v>8267</v>
      </c>
      <c r="C763" s="320" t="s">
        <v>8268</v>
      </c>
      <c r="D763" s="31">
        <v>90.0</v>
      </c>
      <c r="E763" s="31" t="s">
        <v>8269</v>
      </c>
      <c r="F763" s="11" t="s">
        <v>8228</v>
      </c>
      <c r="G763" s="327" t="s">
        <v>8270</v>
      </c>
      <c r="H763" s="322"/>
      <c r="I763" s="328">
        <v>850.0</v>
      </c>
      <c r="J763" s="324"/>
      <c r="K763" s="322"/>
      <c r="L763" s="323"/>
      <c r="M763" s="324">
        <v>850.0</v>
      </c>
      <c r="N763" s="284">
        <v>4.15</v>
      </c>
      <c r="O763" s="322">
        <v>4400.0</v>
      </c>
      <c r="P763" s="313">
        <f t="shared" ref="P763:Q763" si="369">O763</f>
        <v>4400</v>
      </c>
      <c r="Q763" s="319">
        <f t="shared" si="369"/>
        <v>4400</v>
      </c>
      <c r="R763" s="329" t="s">
        <v>8271</v>
      </c>
      <c r="S763" s="330">
        <v>46141.483797824076</v>
      </c>
      <c r="T763" s="2"/>
      <c r="U763" s="289">
        <f t="shared" si="357"/>
        <v>3550</v>
      </c>
      <c r="V763" s="304" t="str">
        <f t="shared" si="360"/>
        <v>нет з/ч</v>
      </c>
      <c r="W763" s="2"/>
      <c r="X763" s="289">
        <v>850.0</v>
      </c>
      <c r="Y763" s="139"/>
      <c r="Z763" s="2"/>
      <c r="AA763" s="2" t="s">
        <v>8268</v>
      </c>
      <c r="AB763" s="2" t="s">
        <v>8268</v>
      </c>
      <c r="AC763" s="2"/>
      <c r="AD763" s="2" t="s">
        <v>8268</v>
      </c>
      <c r="AE763" s="3" t="s">
        <v>8267</v>
      </c>
      <c r="AF763" s="2"/>
      <c r="AG763" s="1" t="s">
        <v>1582</v>
      </c>
      <c r="AH763" s="1" t="s">
        <v>5933</v>
      </c>
      <c r="AI763" s="2">
        <v>90.0</v>
      </c>
      <c r="AJ763" s="1" t="s">
        <v>1589</v>
      </c>
      <c r="AK763" s="1" t="s">
        <v>5878</v>
      </c>
      <c r="AL763" s="1" t="s">
        <v>5878</v>
      </c>
      <c r="AM763" s="2"/>
      <c r="AN763" s="2"/>
      <c r="AO763" s="2"/>
      <c r="AP763" s="2"/>
      <c r="AQ763" s="2"/>
      <c r="AR763" s="2"/>
      <c r="AS763" s="2"/>
      <c r="AT763" s="2"/>
      <c r="AU763" s="126">
        <v>850.0</v>
      </c>
      <c r="AV763" s="126">
        <v>4400.0</v>
      </c>
      <c r="AW763" s="2"/>
      <c r="AX763" s="2"/>
      <c r="AY763" s="2"/>
      <c r="AZ763" s="2"/>
      <c r="BA763" s="2"/>
      <c r="BB763" s="2"/>
      <c r="BC763" s="2"/>
      <c r="BD763" s="2"/>
      <c r="BE763" s="2"/>
    </row>
    <row r="764" hidden="1">
      <c r="A764" s="2"/>
      <c r="B764" s="338" t="s">
        <v>8272</v>
      </c>
      <c r="C764" s="320" t="s">
        <v>8273</v>
      </c>
      <c r="D764" s="31">
        <v>90.0</v>
      </c>
      <c r="E764" s="31" t="s">
        <v>153</v>
      </c>
      <c r="F764" s="11" t="s">
        <v>8228</v>
      </c>
      <c r="G764" s="327" t="s">
        <v>8274</v>
      </c>
      <c r="H764" s="322"/>
      <c r="I764" s="328">
        <v>1400.0</v>
      </c>
      <c r="J764" s="324"/>
      <c r="K764" s="322"/>
      <c r="L764" s="323"/>
      <c r="M764" s="324">
        <v>1400.0</v>
      </c>
      <c r="N764" s="284">
        <v>0.185</v>
      </c>
      <c r="O764" s="322">
        <v>1650.0</v>
      </c>
      <c r="P764" s="313">
        <f t="shared" ref="P764:Q764" si="370">O764</f>
        <v>1650</v>
      </c>
      <c r="Q764" s="319">
        <f t="shared" si="370"/>
        <v>1650</v>
      </c>
      <c r="R764" s="329" t="s">
        <v>8275</v>
      </c>
      <c r="S764" s="330">
        <v>46141.48385199074</v>
      </c>
      <c r="T764" s="2"/>
      <c r="U764" s="289">
        <f t="shared" si="357"/>
        <v>250</v>
      </c>
      <c r="V764" s="304" t="str">
        <f t="shared" si="360"/>
        <v>нет з/ч</v>
      </c>
      <c r="W764" s="2"/>
      <c r="X764" s="289">
        <v>1400.0</v>
      </c>
      <c r="Y764" s="139"/>
      <c r="Z764" s="2"/>
      <c r="AA764" s="2" t="s">
        <v>8273</v>
      </c>
      <c r="AB764" s="2" t="s">
        <v>8273</v>
      </c>
      <c r="AC764" s="2"/>
      <c r="AD764" s="2" t="s">
        <v>8273</v>
      </c>
      <c r="AE764" s="3" t="s">
        <v>8272</v>
      </c>
      <c r="AF764" s="2"/>
      <c r="AG764" s="1" t="s">
        <v>1582</v>
      </c>
      <c r="AH764" s="1" t="s">
        <v>5943</v>
      </c>
      <c r="AI764" s="2">
        <v>90.0</v>
      </c>
      <c r="AJ764" s="1" t="s">
        <v>1589</v>
      </c>
      <c r="AK764" s="1" t="s">
        <v>5878</v>
      </c>
      <c r="AL764" s="1" t="s">
        <v>5878</v>
      </c>
      <c r="AM764" s="2"/>
      <c r="AN764" s="2"/>
      <c r="AO764" s="2"/>
      <c r="AP764" s="2"/>
      <c r="AQ764" s="2"/>
      <c r="AR764" s="2"/>
      <c r="AS764" s="2"/>
      <c r="AT764" s="2"/>
      <c r="AU764" s="126">
        <v>1400.0</v>
      </c>
      <c r="AV764" s="126">
        <v>1650.0</v>
      </c>
      <c r="AW764" s="2"/>
      <c r="AX764" s="2"/>
      <c r="AY764" s="2"/>
      <c r="AZ764" s="2"/>
      <c r="BA764" s="2"/>
      <c r="BB764" s="2"/>
      <c r="BC764" s="2"/>
      <c r="BD764" s="2"/>
      <c r="BE764" s="2"/>
    </row>
    <row r="765" hidden="1">
      <c r="A765" s="2"/>
      <c r="B765" s="338" t="s">
        <v>8276</v>
      </c>
      <c r="C765" s="320" t="s">
        <v>8277</v>
      </c>
      <c r="D765" s="31">
        <v>90.0</v>
      </c>
      <c r="E765" s="31" t="s">
        <v>159</v>
      </c>
      <c r="F765" s="11" t="s">
        <v>8228</v>
      </c>
      <c r="G765" s="327" t="s">
        <v>8278</v>
      </c>
      <c r="H765" s="322"/>
      <c r="I765" s="328">
        <v>700.0</v>
      </c>
      <c r="J765" s="324"/>
      <c r="K765" s="322"/>
      <c r="L765" s="323"/>
      <c r="M765" s="324">
        <v>700.0</v>
      </c>
      <c r="N765" s="284">
        <v>1.3</v>
      </c>
      <c r="O765" s="322">
        <v>1600.0</v>
      </c>
      <c r="P765" s="313">
        <f t="shared" ref="P765:Q765" si="371">O765</f>
        <v>1600</v>
      </c>
      <c r="Q765" s="319">
        <f t="shared" si="371"/>
        <v>1600</v>
      </c>
      <c r="R765" s="329" t="s">
        <v>8279</v>
      </c>
      <c r="S765" s="330">
        <v>46141.483909780094</v>
      </c>
      <c r="T765" s="2"/>
      <c r="U765" s="289">
        <f t="shared" si="357"/>
        <v>900</v>
      </c>
      <c r="V765" s="304" t="str">
        <f t="shared" si="360"/>
        <v>нет з/ч</v>
      </c>
      <c r="W765" s="2"/>
      <c r="X765" s="289">
        <v>700.0</v>
      </c>
      <c r="Y765" s="139"/>
      <c r="Z765" s="2"/>
      <c r="AA765" s="2" t="s">
        <v>8277</v>
      </c>
      <c r="AB765" s="2" t="s">
        <v>8277</v>
      </c>
      <c r="AC765" s="2"/>
      <c r="AD765" s="2" t="s">
        <v>8277</v>
      </c>
      <c r="AE765" s="3" t="s">
        <v>8276</v>
      </c>
      <c r="AF765" s="2"/>
      <c r="AG765" s="1" t="s">
        <v>1582</v>
      </c>
      <c r="AH765" s="1" t="s">
        <v>5952</v>
      </c>
      <c r="AI765" s="2">
        <v>90.0</v>
      </c>
      <c r="AJ765" s="1" t="s">
        <v>1589</v>
      </c>
      <c r="AK765" s="1" t="s">
        <v>5878</v>
      </c>
      <c r="AL765" s="1" t="s">
        <v>5878</v>
      </c>
      <c r="AM765" s="2"/>
      <c r="AN765" s="2"/>
      <c r="AO765" s="2"/>
      <c r="AP765" s="2"/>
      <c r="AQ765" s="2"/>
      <c r="AR765" s="2"/>
      <c r="AS765" s="2"/>
      <c r="AT765" s="2"/>
      <c r="AU765" s="126">
        <v>700.0</v>
      </c>
      <c r="AV765" s="126">
        <v>1600.0</v>
      </c>
      <c r="AW765" s="2"/>
      <c r="AX765" s="2"/>
      <c r="AY765" s="2"/>
      <c r="AZ765" s="2"/>
      <c r="BA765" s="2"/>
      <c r="BB765" s="2"/>
      <c r="BC765" s="2"/>
      <c r="BD765" s="2"/>
      <c r="BE765" s="2"/>
    </row>
    <row r="766" hidden="1">
      <c r="A766" s="2"/>
      <c r="B766" s="338" t="s">
        <v>8280</v>
      </c>
      <c r="C766" s="320" t="s">
        <v>8281</v>
      </c>
      <c r="D766" s="31">
        <v>90.0</v>
      </c>
      <c r="E766" s="31" t="s">
        <v>7714</v>
      </c>
      <c r="F766" s="11" t="s">
        <v>8228</v>
      </c>
      <c r="G766" s="327" t="s">
        <v>8282</v>
      </c>
      <c r="H766" s="322"/>
      <c r="I766" s="328">
        <v>1200.0</v>
      </c>
      <c r="J766" s="324"/>
      <c r="K766" s="322"/>
      <c r="L766" s="323"/>
      <c r="M766" s="324">
        <v>1200.0</v>
      </c>
      <c r="N766" s="284">
        <v>0.75</v>
      </c>
      <c r="O766" s="322">
        <v>2100.0</v>
      </c>
      <c r="P766" s="313">
        <f t="shared" ref="P766:Q766" si="372">O766</f>
        <v>2100</v>
      </c>
      <c r="Q766" s="319">
        <f t="shared" si="372"/>
        <v>2100</v>
      </c>
      <c r="R766" s="329" t="s">
        <v>8283</v>
      </c>
      <c r="S766" s="330">
        <v>46141.48397082176</v>
      </c>
      <c r="T766" s="2"/>
      <c r="U766" s="289">
        <f t="shared" si="357"/>
        <v>900</v>
      </c>
      <c r="V766" s="304" t="str">
        <f t="shared" si="360"/>
        <v>нет з/ч</v>
      </c>
      <c r="W766" s="2"/>
      <c r="X766" s="289">
        <v>1200.0</v>
      </c>
      <c r="Y766" s="139"/>
      <c r="Z766" s="2"/>
      <c r="AA766" s="2" t="s">
        <v>8281</v>
      </c>
      <c r="AB766" s="2" t="s">
        <v>8281</v>
      </c>
      <c r="AC766" s="2"/>
      <c r="AD766" s="2" t="s">
        <v>8281</v>
      </c>
      <c r="AE766" s="3" t="s">
        <v>8280</v>
      </c>
      <c r="AF766" s="2"/>
      <c r="AG766" s="1" t="s">
        <v>1582</v>
      </c>
      <c r="AH766" s="1" t="s">
        <v>5957</v>
      </c>
      <c r="AI766" s="2">
        <v>90.0</v>
      </c>
      <c r="AJ766" s="1" t="s">
        <v>1589</v>
      </c>
      <c r="AK766" s="1" t="s">
        <v>5878</v>
      </c>
      <c r="AL766" s="1" t="s">
        <v>5878</v>
      </c>
      <c r="AM766" s="2"/>
      <c r="AN766" s="2"/>
      <c r="AO766" s="2"/>
      <c r="AP766" s="2"/>
      <c r="AQ766" s="2"/>
      <c r="AR766" s="2"/>
      <c r="AS766" s="2"/>
      <c r="AT766" s="2"/>
      <c r="AU766" s="126">
        <v>1200.0</v>
      </c>
      <c r="AV766" s="126">
        <v>2100.0</v>
      </c>
      <c r="AW766" s="2"/>
      <c r="AX766" s="2"/>
      <c r="AY766" s="2"/>
      <c r="AZ766" s="2"/>
      <c r="BA766" s="2"/>
      <c r="BB766" s="2"/>
      <c r="BC766" s="2"/>
      <c r="BD766" s="2"/>
      <c r="BE766" s="2"/>
    </row>
    <row r="767" hidden="1">
      <c r="A767" s="2"/>
      <c r="B767" s="338" t="s">
        <v>8284</v>
      </c>
      <c r="C767" s="320" t="s">
        <v>8285</v>
      </c>
      <c r="D767" s="31">
        <v>90.0</v>
      </c>
      <c r="E767" s="31" t="s">
        <v>183</v>
      </c>
      <c r="F767" s="11" t="s">
        <v>8228</v>
      </c>
      <c r="G767" s="327" t="s">
        <v>8286</v>
      </c>
      <c r="H767" s="322"/>
      <c r="I767" s="328">
        <v>900.0</v>
      </c>
      <c r="J767" s="324"/>
      <c r="K767" s="322"/>
      <c r="L767" s="323"/>
      <c r="M767" s="324">
        <v>900.0</v>
      </c>
      <c r="N767" s="284">
        <v>0.9</v>
      </c>
      <c r="O767" s="322">
        <v>1700.0</v>
      </c>
      <c r="P767" s="313">
        <f t="shared" ref="P767:Q767" si="373">O767</f>
        <v>1700</v>
      </c>
      <c r="Q767" s="319">
        <f t="shared" si="373"/>
        <v>1700</v>
      </c>
      <c r="R767" s="329" t="s">
        <v>8287</v>
      </c>
      <c r="S767" s="330">
        <v>46141.48402236111</v>
      </c>
      <c r="T767" s="2"/>
      <c r="U767" s="289">
        <f t="shared" si="357"/>
        <v>800</v>
      </c>
      <c r="V767" s="304" t="str">
        <f t="shared" si="360"/>
        <v>нет з/ч</v>
      </c>
      <c r="W767" s="2"/>
      <c r="X767" s="289">
        <v>900.0</v>
      </c>
      <c r="Y767" s="139"/>
      <c r="Z767" s="2"/>
      <c r="AA767" s="2" t="s">
        <v>8285</v>
      </c>
      <c r="AB767" s="2" t="s">
        <v>8285</v>
      </c>
      <c r="AC767" s="2"/>
      <c r="AD767" s="1" t="s">
        <v>8285</v>
      </c>
      <c r="AE767" s="3" t="s">
        <v>8284</v>
      </c>
      <c r="AF767" s="2"/>
      <c r="AG767" s="1" t="s">
        <v>1582</v>
      </c>
      <c r="AH767" s="1" t="s">
        <v>5975</v>
      </c>
      <c r="AI767" s="2">
        <v>90.0</v>
      </c>
      <c r="AJ767" s="1" t="s">
        <v>1589</v>
      </c>
      <c r="AK767" s="1" t="s">
        <v>5878</v>
      </c>
      <c r="AL767" s="1" t="s">
        <v>5878</v>
      </c>
      <c r="AM767" s="2"/>
      <c r="AN767" s="2"/>
      <c r="AO767" s="2"/>
      <c r="AP767" s="2"/>
      <c r="AQ767" s="2"/>
      <c r="AR767" s="2"/>
      <c r="AS767" s="2"/>
      <c r="AT767" s="2"/>
      <c r="AU767" s="126">
        <v>900.0</v>
      </c>
      <c r="AV767" s="126">
        <v>1700.0</v>
      </c>
      <c r="AW767" s="2"/>
      <c r="AX767" s="2"/>
      <c r="AY767" s="2"/>
      <c r="AZ767" s="2"/>
      <c r="BA767" s="2"/>
      <c r="BB767" s="2"/>
      <c r="BC767" s="2"/>
      <c r="BD767" s="2"/>
      <c r="BE767" s="2"/>
    </row>
    <row r="768" hidden="1">
      <c r="A768" s="2"/>
      <c r="B768" s="338" t="s">
        <v>8288</v>
      </c>
      <c r="C768" s="320">
        <v>2.9483226E7</v>
      </c>
      <c r="D768" s="31">
        <v>90.0</v>
      </c>
      <c r="E768" s="31" t="s">
        <v>8289</v>
      </c>
      <c r="F768" s="11" t="s">
        <v>8228</v>
      </c>
      <c r="G768" s="327" t="s">
        <v>8290</v>
      </c>
      <c r="H768" s="322"/>
      <c r="I768" s="328">
        <v>2000.0</v>
      </c>
      <c r="J768" s="324"/>
      <c r="K768" s="322"/>
      <c r="L768" s="323"/>
      <c r="M768" s="324">
        <v>2000.0</v>
      </c>
      <c r="N768" s="284">
        <v>1.2</v>
      </c>
      <c r="O768" s="322">
        <v>4400.0</v>
      </c>
      <c r="P768" s="313">
        <f t="shared" ref="P768:Q768" si="374">O768</f>
        <v>4400</v>
      </c>
      <c r="Q768" s="319">
        <f t="shared" si="374"/>
        <v>4400</v>
      </c>
      <c r="R768" s="329" t="s">
        <v>8291</v>
      </c>
      <c r="S768" s="330">
        <v>46141.48407266204</v>
      </c>
      <c r="T768" s="2"/>
      <c r="U768" s="289">
        <f t="shared" si="357"/>
        <v>2400</v>
      </c>
      <c r="V768" s="304" t="str">
        <f t="shared" si="360"/>
        <v>нет з/ч</v>
      </c>
      <c r="W768" s="2"/>
      <c r="X768" s="289">
        <v>2000.0</v>
      </c>
      <c r="Y768" s="139"/>
      <c r="Z768" s="2"/>
      <c r="AA768" s="2">
        <v>2.9483226E7</v>
      </c>
      <c r="AB768" s="2">
        <v>2.9483226E7</v>
      </c>
      <c r="AC768" s="2"/>
      <c r="AD768" s="1">
        <v>2.9483226E7</v>
      </c>
      <c r="AE768" s="3" t="s">
        <v>8288</v>
      </c>
      <c r="AF768" s="2"/>
      <c r="AG768" s="1" t="s">
        <v>1582</v>
      </c>
      <c r="AH768" s="1" t="s">
        <v>5984</v>
      </c>
      <c r="AI768" s="2">
        <v>90.0</v>
      </c>
      <c r="AJ768" s="1" t="s">
        <v>1589</v>
      </c>
      <c r="AK768" s="1" t="s">
        <v>5878</v>
      </c>
      <c r="AL768" s="1" t="s">
        <v>5878</v>
      </c>
      <c r="AM768" s="2"/>
      <c r="AN768" s="2"/>
      <c r="AO768" s="2"/>
      <c r="AP768" s="2"/>
      <c r="AQ768" s="2"/>
      <c r="AR768" s="2"/>
      <c r="AS768" s="2"/>
      <c r="AT768" s="2"/>
      <c r="AU768" s="126">
        <v>2000.0</v>
      </c>
      <c r="AV768" s="126">
        <v>4400.0</v>
      </c>
      <c r="AW768" s="2"/>
      <c r="AX768" s="2"/>
      <c r="AY768" s="2"/>
      <c r="AZ768" s="2"/>
      <c r="BA768" s="2"/>
      <c r="BB768" s="2"/>
      <c r="BC768" s="2"/>
      <c r="BD768" s="2"/>
      <c r="BE768" s="2"/>
    </row>
    <row r="769" hidden="1">
      <c r="A769" s="2"/>
      <c r="B769" s="338" t="s">
        <v>8292</v>
      </c>
      <c r="C769" s="320" t="s">
        <v>8293</v>
      </c>
      <c r="D769" s="31">
        <v>90.0</v>
      </c>
      <c r="E769" s="31" t="s">
        <v>201</v>
      </c>
      <c r="F769" s="11" t="s">
        <v>8228</v>
      </c>
      <c r="G769" s="327" t="s">
        <v>8294</v>
      </c>
      <c r="H769" s="322"/>
      <c r="I769" s="328">
        <v>1400.0</v>
      </c>
      <c r="J769" s="324"/>
      <c r="K769" s="322"/>
      <c r="L769" s="323"/>
      <c r="M769" s="324">
        <v>1400.0</v>
      </c>
      <c r="N769" s="284">
        <v>1.15</v>
      </c>
      <c r="O769" s="322">
        <v>3000.0</v>
      </c>
      <c r="P769" s="313">
        <f t="shared" ref="P769:Q769" si="375">O769</f>
        <v>3000</v>
      </c>
      <c r="Q769" s="319">
        <f t="shared" si="375"/>
        <v>3000</v>
      </c>
      <c r="R769" s="329" t="s">
        <v>8295</v>
      </c>
      <c r="S769" s="330">
        <v>46141.48412642362</v>
      </c>
      <c r="T769" s="2"/>
      <c r="U769" s="289">
        <f t="shared" si="357"/>
        <v>1600</v>
      </c>
      <c r="V769" s="304" t="str">
        <f t="shared" si="360"/>
        <v>нет з/ч</v>
      </c>
      <c r="W769" s="2"/>
      <c r="X769" s="289">
        <v>1400.0</v>
      </c>
      <c r="Y769" s="139"/>
      <c r="Z769" s="2"/>
      <c r="AA769" s="2" t="s">
        <v>8293</v>
      </c>
      <c r="AB769" s="2" t="s">
        <v>8293</v>
      </c>
      <c r="AC769" s="2"/>
      <c r="AD769" s="2" t="s">
        <v>8293</v>
      </c>
      <c r="AE769" s="3" t="s">
        <v>8292</v>
      </c>
      <c r="AF769" s="2"/>
      <c r="AG769" s="1" t="s">
        <v>1582</v>
      </c>
      <c r="AH769" s="1" t="s">
        <v>6002</v>
      </c>
      <c r="AI769" s="2">
        <v>90.0</v>
      </c>
      <c r="AJ769" s="1" t="s">
        <v>1589</v>
      </c>
      <c r="AK769" s="1" t="s">
        <v>5878</v>
      </c>
      <c r="AL769" s="1" t="s">
        <v>5878</v>
      </c>
      <c r="AM769" s="2"/>
      <c r="AN769" s="2"/>
      <c r="AO769" s="2"/>
      <c r="AP769" s="2"/>
      <c r="AQ769" s="2"/>
      <c r="AR769" s="2"/>
      <c r="AS769" s="2"/>
      <c r="AT769" s="2"/>
      <c r="AU769" s="126">
        <v>1400.0</v>
      </c>
      <c r="AV769" s="126">
        <v>3000.0</v>
      </c>
      <c r="AW769" s="2"/>
      <c r="AX769" s="2"/>
      <c r="AY769" s="2"/>
      <c r="AZ769" s="2"/>
      <c r="BA769" s="2"/>
      <c r="BB769" s="2"/>
      <c r="BC769" s="2"/>
      <c r="BD769" s="2"/>
      <c r="BE769" s="2"/>
    </row>
    <row r="770" hidden="1">
      <c r="A770" s="2"/>
      <c r="B770" s="338" t="s">
        <v>8296</v>
      </c>
      <c r="C770" s="320" t="s">
        <v>8297</v>
      </c>
      <c r="D770" s="31">
        <v>90.0</v>
      </c>
      <c r="E770" s="31" t="s">
        <v>212</v>
      </c>
      <c r="F770" s="11" t="s">
        <v>8228</v>
      </c>
      <c r="G770" s="327" t="s">
        <v>8298</v>
      </c>
      <c r="H770" s="322"/>
      <c r="I770" s="328">
        <v>2100.0</v>
      </c>
      <c r="J770" s="324"/>
      <c r="K770" s="322"/>
      <c r="L770" s="323"/>
      <c r="M770" s="324">
        <v>2100.0</v>
      </c>
      <c r="N770" s="284">
        <v>0.9</v>
      </c>
      <c r="O770" s="322">
        <v>4000.0</v>
      </c>
      <c r="P770" s="313">
        <f t="shared" ref="P770:Q770" si="376">O770</f>
        <v>4000</v>
      </c>
      <c r="Q770" s="319">
        <f t="shared" si="376"/>
        <v>4000</v>
      </c>
      <c r="R770" s="329" t="s">
        <v>8299</v>
      </c>
      <c r="S770" s="330">
        <v>46141.48417590278</v>
      </c>
      <c r="T770" s="2"/>
      <c r="U770" s="289">
        <f t="shared" si="357"/>
        <v>1900</v>
      </c>
      <c r="V770" s="304" t="str">
        <f t="shared" si="360"/>
        <v>нет з/ч</v>
      </c>
      <c r="W770" s="2"/>
      <c r="X770" s="289">
        <v>2100.0</v>
      </c>
      <c r="Y770" s="139"/>
      <c r="Z770" s="2"/>
      <c r="AA770" s="2" t="s">
        <v>8297</v>
      </c>
      <c r="AB770" s="2" t="s">
        <v>8297</v>
      </c>
      <c r="AC770" s="2"/>
      <c r="AD770" s="2" t="s">
        <v>8297</v>
      </c>
      <c r="AE770" s="3" t="s">
        <v>8296</v>
      </c>
      <c r="AF770" s="2"/>
      <c r="AG770" s="1" t="s">
        <v>1582</v>
      </c>
      <c r="AH770" s="1" t="s">
        <v>6026</v>
      </c>
      <c r="AI770" s="2">
        <v>90.0</v>
      </c>
      <c r="AJ770" s="1" t="s">
        <v>1589</v>
      </c>
      <c r="AK770" s="1" t="s">
        <v>5878</v>
      </c>
      <c r="AL770" s="1" t="s">
        <v>5878</v>
      </c>
      <c r="AM770" s="2"/>
      <c r="AN770" s="2"/>
      <c r="AO770" s="2"/>
      <c r="AP770" s="2"/>
      <c r="AQ770" s="2"/>
      <c r="AR770" s="2"/>
      <c r="AS770" s="2"/>
      <c r="AT770" s="2"/>
      <c r="AU770" s="126">
        <v>2100.0</v>
      </c>
      <c r="AV770" s="126">
        <v>4000.0</v>
      </c>
      <c r="AW770" s="2"/>
      <c r="AX770" s="2"/>
      <c r="AY770" s="2"/>
      <c r="AZ770" s="2"/>
      <c r="BA770" s="2"/>
      <c r="BB770" s="2"/>
      <c r="BC770" s="2"/>
      <c r="BD770" s="2"/>
      <c r="BE770" s="2"/>
    </row>
    <row r="771" hidden="1">
      <c r="A771" s="2"/>
      <c r="B771" s="338" t="s">
        <v>8300</v>
      </c>
      <c r="C771" s="320" t="s">
        <v>8301</v>
      </c>
      <c r="D771" s="31">
        <v>90.0</v>
      </c>
      <c r="E771" s="31" t="s">
        <v>220</v>
      </c>
      <c r="F771" s="11" t="s">
        <v>8228</v>
      </c>
      <c r="G771" s="327" t="s">
        <v>8302</v>
      </c>
      <c r="H771" s="322"/>
      <c r="I771" s="328">
        <v>4700.0</v>
      </c>
      <c r="J771" s="324"/>
      <c r="K771" s="322"/>
      <c r="L771" s="323"/>
      <c r="M771" s="324">
        <v>4700.0</v>
      </c>
      <c r="N771" s="284">
        <v>0.21</v>
      </c>
      <c r="O771" s="322">
        <v>5700.0</v>
      </c>
      <c r="P771" s="313">
        <f t="shared" ref="P771:Q771" si="377">O771</f>
        <v>5700</v>
      </c>
      <c r="Q771" s="319">
        <f t="shared" si="377"/>
        <v>5700</v>
      </c>
      <c r="R771" s="329" t="s">
        <v>8303</v>
      </c>
      <c r="S771" s="330">
        <v>46141.484224050924</v>
      </c>
      <c r="T771" s="2"/>
      <c r="U771" s="289">
        <f t="shared" si="357"/>
        <v>1000</v>
      </c>
      <c r="V771" s="304" t="str">
        <f t="shared" si="360"/>
        <v>нет з/ч</v>
      </c>
      <c r="W771" s="2"/>
      <c r="X771" s="289">
        <v>4700.0</v>
      </c>
      <c r="Y771" s="139"/>
      <c r="Z771" s="2"/>
      <c r="AA771" s="2" t="s">
        <v>8301</v>
      </c>
      <c r="AB771" s="2" t="s">
        <v>8301</v>
      </c>
      <c r="AC771" s="2"/>
      <c r="AD771" s="2" t="s">
        <v>8301</v>
      </c>
      <c r="AE771" s="3" t="s">
        <v>8300</v>
      </c>
      <c r="AF771" s="2"/>
      <c r="AG771" s="1" t="s">
        <v>1582</v>
      </c>
      <c r="AH771" s="1" t="s">
        <v>7161</v>
      </c>
      <c r="AI771" s="2">
        <v>90.0</v>
      </c>
      <c r="AJ771" s="1" t="s">
        <v>1589</v>
      </c>
      <c r="AK771" s="1" t="s">
        <v>5878</v>
      </c>
      <c r="AL771" s="1" t="s">
        <v>5878</v>
      </c>
      <c r="AM771" s="2"/>
      <c r="AN771" s="2"/>
      <c r="AO771" s="2"/>
      <c r="AP771" s="2"/>
      <c r="AQ771" s="2"/>
      <c r="AR771" s="2"/>
      <c r="AS771" s="2"/>
      <c r="AT771" s="2"/>
      <c r="AU771" s="126">
        <v>4700.0</v>
      </c>
      <c r="AV771" s="126">
        <v>5700.0</v>
      </c>
      <c r="AW771" s="2"/>
      <c r="AX771" s="2"/>
      <c r="AY771" s="2"/>
      <c r="AZ771" s="2"/>
      <c r="BA771" s="2"/>
      <c r="BB771" s="2"/>
      <c r="BC771" s="2"/>
      <c r="BD771" s="2"/>
      <c r="BE771" s="2"/>
    </row>
    <row r="772" hidden="1">
      <c r="A772" s="2"/>
      <c r="B772" s="338" t="s">
        <v>8304</v>
      </c>
      <c r="C772" s="320" t="s">
        <v>8305</v>
      </c>
      <c r="D772" s="31">
        <v>90.0</v>
      </c>
      <c r="E772" s="31" t="s">
        <v>228</v>
      </c>
      <c r="F772" s="11" t="s">
        <v>8228</v>
      </c>
      <c r="G772" s="327" t="s">
        <v>8306</v>
      </c>
      <c r="H772" s="322"/>
      <c r="I772" s="328">
        <v>4000.0</v>
      </c>
      <c r="J772" s="324"/>
      <c r="K772" s="322"/>
      <c r="L772" s="323"/>
      <c r="M772" s="324">
        <v>4000.0</v>
      </c>
      <c r="N772" s="284">
        <v>0.42</v>
      </c>
      <c r="O772" s="322">
        <v>5700.0</v>
      </c>
      <c r="P772" s="313">
        <f t="shared" ref="P772:Q772" si="378">O772</f>
        <v>5700</v>
      </c>
      <c r="Q772" s="319">
        <f t="shared" si="378"/>
        <v>5700</v>
      </c>
      <c r="R772" s="329" t="s">
        <v>8307</v>
      </c>
      <c r="S772" s="330">
        <v>46141.48427354167</v>
      </c>
      <c r="T772" s="2"/>
      <c r="U772" s="289">
        <f t="shared" si="357"/>
        <v>1700</v>
      </c>
      <c r="V772" s="304" t="str">
        <f t="shared" si="360"/>
        <v>нет з/ч</v>
      </c>
      <c r="W772" s="2"/>
      <c r="X772" s="289">
        <v>4000.0</v>
      </c>
      <c r="Y772" s="139"/>
      <c r="Z772" s="2"/>
      <c r="AA772" s="2" t="s">
        <v>8305</v>
      </c>
      <c r="AB772" s="2" t="s">
        <v>8305</v>
      </c>
      <c r="AC772" s="2"/>
      <c r="AD772" s="2" t="s">
        <v>8305</v>
      </c>
      <c r="AE772" s="3" t="s">
        <v>8304</v>
      </c>
      <c r="AF772" s="2"/>
      <c r="AG772" s="1" t="s">
        <v>1582</v>
      </c>
      <c r="AH772" s="1" t="s">
        <v>6045</v>
      </c>
      <c r="AI772" s="2">
        <v>90.0</v>
      </c>
      <c r="AJ772" s="1" t="s">
        <v>1589</v>
      </c>
      <c r="AK772" s="1" t="s">
        <v>5878</v>
      </c>
      <c r="AL772" s="1" t="s">
        <v>5878</v>
      </c>
      <c r="AM772" s="2"/>
      <c r="AN772" s="2"/>
      <c r="AO772" s="2"/>
      <c r="AP772" s="2"/>
      <c r="AQ772" s="2"/>
      <c r="AR772" s="2"/>
      <c r="AS772" s="2"/>
      <c r="AT772" s="2"/>
      <c r="AU772" s="126">
        <v>4000.0</v>
      </c>
      <c r="AV772" s="126">
        <v>5700.0</v>
      </c>
      <c r="AW772" s="2"/>
      <c r="AX772" s="2"/>
      <c r="AY772" s="2"/>
      <c r="AZ772" s="2"/>
      <c r="BA772" s="2"/>
      <c r="BB772" s="2"/>
      <c r="BC772" s="2"/>
      <c r="BD772" s="2"/>
      <c r="BE772" s="2"/>
    </row>
    <row r="773" hidden="1">
      <c r="A773" s="2"/>
      <c r="B773" s="338" t="s">
        <v>8308</v>
      </c>
      <c r="C773" s="320" t="s">
        <v>8309</v>
      </c>
      <c r="D773" s="31">
        <v>90.0</v>
      </c>
      <c r="E773" s="31" t="s">
        <v>7741</v>
      </c>
      <c r="F773" s="11" t="s">
        <v>8228</v>
      </c>
      <c r="G773" s="327" t="s">
        <v>8310</v>
      </c>
      <c r="H773" s="322"/>
      <c r="I773" s="328">
        <v>990.0</v>
      </c>
      <c r="J773" s="324"/>
      <c r="K773" s="322"/>
      <c r="L773" s="323"/>
      <c r="M773" s="324">
        <v>990.0</v>
      </c>
      <c r="N773" s="284">
        <v>1.4</v>
      </c>
      <c r="O773" s="322">
        <v>2400.0</v>
      </c>
      <c r="P773" s="313">
        <f t="shared" ref="P773:Q773" si="379">O773</f>
        <v>2400</v>
      </c>
      <c r="Q773" s="319">
        <f t="shared" si="379"/>
        <v>2400</v>
      </c>
      <c r="R773" s="329" t="s">
        <v>8311</v>
      </c>
      <c r="S773" s="330">
        <v>46141.48432884259</v>
      </c>
      <c r="T773" s="2"/>
      <c r="U773" s="289">
        <f t="shared" si="357"/>
        <v>1410</v>
      </c>
      <c r="V773" s="304" t="str">
        <f t="shared" si="360"/>
        <v>нет з/ч</v>
      </c>
      <c r="W773" s="2"/>
      <c r="X773" s="289">
        <v>990.0</v>
      </c>
      <c r="Y773" s="139"/>
      <c r="Z773" s="2"/>
      <c r="AA773" s="2" t="s">
        <v>8309</v>
      </c>
      <c r="AB773" s="2" t="s">
        <v>8309</v>
      </c>
      <c r="AC773" s="2"/>
      <c r="AD773" s="2" t="s">
        <v>8309</v>
      </c>
      <c r="AE773" s="3" t="s">
        <v>8308</v>
      </c>
      <c r="AF773" s="2"/>
      <c r="AG773" s="1" t="s">
        <v>1582</v>
      </c>
      <c r="AH773" s="1" t="s">
        <v>6069</v>
      </c>
      <c r="AI773" s="2">
        <v>90.0</v>
      </c>
      <c r="AJ773" s="1" t="s">
        <v>1589</v>
      </c>
      <c r="AK773" s="1" t="s">
        <v>5878</v>
      </c>
      <c r="AL773" s="1" t="s">
        <v>5878</v>
      </c>
      <c r="AM773" s="2"/>
      <c r="AN773" s="2"/>
      <c r="AO773" s="2"/>
      <c r="AP773" s="2"/>
      <c r="AQ773" s="2"/>
      <c r="AR773" s="2"/>
      <c r="AS773" s="2"/>
      <c r="AT773" s="2"/>
      <c r="AU773" s="126">
        <v>990.0</v>
      </c>
      <c r="AV773" s="126">
        <v>2400.0</v>
      </c>
      <c r="AW773" s="2"/>
      <c r="AX773" s="2"/>
      <c r="AY773" s="2"/>
      <c r="AZ773" s="2"/>
      <c r="BA773" s="2"/>
      <c r="BB773" s="2"/>
      <c r="BC773" s="2"/>
      <c r="BD773" s="2"/>
      <c r="BE773" s="2"/>
    </row>
    <row r="774" hidden="1">
      <c r="A774" s="2"/>
      <c r="B774" s="338" t="s">
        <v>8312</v>
      </c>
      <c r="C774" s="320" t="s">
        <v>8313</v>
      </c>
      <c r="D774" s="31">
        <v>90.0</v>
      </c>
      <c r="E774" s="31" t="s">
        <v>7748</v>
      </c>
      <c r="F774" s="11" t="s">
        <v>8228</v>
      </c>
      <c r="G774" s="327" t="s">
        <v>8314</v>
      </c>
      <c r="H774" s="322"/>
      <c r="I774" s="328">
        <v>4650.0</v>
      </c>
      <c r="J774" s="324"/>
      <c r="K774" s="322"/>
      <c r="L774" s="323"/>
      <c r="M774" s="324">
        <v>4650.0</v>
      </c>
      <c r="N774" s="284">
        <v>0.185</v>
      </c>
      <c r="O774" s="322">
        <v>5500.0</v>
      </c>
      <c r="P774" s="313">
        <f t="shared" ref="P774:Q774" si="380">O774</f>
        <v>5500</v>
      </c>
      <c r="Q774" s="319">
        <f t="shared" si="380"/>
        <v>5500</v>
      </c>
      <c r="R774" s="329" t="s">
        <v>8315</v>
      </c>
      <c r="S774" s="330">
        <v>46141.484379166664</v>
      </c>
      <c r="T774" s="2"/>
      <c r="U774" s="289">
        <f t="shared" si="357"/>
        <v>850</v>
      </c>
      <c r="V774" s="304" t="str">
        <f t="shared" si="360"/>
        <v>нет з/ч</v>
      </c>
      <c r="W774" s="2"/>
      <c r="X774" s="289">
        <v>4650.0</v>
      </c>
      <c r="Y774" s="139"/>
      <c r="Z774" s="2"/>
      <c r="AA774" s="2" t="s">
        <v>8313</v>
      </c>
      <c r="AB774" s="2" t="s">
        <v>8313</v>
      </c>
      <c r="AC774" s="2"/>
      <c r="AD774" s="2" t="s">
        <v>8313</v>
      </c>
      <c r="AE774" s="3" t="s">
        <v>8312</v>
      </c>
      <c r="AF774" s="2"/>
      <c r="AG774" s="1" t="s">
        <v>1582</v>
      </c>
      <c r="AH774" s="1" t="s">
        <v>6113</v>
      </c>
      <c r="AI774" s="2">
        <v>90.0</v>
      </c>
      <c r="AJ774" s="1" t="s">
        <v>1589</v>
      </c>
      <c r="AK774" s="1" t="s">
        <v>5878</v>
      </c>
      <c r="AL774" s="1" t="s">
        <v>5878</v>
      </c>
      <c r="AM774" s="2"/>
      <c r="AN774" s="2"/>
      <c r="AO774" s="2"/>
      <c r="AP774" s="2"/>
      <c r="AQ774" s="2"/>
      <c r="AR774" s="2"/>
      <c r="AS774" s="2"/>
      <c r="AT774" s="2"/>
      <c r="AU774" s="126">
        <v>4650.0</v>
      </c>
      <c r="AV774" s="126">
        <v>5500.0</v>
      </c>
      <c r="AW774" s="2"/>
      <c r="AX774" s="2"/>
      <c r="AY774" s="2"/>
      <c r="AZ774" s="2"/>
      <c r="BA774" s="2"/>
      <c r="BB774" s="2"/>
      <c r="BC774" s="2"/>
      <c r="BD774" s="2"/>
      <c r="BE774" s="2"/>
    </row>
    <row r="775" hidden="1">
      <c r="A775" s="2"/>
      <c r="B775" s="338" t="s">
        <v>8316</v>
      </c>
      <c r="C775" s="320" t="s">
        <v>8317</v>
      </c>
      <c r="D775" s="31">
        <v>90.0</v>
      </c>
      <c r="E775" s="31" t="s">
        <v>262</v>
      </c>
      <c r="F775" s="11" t="s">
        <v>8228</v>
      </c>
      <c r="G775" s="327" t="s">
        <v>8318</v>
      </c>
      <c r="H775" s="322"/>
      <c r="I775" s="328">
        <v>2600.0</v>
      </c>
      <c r="J775" s="324"/>
      <c r="K775" s="322"/>
      <c r="L775" s="323"/>
      <c r="M775" s="324">
        <v>2600.0</v>
      </c>
      <c r="N775" s="284">
        <v>1.0</v>
      </c>
      <c r="O775" s="322">
        <v>5200.0</v>
      </c>
      <c r="P775" s="313">
        <f t="shared" ref="P775:Q775" si="381">O775</f>
        <v>5200</v>
      </c>
      <c r="Q775" s="319">
        <f t="shared" si="381"/>
        <v>5200</v>
      </c>
      <c r="R775" s="329" t="s">
        <v>8319</v>
      </c>
      <c r="S775" s="330">
        <v>46141.48443203703</v>
      </c>
      <c r="T775" s="2"/>
      <c r="U775" s="289">
        <f t="shared" si="357"/>
        <v>2600</v>
      </c>
      <c r="V775" s="304" t="str">
        <f t="shared" si="360"/>
        <v>нет з/ч</v>
      </c>
      <c r="W775" s="2"/>
      <c r="X775" s="289">
        <v>2600.0</v>
      </c>
      <c r="Y775" s="139"/>
      <c r="Z775" s="2"/>
      <c r="AA775" s="2" t="s">
        <v>8317</v>
      </c>
      <c r="AB775" s="2" t="s">
        <v>8317</v>
      </c>
      <c r="AC775" s="2"/>
      <c r="AD775" s="2" t="s">
        <v>8317</v>
      </c>
      <c r="AE775" s="3" t="s">
        <v>8316</v>
      </c>
      <c r="AF775" s="2"/>
      <c r="AG775" s="1" t="s">
        <v>1582</v>
      </c>
      <c r="AH775" s="1" t="s">
        <v>6161</v>
      </c>
      <c r="AI775" s="2">
        <v>90.0</v>
      </c>
      <c r="AJ775" s="1" t="s">
        <v>1589</v>
      </c>
      <c r="AK775" s="1" t="s">
        <v>5878</v>
      </c>
      <c r="AL775" s="1" t="s">
        <v>5878</v>
      </c>
      <c r="AM775" s="2"/>
      <c r="AN775" s="2"/>
      <c r="AO775" s="2"/>
      <c r="AP775" s="2"/>
      <c r="AQ775" s="2"/>
      <c r="AR775" s="2"/>
      <c r="AS775" s="2"/>
      <c r="AT775" s="2"/>
      <c r="AU775" s="126">
        <v>2600.0</v>
      </c>
      <c r="AV775" s="126">
        <v>5200.0</v>
      </c>
      <c r="AW775" s="2"/>
      <c r="AX775" s="2"/>
      <c r="AY775" s="2"/>
      <c r="AZ775" s="2"/>
      <c r="BA775" s="2"/>
      <c r="BB775" s="2"/>
      <c r="BC775" s="2"/>
      <c r="BD775" s="2"/>
      <c r="BE775" s="2"/>
    </row>
    <row r="776" hidden="1">
      <c r="A776" s="2"/>
      <c r="B776" s="338" t="s">
        <v>8320</v>
      </c>
      <c r="C776" s="320" t="s">
        <v>8321</v>
      </c>
      <c r="D776" s="31">
        <v>90.0</v>
      </c>
      <c r="E776" s="31" t="s">
        <v>269</v>
      </c>
      <c r="F776" s="11" t="s">
        <v>8228</v>
      </c>
      <c r="G776" s="327" t="s">
        <v>8322</v>
      </c>
      <c r="H776" s="322"/>
      <c r="I776" s="328">
        <v>3400.0</v>
      </c>
      <c r="J776" s="324"/>
      <c r="K776" s="322"/>
      <c r="L776" s="323"/>
      <c r="M776" s="324">
        <v>3400.0</v>
      </c>
      <c r="N776" s="284">
        <v>0.23</v>
      </c>
      <c r="O776" s="322">
        <v>4200.0</v>
      </c>
      <c r="P776" s="313">
        <f t="shared" ref="P776:Q776" si="382">O776</f>
        <v>4200</v>
      </c>
      <c r="Q776" s="319">
        <f t="shared" si="382"/>
        <v>4200</v>
      </c>
      <c r="R776" s="329" t="s">
        <v>8323</v>
      </c>
      <c r="S776" s="330">
        <v>46141.484489305556</v>
      </c>
      <c r="T776" s="2"/>
      <c r="U776" s="289">
        <f t="shared" si="357"/>
        <v>800</v>
      </c>
      <c r="V776" s="304" t="str">
        <f t="shared" si="360"/>
        <v>нет з/ч</v>
      </c>
      <c r="W776" s="2"/>
      <c r="X776" s="289">
        <v>3400.0</v>
      </c>
      <c r="Y776" s="139"/>
      <c r="Z776" s="2"/>
      <c r="AA776" s="2" t="s">
        <v>8321</v>
      </c>
      <c r="AB776" s="2" t="s">
        <v>8321</v>
      </c>
      <c r="AC776" s="2"/>
      <c r="AD776" s="2" t="s">
        <v>8321</v>
      </c>
      <c r="AE776" s="3" t="s">
        <v>8320</v>
      </c>
      <c r="AF776" s="2"/>
      <c r="AG776" s="1" t="s">
        <v>1582</v>
      </c>
      <c r="AH776" s="1" t="s">
        <v>6185</v>
      </c>
      <c r="AI776" s="2">
        <v>90.0</v>
      </c>
      <c r="AJ776" s="1" t="s">
        <v>1589</v>
      </c>
      <c r="AK776" s="1" t="s">
        <v>5878</v>
      </c>
      <c r="AL776" s="1" t="s">
        <v>5878</v>
      </c>
      <c r="AM776" s="2"/>
      <c r="AN776" s="2"/>
      <c r="AO776" s="2"/>
      <c r="AP776" s="2"/>
      <c r="AQ776" s="2"/>
      <c r="AR776" s="2"/>
      <c r="AS776" s="2"/>
      <c r="AT776" s="2"/>
      <c r="AU776" s="126">
        <v>3400.0</v>
      </c>
      <c r="AV776" s="126">
        <v>4200.0</v>
      </c>
      <c r="AW776" s="2"/>
      <c r="AX776" s="2"/>
      <c r="AY776" s="2"/>
      <c r="AZ776" s="2"/>
      <c r="BA776" s="2"/>
      <c r="BB776" s="2"/>
      <c r="BC776" s="2"/>
      <c r="BD776" s="2"/>
      <c r="BE776" s="2"/>
    </row>
    <row r="777" hidden="1">
      <c r="A777" s="2"/>
      <c r="B777" s="338" t="s">
        <v>8324</v>
      </c>
      <c r="C777" s="320" t="s">
        <v>8325</v>
      </c>
      <c r="D777" s="31">
        <v>90.0</v>
      </c>
      <c r="E777" s="31" t="s">
        <v>276</v>
      </c>
      <c r="F777" s="11" t="s">
        <v>8228</v>
      </c>
      <c r="G777" s="327" t="s">
        <v>8326</v>
      </c>
      <c r="H777" s="322"/>
      <c r="I777" s="328">
        <v>3750.0</v>
      </c>
      <c r="J777" s="324"/>
      <c r="K777" s="322"/>
      <c r="L777" s="323"/>
      <c r="M777" s="324">
        <v>3750.0</v>
      </c>
      <c r="N777" s="284">
        <v>0.84</v>
      </c>
      <c r="O777" s="322">
        <v>6900.0</v>
      </c>
      <c r="P777" s="313">
        <f t="shared" ref="P777:Q777" si="383">O777</f>
        <v>6900</v>
      </c>
      <c r="Q777" s="319">
        <f t="shared" si="383"/>
        <v>6900</v>
      </c>
      <c r="R777" s="329" t="s">
        <v>8327</v>
      </c>
      <c r="S777" s="330">
        <v>46141.484543750004</v>
      </c>
      <c r="T777" s="2"/>
      <c r="U777" s="289">
        <f t="shared" si="357"/>
        <v>3150</v>
      </c>
      <c r="V777" s="304" t="str">
        <f t="shared" si="360"/>
        <v>нет з/ч</v>
      </c>
      <c r="W777" s="2"/>
      <c r="X777" s="289">
        <v>3750.0</v>
      </c>
      <c r="Y777" s="139"/>
      <c r="Z777" s="2"/>
      <c r="AA777" s="2" t="s">
        <v>8325</v>
      </c>
      <c r="AB777" s="2" t="s">
        <v>8325</v>
      </c>
      <c r="AC777" s="2"/>
      <c r="AD777" s="2" t="s">
        <v>8325</v>
      </c>
      <c r="AE777" s="3" t="s">
        <v>8324</v>
      </c>
      <c r="AF777" s="2"/>
      <c r="AG777" s="1" t="s">
        <v>1582</v>
      </c>
      <c r="AH777" s="1" t="s">
        <v>6205</v>
      </c>
      <c r="AI777" s="2">
        <v>90.0</v>
      </c>
      <c r="AJ777" s="1" t="s">
        <v>1589</v>
      </c>
      <c r="AK777" s="1" t="s">
        <v>5878</v>
      </c>
      <c r="AL777" s="1" t="s">
        <v>5878</v>
      </c>
      <c r="AM777" s="2"/>
      <c r="AN777" s="2"/>
      <c r="AO777" s="2"/>
      <c r="AP777" s="2"/>
      <c r="AQ777" s="2"/>
      <c r="AR777" s="2"/>
      <c r="AS777" s="2"/>
      <c r="AT777" s="2"/>
      <c r="AU777" s="126">
        <v>3750.0</v>
      </c>
      <c r="AV777" s="126">
        <v>6900.0</v>
      </c>
      <c r="AW777" s="2"/>
      <c r="AX777" s="2"/>
      <c r="AY777" s="2"/>
      <c r="AZ777" s="2"/>
      <c r="BA777" s="2"/>
      <c r="BB777" s="2"/>
      <c r="BC777" s="2"/>
      <c r="BD777" s="2"/>
      <c r="BE777" s="2"/>
    </row>
    <row r="778" hidden="1">
      <c r="A778" s="2"/>
      <c r="B778" s="338" t="s">
        <v>8328</v>
      </c>
      <c r="C778" s="320" t="s">
        <v>8329</v>
      </c>
      <c r="D778" s="31">
        <v>90.0</v>
      </c>
      <c r="E778" s="31" t="s">
        <v>283</v>
      </c>
      <c r="F778" s="11" t="s">
        <v>8228</v>
      </c>
      <c r="G778" s="327" t="s">
        <v>8330</v>
      </c>
      <c r="H778" s="322"/>
      <c r="I778" s="328">
        <v>3500.0</v>
      </c>
      <c r="J778" s="324"/>
      <c r="K778" s="322"/>
      <c r="L778" s="323"/>
      <c r="M778" s="324">
        <v>3500.0</v>
      </c>
      <c r="N778" s="284">
        <v>0.97</v>
      </c>
      <c r="O778" s="322">
        <v>6900.0</v>
      </c>
      <c r="P778" s="313">
        <f t="shared" ref="P778:Q778" si="384">O778</f>
        <v>6900</v>
      </c>
      <c r="Q778" s="319">
        <f t="shared" si="384"/>
        <v>6900</v>
      </c>
      <c r="R778" s="329" t="s">
        <v>8331</v>
      </c>
      <c r="S778" s="330">
        <v>46141.48459582176</v>
      </c>
      <c r="T778" s="2"/>
      <c r="U778" s="289">
        <f t="shared" si="357"/>
        <v>3400</v>
      </c>
      <c r="V778" s="304" t="str">
        <f t="shared" si="360"/>
        <v>нет з/ч</v>
      </c>
      <c r="W778" s="2"/>
      <c r="X778" s="289">
        <v>3500.0</v>
      </c>
      <c r="Y778" s="139"/>
      <c r="Z778" s="2"/>
      <c r="AA778" s="2" t="s">
        <v>8329</v>
      </c>
      <c r="AB778" s="2" t="s">
        <v>8329</v>
      </c>
      <c r="AC778" s="2"/>
      <c r="AD778" s="2" t="s">
        <v>8329</v>
      </c>
      <c r="AE778" s="3" t="s">
        <v>8328</v>
      </c>
      <c r="AF778" s="2"/>
      <c r="AG778" s="1" t="s">
        <v>1582</v>
      </c>
      <c r="AH778" s="1" t="s">
        <v>6229</v>
      </c>
      <c r="AI778" s="2">
        <v>90.0</v>
      </c>
      <c r="AJ778" s="1" t="s">
        <v>1589</v>
      </c>
      <c r="AK778" s="1" t="s">
        <v>5878</v>
      </c>
      <c r="AL778" s="1" t="s">
        <v>5878</v>
      </c>
      <c r="AM778" s="2"/>
      <c r="AN778" s="2"/>
      <c r="AO778" s="2"/>
      <c r="AP778" s="2"/>
      <c r="AQ778" s="2"/>
      <c r="AR778" s="2"/>
      <c r="AS778" s="2"/>
      <c r="AT778" s="2"/>
      <c r="AU778" s="126">
        <v>3500.0</v>
      </c>
      <c r="AV778" s="126">
        <v>6900.0</v>
      </c>
      <c r="AW778" s="2"/>
      <c r="AX778" s="2"/>
      <c r="AY778" s="2"/>
      <c r="AZ778" s="2"/>
      <c r="BA778" s="2"/>
      <c r="BB778" s="2"/>
      <c r="BC778" s="2"/>
      <c r="BD778" s="2"/>
      <c r="BE778" s="2"/>
    </row>
    <row r="779" hidden="1">
      <c r="A779" s="2"/>
      <c r="B779" s="338" t="s">
        <v>8332</v>
      </c>
      <c r="C779" s="320" t="s">
        <v>8333</v>
      </c>
      <c r="D779" s="31">
        <v>90.0</v>
      </c>
      <c r="E779" s="31" t="s">
        <v>290</v>
      </c>
      <c r="F779" s="11" t="s">
        <v>8228</v>
      </c>
      <c r="G779" s="327" t="s">
        <v>8334</v>
      </c>
      <c r="H779" s="322"/>
      <c r="I779" s="328">
        <v>2600.0</v>
      </c>
      <c r="J779" s="324"/>
      <c r="K779" s="322"/>
      <c r="L779" s="323"/>
      <c r="M779" s="324">
        <v>2600.0</v>
      </c>
      <c r="N779" s="284">
        <v>1.38</v>
      </c>
      <c r="O779" s="322">
        <v>6200.0</v>
      </c>
      <c r="P779" s="313">
        <f t="shared" ref="P779:Q779" si="385">O779</f>
        <v>6200</v>
      </c>
      <c r="Q779" s="319">
        <f t="shared" si="385"/>
        <v>6200</v>
      </c>
      <c r="R779" s="329" t="s">
        <v>8335</v>
      </c>
      <c r="S779" s="330">
        <v>46141.48464703704</v>
      </c>
      <c r="T779" s="2"/>
      <c r="U779" s="289">
        <f t="shared" si="357"/>
        <v>3600</v>
      </c>
      <c r="V779" s="304" t="str">
        <f t="shared" si="360"/>
        <v>нет з/ч</v>
      </c>
      <c r="W779" s="2"/>
      <c r="X779" s="289">
        <v>2600.0</v>
      </c>
      <c r="Y779" s="139"/>
      <c r="Z779" s="2"/>
      <c r="AA779" s="2" t="s">
        <v>8333</v>
      </c>
      <c r="AB779" s="2" t="s">
        <v>8333</v>
      </c>
      <c r="AC779" s="2"/>
      <c r="AD779" s="2" t="s">
        <v>8333</v>
      </c>
      <c r="AE779" s="3" t="s">
        <v>8332</v>
      </c>
      <c r="AF779" s="2"/>
      <c r="AG779" s="1" t="s">
        <v>1582</v>
      </c>
      <c r="AH779" s="1" t="s">
        <v>6253</v>
      </c>
      <c r="AI779" s="2">
        <v>90.0</v>
      </c>
      <c r="AJ779" s="1" t="s">
        <v>1589</v>
      </c>
      <c r="AK779" s="1" t="s">
        <v>5878</v>
      </c>
      <c r="AL779" s="1" t="s">
        <v>5878</v>
      </c>
      <c r="AM779" s="2"/>
      <c r="AN779" s="2"/>
      <c r="AO779" s="2"/>
      <c r="AP779" s="2"/>
      <c r="AQ779" s="2"/>
      <c r="AR779" s="2"/>
      <c r="AS779" s="2"/>
      <c r="AT779" s="2"/>
      <c r="AU779" s="126">
        <v>2600.0</v>
      </c>
      <c r="AV779" s="126">
        <v>6200.0</v>
      </c>
      <c r="AW779" s="2"/>
      <c r="AX779" s="2"/>
      <c r="AY779" s="2"/>
      <c r="AZ779" s="2"/>
      <c r="BA779" s="2"/>
      <c r="BB779" s="2"/>
      <c r="BC779" s="2"/>
      <c r="BD779" s="2"/>
      <c r="BE779" s="2"/>
    </row>
    <row r="780" hidden="1">
      <c r="A780" s="2"/>
      <c r="B780" s="338" t="s">
        <v>8336</v>
      </c>
      <c r="C780" s="320" t="s">
        <v>8337</v>
      </c>
      <c r="D780" s="31">
        <v>90.0</v>
      </c>
      <c r="E780" s="31" t="s">
        <v>297</v>
      </c>
      <c r="F780" s="11" t="s">
        <v>8228</v>
      </c>
      <c r="G780" s="327" t="s">
        <v>8338</v>
      </c>
      <c r="H780" s="322"/>
      <c r="I780" s="328">
        <v>2400.0</v>
      </c>
      <c r="J780" s="324"/>
      <c r="K780" s="322"/>
      <c r="L780" s="323"/>
      <c r="M780" s="324">
        <v>2400.0</v>
      </c>
      <c r="N780" s="284">
        <v>1.59</v>
      </c>
      <c r="O780" s="322">
        <v>6200.0</v>
      </c>
      <c r="P780" s="313">
        <f t="shared" ref="P780:Q780" si="386">O780</f>
        <v>6200</v>
      </c>
      <c r="Q780" s="319">
        <f t="shared" si="386"/>
        <v>6200</v>
      </c>
      <c r="R780" s="329" t="s">
        <v>8339</v>
      </c>
      <c r="S780" s="330">
        <v>46141.48469881945</v>
      </c>
      <c r="T780" s="2"/>
      <c r="U780" s="289">
        <f t="shared" si="357"/>
        <v>3800</v>
      </c>
      <c r="V780" s="304" t="str">
        <f t="shared" si="360"/>
        <v>нет з/ч</v>
      </c>
      <c r="W780" s="2"/>
      <c r="X780" s="289">
        <v>2400.0</v>
      </c>
      <c r="Y780" s="139"/>
      <c r="Z780" s="2"/>
      <c r="AA780" s="2" t="s">
        <v>8337</v>
      </c>
      <c r="AB780" s="2" t="s">
        <v>8337</v>
      </c>
      <c r="AC780" s="2"/>
      <c r="AD780" s="2" t="s">
        <v>8337</v>
      </c>
      <c r="AE780" s="3" t="s">
        <v>8336</v>
      </c>
      <c r="AF780" s="2"/>
      <c r="AG780" s="1" t="s">
        <v>1582</v>
      </c>
      <c r="AH780" s="1" t="s">
        <v>6277</v>
      </c>
      <c r="AI780" s="2">
        <v>90.0</v>
      </c>
      <c r="AJ780" s="1" t="s">
        <v>1589</v>
      </c>
      <c r="AK780" s="1" t="s">
        <v>5878</v>
      </c>
      <c r="AL780" s="1" t="s">
        <v>5878</v>
      </c>
      <c r="AM780" s="2"/>
      <c r="AN780" s="2"/>
      <c r="AO780" s="2"/>
      <c r="AP780" s="2"/>
      <c r="AQ780" s="2"/>
      <c r="AR780" s="2"/>
      <c r="AS780" s="2"/>
      <c r="AT780" s="2"/>
      <c r="AU780" s="126">
        <v>2400.0</v>
      </c>
      <c r="AV780" s="126">
        <v>6200.0</v>
      </c>
      <c r="AW780" s="2"/>
      <c r="AX780" s="2"/>
      <c r="AY780" s="2"/>
      <c r="AZ780" s="2"/>
      <c r="BA780" s="2"/>
      <c r="BB780" s="2"/>
      <c r="BC780" s="2"/>
      <c r="BD780" s="2"/>
      <c r="BE780" s="2"/>
    </row>
    <row r="781" hidden="1">
      <c r="A781" s="2"/>
      <c r="B781" s="338" t="s">
        <v>8340</v>
      </c>
      <c r="C781" s="320" t="s">
        <v>8341</v>
      </c>
      <c r="D781" s="31">
        <v>90.0</v>
      </c>
      <c r="E781" s="31" t="s">
        <v>304</v>
      </c>
      <c r="F781" s="11" t="s">
        <v>8228</v>
      </c>
      <c r="G781" s="327" t="s">
        <v>8342</v>
      </c>
      <c r="H781" s="322"/>
      <c r="I781" s="328">
        <v>3900.0</v>
      </c>
      <c r="J781" s="324"/>
      <c r="K781" s="322"/>
      <c r="L781" s="323"/>
      <c r="M781" s="324">
        <v>3900.0</v>
      </c>
      <c r="N781" s="284">
        <v>1.0</v>
      </c>
      <c r="O781" s="322">
        <v>7800.0</v>
      </c>
      <c r="P781" s="313">
        <f t="shared" ref="P781:Q781" si="387">O781</f>
        <v>7800</v>
      </c>
      <c r="Q781" s="319">
        <f t="shared" si="387"/>
        <v>7800</v>
      </c>
      <c r="R781" s="329" t="s">
        <v>8343</v>
      </c>
      <c r="S781" s="330">
        <v>46141.48475495371</v>
      </c>
      <c r="T781" s="2"/>
      <c r="U781" s="289">
        <f t="shared" si="357"/>
        <v>3900</v>
      </c>
      <c r="V781" s="304" t="str">
        <f t="shared" si="360"/>
        <v>нет з/ч</v>
      </c>
      <c r="W781" s="2"/>
      <c r="X781" s="289">
        <v>3900.0</v>
      </c>
      <c r="Y781" s="139"/>
      <c r="Z781" s="2"/>
      <c r="AA781" s="2" t="s">
        <v>8341</v>
      </c>
      <c r="AB781" s="2" t="s">
        <v>8341</v>
      </c>
      <c r="AC781" s="2"/>
      <c r="AD781" s="2" t="s">
        <v>8341</v>
      </c>
      <c r="AE781" s="3" t="s">
        <v>8340</v>
      </c>
      <c r="AF781" s="2"/>
      <c r="AG781" s="1" t="s">
        <v>1582</v>
      </c>
      <c r="AH781" s="1" t="s">
        <v>6295</v>
      </c>
      <c r="AI781" s="2">
        <v>90.0</v>
      </c>
      <c r="AJ781" s="1" t="s">
        <v>1589</v>
      </c>
      <c r="AK781" s="1" t="s">
        <v>5878</v>
      </c>
      <c r="AL781" s="1" t="s">
        <v>5878</v>
      </c>
      <c r="AM781" s="2"/>
      <c r="AN781" s="2"/>
      <c r="AO781" s="2"/>
      <c r="AP781" s="2"/>
      <c r="AQ781" s="2"/>
      <c r="AR781" s="2"/>
      <c r="AS781" s="2"/>
      <c r="AT781" s="2"/>
      <c r="AU781" s="126">
        <v>3900.0</v>
      </c>
      <c r="AV781" s="126">
        <v>7800.0</v>
      </c>
      <c r="AW781" s="2"/>
      <c r="AX781" s="2"/>
      <c r="AY781" s="2"/>
      <c r="AZ781" s="2"/>
      <c r="BA781" s="2"/>
      <c r="BB781" s="2"/>
      <c r="BC781" s="2"/>
      <c r="BD781" s="2"/>
      <c r="BE781" s="2"/>
    </row>
    <row r="782" hidden="1">
      <c r="A782" s="2"/>
      <c r="B782" s="338" t="s">
        <v>8344</v>
      </c>
      <c r="C782" s="320" t="s">
        <v>8345</v>
      </c>
      <c r="D782" s="31">
        <v>90.0</v>
      </c>
      <c r="E782" s="31" t="s">
        <v>311</v>
      </c>
      <c r="F782" s="11" t="s">
        <v>8228</v>
      </c>
      <c r="G782" s="327" t="s">
        <v>8346</v>
      </c>
      <c r="H782" s="322"/>
      <c r="I782" s="328">
        <v>3800.0</v>
      </c>
      <c r="J782" s="324"/>
      <c r="K782" s="322"/>
      <c r="L782" s="323"/>
      <c r="M782" s="324">
        <v>3800.0</v>
      </c>
      <c r="N782" s="284">
        <v>1.1</v>
      </c>
      <c r="O782" s="322">
        <v>8000.0</v>
      </c>
      <c r="P782" s="313">
        <f t="shared" ref="P782:Q782" si="388">O782</f>
        <v>8000</v>
      </c>
      <c r="Q782" s="319">
        <f t="shared" si="388"/>
        <v>8000</v>
      </c>
      <c r="R782" s="329" t="s">
        <v>8347</v>
      </c>
      <c r="S782" s="330">
        <v>46141.484836331016</v>
      </c>
      <c r="T782" s="2"/>
      <c r="U782" s="289">
        <f t="shared" si="357"/>
        <v>4200</v>
      </c>
      <c r="V782" s="304" t="str">
        <f t="shared" si="360"/>
        <v>нет з/ч</v>
      </c>
      <c r="W782" s="2"/>
      <c r="X782" s="289">
        <v>3800.0</v>
      </c>
      <c r="Y782" s="139"/>
      <c r="Z782" s="2"/>
      <c r="AA782" s="2" t="s">
        <v>8345</v>
      </c>
      <c r="AB782" s="2" t="s">
        <v>8345</v>
      </c>
      <c r="AC782" s="2"/>
      <c r="AD782" s="2" t="s">
        <v>8345</v>
      </c>
      <c r="AE782" s="3" t="s">
        <v>8344</v>
      </c>
      <c r="AF782" s="2"/>
      <c r="AG782" s="1" t="s">
        <v>1582</v>
      </c>
      <c r="AH782" s="1" t="s">
        <v>6319</v>
      </c>
      <c r="AI782" s="2">
        <v>90.0</v>
      </c>
      <c r="AJ782" s="1" t="s">
        <v>1589</v>
      </c>
      <c r="AK782" s="1" t="s">
        <v>5878</v>
      </c>
      <c r="AL782" s="1" t="s">
        <v>5878</v>
      </c>
      <c r="AM782" s="2"/>
      <c r="AN782" s="2"/>
      <c r="AO782" s="2"/>
      <c r="AP782" s="2"/>
      <c r="AQ782" s="2"/>
      <c r="AR782" s="2"/>
      <c r="AS782" s="2"/>
      <c r="AT782" s="2"/>
      <c r="AU782" s="126">
        <v>3800.0</v>
      </c>
      <c r="AV782" s="126">
        <v>8000.0</v>
      </c>
      <c r="AW782" s="2"/>
      <c r="AX782" s="2"/>
      <c r="AY782" s="2"/>
      <c r="AZ782" s="2"/>
      <c r="BA782" s="2"/>
      <c r="BB782" s="2"/>
      <c r="BC782" s="2"/>
      <c r="BD782" s="2"/>
      <c r="BE782" s="2"/>
    </row>
    <row r="783" hidden="1">
      <c r="A783" s="2"/>
      <c r="B783" s="338" t="s">
        <v>8348</v>
      </c>
      <c r="C783" s="320" t="s">
        <v>8349</v>
      </c>
      <c r="D783" s="31">
        <v>90.0</v>
      </c>
      <c r="E783" s="31" t="s">
        <v>318</v>
      </c>
      <c r="F783" s="11" t="s">
        <v>8228</v>
      </c>
      <c r="G783" s="327" t="s">
        <v>8350</v>
      </c>
      <c r="H783" s="322"/>
      <c r="I783" s="328">
        <v>3600.0</v>
      </c>
      <c r="J783" s="324"/>
      <c r="K783" s="322"/>
      <c r="L783" s="323"/>
      <c r="M783" s="324">
        <v>3600.0</v>
      </c>
      <c r="N783" s="284">
        <v>1.0</v>
      </c>
      <c r="O783" s="322">
        <v>7200.0</v>
      </c>
      <c r="P783" s="313">
        <f t="shared" ref="P783:Q783" si="389">O783</f>
        <v>7200</v>
      </c>
      <c r="Q783" s="319">
        <f t="shared" si="389"/>
        <v>7200</v>
      </c>
      <c r="R783" s="329" t="s">
        <v>8351</v>
      </c>
      <c r="S783" s="330">
        <v>46141.484887847226</v>
      </c>
      <c r="T783" s="2"/>
      <c r="U783" s="289">
        <f t="shared" si="357"/>
        <v>3600</v>
      </c>
      <c r="V783" s="304" t="str">
        <f t="shared" si="360"/>
        <v>нет з/ч</v>
      </c>
      <c r="W783" s="2"/>
      <c r="X783" s="289">
        <v>3600.0</v>
      </c>
      <c r="Y783" s="139"/>
      <c r="Z783" s="2"/>
      <c r="AA783" s="2" t="s">
        <v>8349</v>
      </c>
      <c r="AB783" s="2" t="s">
        <v>8349</v>
      </c>
      <c r="AC783" s="2"/>
      <c r="AD783" s="2" t="s">
        <v>8349</v>
      </c>
      <c r="AE783" s="3" t="s">
        <v>8348</v>
      </c>
      <c r="AF783" s="2"/>
      <c r="AG783" s="1" t="s">
        <v>1582</v>
      </c>
      <c r="AH783" s="1" t="s">
        <v>6343</v>
      </c>
      <c r="AI783" s="2">
        <v>90.0</v>
      </c>
      <c r="AJ783" s="1" t="s">
        <v>1589</v>
      </c>
      <c r="AK783" s="1" t="s">
        <v>5878</v>
      </c>
      <c r="AL783" s="1" t="s">
        <v>5878</v>
      </c>
      <c r="AM783" s="2"/>
      <c r="AN783" s="2"/>
      <c r="AO783" s="2"/>
      <c r="AP783" s="2"/>
      <c r="AQ783" s="2"/>
      <c r="AR783" s="2"/>
      <c r="AS783" s="2"/>
      <c r="AT783" s="2"/>
      <c r="AU783" s="126">
        <v>3600.0</v>
      </c>
      <c r="AV783" s="126">
        <v>7200.0</v>
      </c>
      <c r="AW783" s="2"/>
      <c r="AX783" s="2"/>
      <c r="AY783" s="2"/>
      <c r="AZ783" s="2"/>
      <c r="BA783" s="2"/>
      <c r="BB783" s="2"/>
      <c r="BC783" s="2"/>
      <c r="BD783" s="2"/>
      <c r="BE783" s="2"/>
    </row>
    <row r="784" hidden="1">
      <c r="A784" s="2"/>
      <c r="B784" s="338" t="s">
        <v>8352</v>
      </c>
      <c r="C784" s="93"/>
      <c r="D784" s="31">
        <v>90.0</v>
      </c>
      <c r="E784" s="31" t="s">
        <v>325</v>
      </c>
      <c r="F784" s="11" t="s">
        <v>8228</v>
      </c>
      <c r="G784" s="321"/>
      <c r="H784" s="322"/>
      <c r="I784" s="323"/>
      <c r="J784" s="324"/>
      <c r="K784" s="322"/>
      <c r="L784" s="323"/>
      <c r="M784" s="324" t="s">
        <v>22</v>
      </c>
      <c r="N784" s="284">
        <v>0.185</v>
      </c>
      <c r="O784" s="322" t="s">
        <v>22</v>
      </c>
      <c r="P784" s="313" t="str">
        <f t="shared" ref="P784:Q784" si="390">O784</f>
        <v/>
      </c>
      <c r="Q784" s="319" t="str">
        <f t="shared" si="390"/>
        <v/>
      </c>
      <c r="R784" s="331"/>
      <c r="S784" s="326"/>
      <c r="T784" s="2"/>
      <c r="U784" s="59" t="str">
        <f t="shared" si="357"/>
        <v>нет з/ч</v>
      </c>
      <c r="V784" s="304" t="str">
        <f t="shared" si="360"/>
        <v>нет з/ч</v>
      </c>
      <c r="W784" s="2"/>
      <c r="X784" s="289"/>
      <c r="Y784" s="139"/>
      <c r="Z784" s="2"/>
      <c r="AA784" s="2"/>
      <c r="AB784" s="2"/>
      <c r="AC784" s="2"/>
      <c r="AD784" s="2"/>
      <c r="AE784" s="3" t="s">
        <v>8352</v>
      </c>
      <c r="AF784" s="2"/>
      <c r="AG784" s="1" t="s">
        <v>1582</v>
      </c>
      <c r="AH784" s="1" t="s">
        <v>6359</v>
      </c>
      <c r="AI784" s="2">
        <v>90.0</v>
      </c>
      <c r="AJ784" s="1" t="s">
        <v>1589</v>
      </c>
      <c r="AK784" s="1" t="s">
        <v>5878</v>
      </c>
      <c r="AL784" s="1" t="s">
        <v>5878</v>
      </c>
      <c r="AM784" s="2"/>
      <c r="AN784" s="2"/>
      <c r="AO784" s="2"/>
      <c r="AP784" s="2"/>
      <c r="AQ784" s="2"/>
      <c r="AR784" s="2"/>
      <c r="AS784" s="2"/>
      <c r="AT784" s="2"/>
      <c r="AU784" s="126" t="s">
        <v>22</v>
      </c>
      <c r="AV784" s="126" t="s">
        <v>22</v>
      </c>
      <c r="AW784" s="2"/>
      <c r="AX784" s="2"/>
      <c r="AY784" s="2"/>
      <c r="AZ784" s="2"/>
      <c r="BA784" s="2"/>
      <c r="BB784" s="2"/>
      <c r="BC784" s="2"/>
      <c r="BD784" s="2"/>
      <c r="BE784" s="2"/>
    </row>
    <row r="785" hidden="1">
      <c r="A785" s="2"/>
      <c r="B785" s="338" t="s">
        <v>8353</v>
      </c>
      <c r="C785" s="93"/>
      <c r="D785" s="31">
        <v>90.0</v>
      </c>
      <c r="E785" s="31" t="s">
        <v>332</v>
      </c>
      <c r="F785" s="11" t="s">
        <v>8228</v>
      </c>
      <c r="G785" s="327" t="s">
        <v>8354</v>
      </c>
      <c r="H785" s="322"/>
      <c r="I785" s="328">
        <v>4900.0</v>
      </c>
      <c r="J785" s="324"/>
      <c r="K785" s="322"/>
      <c r="L785" s="323"/>
      <c r="M785" s="324">
        <v>4900.0</v>
      </c>
      <c r="N785" s="284">
        <v>0.45</v>
      </c>
      <c r="O785" s="322">
        <v>7100.0</v>
      </c>
      <c r="P785" s="313">
        <f t="shared" ref="P785:Q785" si="391">O785</f>
        <v>7100</v>
      </c>
      <c r="Q785" s="319">
        <f t="shared" si="391"/>
        <v>7100</v>
      </c>
      <c r="R785" s="329" t="s">
        <v>8355</v>
      </c>
      <c r="S785" s="330">
        <v>46141.48494415509</v>
      </c>
      <c r="T785" s="2"/>
      <c r="U785" s="289">
        <f t="shared" si="357"/>
        <v>2200</v>
      </c>
      <c r="V785" s="304" t="str">
        <f t="shared" si="360"/>
        <v>нет з/ч</v>
      </c>
      <c r="W785" s="2"/>
      <c r="X785" s="289">
        <v>4900.0</v>
      </c>
      <c r="Y785" s="139"/>
      <c r="Z785" s="2"/>
      <c r="AA785" s="2"/>
      <c r="AB785" s="2"/>
      <c r="AC785" s="2"/>
      <c r="AD785" s="2"/>
      <c r="AE785" s="3" t="s">
        <v>8353</v>
      </c>
      <c r="AF785" s="2"/>
      <c r="AG785" s="1" t="s">
        <v>1582</v>
      </c>
      <c r="AH785" s="1" t="s">
        <v>6373</v>
      </c>
      <c r="AI785" s="2">
        <v>90.0</v>
      </c>
      <c r="AJ785" s="1" t="s">
        <v>1589</v>
      </c>
      <c r="AK785" s="1" t="s">
        <v>5878</v>
      </c>
      <c r="AL785" s="1" t="s">
        <v>5878</v>
      </c>
      <c r="AM785" s="2"/>
      <c r="AN785" s="2"/>
      <c r="AO785" s="2"/>
      <c r="AP785" s="2"/>
      <c r="AQ785" s="2"/>
      <c r="AR785" s="2"/>
      <c r="AS785" s="2"/>
      <c r="AT785" s="2"/>
      <c r="AU785" s="126">
        <v>4900.0</v>
      </c>
      <c r="AV785" s="126">
        <v>7100.0</v>
      </c>
      <c r="AW785" s="2"/>
      <c r="AX785" s="2"/>
      <c r="AY785" s="2"/>
      <c r="AZ785" s="2"/>
      <c r="BA785" s="2"/>
      <c r="BB785" s="2"/>
      <c r="BC785" s="2"/>
      <c r="BD785" s="2"/>
      <c r="BE785" s="2"/>
    </row>
    <row r="786" hidden="1">
      <c r="A786" s="2"/>
      <c r="B786" s="338" t="s">
        <v>8356</v>
      </c>
      <c r="C786" s="320" t="s">
        <v>8357</v>
      </c>
      <c r="D786" s="31">
        <v>90.0</v>
      </c>
      <c r="E786" s="31" t="s">
        <v>339</v>
      </c>
      <c r="F786" s="11" t="s">
        <v>8228</v>
      </c>
      <c r="G786" s="327" t="s">
        <v>8358</v>
      </c>
      <c r="H786" s="322"/>
      <c r="I786" s="328">
        <v>4300.0</v>
      </c>
      <c r="J786" s="324"/>
      <c r="K786" s="322"/>
      <c r="L786" s="323"/>
      <c r="M786" s="324">
        <v>4300.0</v>
      </c>
      <c r="N786" s="284">
        <v>1.0</v>
      </c>
      <c r="O786" s="322">
        <v>8600.0</v>
      </c>
      <c r="P786" s="313">
        <f t="shared" ref="P786:Q786" si="392">O786</f>
        <v>8600</v>
      </c>
      <c r="Q786" s="319">
        <f t="shared" si="392"/>
        <v>8600</v>
      </c>
      <c r="R786" s="329" t="s">
        <v>8359</v>
      </c>
      <c r="S786" s="330">
        <v>46141.48499351852</v>
      </c>
      <c r="T786" s="2"/>
      <c r="U786" s="289">
        <f t="shared" si="357"/>
        <v>4300</v>
      </c>
      <c r="V786" s="304" t="str">
        <f t="shared" si="360"/>
        <v>нет з/ч</v>
      </c>
      <c r="W786" s="2"/>
      <c r="X786" s="289">
        <v>4300.0</v>
      </c>
      <c r="Y786" s="139"/>
      <c r="Z786" s="2"/>
      <c r="AA786" s="2" t="s">
        <v>8357</v>
      </c>
      <c r="AB786" s="2" t="s">
        <v>8357</v>
      </c>
      <c r="AC786" s="2"/>
      <c r="AD786" s="2" t="s">
        <v>8357</v>
      </c>
      <c r="AE786" s="3" t="s">
        <v>8356</v>
      </c>
      <c r="AF786" s="2"/>
      <c r="AG786" s="1" t="s">
        <v>1582</v>
      </c>
      <c r="AH786" s="1" t="s">
        <v>6389</v>
      </c>
      <c r="AI786" s="2">
        <v>90.0</v>
      </c>
      <c r="AJ786" s="1" t="s">
        <v>1589</v>
      </c>
      <c r="AK786" s="1" t="s">
        <v>5878</v>
      </c>
      <c r="AL786" s="1" t="s">
        <v>5878</v>
      </c>
      <c r="AM786" s="2"/>
      <c r="AN786" s="2"/>
      <c r="AO786" s="2"/>
      <c r="AP786" s="2"/>
      <c r="AQ786" s="2"/>
      <c r="AR786" s="2"/>
      <c r="AS786" s="2"/>
      <c r="AT786" s="2"/>
      <c r="AU786" s="126">
        <v>4300.0</v>
      </c>
      <c r="AV786" s="126">
        <v>8600.0</v>
      </c>
      <c r="AW786" s="2"/>
      <c r="AX786" s="2"/>
      <c r="AY786" s="2"/>
      <c r="AZ786" s="2"/>
      <c r="BA786" s="2"/>
      <c r="BB786" s="2"/>
      <c r="BC786" s="2"/>
      <c r="BD786" s="2"/>
      <c r="BE786" s="2"/>
    </row>
    <row r="787" hidden="1">
      <c r="A787" s="2"/>
      <c r="B787" s="338" t="s">
        <v>8360</v>
      </c>
      <c r="C787" s="320" t="s">
        <v>8361</v>
      </c>
      <c r="D787" s="31">
        <v>90.0</v>
      </c>
      <c r="E787" s="31" t="s">
        <v>346</v>
      </c>
      <c r="F787" s="11" t="s">
        <v>8228</v>
      </c>
      <c r="G787" s="327" t="s">
        <v>8362</v>
      </c>
      <c r="H787" s="322"/>
      <c r="I787" s="328">
        <v>4500.0</v>
      </c>
      <c r="J787" s="324"/>
      <c r="K787" s="322"/>
      <c r="L787" s="323"/>
      <c r="M787" s="324">
        <v>4500.0</v>
      </c>
      <c r="N787" s="284">
        <v>0.95</v>
      </c>
      <c r="O787" s="322">
        <v>8800.0</v>
      </c>
      <c r="P787" s="313">
        <f t="shared" ref="P787:Q787" si="393">O787</f>
        <v>8800</v>
      </c>
      <c r="Q787" s="319">
        <f t="shared" si="393"/>
        <v>8800</v>
      </c>
      <c r="R787" s="329" t="s">
        <v>8363</v>
      </c>
      <c r="S787" s="330">
        <v>46141.48504212963</v>
      </c>
      <c r="T787" s="2"/>
      <c r="U787" s="289">
        <f t="shared" si="357"/>
        <v>4300</v>
      </c>
      <c r="V787" s="304" t="str">
        <f t="shared" si="360"/>
        <v>нет з/ч</v>
      </c>
      <c r="W787" s="2"/>
      <c r="X787" s="289">
        <v>4500.0</v>
      </c>
      <c r="Y787" s="139"/>
      <c r="Z787" s="2"/>
      <c r="AA787" s="2" t="s">
        <v>8361</v>
      </c>
      <c r="AB787" s="2" t="s">
        <v>8361</v>
      </c>
      <c r="AC787" s="2"/>
      <c r="AD787" s="2" t="s">
        <v>8361</v>
      </c>
      <c r="AE787" s="3" t="s">
        <v>8360</v>
      </c>
      <c r="AF787" s="2"/>
      <c r="AG787" s="1" t="s">
        <v>1582</v>
      </c>
      <c r="AH787" s="1" t="s">
        <v>6407</v>
      </c>
      <c r="AI787" s="2">
        <v>90.0</v>
      </c>
      <c r="AJ787" s="1" t="s">
        <v>1589</v>
      </c>
      <c r="AK787" s="1" t="s">
        <v>5878</v>
      </c>
      <c r="AL787" s="1" t="s">
        <v>5878</v>
      </c>
      <c r="AM787" s="2"/>
      <c r="AN787" s="2"/>
      <c r="AO787" s="2"/>
      <c r="AP787" s="2"/>
      <c r="AQ787" s="2"/>
      <c r="AR787" s="2"/>
      <c r="AS787" s="2"/>
      <c r="AT787" s="2"/>
      <c r="AU787" s="126">
        <v>4500.0</v>
      </c>
      <c r="AV787" s="126">
        <v>8800.0</v>
      </c>
      <c r="AW787" s="2"/>
      <c r="AX787" s="2"/>
      <c r="AY787" s="2"/>
      <c r="AZ787" s="2"/>
      <c r="BA787" s="2"/>
      <c r="BB787" s="2"/>
      <c r="BC787" s="2"/>
      <c r="BD787" s="2"/>
      <c r="BE787" s="2"/>
    </row>
    <row r="788" hidden="1">
      <c r="A788" s="2"/>
      <c r="B788" s="338" t="s">
        <v>8364</v>
      </c>
      <c r="C788" s="320" t="s">
        <v>8365</v>
      </c>
      <c r="D788" s="31">
        <v>90.0</v>
      </c>
      <c r="E788" s="31" t="s">
        <v>353</v>
      </c>
      <c r="F788" s="11" t="s">
        <v>8228</v>
      </c>
      <c r="G788" s="327" t="s">
        <v>8366</v>
      </c>
      <c r="H788" s="322"/>
      <c r="I788" s="328">
        <v>5400.0</v>
      </c>
      <c r="J788" s="324"/>
      <c r="K788" s="322"/>
      <c r="L788" s="323"/>
      <c r="M788" s="324">
        <v>5400.0</v>
      </c>
      <c r="N788" s="284">
        <v>0.5</v>
      </c>
      <c r="O788" s="322">
        <v>8100.0</v>
      </c>
      <c r="P788" s="313">
        <f t="shared" ref="P788:Q788" si="394">O788</f>
        <v>8100</v>
      </c>
      <c r="Q788" s="319">
        <f t="shared" si="394"/>
        <v>8100</v>
      </c>
      <c r="R788" s="329" t="s">
        <v>8367</v>
      </c>
      <c r="S788" s="330">
        <v>46141.485090601855</v>
      </c>
      <c r="T788" s="2"/>
      <c r="U788" s="289">
        <f t="shared" si="357"/>
        <v>2700</v>
      </c>
      <c r="V788" s="304" t="str">
        <f t="shared" si="360"/>
        <v>нет з/ч</v>
      </c>
      <c r="W788" s="2"/>
      <c r="X788" s="289">
        <v>5400.0</v>
      </c>
      <c r="Y788" s="139"/>
      <c r="Z788" s="2"/>
      <c r="AA788" s="2" t="s">
        <v>8365</v>
      </c>
      <c r="AB788" s="2" t="s">
        <v>8365</v>
      </c>
      <c r="AC788" s="2"/>
      <c r="AD788" s="2" t="s">
        <v>8365</v>
      </c>
      <c r="AE788" s="3" t="s">
        <v>8364</v>
      </c>
      <c r="AF788" s="2"/>
      <c r="AG788" s="1" t="s">
        <v>1582</v>
      </c>
      <c r="AH788" s="1" t="s">
        <v>6922</v>
      </c>
      <c r="AI788" s="2">
        <v>90.0</v>
      </c>
      <c r="AJ788" s="1" t="s">
        <v>1589</v>
      </c>
      <c r="AK788" s="1" t="s">
        <v>5878</v>
      </c>
      <c r="AL788" s="1" t="s">
        <v>5878</v>
      </c>
      <c r="AM788" s="2"/>
      <c r="AN788" s="2"/>
      <c r="AO788" s="2"/>
      <c r="AP788" s="2"/>
      <c r="AQ788" s="2"/>
      <c r="AR788" s="2"/>
      <c r="AS788" s="2"/>
      <c r="AT788" s="2"/>
      <c r="AU788" s="126">
        <v>5400.0</v>
      </c>
      <c r="AV788" s="126">
        <v>8100.0</v>
      </c>
      <c r="AW788" s="2"/>
      <c r="AX788" s="2"/>
      <c r="AY788" s="2"/>
      <c r="AZ788" s="2"/>
      <c r="BA788" s="2"/>
      <c r="BB788" s="2"/>
      <c r="BC788" s="2"/>
      <c r="BD788" s="2"/>
      <c r="BE788" s="2"/>
    </row>
    <row r="789" hidden="1">
      <c r="A789" s="2"/>
      <c r="B789" s="338" t="s">
        <v>8368</v>
      </c>
      <c r="C789" s="93"/>
      <c r="D789" s="31">
        <v>90.0</v>
      </c>
      <c r="E789" s="31" t="s">
        <v>360</v>
      </c>
      <c r="F789" s="11" t="s">
        <v>8228</v>
      </c>
      <c r="G789" s="327" t="s">
        <v>8369</v>
      </c>
      <c r="H789" s="322"/>
      <c r="I789" s="328">
        <v>5900.0</v>
      </c>
      <c r="J789" s="324"/>
      <c r="K789" s="322"/>
      <c r="L789" s="323"/>
      <c r="M789" s="324">
        <v>5900.0</v>
      </c>
      <c r="N789" s="284">
        <v>0.185</v>
      </c>
      <c r="O789" s="322">
        <v>7000.0</v>
      </c>
      <c r="P789" s="313">
        <f t="shared" ref="P789:Q789" si="395">O789</f>
        <v>7000</v>
      </c>
      <c r="Q789" s="319">
        <f t="shared" si="395"/>
        <v>7000</v>
      </c>
      <c r="R789" s="329" t="s">
        <v>8370</v>
      </c>
      <c r="S789" s="330">
        <v>46141.48514503472</v>
      </c>
      <c r="T789" s="2"/>
      <c r="U789" s="289">
        <f t="shared" si="357"/>
        <v>1100</v>
      </c>
      <c r="V789" s="304" t="str">
        <f t="shared" si="360"/>
        <v>нет з/ч</v>
      </c>
      <c r="W789" s="2"/>
      <c r="X789" s="289">
        <v>5900.0</v>
      </c>
      <c r="Y789" s="139"/>
      <c r="Z789" s="2"/>
      <c r="AA789" s="2"/>
      <c r="AB789" s="2"/>
      <c r="AC789" s="2"/>
      <c r="AD789" s="2"/>
      <c r="AE789" s="3" t="s">
        <v>8368</v>
      </c>
      <c r="AF789" s="2"/>
      <c r="AG789" s="1" t="s">
        <v>1582</v>
      </c>
      <c r="AH789" s="1" t="s">
        <v>6934</v>
      </c>
      <c r="AI789" s="2">
        <v>90.0</v>
      </c>
      <c r="AJ789" s="1" t="s">
        <v>1589</v>
      </c>
      <c r="AK789" s="1" t="s">
        <v>5878</v>
      </c>
      <c r="AL789" s="1" t="s">
        <v>5878</v>
      </c>
      <c r="AM789" s="2"/>
      <c r="AN789" s="2"/>
      <c r="AO789" s="2"/>
      <c r="AP789" s="2"/>
      <c r="AQ789" s="2"/>
      <c r="AR789" s="2"/>
      <c r="AS789" s="2"/>
      <c r="AT789" s="2"/>
      <c r="AU789" s="126">
        <v>5900.0</v>
      </c>
      <c r="AV789" s="126">
        <v>7000.0</v>
      </c>
      <c r="AW789" s="2"/>
      <c r="AX789" s="2"/>
      <c r="AY789" s="2"/>
      <c r="AZ789" s="2"/>
      <c r="BA789" s="2"/>
      <c r="BB789" s="2"/>
      <c r="BC789" s="2"/>
      <c r="BD789" s="2"/>
      <c r="BE789" s="2"/>
    </row>
    <row r="790" hidden="1">
      <c r="A790" s="2"/>
      <c r="B790" s="338" t="s">
        <v>8371</v>
      </c>
      <c r="C790" s="93"/>
      <c r="D790" s="31">
        <v>90.0</v>
      </c>
      <c r="E790" s="31" t="s">
        <v>367</v>
      </c>
      <c r="F790" s="11" t="s">
        <v>8228</v>
      </c>
      <c r="G790" s="327" t="s">
        <v>8372</v>
      </c>
      <c r="H790" s="322"/>
      <c r="I790" s="328">
        <v>5500.0</v>
      </c>
      <c r="J790" s="324"/>
      <c r="K790" s="322"/>
      <c r="L790" s="323"/>
      <c r="M790" s="324">
        <v>5500.0</v>
      </c>
      <c r="N790" s="284">
        <v>0.5</v>
      </c>
      <c r="O790" s="322">
        <v>8250.0</v>
      </c>
      <c r="P790" s="313">
        <f t="shared" ref="P790:Q790" si="396">O790</f>
        <v>8250</v>
      </c>
      <c r="Q790" s="319">
        <f t="shared" si="396"/>
        <v>8250</v>
      </c>
      <c r="R790" s="336" t="s">
        <v>8373</v>
      </c>
      <c r="S790" s="330">
        <v>46141.48634420139</v>
      </c>
      <c r="T790" s="2"/>
      <c r="U790" s="289">
        <f t="shared" si="357"/>
        <v>2750</v>
      </c>
      <c r="V790" s="304" t="str">
        <f t="shared" si="360"/>
        <v>нет з/ч</v>
      </c>
      <c r="W790" s="2"/>
      <c r="X790" s="289">
        <v>5500.0</v>
      </c>
      <c r="Y790" s="139"/>
      <c r="Z790" s="2"/>
      <c r="AA790" s="2"/>
      <c r="AB790" s="2"/>
      <c r="AC790" s="2"/>
      <c r="AD790" s="2"/>
      <c r="AE790" s="3" t="s">
        <v>8371</v>
      </c>
      <c r="AF790" s="2"/>
      <c r="AG790" s="1" t="s">
        <v>1582</v>
      </c>
      <c r="AH790" s="1" t="s">
        <v>6946</v>
      </c>
      <c r="AI790" s="2">
        <v>90.0</v>
      </c>
      <c r="AJ790" s="1" t="s">
        <v>1589</v>
      </c>
      <c r="AK790" s="1" t="s">
        <v>5878</v>
      </c>
      <c r="AL790" s="1" t="s">
        <v>5878</v>
      </c>
      <c r="AM790" s="2"/>
      <c r="AN790" s="2"/>
      <c r="AO790" s="2"/>
      <c r="AP790" s="2"/>
      <c r="AQ790" s="2"/>
      <c r="AR790" s="2"/>
      <c r="AS790" s="2"/>
      <c r="AT790" s="2"/>
      <c r="AU790" s="126">
        <v>5500.0</v>
      </c>
      <c r="AV790" s="126">
        <v>8250.0</v>
      </c>
      <c r="AW790" s="2"/>
      <c r="AX790" s="2"/>
      <c r="AY790" s="2"/>
      <c r="AZ790" s="2"/>
      <c r="BA790" s="2"/>
      <c r="BB790" s="2"/>
      <c r="BC790" s="2"/>
      <c r="BD790" s="2"/>
      <c r="BE790" s="2"/>
    </row>
    <row r="791" hidden="1">
      <c r="A791" s="2"/>
      <c r="B791" s="338" t="s">
        <v>8374</v>
      </c>
      <c r="C791" s="93"/>
      <c r="D791" s="31">
        <v>90.0</v>
      </c>
      <c r="E791" s="31" t="s">
        <v>374</v>
      </c>
      <c r="F791" s="11" t="s">
        <v>8228</v>
      </c>
      <c r="G791" s="327" t="s">
        <v>8375</v>
      </c>
      <c r="H791" s="322"/>
      <c r="I791" s="328">
        <v>5500.0</v>
      </c>
      <c r="J791" s="324"/>
      <c r="K791" s="322"/>
      <c r="L791" s="323"/>
      <c r="M791" s="324">
        <v>5500.0</v>
      </c>
      <c r="N791" s="284">
        <v>0.6</v>
      </c>
      <c r="O791" s="322">
        <v>8800.0</v>
      </c>
      <c r="P791" s="313">
        <f t="shared" ref="P791:Q791" si="397">O791</f>
        <v>8800</v>
      </c>
      <c r="Q791" s="319">
        <f t="shared" si="397"/>
        <v>8800</v>
      </c>
      <c r="R791" s="329" t="s">
        <v>8376</v>
      </c>
      <c r="S791" s="330">
        <v>46141.48639767361</v>
      </c>
      <c r="T791" s="2"/>
      <c r="U791" s="289">
        <f t="shared" si="357"/>
        <v>3300</v>
      </c>
      <c r="V791" s="304" t="str">
        <f t="shared" si="360"/>
        <v>нет з/ч</v>
      </c>
      <c r="W791" s="2"/>
      <c r="X791" s="289">
        <v>5500.0</v>
      </c>
      <c r="Y791" s="139"/>
      <c r="Z791" s="2"/>
      <c r="AA791" s="2"/>
      <c r="AB791" s="2"/>
      <c r="AC791" s="2"/>
      <c r="AD791" s="2"/>
      <c r="AE791" s="3" t="s">
        <v>8374</v>
      </c>
      <c r="AF791" s="2"/>
      <c r="AG791" s="1" t="s">
        <v>1582</v>
      </c>
      <c r="AH791" s="1" t="s">
        <v>6958</v>
      </c>
      <c r="AI791" s="2">
        <v>90.0</v>
      </c>
      <c r="AJ791" s="1" t="s">
        <v>1589</v>
      </c>
      <c r="AK791" s="1" t="s">
        <v>5878</v>
      </c>
      <c r="AL791" s="1" t="s">
        <v>5878</v>
      </c>
      <c r="AM791" s="2"/>
      <c r="AN791" s="2"/>
      <c r="AO791" s="2"/>
      <c r="AP791" s="2"/>
      <c r="AQ791" s="2"/>
      <c r="AR791" s="2"/>
      <c r="AS791" s="2"/>
      <c r="AT791" s="2"/>
      <c r="AU791" s="126">
        <v>5500.0</v>
      </c>
      <c r="AV791" s="126">
        <v>8800.0</v>
      </c>
      <c r="AW791" s="2"/>
      <c r="AX791" s="2"/>
      <c r="AY791" s="2"/>
      <c r="AZ791" s="2"/>
      <c r="BA791" s="2"/>
      <c r="BB791" s="2"/>
      <c r="BC791" s="2"/>
      <c r="BD791" s="2"/>
      <c r="BE791" s="2"/>
    </row>
    <row r="792" hidden="1">
      <c r="A792" s="2"/>
      <c r="B792" s="337" t="s">
        <v>8377</v>
      </c>
      <c r="C792" s="320" t="s">
        <v>8378</v>
      </c>
      <c r="D792" s="31">
        <v>90.0</v>
      </c>
      <c r="E792" s="31" t="s">
        <v>67</v>
      </c>
      <c r="F792" s="11" t="s">
        <v>8379</v>
      </c>
      <c r="G792" s="321"/>
      <c r="H792" s="322"/>
      <c r="I792" s="323"/>
      <c r="J792" s="324"/>
      <c r="K792" s="322"/>
      <c r="L792" s="323"/>
      <c r="M792" s="324" t="s">
        <v>22</v>
      </c>
      <c r="N792" s="284">
        <v>0.185</v>
      </c>
      <c r="O792" s="322" t="s">
        <v>22</v>
      </c>
      <c r="P792" s="333">
        <v>50.0</v>
      </c>
      <c r="Q792" s="319">
        <f>P792</f>
        <v>50</v>
      </c>
      <c r="R792" s="331"/>
      <c r="S792" s="326"/>
      <c r="T792" s="2"/>
      <c r="U792" s="59" t="str">
        <f t="shared" si="357"/>
        <v>нет з/ч</v>
      </c>
      <c r="V792" s="304" t="str">
        <f t="shared" si="360"/>
        <v>нет з/ч</v>
      </c>
      <c r="W792" s="2"/>
      <c r="X792" s="289"/>
      <c r="Y792" s="139"/>
      <c r="Z792" s="2"/>
      <c r="AA792" s="2" t="s">
        <v>8378</v>
      </c>
      <c r="AB792" s="2" t="s">
        <v>8378</v>
      </c>
      <c r="AC792" s="2"/>
      <c r="AD792" s="2" t="s">
        <v>8378</v>
      </c>
      <c r="AE792" s="3" t="s">
        <v>8377</v>
      </c>
      <c r="AF792" s="2"/>
      <c r="AG792" s="1" t="s">
        <v>1582</v>
      </c>
      <c r="AH792" s="1" t="s">
        <v>5876</v>
      </c>
      <c r="AI792" s="2">
        <v>90.0</v>
      </c>
      <c r="AJ792" s="1" t="s">
        <v>1589</v>
      </c>
      <c r="AK792" s="1" t="s">
        <v>5878</v>
      </c>
      <c r="AL792" s="1" t="s">
        <v>5878</v>
      </c>
      <c r="AM792" s="2"/>
      <c r="AN792" s="2"/>
      <c r="AO792" s="2"/>
      <c r="AP792" s="2"/>
      <c r="AQ792" s="2"/>
      <c r="AR792" s="2"/>
      <c r="AS792" s="2"/>
      <c r="AT792" s="2"/>
      <c r="AU792" s="126" t="s">
        <v>22</v>
      </c>
      <c r="AV792" s="126">
        <v>50.0</v>
      </c>
      <c r="AW792" s="2"/>
      <c r="AX792" s="2"/>
      <c r="AY792" s="2"/>
      <c r="AZ792" s="2"/>
      <c r="BA792" s="2"/>
      <c r="BB792" s="2"/>
      <c r="BC792" s="2"/>
      <c r="BD792" s="2"/>
      <c r="BE792" s="2"/>
    </row>
    <row r="793" hidden="1">
      <c r="A793" s="2"/>
      <c r="B793" s="337" t="s">
        <v>8380</v>
      </c>
      <c r="C793" s="320" t="s">
        <v>8381</v>
      </c>
      <c r="D793" s="31">
        <v>90.0</v>
      </c>
      <c r="E793" s="31" t="s">
        <v>1481</v>
      </c>
      <c r="F793" s="11" t="s">
        <v>8379</v>
      </c>
      <c r="G793" s="321"/>
      <c r="H793" s="322"/>
      <c r="I793" s="323"/>
      <c r="J793" s="324"/>
      <c r="K793" s="322"/>
      <c r="L793" s="323"/>
      <c r="M793" s="324" t="s">
        <v>22</v>
      </c>
      <c r="N793" s="284">
        <v>0.185</v>
      </c>
      <c r="O793" s="322" t="s">
        <v>22</v>
      </c>
      <c r="P793" s="104"/>
      <c r="Q793" s="319">
        <f>P792</f>
        <v>50</v>
      </c>
      <c r="R793" s="331"/>
      <c r="S793" s="326"/>
      <c r="T793" s="2"/>
      <c r="U793" s="59" t="str">
        <f t="shared" si="357"/>
        <v>нет з/ч</v>
      </c>
      <c r="V793" s="304" t="str">
        <f t="shared" si="360"/>
        <v>нет з/ч</v>
      </c>
      <c r="W793" s="2"/>
      <c r="X793" s="289"/>
      <c r="Y793" s="139"/>
      <c r="Z793" s="2"/>
      <c r="AA793" s="2" t="s">
        <v>8381</v>
      </c>
      <c r="AB793" s="2" t="s">
        <v>8381</v>
      </c>
      <c r="AC793" s="2"/>
      <c r="AD793" s="2" t="s">
        <v>8381</v>
      </c>
      <c r="AE793" s="3" t="s">
        <v>8380</v>
      </c>
      <c r="AF793" s="2"/>
      <c r="AG793" s="1" t="s">
        <v>1582</v>
      </c>
      <c r="AH793" s="1" t="s">
        <v>5883</v>
      </c>
      <c r="AI793" s="2">
        <v>90.0</v>
      </c>
      <c r="AJ793" s="1" t="s">
        <v>1589</v>
      </c>
      <c r="AK793" s="1" t="s">
        <v>5878</v>
      </c>
      <c r="AL793" s="1" t="s">
        <v>5878</v>
      </c>
      <c r="AM793" s="2"/>
      <c r="AN793" s="2"/>
      <c r="AO793" s="2"/>
      <c r="AP793" s="2"/>
      <c r="AQ793" s="2"/>
      <c r="AR793" s="2"/>
      <c r="AS793" s="2"/>
      <c r="AT793" s="2"/>
      <c r="AU793" s="126" t="s">
        <v>22</v>
      </c>
      <c r="AV793" s="126">
        <v>50.0</v>
      </c>
      <c r="AW793" s="2"/>
      <c r="AX793" s="2"/>
      <c r="AY793" s="2"/>
      <c r="AZ793" s="2"/>
      <c r="BA793" s="2"/>
      <c r="BB793" s="2"/>
      <c r="BC793" s="2"/>
      <c r="BD793" s="2"/>
      <c r="BE793" s="2"/>
    </row>
    <row r="794" hidden="1">
      <c r="A794" s="2"/>
      <c r="B794" s="337" t="s">
        <v>8382</v>
      </c>
      <c r="C794" s="320" t="s">
        <v>8383</v>
      </c>
      <c r="D794" s="31">
        <v>90.0</v>
      </c>
      <c r="E794" s="31" t="s">
        <v>71</v>
      </c>
      <c r="F794" s="11" t="s">
        <v>8379</v>
      </c>
      <c r="G794" s="321"/>
      <c r="H794" s="322"/>
      <c r="I794" s="323"/>
      <c r="J794" s="324"/>
      <c r="K794" s="322"/>
      <c r="L794" s="323"/>
      <c r="M794" s="324" t="s">
        <v>22</v>
      </c>
      <c r="N794" s="284">
        <v>0.185</v>
      </c>
      <c r="O794" s="322" t="s">
        <v>22</v>
      </c>
      <c r="P794" s="104"/>
      <c r="Q794" s="319">
        <f>P792</f>
        <v>50</v>
      </c>
      <c r="R794" s="331"/>
      <c r="S794" s="326"/>
      <c r="T794" s="2"/>
      <c r="U794" s="59" t="str">
        <f t="shared" si="357"/>
        <v>нет з/ч</v>
      </c>
      <c r="V794" s="304" t="str">
        <f t="shared" si="360"/>
        <v>нет з/ч</v>
      </c>
      <c r="W794" s="2"/>
      <c r="X794" s="289"/>
      <c r="Y794" s="139"/>
      <c r="Z794" s="2"/>
      <c r="AA794" s="2" t="s">
        <v>8383</v>
      </c>
      <c r="AB794" s="2" t="s">
        <v>8383</v>
      </c>
      <c r="AC794" s="2"/>
      <c r="AD794" s="2" t="s">
        <v>8383</v>
      </c>
      <c r="AE794" s="3" t="s">
        <v>8382</v>
      </c>
      <c r="AF794" s="2"/>
      <c r="AG794" s="1" t="s">
        <v>1582</v>
      </c>
      <c r="AH794" s="1" t="s">
        <v>6429</v>
      </c>
      <c r="AI794" s="2">
        <v>90.0</v>
      </c>
      <c r="AJ794" s="1" t="s">
        <v>1589</v>
      </c>
      <c r="AK794" s="1" t="s">
        <v>5878</v>
      </c>
      <c r="AL794" s="1" t="s">
        <v>5878</v>
      </c>
      <c r="AM794" s="2"/>
      <c r="AN794" s="2"/>
      <c r="AO794" s="2"/>
      <c r="AP794" s="2"/>
      <c r="AQ794" s="2"/>
      <c r="AR794" s="2"/>
      <c r="AS794" s="2"/>
      <c r="AT794" s="2"/>
      <c r="AU794" s="126" t="s">
        <v>22</v>
      </c>
      <c r="AV794" s="126">
        <v>50.0</v>
      </c>
      <c r="AW794" s="2"/>
      <c r="AX794" s="2"/>
      <c r="AY794" s="2"/>
      <c r="AZ794" s="2"/>
      <c r="BA794" s="2"/>
      <c r="BB794" s="2"/>
      <c r="BC794" s="2"/>
      <c r="BD794" s="2"/>
      <c r="BE794" s="2"/>
    </row>
    <row r="795" hidden="1">
      <c r="A795" s="2"/>
      <c r="B795" s="337" t="s">
        <v>8384</v>
      </c>
      <c r="C795" s="320" t="s">
        <v>8385</v>
      </c>
      <c r="D795" s="31">
        <v>90.0</v>
      </c>
      <c r="E795" s="31" t="s">
        <v>77</v>
      </c>
      <c r="F795" s="11" t="s">
        <v>8379</v>
      </c>
      <c r="G795" s="321"/>
      <c r="H795" s="322"/>
      <c r="I795" s="323"/>
      <c r="J795" s="324"/>
      <c r="K795" s="322"/>
      <c r="L795" s="323"/>
      <c r="M795" s="324" t="s">
        <v>22</v>
      </c>
      <c r="N795" s="284">
        <v>0.185</v>
      </c>
      <c r="O795" s="322" t="s">
        <v>22</v>
      </c>
      <c r="P795" s="104"/>
      <c r="Q795" s="319">
        <f>P792</f>
        <v>50</v>
      </c>
      <c r="R795" s="331"/>
      <c r="S795" s="326"/>
      <c r="T795" s="2"/>
      <c r="U795" s="59" t="str">
        <f t="shared" si="357"/>
        <v>нет з/ч</v>
      </c>
      <c r="V795" s="304" t="str">
        <f t="shared" si="360"/>
        <v>нет з/ч</v>
      </c>
      <c r="W795" s="2"/>
      <c r="X795" s="289"/>
      <c r="Y795" s="139"/>
      <c r="Z795" s="2"/>
      <c r="AA795" s="2" t="s">
        <v>8385</v>
      </c>
      <c r="AB795" s="2" t="s">
        <v>8385</v>
      </c>
      <c r="AC795" s="2"/>
      <c r="AD795" s="2" t="s">
        <v>8385</v>
      </c>
      <c r="AE795" s="3" t="s">
        <v>8384</v>
      </c>
      <c r="AF795" s="2"/>
      <c r="AG795" s="1" t="s">
        <v>1582</v>
      </c>
      <c r="AH795" s="1" t="s">
        <v>5888</v>
      </c>
      <c r="AI795" s="2">
        <v>90.0</v>
      </c>
      <c r="AJ795" s="1" t="s">
        <v>1589</v>
      </c>
      <c r="AK795" s="1" t="s">
        <v>5878</v>
      </c>
      <c r="AL795" s="1" t="s">
        <v>5878</v>
      </c>
      <c r="AM795" s="2"/>
      <c r="AN795" s="2"/>
      <c r="AO795" s="2"/>
      <c r="AP795" s="2"/>
      <c r="AQ795" s="2"/>
      <c r="AR795" s="2"/>
      <c r="AS795" s="2"/>
      <c r="AT795" s="2"/>
      <c r="AU795" s="126" t="s">
        <v>22</v>
      </c>
      <c r="AV795" s="126">
        <v>50.0</v>
      </c>
      <c r="AW795" s="2"/>
      <c r="AX795" s="2"/>
      <c r="AY795" s="2"/>
      <c r="AZ795" s="2"/>
      <c r="BA795" s="2"/>
      <c r="BB795" s="2"/>
      <c r="BC795" s="2"/>
      <c r="BD795" s="2"/>
      <c r="BE795" s="2"/>
    </row>
    <row r="796" hidden="1">
      <c r="A796" s="2"/>
      <c r="B796" s="338" t="s">
        <v>8386</v>
      </c>
      <c r="C796" s="320" t="s">
        <v>8387</v>
      </c>
      <c r="D796" s="31">
        <v>90.0</v>
      </c>
      <c r="E796" s="31" t="s">
        <v>83</v>
      </c>
      <c r="F796" s="11" t="s">
        <v>8379</v>
      </c>
      <c r="G796" s="327" t="s">
        <v>8388</v>
      </c>
      <c r="H796" s="322"/>
      <c r="I796" s="328">
        <v>230.0</v>
      </c>
      <c r="J796" s="324"/>
      <c r="K796" s="322"/>
      <c r="L796" s="323"/>
      <c r="M796" s="324">
        <v>230.0</v>
      </c>
      <c r="N796" s="284">
        <v>0.2</v>
      </c>
      <c r="O796" s="322">
        <v>300.0</v>
      </c>
      <c r="P796" s="313">
        <f t="shared" ref="P796:Q796" si="398">O796</f>
        <v>300</v>
      </c>
      <c r="Q796" s="319">
        <f t="shared" si="398"/>
        <v>300</v>
      </c>
      <c r="R796" s="329" t="s">
        <v>8389</v>
      </c>
      <c r="S796" s="330">
        <v>46141.48967108796</v>
      </c>
      <c r="T796" s="2"/>
      <c r="U796" s="289">
        <f t="shared" si="357"/>
        <v>70</v>
      </c>
      <c r="V796" s="304" t="str">
        <f t="shared" si="360"/>
        <v>нет з/ч</v>
      </c>
      <c r="W796" s="2"/>
      <c r="X796" s="289">
        <v>230.0</v>
      </c>
      <c r="Y796" s="139"/>
      <c r="Z796" s="2"/>
      <c r="AA796" s="2" t="s">
        <v>8387</v>
      </c>
      <c r="AB796" s="2" t="s">
        <v>8387</v>
      </c>
      <c r="AC796" s="2"/>
      <c r="AD796" s="2" t="s">
        <v>8387</v>
      </c>
      <c r="AE796" s="3" t="s">
        <v>8386</v>
      </c>
      <c r="AF796" s="2"/>
      <c r="AG796" s="1" t="s">
        <v>1582</v>
      </c>
      <c r="AH796" s="1" t="s">
        <v>5893</v>
      </c>
      <c r="AI796" s="2">
        <v>90.0</v>
      </c>
      <c r="AJ796" s="1" t="s">
        <v>1589</v>
      </c>
      <c r="AK796" s="1" t="s">
        <v>5878</v>
      </c>
      <c r="AL796" s="1" t="s">
        <v>5878</v>
      </c>
      <c r="AM796" s="2"/>
      <c r="AN796" s="2"/>
      <c r="AO796" s="2"/>
      <c r="AP796" s="2"/>
      <c r="AQ796" s="2"/>
      <c r="AR796" s="2"/>
      <c r="AS796" s="2"/>
      <c r="AT796" s="2"/>
      <c r="AU796" s="126">
        <v>230.0</v>
      </c>
      <c r="AV796" s="126">
        <v>300.0</v>
      </c>
      <c r="AW796" s="2"/>
      <c r="AX796" s="2"/>
      <c r="AY796" s="2"/>
      <c r="AZ796" s="2"/>
      <c r="BA796" s="2"/>
      <c r="BB796" s="2"/>
      <c r="BC796" s="2"/>
      <c r="BD796" s="2"/>
      <c r="BE796" s="2"/>
    </row>
    <row r="797" hidden="1">
      <c r="A797" s="2"/>
      <c r="B797" s="338" t="s">
        <v>8390</v>
      </c>
      <c r="C797" s="320" t="s">
        <v>8391</v>
      </c>
      <c r="D797" s="31">
        <v>90.0</v>
      </c>
      <c r="E797" s="31" t="s">
        <v>90</v>
      </c>
      <c r="F797" s="11" t="s">
        <v>8379</v>
      </c>
      <c r="G797" s="327" t="s">
        <v>8392</v>
      </c>
      <c r="H797" s="322"/>
      <c r="I797" s="328">
        <v>250.0</v>
      </c>
      <c r="J797" s="324"/>
      <c r="K797" s="322"/>
      <c r="L797" s="323"/>
      <c r="M797" s="324">
        <v>250.0</v>
      </c>
      <c r="N797" s="284">
        <v>1.8</v>
      </c>
      <c r="O797" s="322">
        <v>700.0</v>
      </c>
      <c r="P797" s="313">
        <f t="shared" ref="P797:Q797" si="399">O797</f>
        <v>700</v>
      </c>
      <c r="Q797" s="319">
        <f t="shared" si="399"/>
        <v>700</v>
      </c>
      <c r="R797" s="329" t="s">
        <v>8393</v>
      </c>
      <c r="S797" s="330">
        <v>46141.48972546296</v>
      </c>
      <c r="T797" s="2"/>
      <c r="U797" s="289">
        <f t="shared" si="357"/>
        <v>450</v>
      </c>
      <c r="V797" s="304" t="str">
        <f t="shared" si="360"/>
        <v>нет з/ч</v>
      </c>
      <c r="W797" s="2"/>
      <c r="X797" s="289">
        <v>250.0</v>
      </c>
      <c r="Y797" s="139"/>
      <c r="Z797" s="2"/>
      <c r="AA797" s="2" t="s">
        <v>8391</v>
      </c>
      <c r="AB797" s="2" t="s">
        <v>8391</v>
      </c>
      <c r="AC797" s="2"/>
      <c r="AD797" s="2" t="s">
        <v>8391</v>
      </c>
      <c r="AE797" s="3" t="s">
        <v>8390</v>
      </c>
      <c r="AF797" s="2"/>
      <c r="AG797" s="1" t="s">
        <v>1582</v>
      </c>
      <c r="AH797" s="1" t="s">
        <v>5898</v>
      </c>
      <c r="AI797" s="2">
        <v>90.0</v>
      </c>
      <c r="AJ797" s="1" t="s">
        <v>1589</v>
      </c>
      <c r="AK797" s="1" t="s">
        <v>5878</v>
      </c>
      <c r="AL797" s="1" t="s">
        <v>5878</v>
      </c>
      <c r="AM797" s="2"/>
      <c r="AN797" s="2"/>
      <c r="AO797" s="2"/>
      <c r="AP797" s="2"/>
      <c r="AQ797" s="2"/>
      <c r="AR797" s="2"/>
      <c r="AS797" s="2"/>
      <c r="AT797" s="2"/>
      <c r="AU797" s="126">
        <v>250.0</v>
      </c>
      <c r="AV797" s="126">
        <v>700.0</v>
      </c>
      <c r="AW797" s="2"/>
      <c r="AX797" s="2"/>
      <c r="AY797" s="2"/>
      <c r="AZ797" s="2"/>
      <c r="BA797" s="2"/>
      <c r="BB797" s="2"/>
      <c r="BC797" s="2"/>
      <c r="BD797" s="2"/>
      <c r="BE797" s="2"/>
    </row>
    <row r="798" hidden="1">
      <c r="A798" s="2"/>
      <c r="B798" s="338" t="s">
        <v>8394</v>
      </c>
      <c r="C798" s="320" t="s">
        <v>8395</v>
      </c>
      <c r="D798" s="31">
        <v>90.0</v>
      </c>
      <c r="E798" s="31" t="s">
        <v>97</v>
      </c>
      <c r="F798" s="11" t="s">
        <v>8379</v>
      </c>
      <c r="G798" s="327" t="s">
        <v>8396</v>
      </c>
      <c r="H798" s="322"/>
      <c r="I798" s="328">
        <v>230.0</v>
      </c>
      <c r="J798" s="324"/>
      <c r="K798" s="322"/>
      <c r="L798" s="323"/>
      <c r="M798" s="324">
        <v>230.0</v>
      </c>
      <c r="N798" s="284">
        <v>3.0</v>
      </c>
      <c r="O798" s="322">
        <v>900.0</v>
      </c>
      <c r="P798" s="313">
        <f t="shared" ref="P798:Q798" si="400">O798</f>
        <v>900</v>
      </c>
      <c r="Q798" s="319">
        <f t="shared" si="400"/>
        <v>900</v>
      </c>
      <c r="R798" s="329" t="s">
        <v>8397</v>
      </c>
      <c r="S798" s="330">
        <v>46141.48978270833</v>
      </c>
      <c r="T798" s="2"/>
      <c r="U798" s="289">
        <f t="shared" si="357"/>
        <v>670</v>
      </c>
      <c r="V798" s="304" t="str">
        <f t="shared" si="360"/>
        <v>нет з/ч</v>
      </c>
      <c r="W798" s="2"/>
      <c r="X798" s="289">
        <v>230.0</v>
      </c>
      <c r="Y798" s="139"/>
      <c r="Z798" s="2"/>
      <c r="AA798" s="2" t="s">
        <v>8395</v>
      </c>
      <c r="AB798" s="2" t="s">
        <v>8395</v>
      </c>
      <c r="AC798" s="2"/>
      <c r="AD798" s="2" t="s">
        <v>8395</v>
      </c>
      <c r="AE798" s="3" t="s">
        <v>8394</v>
      </c>
      <c r="AF798" s="2"/>
      <c r="AG798" s="1" t="s">
        <v>1582</v>
      </c>
      <c r="AH798" s="1" t="s">
        <v>5903</v>
      </c>
      <c r="AI798" s="2">
        <v>90.0</v>
      </c>
      <c r="AJ798" s="1" t="s">
        <v>1589</v>
      </c>
      <c r="AK798" s="1" t="s">
        <v>5878</v>
      </c>
      <c r="AL798" s="1" t="s">
        <v>5878</v>
      </c>
      <c r="AM798" s="2"/>
      <c r="AN798" s="2"/>
      <c r="AO798" s="2"/>
      <c r="AP798" s="2"/>
      <c r="AQ798" s="2"/>
      <c r="AR798" s="2"/>
      <c r="AS798" s="2"/>
      <c r="AT798" s="2"/>
      <c r="AU798" s="126">
        <v>230.0</v>
      </c>
      <c r="AV798" s="126">
        <v>900.0</v>
      </c>
      <c r="AW798" s="2"/>
      <c r="AX798" s="2"/>
      <c r="AY798" s="2"/>
      <c r="AZ798" s="2"/>
      <c r="BA798" s="2"/>
      <c r="BB798" s="2"/>
      <c r="BC798" s="2"/>
      <c r="BD798" s="2"/>
      <c r="BE798" s="2"/>
    </row>
    <row r="799" hidden="1">
      <c r="A799" s="2"/>
      <c r="B799" s="338" t="s">
        <v>8398</v>
      </c>
      <c r="C799" s="320" t="s">
        <v>8399</v>
      </c>
      <c r="D799" s="31">
        <v>90.0</v>
      </c>
      <c r="E799" s="31" t="s">
        <v>104</v>
      </c>
      <c r="F799" s="11" t="s">
        <v>8379</v>
      </c>
      <c r="G799" s="327" t="s">
        <v>8400</v>
      </c>
      <c r="H799" s="322"/>
      <c r="I799" s="328">
        <v>350.0</v>
      </c>
      <c r="J799" s="324"/>
      <c r="K799" s="322"/>
      <c r="L799" s="323"/>
      <c r="M799" s="324">
        <v>350.0</v>
      </c>
      <c r="N799" s="284">
        <v>2.7</v>
      </c>
      <c r="O799" s="322">
        <v>1300.0</v>
      </c>
      <c r="P799" s="313">
        <f t="shared" ref="P799:Q799" si="401">O799</f>
        <v>1300</v>
      </c>
      <c r="Q799" s="319">
        <f t="shared" si="401"/>
        <v>1300</v>
      </c>
      <c r="R799" s="329" t="s">
        <v>8401</v>
      </c>
      <c r="S799" s="330">
        <v>46141.48983658565</v>
      </c>
      <c r="T799" s="2"/>
      <c r="U799" s="289">
        <f t="shared" si="357"/>
        <v>950</v>
      </c>
      <c r="V799" s="304" t="str">
        <f t="shared" si="360"/>
        <v>нет з/ч</v>
      </c>
      <c r="W799" s="2"/>
      <c r="X799" s="289">
        <v>350.0</v>
      </c>
      <c r="Y799" s="139"/>
      <c r="Z799" s="2"/>
      <c r="AA799" s="2" t="s">
        <v>8399</v>
      </c>
      <c r="AB799" s="2" t="s">
        <v>8399</v>
      </c>
      <c r="AC799" s="2"/>
      <c r="AD799" s="2" t="s">
        <v>8399</v>
      </c>
      <c r="AE799" s="3" t="s">
        <v>8398</v>
      </c>
      <c r="AF799" s="2"/>
      <c r="AG799" s="1" t="s">
        <v>1582</v>
      </c>
      <c r="AH799" s="1" t="s">
        <v>5908</v>
      </c>
      <c r="AI799" s="2">
        <v>90.0</v>
      </c>
      <c r="AJ799" s="1" t="s">
        <v>1589</v>
      </c>
      <c r="AK799" s="1" t="s">
        <v>5878</v>
      </c>
      <c r="AL799" s="1" t="s">
        <v>5878</v>
      </c>
      <c r="AM799" s="2"/>
      <c r="AN799" s="2"/>
      <c r="AO799" s="2"/>
      <c r="AP799" s="2"/>
      <c r="AQ799" s="2"/>
      <c r="AR799" s="2"/>
      <c r="AS799" s="2"/>
      <c r="AT799" s="2"/>
      <c r="AU799" s="126">
        <v>350.0</v>
      </c>
      <c r="AV799" s="126">
        <v>1300.0</v>
      </c>
      <c r="AW799" s="2"/>
      <c r="AX799" s="2"/>
      <c r="AY799" s="2"/>
      <c r="AZ799" s="2"/>
      <c r="BA799" s="2"/>
      <c r="BB799" s="2"/>
      <c r="BC799" s="2"/>
      <c r="BD799" s="2"/>
      <c r="BE799" s="2"/>
    </row>
    <row r="800" hidden="1">
      <c r="A800" s="2"/>
      <c r="B800" s="338" t="s">
        <v>8402</v>
      </c>
      <c r="C800" s="320" t="s">
        <v>8403</v>
      </c>
      <c r="D800" s="31">
        <v>90.0</v>
      </c>
      <c r="E800" s="31" t="s">
        <v>111</v>
      </c>
      <c r="F800" s="11" t="s">
        <v>8379</v>
      </c>
      <c r="G800" s="327" t="s">
        <v>8404</v>
      </c>
      <c r="H800" s="322"/>
      <c r="I800" s="328">
        <v>370.0</v>
      </c>
      <c r="J800" s="324"/>
      <c r="K800" s="322"/>
      <c r="L800" s="323"/>
      <c r="M800" s="324">
        <v>370.0</v>
      </c>
      <c r="N800" s="284">
        <v>1.75</v>
      </c>
      <c r="O800" s="322">
        <v>1000.0</v>
      </c>
      <c r="P800" s="313">
        <f t="shared" ref="P800:Q800" si="402">O800</f>
        <v>1000</v>
      </c>
      <c r="Q800" s="319">
        <f t="shared" si="402"/>
        <v>1000</v>
      </c>
      <c r="R800" s="329" t="s">
        <v>8405</v>
      </c>
      <c r="S800" s="330">
        <v>46141.48988962963</v>
      </c>
      <c r="T800" s="2"/>
      <c r="U800" s="289">
        <f t="shared" si="357"/>
        <v>630</v>
      </c>
      <c r="V800" s="304" t="str">
        <f t="shared" si="360"/>
        <v>нет з/ч</v>
      </c>
      <c r="W800" s="2"/>
      <c r="X800" s="289">
        <v>370.0</v>
      </c>
      <c r="Y800" s="139"/>
      <c r="Z800" s="2"/>
      <c r="AA800" s="2" t="s">
        <v>8403</v>
      </c>
      <c r="AB800" s="2" t="s">
        <v>8403</v>
      </c>
      <c r="AC800" s="2"/>
      <c r="AD800" s="2" t="s">
        <v>8403</v>
      </c>
      <c r="AE800" s="3" t="s">
        <v>8402</v>
      </c>
      <c r="AF800" s="2"/>
      <c r="AG800" s="1" t="s">
        <v>1582</v>
      </c>
      <c r="AH800" s="1" t="s">
        <v>5913</v>
      </c>
      <c r="AI800" s="2">
        <v>90.0</v>
      </c>
      <c r="AJ800" s="1" t="s">
        <v>1589</v>
      </c>
      <c r="AK800" s="1" t="s">
        <v>5878</v>
      </c>
      <c r="AL800" s="1" t="s">
        <v>5878</v>
      </c>
      <c r="AM800" s="2"/>
      <c r="AN800" s="2"/>
      <c r="AO800" s="2"/>
      <c r="AP800" s="2"/>
      <c r="AQ800" s="2"/>
      <c r="AR800" s="2"/>
      <c r="AS800" s="2"/>
      <c r="AT800" s="2"/>
      <c r="AU800" s="126">
        <v>370.0</v>
      </c>
      <c r="AV800" s="126">
        <v>1000.0</v>
      </c>
      <c r="AW800" s="2"/>
      <c r="AX800" s="2"/>
      <c r="AY800" s="2"/>
      <c r="AZ800" s="2"/>
      <c r="BA800" s="2"/>
      <c r="BB800" s="2"/>
      <c r="BC800" s="2"/>
      <c r="BD800" s="2"/>
      <c r="BE800" s="2"/>
    </row>
    <row r="801" hidden="1">
      <c r="A801" s="2"/>
      <c r="B801" s="338" t="s">
        <v>8406</v>
      </c>
      <c r="C801" s="320" t="s">
        <v>8407</v>
      </c>
      <c r="D801" s="31">
        <v>90.0</v>
      </c>
      <c r="E801" s="31" t="s">
        <v>118</v>
      </c>
      <c r="F801" s="11" t="s">
        <v>8379</v>
      </c>
      <c r="G801" s="327" t="s">
        <v>8408</v>
      </c>
      <c r="H801" s="322"/>
      <c r="I801" s="328">
        <v>500.0</v>
      </c>
      <c r="J801" s="324"/>
      <c r="K801" s="322"/>
      <c r="L801" s="323"/>
      <c r="M801" s="324">
        <v>500.0</v>
      </c>
      <c r="N801" s="284">
        <v>3.5</v>
      </c>
      <c r="O801" s="322">
        <v>2250.0</v>
      </c>
      <c r="P801" s="313">
        <f t="shared" ref="P801:Q801" si="403">O801</f>
        <v>2250</v>
      </c>
      <c r="Q801" s="319">
        <f t="shared" si="403"/>
        <v>2250</v>
      </c>
      <c r="R801" s="329" t="s">
        <v>8409</v>
      </c>
      <c r="S801" s="330">
        <v>46141.489941886575</v>
      </c>
      <c r="T801" s="2"/>
      <c r="U801" s="289">
        <f t="shared" si="357"/>
        <v>1750</v>
      </c>
      <c r="V801" s="304" t="str">
        <f t="shared" si="360"/>
        <v>нет з/ч</v>
      </c>
      <c r="W801" s="2"/>
      <c r="X801" s="289">
        <v>500.0</v>
      </c>
      <c r="Y801" s="139"/>
      <c r="Z801" s="2"/>
      <c r="AA801" s="2" t="s">
        <v>8407</v>
      </c>
      <c r="AB801" s="2" t="s">
        <v>8407</v>
      </c>
      <c r="AC801" s="2"/>
      <c r="AD801" s="2" t="s">
        <v>8407</v>
      </c>
      <c r="AE801" s="3" t="s">
        <v>8406</v>
      </c>
      <c r="AF801" s="2"/>
      <c r="AG801" s="1" t="s">
        <v>1582</v>
      </c>
      <c r="AH801" s="1" t="s">
        <v>5918</v>
      </c>
      <c r="AI801" s="2">
        <v>90.0</v>
      </c>
      <c r="AJ801" s="1" t="s">
        <v>1589</v>
      </c>
      <c r="AK801" s="1" t="s">
        <v>5878</v>
      </c>
      <c r="AL801" s="1" t="s">
        <v>5878</v>
      </c>
      <c r="AM801" s="2"/>
      <c r="AN801" s="2"/>
      <c r="AO801" s="2"/>
      <c r="AP801" s="2"/>
      <c r="AQ801" s="2"/>
      <c r="AR801" s="2"/>
      <c r="AS801" s="2"/>
      <c r="AT801" s="2"/>
      <c r="AU801" s="126">
        <v>500.0</v>
      </c>
      <c r="AV801" s="126">
        <v>2250.0</v>
      </c>
      <c r="AW801" s="2"/>
      <c r="AX801" s="2"/>
      <c r="AY801" s="2"/>
      <c r="AZ801" s="2"/>
      <c r="BA801" s="2"/>
      <c r="BB801" s="2"/>
      <c r="BC801" s="2"/>
      <c r="BD801" s="2"/>
      <c r="BE801" s="2"/>
    </row>
    <row r="802" hidden="1">
      <c r="A802" s="2"/>
      <c r="B802" s="338" t="s">
        <v>8410</v>
      </c>
      <c r="C802" s="320" t="s">
        <v>8411</v>
      </c>
      <c r="D802" s="31">
        <v>90.0</v>
      </c>
      <c r="E802" s="31" t="s">
        <v>125</v>
      </c>
      <c r="F802" s="11" t="s">
        <v>8379</v>
      </c>
      <c r="G802" s="327" t="s">
        <v>8412</v>
      </c>
      <c r="H802" s="322"/>
      <c r="I802" s="328">
        <v>450.0</v>
      </c>
      <c r="J802" s="324"/>
      <c r="K802" s="322"/>
      <c r="L802" s="323"/>
      <c r="M802" s="324">
        <v>450.0</v>
      </c>
      <c r="N802" s="284">
        <v>3.45</v>
      </c>
      <c r="O802" s="322">
        <v>2000.0</v>
      </c>
      <c r="P802" s="313">
        <f t="shared" ref="P802:Q802" si="404">O802</f>
        <v>2000</v>
      </c>
      <c r="Q802" s="319">
        <f t="shared" si="404"/>
        <v>2000</v>
      </c>
      <c r="R802" s="329" t="s">
        <v>8413</v>
      </c>
      <c r="S802" s="330">
        <v>46141.48999699074</v>
      </c>
      <c r="T802" s="2"/>
      <c r="U802" s="289">
        <f t="shared" si="357"/>
        <v>1550</v>
      </c>
      <c r="V802" s="304" t="str">
        <f t="shared" si="360"/>
        <v>нет з/ч</v>
      </c>
      <c r="W802" s="2"/>
      <c r="X802" s="289">
        <v>450.0</v>
      </c>
      <c r="Y802" s="139"/>
      <c r="Z802" s="2"/>
      <c r="AA802" s="2" t="s">
        <v>8411</v>
      </c>
      <c r="AB802" s="2" t="s">
        <v>8411</v>
      </c>
      <c r="AC802" s="2"/>
      <c r="AD802" s="2" t="s">
        <v>8411</v>
      </c>
      <c r="AE802" s="3" t="s">
        <v>8410</v>
      </c>
      <c r="AF802" s="2"/>
      <c r="AG802" s="1" t="s">
        <v>1582</v>
      </c>
      <c r="AH802" s="1" t="s">
        <v>5923</v>
      </c>
      <c r="AI802" s="2">
        <v>90.0</v>
      </c>
      <c r="AJ802" s="1" t="s">
        <v>1589</v>
      </c>
      <c r="AK802" s="1" t="s">
        <v>5878</v>
      </c>
      <c r="AL802" s="1" t="s">
        <v>5878</v>
      </c>
      <c r="AM802" s="2"/>
      <c r="AN802" s="2"/>
      <c r="AO802" s="2"/>
      <c r="AP802" s="2"/>
      <c r="AQ802" s="2"/>
      <c r="AR802" s="2"/>
      <c r="AS802" s="2"/>
      <c r="AT802" s="2"/>
      <c r="AU802" s="126">
        <v>450.0</v>
      </c>
      <c r="AV802" s="126">
        <v>2000.0</v>
      </c>
      <c r="AW802" s="2"/>
      <c r="AX802" s="2"/>
      <c r="AY802" s="2"/>
      <c r="AZ802" s="2"/>
      <c r="BA802" s="2"/>
      <c r="BB802" s="2"/>
      <c r="BC802" s="2"/>
      <c r="BD802" s="2"/>
      <c r="BE802" s="2"/>
    </row>
    <row r="803" hidden="1">
      <c r="A803" s="2"/>
      <c r="B803" s="338" t="s">
        <v>8414</v>
      </c>
      <c r="C803" s="320" t="s">
        <v>8415</v>
      </c>
      <c r="D803" s="31">
        <v>90.0</v>
      </c>
      <c r="E803" s="31" t="s">
        <v>132</v>
      </c>
      <c r="F803" s="11" t="s">
        <v>8379</v>
      </c>
      <c r="G803" s="327" t="s">
        <v>8416</v>
      </c>
      <c r="H803" s="322"/>
      <c r="I803" s="328">
        <v>500.0</v>
      </c>
      <c r="J803" s="324"/>
      <c r="K803" s="322"/>
      <c r="L803" s="323"/>
      <c r="M803" s="324">
        <v>500.0</v>
      </c>
      <c r="N803" s="284">
        <v>5.0</v>
      </c>
      <c r="O803" s="322">
        <v>3000.0</v>
      </c>
      <c r="P803" s="313">
        <f t="shared" ref="P803:Q803" si="405">O803</f>
        <v>3000</v>
      </c>
      <c r="Q803" s="319">
        <f t="shared" si="405"/>
        <v>3000</v>
      </c>
      <c r="R803" s="329" t="s">
        <v>8417</v>
      </c>
      <c r="S803" s="330">
        <v>46141.49004921297</v>
      </c>
      <c r="T803" s="2"/>
      <c r="U803" s="289">
        <f t="shared" si="357"/>
        <v>2500</v>
      </c>
      <c r="V803" s="304" t="str">
        <f t="shared" si="360"/>
        <v>нет з/ч</v>
      </c>
      <c r="W803" s="2"/>
      <c r="X803" s="289">
        <v>500.0</v>
      </c>
      <c r="Y803" s="139"/>
      <c r="Z803" s="2"/>
      <c r="AA803" s="2" t="s">
        <v>8415</v>
      </c>
      <c r="AB803" s="2" t="s">
        <v>8415</v>
      </c>
      <c r="AC803" s="2"/>
      <c r="AD803" s="2" t="s">
        <v>8415</v>
      </c>
      <c r="AE803" s="3" t="s">
        <v>8414</v>
      </c>
      <c r="AF803" s="2"/>
      <c r="AG803" s="1" t="s">
        <v>1582</v>
      </c>
      <c r="AH803" s="1" t="s">
        <v>5928</v>
      </c>
      <c r="AI803" s="2">
        <v>90.0</v>
      </c>
      <c r="AJ803" s="1" t="s">
        <v>1589</v>
      </c>
      <c r="AK803" s="1" t="s">
        <v>5878</v>
      </c>
      <c r="AL803" s="1" t="s">
        <v>5878</v>
      </c>
      <c r="AM803" s="2"/>
      <c r="AN803" s="2"/>
      <c r="AO803" s="2"/>
      <c r="AP803" s="2"/>
      <c r="AQ803" s="2"/>
      <c r="AR803" s="2"/>
      <c r="AS803" s="2"/>
      <c r="AT803" s="2"/>
      <c r="AU803" s="126">
        <v>500.0</v>
      </c>
      <c r="AV803" s="126">
        <v>3000.0</v>
      </c>
      <c r="AW803" s="2"/>
      <c r="AX803" s="2"/>
      <c r="AY803" s="2"/>
      <c r="AZ803" s="2"/>
      <c r="BA803" s="2"/>
      <c r="BB803" s="2"/>
      <c r="BC803" s="2"/>
      <c r="BD803" s="2"/>
      <c r="BE803" s="2"/>
    </row>
    <row r="804" hidden="1">
      <c r="A804" s="2"/>
      <c r="B804" s="338" t="s">
        <v>8418</v>
      </c>
      <c r="C804" s="320"/>
      <c r="D804" s="31">
        <v>90.0</v>
      </c>
      <c r="E804" s="31" t="s">
        <v>8269</v>
      </c>
      <c r="F804" s="11" t="s">
        <v>8379</v>
      </c>
      <c r="G804" s="327" t="s">
        <v>8270</v>
      </c>
      <c r="H804" s="322"/>
      <c r="I804" s="328">
        <v>850.0</v>
      </c>
      <c r="J804" s="324"/>
      <c r="K804" s="322"/>
      <c r="L804" s="323"/>
      <c r="M804" s="324">
        <v>850.0</v>
      </c>
      <c r="N804" s="284">
        <v>1.4</v>
      </c>
      <c r="O804" s="322">
        <v>2050.0</v>
      </c>
      <c r="P804" s="313">
        <f t="shared" ref="P804:Q804" si="406">O804</f>
        <v>2050</v>
      </c>
      <c r="Q804" s="319">
        <f t="shared" si="406"/>
        <v>2050</v>
      </c>
      <c r="R804" s="329" t="s">
        <v>8271</v>
      </c>
      <c r="S804" s="330">
        <v>46141.49011814815</v>
      </c>
      <c r="T804" s="2"/>
      <c r="U804" s="289">
        <f t="shared" si="357"/>
        <v>1200</v>
      </c>
      <c r="V804" s="304" t="str">
        <f t="shared" si="360"/>
        <v>нет з/ч</v>
      </c>
      <c r="W804" s="2"/>
      <c r="X804" s="289">
        <v>850.0</v>
      </c>
      <c r="Y804" s="139"/>
      <c r="Z804" s="2"/>
      <c r="AA804" s="2"/>
      <c r="AB804" s="2"/>
      <c r="AC804" s="2"/>
      <c r="AD804" s="2"/>
      <c r="AE804" s="3" t="s">
        <v>8418</v>
      </c>
      <c r="AF804" s="2"/>
      <c r="AG804" s="1" t="s">
        <v>1582</v>
      </c>
      <c r="AH804" s="1" t="s">
        <v>5933</v>
      </c>
      <c r="AI804" s="2">
        <v>90.0</v>
      </c>
      <c r="AJ804" s="1" t="s">
        <v>1589</v>
      </c>
      <c r="AK804" s="1" t="s">
        <v>5878</v>
      </c>
      <c r="AL804" s="1" t="s">
        <v>5878</v>
      </c>
      <c r="AM804" s="2"/>
      <c r="AN804" s="2"/>
      <c r="AO804" s="2"/>
      <c r="AP804" s="2"/>
      <c r="AQ804" s="2"/>
      <c r="AR804" s="2"/>
      <c r="AS804" s="2"/>
      <c r="AT804" s="2"/>
      <c r="AU804" s="126">
        <v>850.0</v>
      </c>
      <c r="AV804" s="126">
        <v>2050.0</v>
      </c>
      <c r="AW804" s="2"/>
      <c r="AX804" s="2"/>
      <c r="AY804" s="2"/>
      <c r="AZ804" s="2"/>
      <c r="BA804" s="2"/>
      <c r="BB804" s="2"/>
      <c r="BC804" s="2"/>
      <c r="BD804" s="2"/>
      <c r="BE804" s="2"/>
    </row>
    <row r="805" hidden="1">
      <c r="A805" s="2"/>
      <c r="B805" s="338" t="s">
        <v>8419</v>
      </c>
      <c r="C805" s="320" t="s">
        <v>8420</v>
      </c>
      <c r="D805" s="31">
        <v>90.0</v>
      </c>
      <c r="E805" s="31" t="s">
        <v>153</v>
      </c>
      <c r="F805" s="11" t="s">
        <v>8379</v>
      </c>
      <c r="G805" s="327" t="s">
        <v>8421</v>
      </c>
      <c r="H805" s="322"/>
      <c r="I805" s="328">
        <v>400.0</v>
      </c>
      <c r="J805" s="324"/>
      <c r="K805" s="322"/>
      <c r="L805" s="323"/>
      <c r="M805" s="324">
        <v>400.0</v>
      </c>
      <c r="N805" s="284">
        <v>3.75</v>
      </c>
      <c r="O805" s="322">
        <v>1900.0</v>
      </c>
      <c r="P805" s="313">
        <f t="shared" ref="P805:Q805" si="407">O805</f>
        <v>1900</v>
      </c>
      <c r="Q805" s="319">
        <f t="shared" si="407"/>
        <v>1900</v>
      </c>
      <c r="R805" s="329" t="s">
        <v>8422</v>
      </c>
      <c r="S805" s="330">
        <v>46141.49016833333</v>
      </c>
      <c r="T805" s="2"/>
      <c r="U805" s="289">
        <f t="shared" si="357"/>
        <v>1500</v>
      </c>
      <c r="V805" s="304" t="str">
        <f t="shared" si="360"/>
        <v>нет з/ч</v>
      </c>
      <c r="W805" s="2"/>
      <c r="X805" s="289">
        <v>400.0</v>
      </c>
      <c r="Y805" s="139"/>
      <c r="Z805" s="2"/>
      <c r="AA805" s="2" t="s">
        <v>8420</v>
      </c>
      <c r="AB805" s="2" t="s">
        <v>8420</v>
      </c>
      <c r="AC805" s="2"/>
      <c r="AD805" s="2" t="s">
        <v>8420</v>
      </c>
      <c r="AE805" s="3" t="s">
        <v>8419</v>
      </c>
      <c r="AF805" s="2"/>
      <c r="AG805" s="1" t="s">
        <v>1582</v>
      </c>
      <c r="AH805" s="1" t="s">
        <v>5943</v>
      </c>
      <c r="AI805" s="2">
        <v>90.0</v>
      </c>
      <c r="AJ805" s="1" t="s">
        <v>1589</v>
      </c>
      <c r="AK805" s="1" t="s">
        <v>5878</v>
      </c>
      <c r="AL805" s="1" t="s">
        <v>5878</v>
      </c>
      <c r="AM805" s="2"/>
      <c r="AN805" s="2"/>
      <c r="AO805" s="2"/>
      <c r="AP805" s="2"/>
      <c r="AQ805" s="2"/>
      <c r="AR805" s="2"/>
      <c r="AS805" s="2"/>
      <c r="AT805" s="2"/>
      <c r="AU805" s="126">
        <v>400.0</v>
      </c>
      <c r="AV805" s="126">
        <v>1900.0</v>
      </c>
      <c r="AW805" s="2"/>
      <c r="AX805" s="2"/>
      <c r="AY805" s="2"/>
      <c r="AZ805" s="2"/>
      <c r="BA805" s="2"/>
      <c r="BB805" s="2"/>
      <c r="BC805" s="2"/>
      <c r="BD805" s="2"/>
      <c r="BE805" s="2"/>
    </row>
    <row r="806" hidden="1">
      <c r="A806" s="2"/>
      <c r="B806" s="338" t="s">
        <v>8423</v>
      </c>
      <c r="C806" s="320" t="s">
        <v>8424</v>
      </c>
      <c r="D806" s="31">
        <v>90.0</v>
      </c>
      <c r="E806" s="31" t="s">
        <v>159</v>
      </c>
      <c r="F806" s="11" t="s">
        <v>8379</v>
      </c>
      <c r="G806" s="327" t="s">
        <v>8425</v>
      </c>
      <c r="H806" s="322"/>
      <c r="I806" s="328">
        <v>450.0</v>
      </c>
      <c r="J806" s="324"/>
      <c r="K806" s="322"/>
      <c r="L806" s="323"/>
      <c r="M806" s="324">
        <v>450.0</v>
      </c>
      <c r="N806" s="284">
        <v>3.2</v>
      </c>
      <c r="O806" s="322">
        <v>1900.0</v>
      </c>
      <c r="P806" s="313">
        <f t="shared" ref="P806:Q806" si="408">O806</f>
        <v>1900</v>
      </c>
      <c r="Q806" s="319">
        <f t="shared" si="408"/>
        <v>1900</v>
      </c>
      <c r="R806" s="329" t="s">
        <v>8426</v>
      </c>
      <c r="S806" s="330">
        <v>46141.4902203588</v>
      </c>
      <c r="T806" s="2"/>
      <c r="U806" s="289">
        <f t="shared" si="357"/>
        <v>1450</v>
      </c>
      <c r="V806" s="304" t="str">
        <f t="shared" si="360"/>
        <v>нет з/ч</v>
      </c>
      <c r="W806" s="2"/>
      <c r="X806" s="289">
        <v>450.0</v>
      </c>
      <c r="Y806" s="139"/>
      <c r="Z806" s="2"/>
      <c r="AA806" s="2" t="s">
        <v>8424</v>
      </c>
      <c r="AB806" s="2" t="s">
        <v>8424</v>
      </c>
      <c r="AC806" s="2"/>
      <c r="AD806" s="2" t="s">
        <v>8424</v>
      </c>
      <c r="AE806" s="3" t="s">
        <v>8423</v>
      </c>
      <c r="AF806" s="2"/>
      <c r="AG806" s="1" t="s">
        <v>1582</v>
      </c>
      <c r="AH806" s="1" t="s">
        <v>5952</v>
      </c>
      <c r="AI806" s="2">
        <v>90.0</v>
      </c>
      <c r="AJ806" s="1" t="s">
        <v>1589</v>
      </c>
      <c r="AK806" s="1" t="s">
        <v>5878</v>
      </c>
      <c r="AL806" s="1" t="s">
        <v>5878</v>
      </c>
      <c r="AM806" s="2"/>
      <c r="AN806" s="2"/>
      <c r="AO806" s="2"/>
      <c r="AP806" s="2"/>
      <c r="AQ806" s="2"/>
      <c r="AR806" s="2"/>
      <c r="AS806" s="2"/>
      <c r="AT806" s="2"/>
      <c r="AU806" s="126">
        <v>450.0</v>
      </c>
      <c r="AV806" s="126">
        <v>1900.0</v>
      </c>
      <c r="AW806" s="2"/>
      <c r="AX806" s="2"/>
      <c r="AY806" s="2"/>
      <c r="AZ806" s="2"/>
      <c r="BA806" s="2"/>
      <c r="BB806" s="2"/>
      <c r="BC806" s="2"/>
      <c r="BD806" s="2"/>
      <c r="BE806" s="2"/>
    </row>
    <row r="807" hidden="1">
      <c r="A807" s="2"/>
      <c r="B807" s="338" t="s">
        <v>8427</v>
      </c>
      <c r="C807" s="320" t="s">
        <v>8428</v>
      </c>
      <c r="D807" s="31">
        <v>90.0</v>
      </c>
      <c r="E807" s="31" t="s">
        <v>167</v>
      </c>
      <c r="F807" s="11" t="s">
        <v>8379</v>
      </c>
      <c r="G807" s="327" t="s">
        <v>8429</v>
      </c>
      <c r="H807" s="322"/>
      <c r="I807" s="328">
        <v>550.0</v>
      </c>
      <c r="J807" s="324"/>
      <c r="K807" s="322"/>
      <c r="L807" s="323"/>
      <c r="M807" s="324">
        <v>550.0</v>
      </c>
      <c r="N807" s="284">
        <v>2.45</v>
      </c>
      <c r="O807" s="322">
        <v>1900.0</v>
      </c>
      <c r="P807" s="313">
        <f t="shared" ref="P807:Q807" si="409">O807</f>
        <v>1900</v>
      </c>
      <c r="Q807" s="319">
        <f t="shared" si="409"/>
        <v>1900</v>
      </c>
      <c r="R807" s="329" t="s">
        <v>8430</v>
      </c>
      <c r="S807" s="330">
        <v>46141.490275625</v>
      </c>
      <c r="T807" s="2"/>
      <c r="U807" s="289">
        <f t="shared" si="357"/>
        <v>1350</v>
      </c>
      <c r="V807" s="304" t="str">
        <f t="shared" si="360"/>
        <v>нет з/ч</v>
      </c>
      <c r="W807" s="2"/>
      <c r="X807" s="289">
        <v>550.0</v>
      </c>
      <c r="Y807" s="139"/>
      <c r="Z807" s="2"/>
      <c r="AA807" s="2" t="s">
        <v>8428</v>
      </c>
      <c r="AB807" s="2" t="s">
        <v>8428</v>
      </c>
      <c r="AC807" s="2"/>
      <c r="AD807" s="2" t="s">
        <v>8428</v>
      </c>
      <c r="AE807" s="3" t="s">
        <v>8427</v>
      </c>
      <c r="AF807" s="2"/>
      <c r="AG807" s="1" t="s">
        <v>1582</v>
      </c>
      <c r="AH807" s="1" t="s">
        <v>5957</v>
      </c>
      <c r="AI807" s="2">
        <v>90.0</v>
      </c>
      <c r="AJ807" s="1" t="s">
        <v>1589</v>
      </c>
      <c r="AK807" s="1" t="s">
        <v>5878</v>
      </c>
      <c r="AL807" s="1" t="s">
        <v>5878</v>
      </c>
      <c r="AM807" s="2"/>
      <c r="AN807" s="2"/>
      <c r="AO807" s="2"/>
      <c r="AP807" s="2"/>
      <c r="AQ807" s="2"/>
      <c r="AR807" s="2"/>
      <c r="AS807" s="2"/>
      <c r="AT807" s="2"/>
      <c r="AU807" s="126">
        <v>550.0</v>
      </c>
      <c r="AV807" s="126">
        <v>1900.0</v>
      </c>
      <c r="AW807" s="2"/>
      <c r="AX807" s="2"/>
      <c r="AY807" s="2"/>
      <c r="AZ807" s="2"/>
      <c r="BA807" s="2"/>
      <c r="BB807" s="2"/>
      <c r="BC807" s="2"/>
      <c r="BD807" s="2"/>
      <c r="BE807" s="2"/>
    </row>
    <row r="808" hidden="1">
      <c r="A808" s="2"/>
      <c r="B808" s="338" t="s">
        <v>8431</v>
      </c>
      <c r="C808" s="320" t="s">
        <v>8432</v>
      </c>
      <c r="D808" s="31">
        <v>90.0</v>
      </c>
      <c r="E808" s="31" t="s">
        <v>175</v>
      </c>
      <c r="F808" s="11" t="s">
        <v>8379</v>
      </c>
      <c r="G808" s="327" t="s">
        <v>8433</v>
      </c>
      <c r="H808" s="322"/>
      <c r="I808" s="328">
        <v>550.0</v>
      </c>
      <c r="J808" s="324"/>
      <c r="K808" s="322"/>
      <c r="L808" s="323"/>
      <c r="M808" s="324">
        <v>550.0</v>
      </c>
      <c r="N808" s="284">
        <v>2.45</v>
      </c>
      <c r="O808" s="322">
        <v>1900.0</v>
      </c>
      <c r="P808" s="313">
        <f t="shared" ref="P808:Q808" si="410">O808</f>
        <v>1900</v>
      </c>
      <c r="Q808" s="319">
        <f t="shared" si="410"/>
        <v>1900</v>
      </c>
      <c r="R808" s="329" t="s">
        <v>8434</v>
      </c>
      <c r="S808" s="330">
        <v>46141.490325266204</v>
      </c>
      <c r="T808" s="2"/>
      <c r="U808" s="289">
        <f t="shared" si="357"/>
        <v>1350</v>
      </c>
      <c r="V808" s="304" t="str">
        <f t="shared" si="360"/>
        <v>нет з/ч</v>
      </c>
      <c r="W808" s="2"/>
      <c r="X808" s="289">
        <v>550.0</v>
      </c>
      <c r="Y808" s="139"/>
      <c r="Z808" s="2"/>
      <c r="AA808" s="2" t="s">
        <v>8432</v>
      </c>
      <c r="AB808" s="2" t="s">
        <v>8432</v>
      </c>
      <c r="AC808" s="2"/>
      <c r="AD808" s="2" t="s">
        <v>8432</v>
      </c>
      <c r="AE808" s="3" t="s">
        <v>8431</v>
      </c>
      <c r="AF808" s="2"/>
      <c r="AG808" s="1" t="s">
        <v>1582</v>
      </c>
      <c r="AH808" s="1" t="s">
        <v>5966</v>
      </c>
      <c r="AI808" s="2">
        <v>90.0</v>
      </c>
      <c r="AJ808" s="1" t="s">
        <v>1589</v>
      </c>
      <c r="AK808" s="1" t="s">
        <v>5878</v>
      </c>
      <c r="AL808" s="1" t="s">
        <v>5878</v>
      </c>
      <c r="AM808" s="2"/>
      <c r="AN808" s="2"/>
      <c r="AO808" s="2"/>
      <c r="AP808" s="2"/>
      <c r="AQ808" s="2"/>
      <c r="AR808" s="2"/>
      <c r="AS808" s="2"/>
      <c r="AT808" s="2"/>
      <c r="AU808" s="126">
        <v>550.0</v>
      </c>
      <c r="AV808" s="126">
        <v>1900.0</v>
      </c>
      <c r="AW808" s="2"/>
      <c r="AX808" s="2"/>
      <c r="AY808" s="2"/>
      <c r="AZ808" s="2"/>
      <c r="BA808" s="2"/>
      <c r="BB808" s="2"/>
      <c r="BC808" s="2"/>
      <c r="BD808" s="2"/>
      <c r="BE808" s="2"/>
    </row>
    <row r="809" hidden="1">
      <c r="A809" s="2"/>
      <c r="B809" s="338" t="s">
        <v>8435</v>
      </c>
      <c r="C809" s="320" t="s">
        <v>8436</v>
      </c>
      <c r="D809" s="31">
        <v>90.0</v>
      </c>
      <c r="E809" s="31" t="s">
        <v>183</v>
      </c>
      <c r="F809" s="11" t="s">
        <v>8379</v>
      </c>
      <c r="G809" s="327" t="s">
        <v>8437</v>
      </c>
      <c r="H809" s="322"/>
      <c r="I809" s="328">
        <v>500.0</v>
      </c>
      <c r="J809" s="324"/>
      <c r="K809" s="322"/>
      <c r="L809" s="323"/>
      <c r="M809" s="324">
        <v>500.0</v>
      </c>
      <c r="N809" s="284">
        <v>4.0</v>
      </c>
      <c r="O809" s="322">
        <v>2500.0</v>
      </c>
      <c r="P809" s="313">
        <f t="shared" ref="P809:Q809" si="411">O809</f>
        <v>2500</v>
      </c>
      <c r="Q809" s="319">
        <f t="shared" si="411"/>
        <v>2500</v>
      </c>
      <c r="R809" s="329" t="s">
        <v>8438</v>
      </c>
      <c r="S809" s="330">
        <v>46141.4903802662</v>
      </c>
      <c r="T809" s="2"/>
      <c r="U809" s="289">
        <f t="shared" si="357"/>
        <v>2000</v>
      </c>
      <c r="V809" s="304" t="str">
        <f t="shared" si="360"/>
        <v>нет з/ч</v>
      </c>
      <c r="W809" s="2"/>
      <c r="X809" s="289">
        <v>500.0</v>
      </c>
      <c r="Y809" s="139"/>
      <c r="Z809" s="2"/>
      <c r="AA809" s="2" t="s">
        <v>8436</v>
      </c>
      <c r="AB809" s="2" t="s">
        <v>8436</v>
      </c>
      <c r="AC809" s="2"/>
      <c r="AD809" s="1" t="s">
        <v>8436</v>
      </c>
      <c r="AE809" s="3" t="s">
        <v>8435</v>
      </c>
      <c r="AF809" s="2"/>
      <c r="AG809" s="1" t="s">
        <v>1582</v>
      </c>
      <c r="AH809" s="1" t="s">
        <v>5975</v>
      </c>
      <c r="AI809" s="2">
        <v>90.0</v>
      </c>
      <c r="AJ809" s="1" t="s">
        <v>1589</v>
      </c>
      <c r="AK809" s="1" t="s">
        <v>5878</v>
      </c>
      <c r="AL809" s="1" t="s">
        <v>5878</v>
      </c>
      <c r="AM809" s="2"/>
      <c r="AN809" s="2"/>
      <c r="AO809" s="2"/>
      <c r="AP809" s="2"/>
      <c r="AQ809" s="2"/>
      <c r="AR809" s="2"/>
      <c r="AS809" s="2"/>
      <c r="AT809" s="2"/>
      <c r="AU809" s="126">
        <v>500.0</v>
      </c>
      <c r="AV809" s="126">
        <v>2500.0</v>
      </c>
      <c r="AW809" s="2"/>
      <c r="AX809" s="2"/>
      <c r="AY809" s="2"/>
      <c r="AZ809" s="2"/>
      <c r="BA809" s="2"/>
      <c r="BB809" s="2"/>
      <c r="BC809" s="2"/>
      <c r="BD809" s="2"/>
      <c r="BE809" s="2"/>
    </row>
    <row r="810" hidden="1">
      <c r="A810" s="2"/>
      <c r="B810" s="338" t="s">
        <v>8439</v>
      </c>
      <c r="C810" s="320" t="s">
        <v>8440</v>
      </c>
      <c r="D810" s="31">
        <v>90.0</v>
      </c>
      <c r="E810" s="31" t="s">
        <v>185</v>
      </c>
      <c r="F810" s="11" t="s">
        <v>8379</v>
      </c>
      <c r="G810" s="327" t="s">
        <v>8441</v>
      </c>
      <c r="H810" s="322"/>
      <c r="I810" s="328">
        <v>800.0</v>
      </c>
      <c r="J810" s="324"/>
      <c r="K810" s="322"/>
      <c r="L810" s="323"/>
      <c r="M810" s="324">
        <v>800.0</v>
      </c>
      <c r="N810" s="284">
        <v>1.75</v>
      </c>
      <c r="O810" s="322">
        <v>2200.0</v>
      </c>
      <c r="P810" s="313">
        <f t="shared" ref="P810:Q810" si="412">O810</f>
        <v>2200</v>
      </c>
      <c r="Q810" s="319">
        <f t="shared" si="412"/>
        <v>2200</v>
      </c>
      <c r="R810" s="329" t="s">
        <v>8442</v>
      </c>
      <c r="S810" s="330">
        <v>46141.490431365746</v>
      </c>
      <c r="T810" s="2"/>
      <c r="U810" s="289">
        <f t="shared" si="357"/>
        <v>1400</v>
      </c>
      <c r="V810" s="304" t="str">
        <f t="shared" si="360"/>
        <v>нет з/ч</v>
      </c>
      <c r="W810" s="2"/>
      <c r="X810" s="289">
        <v>800.0</v>
      </c>
      <c r="Y810" s="139"/>
      <c r="Z810" s="2"/>
      <c r="AA810" s="2" t="s">
        <v>8440</v>
      </c>
      <c r="AB810" s="2" t="s">
        <v>8440</v>
      </c>
      <c r="AC810" s="2"/>
      <c r="AD810" s="1" t="s">
        <v>8440</v>
      </c>
      <c r="AE810" s="3" t="s">
        <v>8439</v>
      </c>
      <c r="AF810" s="2"/>
      <c r="AG810" s="1" t="s">
        <v>1582</v>
      </c>
      <c r="AH810" s="1" t="s">
        <v>5984</v>
      </c>
      <c r="AI810" s="2">
        <v>90.0</v>
      </c>
      <c r="AJ810" s="1" t="s">
        <v>1589</v>
      </c>
      <c r="AK810" s="1" t="s">
        <v>5878</v>
      </c>
      <c r="AL810" s="1" t="s">
        <v>5878</v>
      </c>
      <c r="AM810" s="2"/>
      <c r="AN810" s="2"/>
      <c r="AO810" s="2"/>
      <c r="AP810" s="2"/>
      <c r="AQ810" s="2"/>
      <c r="AR810" s="2"/>
      <c r="AS810" s="2"/>
      <c r="AT810" s="2"/>
      <c r="AU810" s="126">
        <v>800.0</v>
      </c>
      <c r="AV810" s="126">
        <v>2200.0</v>
      </c>
      <c r="AW810" s="2"/>
      <c r="AX810" s="2"/>
      <c r="AY810" s="2"/>
      <c r="AZ810" s="2"/>
      <c r="BA810" s="2"/>
      <c r="BB810" s="2"/>
      <c r="BC810" s="2"/>
      <c r="BD810" s="2"/>
      <c r="BE810" s="2"/>
    </row>
    <row r="811" hidden="1">
      <c r="A811" s="2"/>
      <c r="B811" s="338" t="s">
        <v>8443</v>
      </c>
      <c r="C811" s="320" t="s">
        <v>8444</v>
      </c>
      <c r="D811" s="31">
        <v>90.0</v>
      </c>
      <c r="E811" s="31" t="s">
        <v>193</v>
      </c>
      <c r="F811" s="11" t="s">
        <v>8379</v>
      </c>
      <c r="G811" s="327" t="s">
        <v>8445</v>
      </c>
      <c r="H811" s="322"/>
      <c r="I811" s="328">
        <v>650.0</v>
      </c>
      <c r="J811" s="324"/>
      <c r="K811" s="322"/>
      <c r="L811" s="323"/>
      <c r="M811" s="324">
        <v>650.0</v>
      </c>
      <c r="N811" s="284">
        <v>2.4</v>
      </c>
      <c r="O811" s="322">
        <v>2200.0</v>
      </c>
      <c r="P811" s="313">
        <f t="shared" ref="P811:Q811" si="413">O811</f>
        <v>2200</v>
      </c>
      <c r="Q811" s="319">
        <f t="shared" si="413"/>
        <v>2200</v>
      </c>
      <c r="R811" s="329" t="s">
        <v>8446</v>
      </c>
      <c r="S811" s="330">
        <v>46141.490481863424</v>
      </c>
      <c r="T811" s="2"/>
      <c r="U811" s="289">
        <f t="shared" si="357"/>
        <v>1550</v>
      </c>
      <c r="V811" s="304" t="str">
        <f t="shared" si="360"/>
        <v>нет з/ч</v>
      </c>
      <c r="W811" s="2"/>
      <c r="X811" s="289">
        <v>650.0</v>
      </c>
      <c r="Y811" s="139"/>
      <c r="Z811" s="2"/>
      <c r="AA811" s="2" t="s">
        <v>8444</v>
      </c>
      <c r="AB811" s="2" t="s">
        <v>8444</v>
      </c>
      <c r="AC811" s="2"/>
      <c r="AD811" s="1" t="s">
        <v>8444</v>
      </c>
      <c r="AE811" s="3" t="s">
        <v>8443</v>
      </c>
      <c r="AF811" s="2"/>
      <c r="AG811" s="1" t="s">
        <v>1582</v>
      </c>
      <c r="AH811" s="1" t="s">
        <v>5993</v>
      </c>
      <c r="AI811" s="2">
        <v>90.0</v>
      </c>
      <c r="AJ811" s="1" t="s">
        <v>1589</v>
      </c>
      <c r="AK811" s="1" t="s">
        <v>5878</v>
      </c>
      <c r="AL811" s="1" t="s">
        <v>5878</v>
      </c>
      <c r="AM811" s="2"/>
      <c r="AN811" s="2"/>
      <c r="AO811" s="2"/>
      <c r="AP811" s="2"/>
      <c r="AQ811" s="2"/>
      <c r="AR811" s="2"/>
      <c r="AS811" s="2"/>
      <c r="AT811" s="2"/>
      <c r="AU811" s="167">
        <v>650.0</v>
      </c>
      <c r="AV811" s="167">
        <v>2200.0</v>
      </c>
      <c r="AW811" s="2"/>
      <c r="AX811" s="2"/>
      <c r="AY811" s="2"/>
      <c r="AZ811" s="2"/>
      <c r="BA811" s="2"/>
      <c r="BB811" s="2"/>
      <c r="BC811" s="2"/>
      <c r="BD811" s="2"/>
      <c r="BE811" s="2"/>
    </row>
    <row r="812" hidden="1">
      <c r="A812" s="2"/>
      <c r="B812" s="338" t="s">
        <v>8447</v>
      </c>
      <c r="C812" s="320" t="s">
        <v>8448</v>
      </c>
      <c r="D812" s="31">
        <v>90.0</v>
      </c>
      <c r="E812" s="31" t="s">
        <v>6628</v>
      </c>
      <c r="F812" s="11" t="s">
        <v>8379</v>
      </c>
      <c r="G812" s="327" t="s">
        <v>8449</v>
      </c>
      <c r="H812" s="322"/>
      <c r="I812" s="328">
        <v>500.0</v>
      </c>
      <c r="J812" s="324"/>
      <c r="K812" s="322"/>
      <c r="L812" s="323"/>
      <c r="M812" s="324">
        <v>500.0</v>
      </c>
      <c r="N812" s="284">
        <v>4.55</v>
      </c>
      <c r="O812" s="322">
        <v>2800.0</v>
      </c>
      <c r="P812" s="313">
        <f t="shared" ref="P812:Q812" si="414">O812</f>
        <v>2800</v>
      </c>
      <c r="Q812" s="319">
        <f t="shared" si="414"/>
        <v>2800</v>
      </c>
      <c r="R812" s="329" t="s">
        <v>8450</v>
      </c>
      <c r="S812" s="330">
        <v>46141.49053505787</v>
      </c>
      <c r="T812" s="2"/>
      <c r="U812" s="289">
        <f t="shared" si="357"/>
        <v>2300</v>
      </c>
      <c r="V812" s="304" t="str">
        <f t="shared" si="360"/>
        <v>нет з/ч</v>
      </c>
      <c r="W812" s="2"/>
      <c r="X812" s="289">
        <v>500.0</v>
      </c>
      <c r="Y812" s="139"/>
      <c r="Z812" s="2"/>
      <c r="AA812" s="2" t="s">
        <v>8448</v>
      </c>
      <c r="AB812" s="2" t="s">
        <v>8448</v>
      </c>
      <c r="AC812" s="2"/>
      <c r="AD812" s="2" t="s">
        <v>8448</v>
      </c>
      <c r="AE812" s="3" t="s">
        <v>8447</v>
      </c>
      <c r="AF812" s="2"/>
      <c r="AG812" s="1" t="s">
        <v>1582</v>
      </c>
      <c r="AH812" s="1" t="s">
        <v>6002</v>
      </c>
      <c r="AI812" s="2">
        <v>90.0</v>
      </c>
      <c r="AJ812" s="1" t="s">
        <v>1589</v>
      </c>
      <c r="AK812" s="1" t="s">
        <v>5878</v>
      </c>
      <c r="AL812" s="1" t="s">
        <v>5878</v>
      </c>
      <c r="AM812" s="2"/>
      <c r="AN812" s="2"/>
      <c r="AO812" s="2"/>
      <c r="AP812" s="2"/>
      <c r="AQ812" s="2"/>
      <c r="AR812" s="2"/>
      <c r="AS812" s="2"/>
      <c r="AT812" s="2"/>
      <c r="AU812" s="126">
        <v>500.0</v>
      </c>
      <c r="AV812" s="126">
        <v>2800.0</v>
      </c>
      <c r="AW812" s="2"/>
      <c r="AX812" s="2"/>
      <c r="AY812" s="2"/>
      <c r="AZ812" s="2"/>
      <c r="BA812" s="2"/>
      <c r="BB812" s="2"/>
      <c r="BC812" s="2"/>
      <c r="BD812" s="2"/>
      <c r="BE812" s="2"/>
    </row>
    <row r="813" hidden="1">
      <c r="A813" s="2"/>
      <c r="B813" s="338" t="s">
        <v>8451</v>
      </c>
      <c r="C813" s="320" t="s">
        <v>8452</v>
      </c>
      <c r="D813" s="31">
        <v>90.0</v>
      </c>
      <c r="E813" s="31" t="s">
        <v>212</v>
      </c>
      <c r="F813" s="11" t="s">
        <v>8379</v>
      </c>
      <c r="G813" s="321"/>
      <c r="H813" s="322"/>
      <c r="I813" s="323"/>
      <c r="J813" s="324"/>
      <c r="K813" s="322"/>
      <c r="L813" s="323"/>
      <c r="M813" s="324" t="s">
        <v>22</v>
      </c>
      <c r="N813" s="284">
        <v>1.5</v>
      </c>
      <c r="O813" s="322" t="s">
        <v>22</v>
      </c>
      <c r="P813" s="313" t="str">
        <f t="shared" ref="P813:Q813" si="415">O813</f>
        <v/>
      </c>
      <c r="Q813" s="319" t="str">
        <f t="shared" si="415"/>
        <v/>
      </c>
      <c r="R813" s="331"/>
      <c r="S813" s="326"/>
      <c r="T813" s="2"/>
      <c r="U813" s="59" t="str">
        <f t="shared" si="357"/>
        <v>нет з/ч</v>
      </c>
      <c r="V813" s="304" t="str">
        <f t="shared" si="360"/>
        <v>нет з/ч</v>
      </c>
      <c r="W813" s="2"/>
      <c r="X813" s="289"/>
      <c r="Y813" s="139"/>
      <c r="Z813" s="2"/>
      <c r="AA813" s="2" t="s">
        <v>8452</v>
      </c>
      <c r="AB813" s="2" t="s">
        <v>8452</v>
      </c>
      <c r="AC813" s="2"/>
      <c r="AD813" s="2" t="s">
        <v>8452</v>
      </c>
      <c r="AE813" s="3" t="s">
        <v>8451</v>
      </c>
      <c r="AF813" s="2"/>
      <c r="AG813" s="1" t="s">
        <v>1582</v>
      </c>
      <c r="AH813" s="1" t="s">
        <v>6026</v>
      </c>
      <c r="AI813" s="2">
        <v>90.0</v>
      </c>
      <c r="AJ813" s="1" t="s">
        <v>1589</v>
      </c>
      <c r="AK813" s="1" t="s">
        <v>5878</v>
      </c>
      <c r="AL813" s="1" t="s">
        <v>5878</v>
      </c>
      <c r="AM813" s="2"/>
      <c r="AN813" s="2"/>
      <c r="AO813" s="2"/>
      <c r="AP813" s="2"/>
      <c r="AQ813" s="2"/>
      <c r="AR813" s="2"/>
      <c r="AS813" s="2"/>
      <c r="AT813" s="2"/>
      <c r="AU813" s="126" t="s">
        <v>22</v>
      </c>
      <c r="AV813" s="126" t="s">
        <v>22</v>
      </c>
      <c r="AW813" s="2"/>
      <c r="AX813" s="2"/>
      <c r="AY813" s="2"/>
      <c r="AZ813" s="2"/>
      <c r="BA813" s="2"/>
      <c r="BB813" s="2"/>
      <c r="BC813" s="2"/>
      <c r="BD813" s="2"/>
      <c r="BE813" s="2"/>
    </row>
    <row r="814" hidden="1">
      <c r="A814" s="2"/>
      <c r="B814" s="338" t="s">
        <v>8453</v>
      </c>
      <c r="C814" s="320" t="s">
        <v>8454</v>
      </c>
      <c r="D814" s="31">
        <v>90.0</v>
      </c>
      <c r="E814" s="31" t="s">
        <v>228</v>
      </c>
      <c r="F814" s="11" t="s">
        <v>8379</v>
      </c>
      <c r="G814" s="327" t="s">
        <v>8455</v>
      </c>
      <c r="H814" s="322"/>
      <c r="I814" s="328">
        <v>650.0</v>
      </c>
      <c r="J814" s="324"/>
      <c r="K814" s="322"/>
      <c r="L814" s="323"/>
      <c r="M814" s="324">
        <v>650.0</v>
      </c>
      <c r="N814" s="284">
        <v>3.8</v>
      </c>
      <c r="O814" s="322">
        <v>3100.0</v>
      </c>
      <c r="P814" s="313">
        <f t="shared" ref="P814:Q814" si="416">O814</f>
        <v>3100</v>
      </c>
      <c r="Q814" s="319">
        <f t="shared" si="416"/>
        <v>3100</v>
      </c>
      <c r="R814" s="329" t="s">
        <v>8456</v>
      </c>
      <c r="S814" s="330">
        <v>46141.49058777778</v>
      </c>
      <c r="T814" s="2"/>
      <c r="U814" s="289">
        <f t="shared" si="357"/>
        <v>2450</v>
      </c>
      <c r="V814" s="304" t="str">
        <f t="shared" ref="V814:V815" si="418">IF(L814&gt;0, Q2391 - L814, "нет з/ч")</f>
        <v>нет з/ч</v>
      </c>
      <c r="W814" s="2"/>
      <c r="X814" s="289">
        <v>650.0</v>
      </c>
      <c r="Y814" s="139"/>
      <c r="Z814" s="2"/>
      <c r="AA814" s="2" t="s">
        <v>8454</v>
      </c>
      <c r="AB814" s="2" t="s">
        <v>8454</v>
      </c>
      <c r="AC814" s="2"/>
      <c r="AD814" s="2" t="s">
        <v>8454</v>
      </c>
      <c r="AE814" s="3" t="s">
        <v>8453</v>
      </c>
      <c r="AF814" s="2"/>
      <c r="AG814" s="1" t="s">
        <v>1582</v>
      </c>
      <c r="AH814" s="1" t="s">
        <v>6045</v>
      </c>
      <c r="AI814" s="2">
        <v>90.0</v>
      </c>
      <c r="AJ814" s="1" t="s">
        <v>1589</v>
      </c>
      <c r="AK814" s="1" t="s">
        <v>5878</v>
      </c>
      <c r="AL814" s="1" t="s">
        <v>5878</v>
      </c>
      <c r="AM814" s="2"/>
      <c r="AN814" s="2"/>
      <c r="AO814" s="2"/>
      <c r="AP814" s="2"/>
      <c r="AQ814" s="2"/>
      <c r="AR814" s="2"/>
      <c r="AS814" s="2"/>
      <c r="AT814" s="2"/>
      <c r="AU814" s="126">
        <v>650.0</v>
      </c>
      <c r="AV814" s="126">
        <v>3100.0</v>
      </c>
      <c r="AW814" s="2"/>
      <c r="AX814" s="2"/>
      <c r="AY814" s="2"/>
      <c r="AZ814" s="2"/>
      <c r="BA814" s="2"/>
      <c r="BB814" s="2"/>
      <c r="BC814" s="2"/>
      <c r="BD814" s="2"/>
      <c r="BE814" s="2"/>
    </row>
    <row r="815" hidden="1">
      <c r="A815" s="2"/>
      <c r="B815" s="338" t="s">
        <v>8457</v>
      </c>
      <c r="C815" s="320" t="s">
        <v>8458</v>
      </c>
      <c r="D815" s="31">
        <v>90.0</v>
      </c>
      <c r="E815" s="31" t="s">
        <v>236</v>
      </c>
      <c r="F815" s="11" t="s">
        <v>8379</v>
      </c>
      <c r="G815" s="327" t="s">
        <v>8459</v>
      </c>
      <c r="H815" s="322"/>
      <c r="I815" s="328">
        <v>800.0</v>
      </c>
      <c r="J815" s="324"/>
      <c r="K815" s="322"/>
      <c r="L815" s="323"/>
      <c r="M815" s="324">
        <v>800.0</v>
      </c>
      <c r="N815" s="284">
        <v>3.0</v>
      </c>
      <c r="O815" s="322">
        <v>3200.0</v>
      </c>
      <c r="P815" s="313">
        <f t="shared" ref="P815:Q815" si="417">O815</f>
        <v>3200</v>
      </c>
      <c r="Q815" s="319">
        <f t="shared" si="417"/>
        <v>3200</v>
      </c>
      <c r="R815" s="329" t="s">
        <v>8460</v>
      </c>
      <c r="S815" s="330">
        <v>46141.49064041667</v>
      </c>
      <c r="T815" s="2"/>
      <c r="U815" s="289">
        <f t="shared" si="357"/>
        <v>2400</v>
      </c>
      <c r="V815" s="304" t="str">
        <f t="shared" si="418"/>
        <v>нет з/ч</v>
      </c>
      <c r="W815" s="2"/>
      <c r="X815" s="289">
        <v>800.0</v>
      </c>
      <c r="Y815" s="139"/>
      <c r="Z815" s="2"/>
      <c r="AA815" s="2" t="s">
        <v>8458</v>
      </c>
      <c r="AB815" s="2" t="s">
        <v>8458</v>
      </c>
      <c r="AC815" s="2"/>
      <c r="AD815" s="2" t="s">
        <v>8458</v>
      </c>
      <c r="AE815" s="3" t="s">
        <v>8457</v>
      </c>
      <c r="AF815" s="2"/>
      <c r="AG815" s="1" t="s">
        <v>1582</v>
      </c>
      <c r="AH815" s="1" t="s">
        <v>6069</v>
      </c>
      <c r="AI815" s="2">
        <v>90.0</v>
      </c>
      <c r="AJ815" s="1" t="s">
        <v>1589</v>
      </c>
      <c r="AK815" s="1" t="s">
        <v>5878</v>
      </c>
      <c r="AL815" s="1" t="s">
        <v>5878</v>
      </c>
      <c r="AM815" s="2"/>
      <c r="AN815" s="2"/>
      <c r="AO815" s="2"/>
      <c r="AP815" s="2"/>
      <c r="AQ815" s="2"/>
      <c r="AR815" s="2"/>
      <c r="AS815" s="2"/>
      <c r="AT815" s="2"/>
      <c r="AU815" s="126">
        <v>800.0</v>
      </c>
      <c r="AV815" s="126">
        <v>3200.0</v>
      </c>
      <c r="AW815" s="2"/>
      <c r="AX815" s="2"/>
      <c r="AY815" s="2"/>
      <c r="AZ815" s="2"/>
      <c r="BA815" s="2"/>
      <c r="BB815" s="2"/>
      <c r="BC815" s="2"/>
      <c r="BD815" s="2"/>
      <c r="BE815" s="2"/>
    </row>
    <row r="816" hidden="1">
      <c r="A816" s="2"/>
      <c r="B816" s="338" t="s">
        <v>8461</v>
      </c>
      <c r="C816" s="320" t="s">
        <v>8462</v>
      </c>
      <c r="D816" s="31">
        <v>90.0</v>
      </c>
      <c r="E816" s="31" t="s">
        <v>238</v>
      </c>
      <c r="F816" s="11" t="s">
        <v>8379</v>
      </c>
      <c r="G816" s="321"/>
      <c r="H816" s="322"/>
      <c r="I816" s="323"/>
      <c r="J816" s="324"/>
      <c r="K816" s="322"/>
      <c r="L816" s="323"/>
      <c r="M816" s="324" t="s">
        <v>22</v>
      </c>
      <c r="N816" s="284">
        <v>1.5</v>
      </c>
      <c r="O816" s="322" t="s">
        <v>22</v>
      </c>
      <c r="P816" s="313" t="str">
        <f t="shared" ref="P816:Q816" si="419">O816</f>
        <v/>
      </c>
      <c r="Q816" s="319" t="str">
        <f t="shared" si="419"/>
        <v/>
      </c>
      <c r="R816" s="331"/>
      <c r="S816" s="326"/>
      <c r="T816" s="2"/>
      <c r="U816" s="59"/>
      <c r="V816" s="304"/>
      <c r="W816" s="2"/>
      <c r="X816" s="289"/>
      <c r="Y816" s="139"/>
      <c r="Z816" s="2"/>
      <c r="AA816" s="2" t="s">
        <v>8462</v>
      </c>
      <c r="AB816" s="2" t="s">
        <v>8462</v>
      </c>
      <c r="AC816" s="2"/>
      <c r="AD816" s="2" t="s">
        <v>8462</v>
      </c>
      <c r="AE816" s="3" t="s">
        <v>8461</v>
      </c>
      <c r="AF816" s="2"/>
      <c r="AG816" s="1" t="s">
        <v>1582</v>
      </c>
      <c r="AH816" s="1" t="s">
        <v>6093</v>
      </c>
      <c r="AI816" s="2">
        <v>90.0</v>
      </c>
      <c r="AJ816" s="1" t="s">
        <v>1589</v>
      </c>
      <c r="AK816" s="1" t="s">
        <v>5878</v>
      </c>
      <c r="AL816" s="1" t="s">
        <v>5878</v>
      </c>
      <c r="AM816" s="2"/>
      <c r="AN816" s="2"/>
      <c r="AO816" s="2"/>
      <c r="AP816" s="2"/>
      <c r="AQ816" s="2"/>
      <c r="AR816" s="2"/>
      <c r="AS816" s="2"/>
      <c r="AT816" s="2"/>
      <c r="AU816" s="126" t="s">
        <v>22</v>
      </c>
      <c r="AV816" s="126" t="s">
        <v>22</v>
      </c>
      <c r="AW816" s="2"/>
      <c r="AX816" s="2"/>
      <c r="AY816" s="2"/>
      <c r="AZ816" s="2"/>
      <c r="BA816" s="2"/>
      <c r="BB816" s="2"/>
      <c r="BC816" s="2"/>
      <c r="BD816" s="2"/>
      <c r="BE816" s="2"/>
    </row>
    <row r="817" hidden="1">
      <c r="A817" s="2"/>
      <c r="B817" s="338" t="s">
        <v>8463</v>
      </c>
      <c r="C817" s="320" t="s">
        <v>8464</v>
      </c>
      <c r="D817" s="31">
        <v>90.0</v>
      </c>
      <c r="E817" s="31" t="s">
        <v>246</v>
      </c>
      <c r="F817" s="11" t="s">
        <v>8379</v>
      </c>
      <c r="G817" s="327" t="s">
        <v>8465</v>
      </c>
      <c r="H817" s="322"/>
      <c r="I817" s="328">
        <v>1000.0</v>
      </c>
      <c r="J817" s="324"/>
      <c r="K817" s="322"/>
      <c r="L817" s="323"/>
      <c r="M817" s="324">
        <v>1000.0</v>
      </c>
      <c r="N817" s="284">
        <v>1.9</v>
      </c>
      <c r="O817" s="322">
        <v>2900.0</v>
      </c>
      <c r="P817" s="313">
        <f t="shared" ref="P817:Q817" si="420">O817</f>
        <v>2900</v>
      </c>
      <c r="Q817" s="319">
        <f t="shared" si="420"/>
        <v>2900</v>
      </c>
      <c r="R817" s="329" t="s">
        <v>8466</v>
      </c>
      <c r="S817" s="330">
        <v>46141.490691631945</v>
      </c>
      <c r="T817" s="2"/>
      <c r="U817" s="289">
        <f>IF(I817&gt;0, Q817 - I817, "нет з/ч")</f>
        <v>1900</v>
      </c>
      <c r="V817" s="304" t="str">
        <f>IF(L817&gt;0, Q2393 - L817, "нет з/ч")</f>
        <v>нет з/ч</v>
      </c>
      <c r="W817" s="2"/>
      <c r="X817" s="289">
        <v>1000.0</v>
      </c>
      <c r="Y817" s="139"/>
      <c r="Z817" s="2"/>
      <c r="AA817" s="2" t="s">
        <v>8464</v>
      </c>
      <c r="AB817" s="2" t="s">
        <v>8464</v>
      </c>
      <c r="AC817" s="2"/>
      <c r="AD817" s="2" t="s">
        <v>8464</v>
      </c>
      <c r="AE817" s="3" t="s">
        <v>8463</v>
      </c>
      <c r="AF817" s="2"/>
      <c r="AG817" s="1" t="s">
        <v>1582</v>
      </c>
      <c r="AH817" s="1" t="s">
        <v>6113</v>
      </c>
      <c r="AI817" s="2">
        <v>90.0</v>
      </c>
      <c r="AJ817" s="1" t="s">
        <v>1589</v>
      </c>
      <c r="AK817" s="1" t="s">
        <v>5878</v>
      </c>
      <c r="AL817" s="1" t="s">
        <v>5878</v>
      </c>
      <c r="AM817" s="2"/>
      <c r="AN817" s="2"/>
      <c r="AO817" s="2"/>
      <c r="AP817" s="2"/>
      <c r="AQ817" s="2"/>
      <c r="AR817" s="2"/>
      <c r="AS817" s="2"/>
      <c r="AT817" s="2"/>
      <c r="AU817" s="126">
        <v>1000.0</v>
      </c>
      <c r="AV817" s="126">
        <v>2900.0</v>
      </c>
      <c r="AW817" s="2"/>
      <c r="AX817" s="2"/>
      <c r="AY817" s="2"/>
      <c r="AZ817" s="2"/>
      <c r="BA817" s="2"/>
      <c r="BB817" s="2"/>
      <c r="BC817" s="2"/>
      <c r="BD817" s="2"/>
      <c r="BE817" s="2"/>
    </row>
    <row r="818" hidden="1">
      <c r="A818" s="2"/>
      <c r="B818" s="338" t="s">
        <v>8467</v>
      </c>
      <c r="C818" s="320" t="s">
        <v>8468</v>
      </c>
      <c r="D818" s="31">
        <v>90.0</v>
      </c>
      <c r="E818" s="31" t="s">
        <v>254</v>
      </c>
      <c r="F818" s="11" t="s">
        <v>8379</v>
      </c>
      <c r="G818" s="327" t="s">
        <v>8469</v>
      </c>
      <c r="H818" s="322"/>
      <c r="I818" s="328">
        <v>1000.0</v>
      </c>
      <c r="J818" s="324"/>
      <c r="K818" s="322"/>
      <c r="L818" s="323"/>
      <c r="M818" s="324">
        <v>1000.0</v>
      </c>
      <c r="N818" s="284">
        <v>1.9</v>
      </c>
      <c r="O818" s="322">
        <v>2900.0</v>
      </c>
      <c r="P818" s="313">
        <f t="shared" ref="P818:Q818" si="421">O818</f>
        <v>2900</v>
      </c>
      <c r="Q818" s="319">
        <f t="shared" si="421"/>
        <v>2900</v>
      </c>
      <c r="R818" s="329" t="s">
        <v>8470</v>
      </c>
      <c r="S818" s="330">
        <v>46141.49074335648</v>
      </c>
      <c r="T818" s="2"/>
      <c r="U818" s="59"/>
      <c r="V818" s="304"/>
      <c r="W818" s="2"/>
      <c r="X818" s="289">
        <v>1000.0</v>
      </c>
      <c r="Y818" s="139"/>
      <c r="Z818" s="2"/>
      <c r="AA818" s="2" t="s">
        <v>8468</v>
      </c>
      <c r="AB818" s="2" t="s">
        <v>8468</v>
      </c>
      <c r="AC818" s="2"/>
      <c r="AD818" s="2" t="s">
        <v>8468</v>
      </c>
      <c r="AE818" s="3" t="s">
        <v>8467</v>
      </c>
      <c r="AF818" s="2"/>
      <c r="AG818" s="1" t="s">
        <v>1582</v>
      </c>
      <c r="AH818" s="1" t="s">
        <v>6137</v>
      </c>
      <c r="AI818" s="2">
        <v>90.0</v>
      </c>
      <c r="AJ818" s="1" t="s">
        <v>1589</v>
      </c>
      <c r="AK818" s="1" t="s">
        <v>5878</v>
      </c>
      <c r="AL818" s="1" t="s">
        <v>5878</v>
      </c>
      <c r="AM818" s="2"/>
      <c r="AN818" s="2"/>
      <c r="AO818" s="2"/>
      <c r="AP818" s="2"/>
      <c r="AQ818" s="2"/>
      <c r="AR818" s="2"/>
      <c r="AS818" s="2"/>
      <c r="AT818" s="2"/>
      <c r="AU818" s="126">
        <v>1000.0</v>
      </c>
      <c r="AV818" s="126">
        <v>2900.0</v>
      </c>
      <c r="AW818" s="2"/>
      <c r="AX818" s="2"/>
      <c r="AY818" s="2"/>
      <c r="AZ818" s="2"/>
      <c r="BA818" s="2"/>
      <c r="BB818" s="2"/>
      <c r="BC818" s="2"/>
      <c r="BD818" s="2"/>
      <c r="BE818" s="2"/>
    </row>
    <row r="819" hidden="1">
      <c r="A819" s="2"/>
      <c r="B819" s="338" t="s">
        <v>8471</v>
      </c>
      <c r="C819" s="320" t="s">
        <v>8472</v>
      </c>
      <c r="D819" s="31">
        <v>90.0</v>
      </c>
      <c r="E819" s="31" t="s">
        <v>262</v>
      </c>
      <c r="F819" s="11" t="s">
        <v>8379</v>
      </c>
      <c r="G819" s="327" t="s">
        <v>8473</v>
      </c>
      <c r="H819" s="322"/>
      <c r="I819" s="328">
        <v>1100.0</v>
      </c>
      <c r="J819" s="324"/>
      <c r="K819" s="322"/>
      <c r="L819" s="323"/>
      <c r="M819" s="324">
        <v>1100.0</v>
      </c>
      <c r="N819" s="284">
        <v>2.2</v>
      </c>
      <c r="O819" s="322">
        <v>3500.0</v>
      </c>
      <c r="P819" s="313">
        <f t="shared" ref="P819:Q819" si="422">O819</f>
        <v>3500</v>
      </c>
      <c r="Q819" s="319">
        <f t="shared" si="422"/>
        <v>3500</v>
      </c>
      <c r="R819" s="329" t="s">
        <v>8474</v>
      </c>
      <c r="S819" s="330">
        <v>46141.49079393518</v>
      </c>
      <c r="T819" s="2"/>
      <c r="U819" s="289">
        <f t="shared" ref="U819:U921" si="424">IF(I819&gt;0, Q819 - I819, "нет з/ч")</f>
        <v>2400</v>
      </c>
      <c r="V819" s="304" t="str">
        <f t="shared" ref="V819:V845" si="425">IF(L819&gt;0, Q2394 - L819, "нет з/ч")</f>
        <v>нет з/ч</v>
      </c>
      <c r="W819" s="2"/>
      <c r="X819" s="289">
        <v>1100.0</v>
      </c>
      <c r="Y819" s="139"/>
      <c r="Z819" s="2"/>
      <c r="AA819" s="2" t="s">
        <v>8472</v>
      </c>
      <c r="AB819" s="2" t="s">
        <v>8472</v>
      </c>
      <c r="AC819" s="2"/>
      <c r="AD819" s="2" t="s">
        <v>8472</v>
      </c>
      <c r="AE819" s="3" t="s">
        <v>8471</v>
      </c>
      <c r="AF819" s="2"/>
      <c r="AG819" s="1" t="s">
        <v>1582</v>
      </c>
      <c r="AH819" s="1" t="s">
        <v>6161</v>
      </c>
      <c r="AI819" s="2">
        <v>90.0</v>
      </c>
      <c r="AJ819" s="1" t="s">
        <v>1589</v>
      </c>
      <c r="AK819" s="1" t="s">
        <v>5878</v>
      </c>
      <c r="AL819" s="1" t="s">
        <v>5878</v>
      </c>
      <c r="AM819" s="2"/>
      <c r="AN819" s="2"/>
      <c r="AO819" s="2"/>
      <c r="AP819" s="2"/>
      <c r="AQ819" s="2"/>
      <c r="AR819" s="2"/>
      <c r="AS819" s="2"/>
      <c r="AT819" s="2"/>
      <c r="AU819" s="126">
        <v>1100.0</v>
      </c>
      <c r="AV819" s="126">
        <v>3500.0</v>
      </c>
      <c r="AW819" s="2"/>
      <c r="AX819" s="2"/>
      <c r="AY819" s="2"/>
      <c r="AZ819" s="2"/>
      <c r="BA819" s="2"/>
      <c r="BB819" s="2"/>
      <c r="BC819" s="2"/>
      <c r="BD819" s="2"/>
      <c r="BE819" s="2"/>
    </row>
    <row r="820" hidden="1">
      <c r="A820" s="2"/>
      <c r="B820" s="338" t="s">
        <v>8475</v>
      </c>
      <c r="C820" s="93"/>
      <c r="D820" s="31">
        <v>90.0</v>
      </c>
      <c r="E820" s="31" t="s">
        <v>269</v>
      </c>
      <c r="F820" s="11" t="s">
        <v>8379</v>
      </c>
      <c r="G820" s="327" t="s">
        <v>8476</v>
      </c>
      <c r="H820" s="322"/>
      <c r="I820" s="328">
        <v>1700.0</v>
      </c>
      <c r="J820" s="324"/>
      <c r="K820" s="322"/>
      <c r="L820" s="323"/>
      <c r="M820" s="324">
        <v>1700.0</v>
      </c>
      <c r="N820" s="284">
        <v>1.05</v>
      </c>
      <c r="O820" s="322">
        <v>3500.0</v>
      </c>
      <c r="P820" s="313">
        <f t="shared" ref="P820:Q820" si="423">O820</f>
        <v>3500</v>
      </c>
      <c r="Q820" s="319">
        <f t="shared" si="423"/>
        <v>3500</v>
      </c>
      <c r="R820" s="329" t="s">
        <v>8477</v>
      </c>
      <c r="S820" s="330">
        <v>46141.490846851855</v>
      </c>
      <c r="T820" s="2"/>
      <c r="U820" s="289">
        <f t="shared" si="424"/>
        <v>1800</v>
      </c>
      <c r="V820" s="304" t="str">
        <f t="shared" si="425"/>
        <v>нет з/ч</v>
      </c>
      <c r="W820" s="2"/>
      <c r="X820" s="289">
        <v>1700.0</v>
      </c>
      <c r="Y820" s="139"/>
      <c r="Z820" s="2"/>
      <c r="AA820" s="2"/>
      <c r="AB820" s="2"/>
      <c r="AC820" s="2"/>
      <c r="AD820" s="2"/>
      <c r="AE820" s="3" t="s">
        <v>8475</v>
      </c>
      <c r="AF820" s="2"/>
      <c r="AG820" s="1" t="s">
        <v>1582</v>
      </c>
      <c r="AH820" s="1" t="s">
        <v>6185</v>
      </c>
      <c r="AI820" s="2">
        <v>90.0</v>
      </c>
      <c r="AJ820" s="1" t="s">
        <v>1589</v>
      </c>
      <c r="AK820" s="1" t="s">
        <v>5878</v>
      </c>
      <c r="AL820" s="1" t="s">
        <v>5878</v>
      </c>
      <c r="AM820" s="2"/>
      <c r="AN820" s="2"/>
      <c r="AO820" s="2"/>
      <c r="AP820" s="2"/>
      <c r="AQ820" s="2"/>
      <c r="AR820" s="2"/>
      <c r="AS820" s="2"/>
      <c r="AT820" s="2"/>
      <c r="AU820" s="126">
        <v>1700.0</v>
      </c>
      <c r="AV820" s="126">
        <v>3500.0</v>
      </c>
      <c r="AW820" s="2"/>
      <c r="AX820" s="2"/>
      <c r="AY820" s="2"/>
      <c r="AZ820" s="2"/>
      <c r="BA820" s="2"/>
      <c r="BB820" s="2"/>
      <c r="BC820" s="2"/>
      <c r="BD820" s="2"/>
      <c r="BE820" s="2"/>
    </row>
    <row r="821" hidden="1">
      <c r="A821" s="2"/>
      <c r="B821" s="338" t="s">
        <v>8478</v>
      </c>
      <c r="C821" s="320" t="s">
        <v>8479</v>
      </c>
      <c r="D821" s="31">
        <v>90.0</v>
      </c>
      <c r="E821" s="31" t="s">
        <v>276</v>
      </c>
      <c r="F821" s="11" t="s">
        <v>8379</v>
      </c>
      <c r="G821" s="327" t="s">
        <v>8480</v>
      </c>
      <c r="H821" s="322"/>
      <c r="I821" s="328">
        <v>1800.0</v>
      </c>
      <c r="J821" s="324"/>
      <c r="K821" s="322"/>
      <c r="L821" s="323"/>
      <c r="M821" s="324">
        <v>1800.0</v>
      </c>
      <c r="N821" s="284">
        <v>0.78</v>
      </c>
      <c r="O821" s="322">
        <v>3200.0</v>
      </c>
      <c r="P821" s="313">
        <f t="shared" ref="P821:Q821" si="426">O821</f>
        <v>3200</v>
      </c>
      <c r="Q821" s="319">
        <f t="shared" si="426"/>
        <v>3200</v>
      </c>
      <c r="R821" s="329" t="s">
        <v>8481</v>
      </c>
      <c r="S821" s="330">
        <v>46141.49090009259</v>
      </c>
      <c r="T821" s="2"/>
      <c r="U821" s="289">
        <f t="shared" si="424"/>
        <v>1400</v>
      </c>
      <c r="V821" s="304" t="str">
        <f t="shared" si="425"/>
        <v>нет з/ч</v>
      </c>
      <c r="W821" s="2"/>
      <c r="X821" s="289">
        <v>1800.0</v>
      </c>
      <c r="Y821" s="139"/>
      <c r="Z821" s="2"/>
      <c r="AA821" s="2" t="s">
        <v>8479</v>
      </c>
      <c r="AB821" s="2" t="s">
        <v>8479</v>
      </c>
      <c r="AC821" s="2"/>
      <c r="AD821" s="2" t="s">
        <v>8479</v>
      </c>
      <c r="AE821" s="3" t="s">
        <v>8478</v>
      </c>
      <c r="AF821" s="2"/>
      <c r="AG821" s="1" t="s">
        <v>1582</v>
      </c>
      <c r="AH821" s="1" t="s">
        <v>6205</v>
      </c>
      <c r="AI821" s="2">
        <v>90.0</v>
      </c>
      <c r="AJ821" s="1" t="s">
        <v>1589</v>
      </c>
      <c r="AK821" s="1" t="s">
        <v>5878</v>
      </c>
      <c r="AL821" s="1" t="s">
        <v>5878</v>
      </c>
      <c r="AM821" s="2"/>
      <c r="AN821" s="2"/>
      <c r="AO821" s="2"/>
      <c r="AP821" s="2"/>
      <c r="AQ821" s="2"/>
      <c r="AR821" s="2"/>
      <c r="AS821" s="2"/>
      <c r="AT821" s="2"/>
      <c r="AU821" s="126">
        <v>1800.0</v>
      </c>
      <c r="AV821" s="126">
        <v>3200.0</v>
      </c>
      <c r="AW821" s="2"/>
      <c r="AX821" s="2"/>
      <c r="AY821" s="2"/>
      <c r="AZ821" s="2"/>
      <c r="BA821" s="2"/>
      <c r="BB821" s="2"/>
      <c r="BC821" s="2"/>
      <c r="BD821" s="2"/>
      <c r="BE821" s="2"/>
    </row>
    <row r="822" hidden="1">
      <c r="A822" s="2"/>
      <c r="B822" s="338" t="s">
        <v>8482</v>
      </c>
      <c r="C822" s="93"/>
      <c r="D822" s="31">
        <v>90.0</v>
      </c>
      <c r="E822" s="31" t="s">
        <v>283</v>
      </c>
      <c r="F822" s="11" t="s">
        <v>8379</v>
      </c>
      <c r="G822" s="327" t="s">
        <v>8483</v>
      </c>
      <c r="H822" s="322"/>
      <c r="I822" s="328">
        <v>2600.0</v>
      </c>
      <c r="J822" s="324"/>
      <c r="K822" s="322"/>
      <c r="L822" s="323"/>
      <c r="M822" s="324">
        <v>2600.0</v>
      </c>
      <c r="N822" s="284">
        <v>0.5</v>
      </c>
      <c r="O822" s="322">
        <v>3900.0</v>
      </c>
      <c r="P822" s="313">
        <f t="shared" ref="P822:Q822" si="427">O822</f>
        <v>3900</v>
      </c>
      <c r="Q822" s="319">
        <f t="shared" si="427"/>
        <v>3900</v>
      </c>
      <c r="R822" s="329" t="s">
        <v>8484</v>
      </c>
      <c r="S822" s="330">
        <v>46141.49095206019</v>
      </c>
      <c r="T822" s="2"/>
      <c r="U822" s="289">
        <f t="shared" si="424"/>
        <v>1300</v>
      </c>
      <c r="V822" s="304" t="str">
        <f t="shared" si="425"/>
        <v>нет з/ч</v>
      </c>
      <c r="W822" s="2"/>
      <c r="X822" s="289">
        <v>2600.0</v>
      </c>
      <c r="Y822" s="139"/>
      <c r="Z822" s="2"/>
      <c r="AA822" s="2"/>
      <c r="AB822" s="2"/>
      <c r="AC822" s="2"/>
      <c r="AD822" s="2"/>
      <c r="AE822" s="3" t="s">
        <v>8482</v>
      </c>
      <c r="AF822" s="2"/>
      <c r="AG822" s="1" t="s">
        <v>1582</v>
      </c>
      <c r="AH822" s="1" t="s">
        <v>6229</v>
      </c>
      <c r="AI822" s="2">
        <v>90.0</v>
      </c>
      <c r="AJ822" s="1" t="s">
        <v>1589</v>
      </c>
      <c r="AK822" s="1" t="s">
        <v>5878</v>
      </c>
      <c r="AL822" s="1" t="s">
        <v>5878</v>
      </c>
      <c r="AM822" s="2"/>
      <c r="AN822" s="2"/>
      <c r="AO822" s="2"/>
      <c r="AP822" s="2"/>
      <c r="AQ822" s="2"/>
      <c r="AR822" s="2"/>
      <c r="AS822" s="2"/>
      <c r="AT822" s="2"/>
      <c r="AU822" s="126">
        <v>2600.0</v>
      </c>
      <c r="AV822" s="126">
        <v>3900.0</v>
      </c>
      <c r="AW822" s="2"/>
      <c r="AX822" s="2"/>
      <c r="AY822" s="2"/>
      <c r="AZ822" s="2"/>
      <c r="BA822" s="2"/>
      <c r="BB822" s="2"/>
      <c r="BC822" s="2"/>
      <c r="BD822" s="2"/>
      <c r="BE822" s="2"/>
    </row>
    <row r="823" hidden="1">
      <c r="A823" s="2"/>
      <c r="B823" s="338" t="s">
        <v>8485</v>
      </c>
      <c r="C823" s="320" t="s">
        <v>8486</v>
      </c>
      <c r="D823" s="31">
        <v>90.0</v>
      </c>
      <c r="E823" s="31" t="s">
        <v>290</v>
      </c>
      <c r="F823" s="11" t="s">
        <v>8379</v>
      </c>
      <c r="G823" s="327" t="s">
        <v>8487</v>
      </c>
      <c r="H823" s="322"/>
      <c r="I823" s="328">
        <v>1500.0</v>
      </c>
      <c r="J823" s="324"/>
      <c r="K823" s="322"/>
      <c r="L823" s="323"/>
      <c r="M823" s="324">
        <v>1500.0</v>
      </c>
      <c r="N823" s="284">
        <v>1.33</v>
      </c>
      <c r="O823" s="322">
        <v>3500.0</v>
      </c>
      <c r="P823" s="313">
        <f t="shared" ref="P823:Q823" si="428">O823</f>
        <v>3500</v>
      </c>
      <c r="Q823" s="319">
        <f t="shared" si="428"/>
        <v>3500</v>
      </c>
      <c r="R823" s="329" t="s">
        <v>8488</v>
      </c>
      <c r="S823" s="330">
        <v>46141.49100409722</v>
      </c>
      <c r="T823" s="2"/>
      <c r="U823" s="289">
        <f t="shared" si="424"/>
        <v>2000</v>
      </c>
      <c r="V823" s="304" t="str">
        <f t="shared" si="425"/>
        <v>нет з/ч</v>
      </c>
      <c r="W823" s="2"/>
      <c r="X823" s="289">
        <v>1500.0</v>
      </c>
      <c r="Y823" s="139"/>
      <c r="Z823" s="2"/>
      <c r="AA823" s="2" t="s">
        <v>8486</v>
      </c>
      <c r="AB823" s="2" t="s">
        <v>8486</v>
      </c>
      <c r="AC823" s="2"/>
      <c r="AD823" s="2" t="s">
        <v>8486</v>
      </c>
      <c r="AE823" s="3" t="s">
        <v>8485</v>
      </c>
      <c r="AF823" s="2"/>
      <c r="AG823" s="1" t="s">
        <v>1582</v>
      </c>
      <c r="AH823" s="1" t="s">
        <v>6253</v>
      </c>
      <c r="AI823" s="2">
        <v>90.0</v>
      </c>
      <c r="AJ823" s="1" t="s">
        <v>1589</v>
      </c>
      <c r="AK823" s="1" t="s">
        <v>5878</v>
      </c>
      <c r="AL823" s="1" t="s">
        <v>5878</v>
      </c>
      <c r="AM823" s="2"/>
      <c r="AN823" s="2"/>
      <c r="AO823" s="2"/>
      <c r="AP823" s="2"/>
      <c r="AQ823" s="2"/>
      <c r="AR823" s="2"/>
      <c r="AS823" s="2"/>
      <c r="AT823" s="2"/>
      <c r="AU823" s="126">
        <v>1500.0</v>
      </c>
      <c r="AV823" s="126">
        <v>3500.0</v>
      </c>
      <c r="AW823" s="2"/>
      <c r="AX823" s="2"/>
      <c r="AY823" s="2"/>
      <c r="AZ823" s="2"/>
      <c r="BA823" s="2"/>
      <c r="BB823" s="2"/>
      <c r="BC823" s="2"/>
      <c r="BD823" s="2"/>
      <c r="BE823" s="2"/>
    </row>
    <row r="824" hidden="1">
      <c r="A824" s="2"/>
      <c r="B824" s="338" t="s">
        <v>8489</v>
      </c>
      <c r="C824" s="320" t="s">
        <v>8490</v>
      </c>
      <c r="D824" s="31">
        <v>90.0</v>
      </c>
      <c r="E824" s="31" t="s">
        <v>297</v>
      </c>
      <c r="F824" s="11" t="s">
        <v>8379</v>
      </c>
      <c r="G824" s="327" t="s">
        <v>8491</v>
      </c>
      <c r="H824" s="322"/>
      <c r="I824" s="328">
        <v>1900.0</v>
      </c>
      <c r="J824" s="324"/>
      <c r="K824" s="322"/>
      <c r="L824" s="323"/>
      <c r="M824" s="324">
        <v>1900.0</v>
      </c>
      <c r="N824" s="284">
        <v>0.85</v>
      </c>
      <c r="O824" s="322">
        <v>3500.0</v>
      </c>
      <c r="P824" s="313">
        <f t="shared" ref="P824:Q824" si="429">O824</f>
        <v>3500</v>
      </c>
      <c r="Q824" s="319">
        <f t="shared" si="429"/>
        <v>3500</v>
      </c>
      <c r="R824" s="329" t="s">
        <v>8492</v>
      </c>
      <c r="S824" s="330">
        <v>46141.491056342595</v>
      </c>
      <c r="T824" s="2"/>
      <c r="U824" s="289">
        <f t="shared" si="424"/>
        <v>1600</v>
      </c>
      <c r="V824" s="304" t="str">
        <f t="shared" si="425"/>
        <v>нет з/ч</v>
      </c>
      <c r="W824" s="2"/>
      <c r="X824" s="289">
        <v>1900.0</v>
      </c>
      <c r="Y824" s="139"/>
      <c r="Z824" s="2"/>
      <c r="AA824" s="2" t="s">
        <v>8490</v>
      </c>
      <c r="AB824" s="2" t="s">
        <v>8490</v>
      </c>
      <c r="AC824" s="2"/>
      <c r="AD824" s="2" t="s">
        <v>8490</v>
      </c>
      <c r="AE824" s="3" t="s">
        <v>8489</v>
      </c>
      <c r="AF824" s="2"/>
      <c r="AG824" s="1" t="s">
        <v>1582</v>
      </c>
      <c r="AH824" s="1" t="s">
        <v>6277</v>
      </c>
      <c r="AI824" s="2">
        <v>90.0</v>
      </c>
      <c r="AJ824" s="1" t="s">
        <v>1589</v>
      </c>
      <c r="AK824" s="1" t="s">
        <v>5878</v>
      </c>
      <c r="AL824" s="1" t="s">
        <v>5878</v>
      </c>
      <c r="AM824" s="2"/>
      <c r="AN824" s="2"/>
      <c r="AO824" s="2"/>
      <c r="AP824" s="2"/>
      <c r="AQ824" s="2"/>
      <c r="AR824" s="2"/>
      <c r="AS824" s="2"/>
      <c r="AT824" s="2"/>
      <c r="AU824" s="126">
        <v>1900.0</v>
      </c>
      <c r="AV824" s="126">
        <v>3500.0</v>
      </c>
      <c r="AW824" s="2"/>
      <c r="AX824" s="2"/>
      <c r="AY824" s="2"/>
      <c r="AZ824" s="2"/>
      <c r="BA824" s="2"/>
      <c r="BB824" s="2"/>
      <c r="BC824" s="2"/>
      <c r="BD824" s="2"/>
      <c r="BE824" s="2"/>
    </row>
    <row r="825" hidden="1">
      <c r="A825" s="2"/>
      <c r="B825" s="338" t="s">
        <v>8493</v>
      </c>
      <c r="C825" s="320" t="s">
        <v>8494</v>
      </c>
      <c r="D825" s="31">
        <v>90.0</v>
      </c>
      <c r="E825" s="31" t="s">
        <v>304</v>
      </c>
      <c r="F825" s="11" t="s">
        <v>8379</v>
      </c>
      <c r="G825" s="327" t="s">
        <v>8495</v>
      </c>
      <c r="H825" s="322"/>
      <c r="I825" s="328">
        <v>1800.0</v>
      </c>
      <c r="J825" s="324"/>
      <c r="K825" s="322"/>
      <c r="L825" s="323"/>
      <c r="M825" s="324">
        <v>1800.0</v>
      </c>
      <c r="N825" s="284">
        <v>1.9</v>
      </c>
      <c r="O825" s="322">
        <v>5200.0</v>
      </c>
      <c r="P825" s="313">
        <f t="shared" ref="P825:Q825" si="430">O825</f>
        <v>5200</v>
      </c>
      <c r="Q825" s="319">
        <f t="shared" si="430"/>
        <v>5200</v>
      </c>
      <c r="R825" s="329" t="s">
        <v>8496</v>
      </c>
      <c r="S825" s="330">
        <v>46141.491108368056</v>
      </c>
      <c r="T825" s="2"/>
      <c r="U825" s="289">
        <f t="shared" si="424"/>
        <v>3400</v>
      </c>
      <c r="V825" s="304" t="str">
        <f t="shared" si="425"/>
        <v>нет з/ч</v>
      </c>
      <c r="W825" s="2"/>
      <c r="X825" s="289">
        <v>1800.0</v>
      </c>
      <c r="Y825" s="139"/>
      <c r="Z825" s="2"/>
      <c r="AA825" s="2" t="s">
        <v>8494</v>
      </c>
      <c r="AB825" s="2" t="s">
        <v>8494</v>
      </c>
      <c r="AC825" s="2"/>
      <c r="AD825" s="2" t="s">
        <v>8494</v>
      </c>
      <c r="AE825" s="3" t="s">
        <v>8493</v>
      </c>
      <c r="AF825" s="2"/>
      <c r="AG825" s="1" t="s">
        <v>1582</v>
      </c>
      <c r="AH825" s="1" t="s">
        <v>6295</v>
      </c>
      <c r="AI825" s="2">
        <v>90.0</v>
      </c>
      <c r="AJ825" s="1" t="s">
        <v>1589</v>
      </c>
      <c r="AK825" s="1" t="s">
        <v>5878</v>
      </c>
      <c r="AL825" s="1" t="s">
        <v>5878</v>
      </c>
      <c r="AM825" s="2"/>
      <c r="AN825" s="2"/>
      <c r="AO825" s="2"/>
      <c r="AP825" s="2"/>
      <c r="AQ825" s="2"/>
      <c r="AR825" s="2"/>
      <c r="AS825" s="2"/>
      <c r="AT825" s="2"/>
      <c r="AU825" s="126">
        <v>1800.0</v>
      </c>
      <c r="AV825" s="126">
        <v>5200.0</v>
      </c>
      <c r="AW825" s="2"/>
      <c r="AX825" s="2"/>
      <c r="AY825" s="2"/>
      <c r="AZ825" s="2"/>
      <c r="BA825" s="2"/>
      <c r="BB825" s="2"/>
      <c r="BC825" s="2"/>
      <c r="BD825" s="2"/>
      <c r="BE825" s="2"/>
    </row>
    <row r="826" hidden="1">
      <c r="A826" s="2"/>
      <c r="B826" s="338" t="s">
        <v>8497</v>
      </c>
      <c r="C826" s="320" t="s">
        <v>8498</v>
      </c>
      <c r="D826" s="31">
        <v>90.0</v>
      </c>
      <c r="E826" s="31" t="s">
        <v>311</v>
      </c>
      <c r="F826" s="11" t="s">
        <v>8379</v>
      </c>
      <c r="G826" s="327" t="s">
        <v>8499</v>
      </c>
      <c r="H826" s="322"/>
      <c r="I826" s="328">
        <v>2600.0</v>
      </c>
      <c r="J826" s="324"/>
      <c r="K826" s="322"/>
      <c r="L826" s="323"/>
      <c r="M826" s="324">
        <v>2600.0</v>
      </c>
      <c r="N826" s="284">
        <v>1.0</v>
      </c>
      <c r="O826" s="322">
        <v>5200.0</v>
      </c>
      <c r="P826" s="313">
        <f t="shared" ref="P826:Q826" si="431">O826</f>
        <v>5200</v>
      </c>
      <c r="Q826" s="319">
        <f t="shared" si="431"/>
        <v>5200</v>
      </c>
      <c r="R826" s="329" t="s">
        <v>8500</v>
      </c>
      <c r="S826" s="330">
        <v>46141.491161770835</v>
      </c>
      <c r="T826" s="2"/>
      <c r="U826" s="289">
        <f t="shared" si="424"/>
        <v>2600</v>
      </c>
      <c r="V826" s="304" t="str">
        <f t="shared" si="425"/>
        <v>нет з/ч</v>
      </c>
      <c r="W826" s="2"/>
      <c r="X826" s="289">
        <v>2600.0</v>
      </c>
      <c r="Y826" s="139"/>
      <c r="Z826" s="2"/>
      <c r="AA826" s="2" t="s">
        <v>8498</v>
      </c>
      <c r="AB826" s="2" t="s">
        <v>8498</v>
      </c>
      <c r="AC826" s="2"/>
      <c r="AD826" s="2" t="s">
        <v>8498</v>
      </c>
      <c r="AE826" s="3" t="s">
        <v>8497</v>
      </c>
      <c r="AF826" s="2"/>
      <c r="AG826" s="1" t="s">
        <v>1582</v>
      </c>
      <c r="AH826" s="1" t="s">
        <v>6319</v>
      </c>
      <c r="AI826" s="2">
        <v>90.0</v>
      </c>
      <c r="AJ826" s="1" t="s">
        <v>1589</v>
      </c>
      <c r="AK826" s="1" t="s">
        <v>5878</v>
      </c>
      <c r="AL826" s="1" t="s">
        <v>5878</v>
      </c>
      <c r="AM826" s="2"/>
      <c r="AN826" s="2"/>
      <c r="AO826" s="2"/>
      <c r="AP826" s="2"/>
      <c r="AQ826" s="2"/>
      <c r="AR826" s="2"/>
      <c r="AS826" s="2"/>
      <c r="AT826" s="2"/>
      <c r="AU826" s="126">
        <v>2600.0</v>
      </c>
      <c r="AV826" s="126">
        <v>5200.0</v>
      </c>
      <c r="AW826" s="2"/>
      <c r="AX826" s="2"/>
      <c r="AY826" s="2"/>
      <c r="AZ826" s="2"/>
      <c r="BA826" s="2"/>
      <c r="BB826" s="2"/>
      <c r="BC826" s="2"/>
      <c r="BD826" s="2"/>
      <c r="BE826" s="2"/>
    </row>
    <row r="827" hidden="1">
      <c r="A827" s="2"/>
      <c r="B827" s="338" t="s">
        <v>8501</v>
      </c>
      <c r="C827" s="93"/>
      <c r="D827" s="31">
        <v>90.0</v>
      </c>
      <c r="E827" s="31" t="s">
        <v>318</v>
      </c>
      <c r="F827" s="11" t="s">
        <v>8379</v>
      </c>
      <c r="G827" s="327" t="s">
        <v>8502</v>
      </c>
      <c r="H827" s="322"/>
      <c r="I827" s="328">
        <v>2500.0</v>
      </c>
      <c r="J827" s="324"/>
      <c r="K827" s="322"/>
      <c r="L827" s="323"/>
      <c r="M827" s="324">
        <v>2500.0</v>
      </c>
      <c r="N827" s="284">
        <v>0.32</v>
      </c>
      <c r="O827" s="322">
        <v>3300.0</v>
      </c>
      <c r="P827" s="313">
        <f t="shared" ref="P827:Q827" si="432">O827</f>
        <v>3300</v>
      </c>
      <c r="Q827" s="319">
        <f t="shared" si="432"/>
        <v>3300</v>
      </c>
      <c r="R827" s="329" t="s">
        <v>8503</v>
      </c>
      <c r="S827" s="330">
        <v>46141.491212685185</v>
      </c>
      <c r="T827" s="2"/>
      <c r="U827" s="289">
        <f t="shared" si="424"/>
        <v>800</v>
      </c>
      <c r="V827" s="304" t="str">
        <f t="shared" si="425"/>
        <v>нет з/ч</v>
      </c>
      <c r="W827" s="2"/>
      <c r="X827" s="289">
        <v>2500.0</v>
      </c>
      <c r="Y827" s="139"/>
      <c r="Z827" s="2"/>
      <c r="AA827" s="2"/>
      <c r="AB827" s="2"/>
      <c r="AC827" s="2"/>
      <c r="AD827" s="2"/>
      <c r="AE827" s="3" t="s">
        <v>8501</v>
      </c>
      <c r="AF827" s="2"/>
      <c r="AG827" s="1" t="s">
        <v>1582</v>
      </c>
      <c r="AH827" s="1" t="s">
        <v>6343</v>
      </c>
      <c r="AI827" s="2">
        <v>90.0</v>
      </c>
      <c r="AJ827" s="1" t="s">
        <v>1589</v>
      </c>
      <c r="AK827" s="1" t="s">
        <v>5878</v>
      </c>
      <c r="AL827" s="1" t="s">
        <v>5878</v>
      </c>
      <c r="AM827" s="2"/>
      <c r="AN827" s="2"/>
      <c r="AO827" s="2"/>
      <c r="AP827" s="2"/>
      <c r="AQ827" s="2"/>
      <c r="AR827" s="2"/>
      <c r="AS827" s="2"/>
      <c r="AT827" s="2"/>
      <c r="AU827" s="126">
        <v>2500.0</v>
      </c>
      <c r="AV827" s="126">
        <v>3300.0</v>
      </c>
      <c r="AW827" s="2"/>
      <c r="AX827" s="2"/>
      <c r="AY827" s="2"/>
      <c r="AZ827" s="2"/>
      <c r="BA827" s="2"/>
      <c r="BB827" s="2"/>
      <c r="BC827" s="2"/>
      <c r="BD827" s="2"/>
      <c r="BE827" s="2"/>
    </row>
    <row r="828" hidden="1">
      <c r="A828" s="2"/>
      <c r="B828" s="338" t="s">
        <v>8504</v>
      </c>
      <c r="C828" s="93"/>
      <c r="D828" s="31">
        <v>90.0</v>
      </c>
      <c r="E828" s="31" t="s">
        <v>325</v>
      </c>
      <c r="F828" s="11" t="s">
        <v>8379</v>
      </c>
      <c r="G828" s="321"/>
      <c r="H828" s="322"/>
      <c r="I828" s="323"/>
      <c r="J828" s="324"/>
      <c r="K828" s="322"/>
      <c r="L828" s="323"/>
      <c r="M828" s="324" t="s">
        <v>22</v>
      </c>
      <c r="N828" s="284">
        <v>1.5</v>
      </c>
      <c r="O828" s="322" t="s">
        <v>22</v>
      </c>
      <c r="P828" s="313" t="str">
        <f t="shared" ref="P828:Q828" si="433">O828</f>
        <v/>
      </c>
      <c r="Q828" s="319" t="str">
        <f t="shared" si="433"/>
        <v/>
      </c>
      <c r="R828" s="331"/>
      <c r="S828" s="326"/>
      <c r="T828" s="2"/>
      <c r="U828" s="59" t="str">
        <f t="shared" si="424"/>
        <v>нет з/ч</v>
      </c>
      <c r="V828" s="304" t="str">
        <f t="shared" si="425"/>
        <v>нет з/ч</v>
      </c>
      <c r="W828" s="2"/>
      <c r="X828" s="289"/>
      <c r="Y828" s="139"/>
      <c r="Z828" s="2"/>
      <c r="AA828" s="2"/>
      <c r="AB828" s="2"/>
      <c r="AC828" s="2"/>
      <c r="AD828" s="2"/>
      <c r="AE828" s="3" t="s">
        <v>8504</v>
      </c>
      <c r="AF828" s="2"/>
      <c r="AG828" s="1" t="s">
        <v>1582</v>
      </c>
      <c r="AH828" s="1" t="s">
        <v>6359</v>
      </c>
      <c r="AI828" s="2">
        <v>90.0</v>
      </c>
      <c r="AJ828" s="1" t="s">
        <v>1589</v>
      </c>
      <c r="AK828" s="1" t="s">
        <v>5878</v>
      </c>
      <c r="AL828" s="1" t="s">
        <v>5878</v>
      </c>
      <c r="AM828" s="2"/>
      <c r="AN828" s="2"/>
      <c r="AO828" s="2"/>
      <c r="AP828" s="2"/>
      <c r="AQ828" s="2"/>
      <c r="AR828" s="2"/>
      <c r="AS828" s="2"/>
      <c r="AT828" s="2"/>
      <c r="AU828" s="126" t="s">
        <v>22</v>
      </c>
      <c r="AV828" s="126" t="s">
        <v>22</v>
      </c>
      <c r="AW828" s="2"/>
      <c r="AX828" s="2"/>
      <c r="AY828" s="2"/>
      <c r="AZ828" s="2"/>
      <c r="BA828" s="2"/>
      <c r="BB828" s="2"/>
      <c r="BC828" s="2"/>
      <c r="BD828" s="2"/>
      <c r="BE828" s="2"/>
    </row>
    <row r="829" hidden="1">
      <c r="A829" s="2"/>
      <c r="B829" s="338" t="s">
        <v>8505</v>
      </c>
      <c r="C829" s="93"/>
      <c r="D829" s="31">
        <v>90.0</v>
      </c>
      <c r="E829" s="31" t="s">
        <v>332</v>
      </c>
      <c r="F829" s="11" t="s">
        <v>8379</v>
      </c>
      <c r="G829" s="327" t="s">
        <v>8506</v>
      </c>
      <c r="H829" s="322"/>
      <c r="I829" s="328">
        <v>2900.0</v>
      </c>
      <c r="J829" s="324"/>
      <c r="K829" s="322"/>
      <c r="L829" s="323"/>
      <c r="M829" s="324">
        <v>2900.0</v>
      </c>
      <c r="N829" s="284">
        <v>0.34</v>
      </c>
      <c r="O829" s="322">
        <v>3900.0</v>
      </c>
      <c r="P829" s="313">
        <f t="shared" ref="P829:Q829" si="434">O829</f>
        <v>3900</v>
      </c>
      <c r="Q829" s="319">
        <f t="shared" si="434"/>
        <v>3900</v>
      </c>
      <c r="R829" s="329" t="s">
        <v>8507</v>
      </c>
      <c r="S829" s="330">
        <v>46141.49126494213</v>
      </c>
      <c r="T829" s="2"/>
      <c r="U829" s="289">
        <f t="shared" si="424"/>
        <v>1000</v>
      </c>
      <c r="V829" s="304" t="str">
        <f t="shared" si="425"/>
        <v>нет з/ч</v>
      </c>
      <c r="W829" s="2"/>
      <c r="X829" s="289">
        <v>2900.0</v>
      </c>
      <c r="Y829" s="139"/>
      <c r="Z829" s="2"/>
      <c r="AA829" s="2"/>
      <c r="AB829" s="2"/>
      <c r="AC829" s="2"/>
      <c r="AD829" s="2"/>
      <c r="AE829" s="3" t="s">
        <v>8505</v>
      </c>
      <c r="AF829" s="2"/>
      <c r="AG829" s="1" t="s">
        <v>1582</v>
      </c>
      <c r="AH829" s="1" t="s">
        <v>6373</v>
      </c>
      <c r="AI829" s="2">
        <v>90.0</v>
      </c>
      <c r="AJ829" s="1" t="s">
        <v>1589</v>
      </c>
      <c r="AK829" s="1" t="s">
        <v>5878</v>
      </c>
      <c r="AL829" s="1" t="s">
        <v>5878</v>
      </c>
      <c r="AM829" s="2"/>
      <c r="AN829" s="2"/>
      <c r="AO829" s="2"/>
      <c r="AP829" s="2"/>
      <c r="AQ829" s="2"/>
      <c r="AR829" s="2"/>
      <c r="AS829" s="2"/>
      <c r="AT829" s="2"/>
      <c r="AU829" s="126">
        <v>2900.0</v>
      </c>
      <c r="AV829" s="126">
        <v>3900.0</v>
      </c>
      <c r="AW829" s="2"/>
      <c r="AX829" s="2"/>
      <c r="AY829" s="2"/>
      <c r="AZ829" s="2"/>
      <c r="BA829" s="2"/>
      <c r="BB829" s="2"/>
      <c r="BC829" s="2"/>
      <c r="BD829" s="2"/>
      <c r="BE829" s="2"/>
    </row>
    <row r="830" hidden="1">
      <c r="A830" s="2"/>
      <c r="B830" s="338" t="s">
        <v>8508</v>
      </c>
      <c r="C830" s="320" t="s">
        <v>8509</v>
      </c>
      <c r="D830" s="31">
        <v>90.0</v>
      </c>
      <c r="E830" s="31" t="s">
        <v>339</v>
      </c>
      <c r="F830" s="11" t="s">
        <v>8379</v>
      </c>
      <c r="G830" s="327" t="s">
        <v>8510</v>
      </c>
      <c r="H830" s="322"/>
      <c r="I830" s="328">
        <v>3300.0</v>
      </c>
      <c r="J830" s="324"/>
      <c r="K830" s="322"/>
      <c r="L830" s="323"/>
      <c r="M830" s="324">
        <v>3300.0</v>
      </c>
      <c r="N830" s="284">
        <v>0.24</v>
      </c>
      <c r="O830" s="322">
        <v>4100.0</v>
      </c>
      <c r="P830" s="313">
        <f t="shared" ref="P830:Q830" si="435">O830</f>
        <v>4100</v>
      </c>
      <c r="Q830" s="319">
        <f t="shared" si="435"/>
        <v>4100</v>
      </c>
      <c r="R830" s="329" t="s">
        <v>8511</v>
      </c>
      <c r="S830" s="330">
        <v>46141.54366696759</v>
      </c>
      <c r="T830" s="2"/>
      <c r="U830" s="289">
        <f t="shared" si="424"/>
        <v>800</v>
      </c>
      <c r="V830" s="304" t="str">
        <f t="shared" si="425"/>
        <v>нет з/ч</v>
      </c>
      <c r="W830" s="2"/>
      <c r="X830" s="289">
        <v>3300.0</v>
      </c>
      <c r="Y830" s="139"/>
      <c r="Z830" s="2"/>
      <c r="AA830" s="2" t="s">
        <v>8509</v>
      </c>
      <c r="AB830" s="2" t="s">
        <v>8509</v>
      </c>
      <c r="AC830" s="2"/>
      <c r="AD830" s="2" t="s">
        <v>8509</v>
      </c>
      <c r="AE830" s="3" t="s">
        <v>8508</v>
      </c>
      <c r="AF830" s="2"/>
      <c r="AG830" s="1" t="s">
        <v>1582</v>
      </c>
      <c r="AH830" s="1" t="s">
        <v>6389</v>
      </c>
      <c r="AI830" s="2">
        <v>90.0</v>
      </c>
      <c r="AJ830" s="1" t="s">
        <v>1589</v>
      </c>
      <c r="AK830" s="1" t="s">
        <v>5878</v>
      </c>
      <c r="AL830" s="1" t="s">
        <v>5878</v>
      </c>
      <c r="AM830" s="2"/>
      <c r="AN830" s="2"/>
      <c r="AO830" s="2"/>
      <c r="AP830" s="2"/>
      <c r="AQ830" s="2"/>
      <c r="AR830" s="2"/>
      <c r="AS830" s="2"/>
      <c r="AT830" s="2"/>
      <c r="AU830" s="126">
        <v>3300.0</v>
      </c>
      <c r="AV830" s="126">
        <v>4100.0</v>
      </c>
      <c r="AW830" s="2"/>
      <c r="AX830" s="2"/>
      <c r="AY830" s="2"/>
      <c r="AZ830" s="2"/>
      <c r="BA830" s="2"/>
      <c r="BB830" s="2"/>
      <c r="BC830" s="2"/>
      <c r="BD830" s="2"/>
      <c r="BE830" s="2"/>
    </row>
    <row r="831" hidden="1">
      <c r="A831" s="2"/>
      <c r="B831" s="338" t="s">
        <v>8512</v>
      </c>
      <c r="C831" s="320" t="s">
        <v>8513</v>
      </c>
      <c r="D831" s="31">
        <v>90.0</v>
      </c>
      <c r="E831" s="31" t="s">
        <v>346</v>
      </c>
      <c r="F831" s="11" t="s">
        <v>8379</v>
      </c>
      <c r="G831" s="327" t="s">
        <v>8514</v>
      </c>
      <c r="H831" s="322"/>
      <c r="I831" s="328">
        <v>3500.0</v>
      </c>
      <c r="J831" s="324"/>
      <c r="K831" s="322"/>
      <c r="L831" s="323"/>
      <c r="M831" s="324">
        <v>3500.0</v>
      </c>
      <c r="N831" s="284">
        <v>0.17</v>
      </c>
      <c r="O831" s="322">
        <v>4100.0</v>
      </c>
      <c r="P831" s="313">
        <f t="shared" ref="P831:Q831" si="436">O831</f>
        <v>4100</v>
      </c>
      <c r="Q831" s="319">
        <f t="shared" si="436"/>
        <v>4100</v>
      </c>
      <c r="R831" s="329" t="s">
        <v>8515</v>
      </c>
      <c r="S831" s="330">
        <v>46141.54371991898</v>
      </c>
      <c r="T831" s="2"/>
      <c r="U831" s="289">
        <f t="shared" si="424"/>
        <v>600</v>
      </c>
      <c r="V831" s="304" t="str">
        <f t="shared" si="425"/>
        <v>нет з/ч</v>
      </c>
      <c r="W831" s="2"/>
      <c r="X831" s="289">
        <v>3500.0</v>
      </c>
      <c r="Y831" s="139"/>
      <c r="Z831" s="2"/>
      <c r="AA831" s="2" t="s">
        <v>8513</v>
      </c>
      <c r="AB831" s="2" t="s">
        <v>8513</v>
      </c>
      <c r="AC831" s="2"/>
      <c r="AD831" s="2" t="s">
        <v>8513</v>
      </c>
      <c r="AE831" s="3" t="s">
        <v>8512</v>
      </c>
      <c r="AF831" s="2"/>
      <c r="AG831" s="1" t="s">
        <v>1582</v>
      </c>
      <c r="AH831" s="1" t="s">
        <v>6407</v>
      </c>
      <c r="AI831" s="2">
        <v>90.0</v>
      </c>
      <c r="AJ831" s="1" t="s">
        <v>1589</v>
      </c>
      <c r="AK831" s="1" t="s">
        <v>5878</v>
      </c>
      <c r="AL831" s="1" t="s">
        <v>5878</v>
      </c>
      <c r="AM831" s="2"/>
      <c r="AN831" s="2"/>
      <c r="AO831" s="2"/>
      <c r="AP831" s="2"/>
      <c r="AQ831" s="2"/>
      <c r="AR831" s="2"/>
      <c r="AS831" s="2"/>
      <c r="AT831" s="2"/>
      <c r="AU831" s="126">
        <v>3500.0</v>
      </c>
      <c r="AV831" s="126">
        <v>4100.0</v>
      </c>
      <c r="AW831" s="2"/>
      <c r="AX831" s="2"/>
      <c r="AY831" s="2"/>
      <c r="AZ831" s="2"/>
      <c r="BA831" s="2"/>
      <c r="BB831" s="2"/>
      <c r="BC831" s="2"/>
      <c r="BD831" s="2"/>
      <c r="BE831" s="2"/>
    </row>
    <row r="832" hidden="1">
      <c r="A832" s="2"/>
      <c r="B832" s="338" t="s">
        <v>8516</v>
      </c>
      <c r="C832" s="93"/>
      <c r="D832" s="31">
        <v>90.0</v>
      </c>
      <c r="E832" s="31" t="s">
        <v>353</v>
      </c>
      <c r="F832" s="11" t="s">
        <v>8379</v>
      </c>
      <c r="G832" s="327" t="s">
        <v>8517</v>
      </c>
      <c r="H832" s="322"/>
      <c r="I832" s="328">
        <v>4700.0</v>
      </c>
      <c r="J832" s="324"/>
      <c r="K832" s="322"/>
      <c r="L832" s="323"/>
      <c r="M832" s="324">
        <v>4700.0</v>
      </c>
      <c r="N832" s="284">
        <v>0.55</v>
      </c>
      <c r="O832" s="322">
        <v>7300.0</v>
      </c>
      <c r="P832" s="313">
        <f t="shared" ref="P832:Q832" si="437">O832</f>
        <v>7300</v>
      </c>
      <c r="Q832" s="319">
        <f t="shared" si="437"/>
        <v>7300</v>
      </c>
      <c r="R832" s="329" t="s">
        <v>8518</v>
      </c>
      <c r="S832" s="330">
        <v>46141.49142839121</v>
      </c>
      <c r="T832" s="2"/>
      <c r="U832" s="289">
        <f t="shared" si="424"/>
        <v>2600</v>
      </c>
      <c r="V832" s="304" t="str">
        <f t="shared" si="425"/>
        <v>нет з/ч</v>
      </c>
      <c r="W832" s="2"/>
      <c r="X832" s="289">
        <v>4700.0</v>
      </c>
      <c r="Y832" s="139"/>
      <c r="Z832" s="2"/>
      <c r="AA832" s="2"/>
      <c r="AB832" s="2"/>
      <c r="AC832" s="2"/>
      <c r="AD832" s="2"/>
      <c r="AE832" s="3" t="s">
        <v>8516</v>
      </c>
      <c r="AF832" s="2"/>
      <c r="AG832" s="1" t="s">
        <v>1582</v>
      </c>
      <c r="AH832" s="1" t="s">
        <v>6922</v>
      </c>
      <c r="AI832" s="2">
        <v>90.0</v>
      </c>
      <c r="AJ832" s="1" t="s">
        <v>1589</v>
      </c>
      <c r="AK832" s="1" t="s">
        <v>5878</v>
      </c>
      <c r="AL832" s="1" t="s">
        <v>5878</v>
      </c>
      <c r="AM832" s="2"/>
      <c r="AN832" s="2"/>
      <c r="AO832" s="2"/>
      <c r="AP832" s="2"/>
      <c r="AQ832" s="2"/>
      <c r="AR832" s="2"/>
      <c r="AS832" s="2"/>
      <c r="AT832" s="2"/>
      <c r="AU832" s="126">
        <v>4700.0</v>
      </c>
      <c r="AV832" s="126">
        <v>7300.0</v>
      </c>
      <c r="AW832" s="2"/>
      <c r="AX832" s="2"/>
      <c r="AY832" s="2"/>
      <c r="AZ832" s="2"/>
      <c r="BA832" s="2"/>
      <c r="BB832" s="2"/>
      <c r="BC832" s="2"/>
      <c r="BD832" s="2"/>
      <c r="BE832" s="2"/>
    </row>
    <row r="833" hidden="1">
      <c r="A833" s="2"/>
      <c r="B833" s="338" t="s">
        <v>8519</v>
      </c>
      <c r="C833" s="93"/>
      <c r="D833" s="31">
        <v>90.0</v>
      </c>
      <c r="E833" s="31" t="s">
        <v>360</v>
      </c>
      <c r="F833" s="11" t="s">
        <v>8379</v>
      </c>
      <c r="G833" s="327" t="s">
        <v>8520</v>
      </c>
      <c r="H833" s="322"/>
      <c r="I833" s="328">
        <v>5000.0</v>
      </c>
      <c r="J833" s="324"/>
      <c r="K833" s="322"/>
      <c r="L833" s="323"/>
      <c r="M833" s="324">
        <v>5000.0</v>
      </c>
      <c r="N833" s="284">
        <v>0.56</v>
      </c>
      <c r="O833" s="322">
        <v>7800.0</v>
      </c>
      <c r="P833" s="313">
        <f t="shared" ref="P833:Q833" si="438">O833</f>
        <v>7800</v>
      </c>
      <c r="Q833" s="319">
        <f t="shared" si="438"/>
        <v>7800</v>
      </c>
      <c r="R833" s="336" t="s">
        <v>8521</v>
      </c>
      <c r="S833" s="330">
        <v>46141.49149060185</v>
      </c>
      <c r="T833" s="2"/>
      <c r="U833" s="289">
        <f t="shared" si="424"/>
        <v>2800</v>
      </c>
      <c r="V833" s="304" t="str">
        <f t="shared" si="425"/>
        <v>нет з/ч</v>
      </c>
      <c r="W833" s="2"/>
      <c r="X833" s="289">
        <v>5000.0</v>
      </c>
      <c r="Y833" s="139"/>
      <c r="Z833" s="2"/>
      <c r="AA833" s="2"/>
      <c r="AB833" s="2"/>
      <c r="AC833" s="2"/>
      <c r="AD833" s="2"/>
      <c r="AE833" s="3" t="s">
        <v>8519</v>
      </c>
      <c r="AF833" s="2"/>
      <c r="AG833" s="1" t="s">
        <v>1582</v>
      </c>
      <c r="AH833" s="1" t="s">
        <v>6934</v>
      </c>
      <c r="AI833" s="2">
        <v>90.0</v>
      </c>
      <c r="AJ833" s="1" t="s">
        <v>1589</v>
      </c>
      <c r="AK833" s="1" t="s">
        <v>5878</v>
      </c>
      <c r="AL833" s="1" t="s">
        <v>5878</v>
      </c>
      <c r="AM833" s="2"/>
      <c r="AN833" s="2"/>
      <c r="AO833" s="2"/>
      <c r="AP833" s="2"/>
      <c r="AQ833" s="2"/>
      <c r="AR833" s="2"/>
      <c r="AS833" s="2"/>
      <c r="AT833" s="2"/>
      <c r="AU833" s="126">
        <v>5000.0</v>
      </c>
      <c r="AV833" s="126">
        <v>7800.0</v>
      </c>
      <c r="AW833" s="2"/>
      <c r="AX833" s="2"/>
      <c r="AY833" s="2"/>
      <c r="AZ833" s="2"/>
      <c r="BA833" s="2"/>
      <c r="BB833" s="2"/>
      <c r="BC833" s="2"/>
      <c r="BD833" s="2"/>
      <c r="BE833" s="2"/>
    </row>
    <row r="834" hidden="1">
      <c r="A834" s="2"/>
      <c r="B834" s="338" t="s">
        <v>8522</v>
      </c>
      <c r="C834" s="93"/>
      <c r="D834" s="31">
        <v>90.0</v>
      </c>
      <c r="E834" s="31" t="s">
        <v>367</v>
      </c>
      <c r="F834" s="11" t="s">
        <v>8379</v>
      </c>
      <c r="G834" s="327" t="s">
        <v>8523</v>
      </c>
      <c r="H834" s="322"/>
      <c r="I834" s="328">
        <v>5200.0</v>
      </c>
      <c r="J834" s="324"/>
      <c r="K834" s="322"/>
      <c r="L834" s="323"/>
      <c r="M834" s="324">
        <v>5200.0</v>
      </c>
      <c r="N834" s="284">
        <v>0.6</v>
      </c>
      <c r="O834" s="322">
        <v>8300.0</v>
      </c>
      <c r="P834" s="313">
        <f t="shared" ref="P834:Q834" si="439">O834</f>
        <v>8300</v>
      </c>
      <c r="Q834" s="319">
        <f t="shared" si="439"/>
        <v>8300</v>
      </c>
      <c r="R834" s="329" t="s">
        <v>8524</v>
      </c>
      <c r="S834" s="330">
        <v>46141.49154177083</v>
      </c>
      <c r="T834" s="2"/>
      <c r="U834" s="289">
        <f t="shared" si="424"/>
        <v>3100</v>
      </c>
      <c r="V834" s="304" t="str">
        <f t="shared" si="425"/>
        <v>нет з/ч</v>
      </c>
      <c r="W834" s="2"/>
      <c r="X834" s="289">
        <v>5200.0</v>
      </c>
      <c r="Y834" s="139"/>
      <c r="Z834" s="2"/>
      <c r="AA834" s="2"/>
      <c r="AB834" s="2"/>
      <c r="AC834" s="2"/>
      <c r="AD834" s="2"/>
      <c r="AE834" s="3" t="s">
        <v>8522</v>
      </c>
      <c r="AF834" s="2"/>
      <c r="AG834" s="1" t="s">
        <v>1582</v>
      </c>
      <c r="AH834" s="1" t="s">
        <v>6946</v>
      </c>
      <c r="AI834" s="2">
        <v>90.0</v>
      </c>
      <c r="AJ834" s="1" t="s">
        <v>1589</v>
      </c>
      <c r="AK834" s="1" t="s">
        <v>5878</v>
      </c>
      <c r="AL834" s="1" t="s">
        <v>5878</v>
      </c>
      <c r="AM834" s="2"/>
      <c r="AN834" s="2"/>
      <c r="AO834" s="2"/>
      <c r="AP834" s="2"/>
      <c r="AQ834" s="2"/>
      <c r="AR834" s="2"/>
      <c r="AS834" s="2"/>
      <c r="AT834" s="2"/>
      <c r="AU834" s="126">
        <v>5200.0</v>
      </c>
      <c r="AV834" s="126">
        <v>8300.0</v>
      </c>
      <c r="AW834" s="2"/>
      <c r="AX834" s="2"/>
      <c r="AY834" s="2"/>
      <c r="AZ834" s="2"/>
      <c r="BA834" s="2"/>
      <c r="BB834" s="2"/>
      <c r="BC834" s="2"/>
      <c r="BD834" s="2"/>
      <c r="BE834" s="2"/>
    </row>
    <row r="835" hidden="1">
      <c r="A835" s="2"/>
      <c r="B835" s="338" t="s">
        <v>8525</v>
      </c>
      <c r="C835" s="93"/>
      <c r="D835" s="31">
        <v>90.0</v>
      </c>
      <c r="E835" s="31" t="s">
        <v>374</v>
      </c>
      <c r="F835" s="11" t="s">
        <v>8379</v>
      </c>
      <c r="G835" s="327" t="s">
        <v>8526</v>
      </c>
      <c r="H835" s="322"/>
      <c r="I835" s="328">
        <v>5500.0</v>
      </c>
      <c r="J835" s="324"/>
      <c r="K835" s="322"/>
      <c r="L835" s="323"/>
      <c r="M835" s="324">
        <v>5500.0</v>
      </c>
      <c r="N835" s="284">
        <v>0.73</v>
      </c>
      <c r="O835" s="322">
        <v>9500.0</v>
      </c>
      <c r="P835" s="313">
        <f t="shared" ref="P835:Q835" si="440">O835</f>
        <v>9500</v>
      </c>
      <c r="Q835" s="319">
        <f t="shared" si="440"/>
        <v>9500</v>
      </c>
      <c r="R835" s="329" t="s">
        <v>8527</v>
      </c>
      <c r="S835" s="330">
        <v>46141.49159356482</v>
      </c>
      <c r="T835" s="2"/>
      <c r="U835" s="289">
        <f t="shared" si="424"/>
        <v>4000</v>
      </c>
      <c r="V835" s="304" t="str">
        <f t="shared" si="425"/>
        <v>нет з/ч</v>
      </c>
      <c r="W835" s="2"/>
      <c r="X835" s="289">
        <v>5500.0</v>
      </c>
      <c r="Y835" s="139"/>
      <c r="Z835" s="2"/>
      <c r="AA835" s="2"/>
      <c r="AB835" s="2"/>
      <c r="AC835" s="2"/>
      <c r="AD835" s="2"/>
      <c r="AE835" s="3" t="s">
        <v>8525</v>
      </c>
      <c r="AF835" s="2"/>
      <c r="AG835" s="1" t="s">
        <v>1582</v>
      </c>
      <c r="AH835" s="1" t="s">
        <v>6958</v>
      </c>
      <c r="AI835" s="2">
        <v>90.0</v>
      </c>
      <c r="AJ835" s="1" t="s">
        <v>1589</v>
      </c>
      <c r="AK835" s="1" t="s">
        <v>5878</v>
      </c>
      <c r="AL835" s="1" t="s">
        <v>5878</v>
      </c>
      <c r="AM835" s="2"/>
      <c r="AN835" s="2"/>
      <c r="AO835" s="2"/>
      <c r="AP835" s="2"/>
      <c r="AQ835" s="2"/>
      <c r="AR835" s="2"/>
      <c r="AS835" s="2"/>
      <c r="AT835" s="2"/>
      <c r="AU835" s="126">
        <v>5500.0</v>
      </c>
      <c r="AV835" s="126">
        <v>9500.0</v>
      </c>
      <c r="AW835" s="2"/>
      <c r="AX835" s="2"/>
      <c r="AY835" s="2"/>
      <c r="AZ835" s="2"/>
      <c r="BA835" s="2"/>
      <c r="BB835" s="2"/>
      <c r="BC835" s="2"/>
      <c r="BD835" s="2"/>
      <c r="BE835" s="2"/>
    </row>
    <row r="836" hidden="1">
      <c r="A836" s="2"/>
      <c r="B836" s="337" t="s">
        <v>8528</v>
      </c>
      <c r="C836" s="320" t="s">
        <v>8529</v>
      </c>
      <c r="D836" s="31">
        <v>90.0</v>
      </c>
      <c r="E836" s="31" t="s">
        <v>67</v>
      </c>
      <c r="F836" s="11" t="s">
        <v>8530</v>
      </c>
      <c r="G836" s="321"/>
      <c r="H836" s="322"/>
      <c r="I836" s="323"/>
      <c r="J836" s="324"/>
      <c r="K836" s="322"/>
      <c r="L836" s="323"/>
      <c r="M836" s="324" t="s">
        <v>22</v>
      </c>
      <c r="N836" s="284">
        <v>0.185</v>
      </c>
      <c r="O836" s="322" t="s">
        <v>22</v>
      </c>
      <c r="P836" s="333">
        <v>50.0</v>
      </c>
      <c r="Q836" s="319">
        <f>P836</f>
        <v>50</v>
      </c>
      <c r="R836" s="331"/>
      <c r="S836" s="326"/>
      <c r="T836" s="2"/>
      <c r="U836" s="59" t="str">
        <f t="shared" si="424"/>
        <v>нет з/ч</v>
      </c>
      <c r="V836" s="304" t="str">
        <f t="shared" si="425"/>
        <v>нет з/ч</v>
      </c>
      <c r="W836" s="2"/>
      <c r="X836" s="289"/>
      <c r="Y836" s="139"/>
      <c r="Z836" s="2"/>
      <c r="AA836" s="2" t="s">
        <v>8529</v>
      </c>
      <c r="AB836" s="2" t="s">
        <v>8529</v>
      </c>
      <c r="AC836" s="2"/>
      <c r="AD836" s="2" t="s">
        <v>8529</v>
      </c>
      <c r="AE836" s="3" t="s">
        <v>8528</v>
      </c>
      <c r="AF836" s="2"/>
      <c r="AG836" s="1" t="s">
        <v>1582</v>
      </c>
      <c r="AH836" s="1" t="s">
        <v>5876</v>
      </c>
      <c r="AI836" s="2">
        <v>90.0</v>
      </c>
      <c r="AJ836" s="1" t="s">
        <v>1589</v>
      </c>
      <c r="AK836" s="1" t="s">
        <v>5878</v>
      </c>
      <c r="AL836" s="1" t="s">
        <v>5878</v>
      </c>
      <c r="AM836" s="2"/>
      <c r="AN836" s="2"/>
      <c r="AO836" s="2"/>
      <c r="AP836" s="2"/>
      <c r="AQ836" s="2"/>
      <c r="AR836" s="2"/>
      <c r="AS836" s="2"/>
      <c r="AT836" s="2"/>
      <c r="AU836" s="126" t="s">
        <v>22</v>
      </c>
      <c r="AV836" s="126">
        <v>50.0</v>
      </c>
      <c r="AW836" s="2"/>
      <c r="AX836" s="2"/>
      <c r="AY836" s="2"/>
      <c r="AZ836" s="2"/>
      <c r="BA836" s="2"/>
      <c r="BB836" s="2"/>
      <c r="BC836" s="2"/>
      <c r="BD836" s="2"/>
      <c r="BE836" s="2"/>
    </row>
    <row r="837" hidden="1">
      <c r="A837" s="2"/>
      <c r="B837" s="337" t="s">
        <v>8531</v>
      </c>
      <c r="C837" s="320" t="s">
        <v>8532</v>
      </c>
      <c r="D837" s="31">
        <v>90.0</v>
      </c>
      <c r="E837" s="31" t="s">
        <v>1481</v>
      </c>
      <c r="F837" s="11" t="s">
        <v>8530</v>
      </c>
      <c r="G837" s="321"/>
      <c r="H837" s="322"/>
      <c r="I837" s="323"/>
      <c r="J837" s="324"/>
      <c r="K837" s="322"/>
      <c r="L837" s="323"/>
      <c r="M837" s="324" t="s">
        <v>22</v>
      </c>
      <c r="N837" s="284">
        <v>0.185</v>
      </c>
      <c r="O837" s="322" t="s">
        <v>22</v>
      </c>
      <c r="P837" s="104"/>
      <c r="Q837" s="319">
        <f>P836</f>
        <v>50</v>
      </c>
      <c r="R837" s="331"/>
      <c r="S837" s="326"/>
      <c r="T837" s="2"/>
      <c r="U837" s="59" t="str">
        <f t="shared" si="424"/>
        <v>нет з/ч</v>
      </c>
      <c r="V837" s="304" t="str">
        <f t="shared" si="425"/>
        <v>нет з/ч</v>
      </c>
      <c r="W837" s="2"/>
      <c r="X837" s="289"/>
      <c r="Y837" s="139"/>
      <c r="Z837" s="2"/>
      <c r="AA837" s="2" t="s">
        <v>8532</v>
      </c>
      <c r="AB837" s="2" t="s">
        <v>8532</v>
      </c>
      <c r="AC837" s="2"/>
      <c r="AD837" s="2" t="s">
        <v>8532</v>
      </c>
      <c r="AE837" s="3" t="s">
        <v>8531</v>
      </c>
      <c r="AF837" s="2"/>
      <c r="AG837" s="1" t="s">
        <v>1582</v>
      </c>
      <c r="AH837" s="1" t="s">
        <v>5883</v>
      </c>
      <c r="AI837" s="2">
        <v>90.0</v>
      </c>
      <c r="AJ837" s="1" t="s">
        <v>1589</v>
      </c>
      <c r="AK837" s="1" t="s">
        <v>5878</v>
      </c>
      <c r="AL837" s="1" t="s">
        <v>5878</v>
      </c>
      <c r="AM837" s="2"/>
      <c r="AN837" s="2"/>
      <c r="AO837" s="2"/>
      <c r="AP837" s="2"/>
      <c r="AQ837" s="2"/>
      <c r="AR837" s="2"/>
      <c r="AS837" s="2"/>
      <c r="AT837" s="2"/>
      <c r="AU837" s="126" t="s">
        <v>22</v>
      </c>
      <c r="AV837" s="126">
        <v>50.0</v>
      </c>
      <c r="AW837" s="2"/>
      <c r="AX837" s="2"/>
      <c r="AY837" s="2"/>
      <c r="AZ837" s="2"/>
      <c r="BA837" s="2"/>
      <c r="BB837" s="2"/>
      <c r="BC837" s="2"/>
      <c r="BD837" s="2"/>
      <c r="BE837" s="2"/>
    </row>
    <row r="838" hidden="1">
      <c r="A838" s="2"/>
      <c r="B838" s="337" t="s">
        <v>8533</v>
      </c>
      <c r="C838" s="320" t="s">
        <v>8534</v>
      </c>
      <c r="D838" s="31">
        <v>90.0</v>
      </c>
      <c r="E838" s="31" t="s">
        <v>71</v>
      </c>
      <c r="F838" s="11" t="s">
        <v>8530</v>
      </c>
      <c r="G838" s="321"/>
      <c r="H838" s="322"/>
      <c r="I838" s="323"/>
      <c r="J838" s="324"/>
      <c r="K838" s="322"/>
      <c r="L838" s="323"/>
      <c r="M838" s="324" t="s">
        <v>22</v>
      </c>
      <c r="N838" s="284">
        <v>0.185</v>
      </c>
      <c r="O838" s="322" t="s">
        <v>22</v>
      </c>
      <c r="P838" s="104"/>
      <c r="Q838" s="319">
        <f>P836</f>
        <v>50</v>
      </c>
      <c r="R838" s="331"/>
      <c r="S838" s="326"/>
      <c r="T838" s="2"/>
      <c r="U838" s="59" t="str">
        <f t="shared" si="424"/>
        <v>нет з/ч</v>
      </c>
      <c r="V838" s="304" t="str">
        <f t="shared" si="425"/>
        <v>нет з/ч</v>
      </c>
      <c r="W838" s="2"/>
      <c r="X838" s="289"/>
      <c r="Y838" s="139"/>
      <c r="Z838" s="2"/>
      <c r="AA838" s="2" t="s">
        <v>8534</v>
      </c>
      <c r="AB838" s="2" t="s">
        <v>8534</v>
      </c>
      <c r="AC838" s="2"/>
      <c r="AD838" s="2" t="s">
        <v>8534</v>
      </c>
      <c r="AE838" s="3" t="s">
        <v>8533</v>
      </c>
      <c r="AF838" s="2"/>
      <c r="AG838" s="1" t="s">
        <v>1582</v>
      </c>
      <c r="AH838" s="1" t="s">
        <v>6429</v>
      </c>
      <c r="AI838" s="2">
        <v>90.0</v>
      </c>
      <c r="AJ838" s="1" t="s">
        <v>1589</v>
      </c>
      <c r="AK838" s="1" t="s">
        <v>5878</v>
      </c>
      <c r="AL838" s="1" t="s">
        <v>5878</v>
      </c>
      <c r="AM838" s="2"/>
      <c r="AN838" s="2"/>
      <c r="AO838" s="2"/>
      <c r="AP838" s="2"/>
      <c r="AQ838" s="2"/>
      <c r="AR838" s="2"/>
      <c r="AS838" s="2"/>
      <c r="AT838" s="2"/>
      <c r="AU838" s="126" t="s">
        <v>22</v>
      </c>
      <c r="AV838" s="126">
        <v>50.0</v>
      </c>
      <c r="AW838" s="2"/>
      <c r="AX838" s="2"/>
      <c r="AY838" s="2"/>
      <c r="AZ838" s="2"/>
      <c r="BA838" s="2"/>
      <c r="BB838" s="2"/>
      <c r="BC838" s="2"/>
      <c r="BD838" s="2"/>
      <c r="BE838" s="2"/>
    </row>
    <row r="839" hidden="1">
      <c r="A839" s="2"/>
      <c r="B839" s="337" t="s">
        <v>8535</v>
      </c>
      <c r="C839" s="93"/>
      <c r="D839" s="31">
        <v>90.0</v>
      </c>
      <c r="E839" s="31" t="s">
        <v>77</v>
      </c>
      <c r="F839" s="11" t="s">
        <v>8530</v>
      </c>
      <c r="G839" s="321"/>
      <c r="H839" s="322"/>
      <c r="I839" s="323"/>
      <c r="J839" s="324"/>
      <c r="K839" s="322"/>
      <c r="L839" s="323"/>
      <c r="M839" s="324" t="s">
        <v>22</v>
      </c>
      <c r="N839" s="284">
        <v>0.185</v>
      </c>
      <c r="O839" s="322" t="s">
        <v>22</v>
      </c>
      <c r="P839" s="104"/>
      <c r="Q839" s="319">
        <f>P836</f>
        <v>50</v>
      </c>
      <c r="R839" s="331"/>
      <c r="S839" s="326"/>
      <c r="T839" s="2"/>
      <c r="U839" s="59" t="str">
        <f t="shared" si="424"/>
        <v>нет з/ч</v>
      </c>
      <c r="V839" s="304" t="str">
        <f t="shared" si="425"/>
        <v>нет з/ч</v>
      </c>
      <c r="W839" s="2"/>
      <c r="X839" s="289"/>
      <c r="Y839" s="139"/>
      <c r="Z839" s="2"/>
      <c r="AA839" s="2"/>
      <c r="AB839" s="2"/>
      <c r="AC839" s="2"/>
      <c r="AD839" s="2"/>
      <c r="AE839" s="3" t="s">
        <v>8535</v>
      </c>
      <c r="AF839" s="2"/>
      <c r="AG839" s="1" t="s">
        <v>1582</v>
      </c>
      <c r="AH839" s="1" t="s">
        <v>5888</v>
      </c>
      <c r="AI839" s="2">
        <v>90.0</v>
      </c>
      <c r="AJ839" s="1" t="s">
        <v>1589</v>
      </c>
      <c r="AK839" s="1" t="s">
        <v>5878</v>
      </c>
      <c r="AL839" s="1" t="s">
        <v>5878</v>
      </c>
      <c r="AM839" s="2"/>
      <c r="AN839" s="2"/>
      <c r="AO839" s="2"/>
      <c r="AP839" s="2"/>
      <c r="AQ839" s="2"/>
      <c r="AR839" s="2"/>
      <c r="AS839" s="2"/>
      <c r="AT839" s="2"/>
      <c r="AU839" s="126" t="s">
        <v>22</v>
      </c>
      <c r="AV839" s="126">
        <v>50.0</v>
      </c>
      <c r="AW839" s="2"/>
      <c r="AX839" s="2"/>
      <c r="AY839" s="2"/>
      <c r="AZ839" s="2"/>
      <c r="BA839" s="2"/>
      <c r="BB839" s="2"/>
      <c r="BC839" s="2"/>
      <c r="BD839" s="2"/>
      <c r="BE839" s="2"/>
    </row>
    <row r="840" hidden="1">
      <c r="A840" s="2"/>
      <c r="B840" s="338" t="s">
        <v>8536</v>
      </c>
      <c r="C840" s="320" t="s">
        <v>8537</v>
      </c>
      <c r="D840" s="31">
        <v>90.0</v>
      </c>
      <c r="E840" s="31" t="s">
        <v>83</v>
      </c>
      <c r="F840" s="11" t="s">
        <v>8530</v>
      </c>
      <c r="G840" s="327" t="s">
        <v>8538</v>
      </c>
      <c r="H840" s="322">
        <v>40.0</v>
      </c>
      <c r="I840" s="328">
        <v>40.0</v>
      </c>
      <c r="J840" s="324"/>
      <c r="K840" s="322"/>
      <c r="L840" s="323"/>
      <c r="M840" s="324">
        <v>40.0</v>
      </c>
      <c r="N840" s="284">
        <v>0.185</v>
      </c>
      <c r="O840" s="322">
        <v>50.0</v>
      </c>
      <c r="P840" s="313">
        <f t="shared" ref="P840:Q840" si="441">O840</f>
        <v>50</v>
      </c>
      <c r="Q840" s="319">
        <f t="shared" si="441"/>
        <v>50</v>
      </c>
      <c r="R840" s="329" t="s">
        <v>8539</v>
      </c>
      <c r="S840" s="330">
        <v>46080.72242863426</v>
      </c>
      <c r="T840" s="2"/>
      <c r="U840" s="289">
        <f t="shared" si="424"/>
        <v>10</v>
      </c>
      <c r="V840" s="304" t="str">
        <f t="shared" si="425"/>
        <v>нет з/ч</v>
      </c>
      <c r="W840" s="2"/>
      <c r="X840" s="289">
        <v>40.0</v>
      </c>
      <c r="Y840" s="139"/>
      <c r="Z840" s="2"/>
      <c r="AA840" s="2" t="s">
        <v>8537</v>
      </c>
      <c r="AB840" s="2" t="s">
        <v>8537</v>
      </c>
      <c r="AC840" s="2"/>
      <c r="AD840" s="2" t="s">
        <v>8537</v>
      </c>
      <c r="AE840" s="3" t="s">
        <v>8536</v>
      </c>
      <c r="AF840" s="2"/>
      <c r="AG840" s="1" t="s">
        <v>1582</v>
      </c>
      <c r="AH840" s="1" t="s">
        <v>5893</v>
      </c>
      <c r="AI840" s="2">
        <v>90.0</v>
      </c>
      <c r="AJ840" s="1" t="s">
        <v>1589</v>
      </c>
      <c r="AK840" s="1" t="s">
        <v>5878</v>
      </c>
      <c r="AL840" s="1" t="s">
        <v>5878</v>
      </c>
      <c r="AM840" s="2"/>
      <c r="AN840" s="2"/>
      <c r="AO840" s="2"/>
      <c r="AP840" s="2"/>
      <c r="AQ840" s="2"/>
      <c r="AR840" s="2"/>
      <c r="AS840" s="2"/>
      <c r="AT840" s="2"/>
      <c r="AU840" s="126">
        <v>40.0</v>
      </c>
      <c r="AV840" s="126">
        <v>50.0</v>
      </c>
      <c r="AW840" s="2"/>
      <c r="AX840" s="2"/>
      <c r="AY840" s="2"/>
      <c r="AZ840" s="2"/>
      <c r="BA840" s="2"/>
      <c r="BB840" s="2"/>
      <c r="BC840" s="2"/>
      <c r="BD840" s="2"/>
      <c r="BE840" s="2"/>
    </row>
    <row r="841" hidden="1">
      <c r="A841" s="2"/>
      <c r="B841" s="338" t="s">
        <v>8540</v>
      </c>
      <c r="C841" s="320" t="s">
        <v>8541</v>
      </c>
      <c r="D841" s="31">
        <v>90.0</v>
      </c>
      <c r="E841" s="31" t="s">
        <v>90</v>
      </c>
      <c r="F841" s="11" t="s">
        <v>8530</v>
      </c>
      <c r="G841" s="327" t="s">
        <v>8542</v>
      </c>
      <c r="H841" s="322">
        <v>40.0</v>
      </c>
      <c r="I841" s="328">
        <v>40.0</v>
      </c>
      <c r="J841" s="324"/>
      <c r="K841" s="322"/>
      <c r="L841" s="323"/>
      <c r="M841" s="324">
        <v>40.0</v>
      </c>
      <c r="N841" s="284">
        <v>3.5</v>
      </c>
      <c r="O841" s="322">
        <v>200.0</v>
      </c>
      <c r="P841" s="313">
        <f t="shared" ref="P841:Q841" si="442">O841</f>
        <v>200</v>
      </c>
      <c r="Q841" s="319">
        <f t="shared" si="442"/>
        <v>200</v>
      </c>
      <c r="R841" s="329" t="s">
        <v>8543</v>
      </c>
      <c r="S841" s="330">
        <v>46105.494132569445</v>
      </c>
      <c r="T841" s="2"/>
      <c r="U841" s="289">
        <f t="shared" si="424"/>
        <v>160</v>
      </c>
      <c r="V841" s="304" t="str">
        <f t="shared" si="425"/>
        <v>нет з/ч</v>
      </c>
      <c r="W841" s="2"/>
      <c r="X841" s="289">
        <v>40.0</v>
      </c>
      <c r="Y841" s="139"/>
      <c r="Z841" s="2"/>
      <c r="AA841" s="2" t="s">
        <v>8541</v>
      </c>
      <c r="AB841" s="2" t="s">
        <v>8541</v>
      </c>
      <c r="AC841" s="2"/>
      <c r="AD841" s="2" t="s">
        <v>8541</v>
      </c>
      <c r="AE841" s="3" t="s">
        <v>8540</v>
      </c>
      <c r="AF841" s="2"/>
      <c r="AG841" s="1" t="s">
        <v>1582</v>
      </c>
      <c r="AH841" s="1" t="s">
        <v>5898</v>
      </c>
      <c r="AI841" s="2">
        <v>90.0</v>
      </c>
      <c r="AJ841" s="1" t="s">
        <v>1589</v>
      </c>
      <c r="AK841" s="1" t="s">
        <v>5878</v>
      </c>
      <c r="AL841" s="1" t="s">
        <v>5878</v>
      </c>
      <c r="AM841" s="2"/>
      <c r="AN841" s="2"/>
      <c r="AO841" s="2"/>
      <c r="AP841" s="2"/>
      <c r="AQ841" s="2"/>
      <c r="AR841" s="2"/>
      <c r="AS841" s="2"/>
      <c r="AT841" s="2"/>
      <c r="AU841" s="126">
        <v>40.0</v>
      </c>
      <c r="AV841" s="126">
        <v>200.0</v>
      </c>
      <c r="AW841" s="2"/>
      <c r="AX841" s="2"/>
      <c r="AY841" s="2"/>
      <c r="AZ841" s="2"/>
      <c r="BA841" s="2"/>
      <c r="BB841" s="2"/>
      <c r="BC841" s="2"/>
      <c r="BD841" s="2"/>
      <c r="BE841" s="2"/>
    </row>
    <row r="842" hidden="1">
      <c r="A842" s="2"/>
      <c r="B842" s="338" t="s">
        <v>8544</v>
      </c>
      <c r="C842" s="320" t="s">
        <v>8545</v>
      </c>
      <c r="D842" s="31">
        <v>90.0</v>
      </c>
      <c r="E842" s="31" t="s">
        <v>97</v>
      </c>
      <c r="F842" s="11" t="s">
        <v>8530</v>
      </c>
      <c r="G842" s="327" t="s">
        <v>8546</v>
      </c>
      <c r="H842" s="322">
        <v>50.0</v>
      </c>
      <c r="I842" s="328">
        <v>50.0</v>
      </c>
      <c r="J842" s="324"/>
      <c r="K842" s="322"/>
      <c r="L842" s="323"/>
      <c r="M842" s="324">
        <v>50.0</v>
      </c>
      <c r="N842" s="284">
        <v>3.0</v>
      </c>
      <c r="O842" s="322">
        <v>200.0</v>
      </c>
      <c r="P842" s="313">
        <f t="shared" ref="P842:Q842" si="443">O842</f>
        <v>200</v>
      </c>
      <c r="Q842" s="319">
        <f t="shared" si="443"/>
        <v>200</v>
      </c>
      <c r="R842" s="329" t="s">
        <v>8547</v>
      </c>
      <c r="S842" s="330">
        <v>46080.7224871875</v>
      </c>
      <c r="T842" s="2"/>
      <c r="U842" s="289">
        <f t="shared" si="424"/>
        <v>150</v>
      </c>
      <c r="V842" s="304" t="str">
        <f t="shared" si="425"/>
        <v>нет з/ч</v>
      </c>
      <c r="W842" s="2"/>
      <c r="X842" s="289">
        <v>50.0</v>
      </c>
      <c r="Y842" s="139"/>
      <c r="Z842" s="2"/>
      <c r="AA842" s="2" t="s">
        <v>8545</v>
      </c>
      <c r="AB842" s="2" t="s">
        <v>8545</v>
      </c>
      <c r="AC842" s="2"/>
      <c r="AD842" s="2" t="s">
        <v>8545</v>
      </c>
      <c r="AE842" s="3" t="s">
        <v>8544</v>
      </c>
      <c r="AF842" s="2"/>
      <c r="AG842" s="1" t="s">
        <v>1582</v>
      </c>
      <c r="AH842" s="1" t="s">
        <v>5903</v>
      </c>
      <c r="AI842" s="2">
        <v>90.0</v>
      </c>
      <c r="AJ842" s="1" t="s">
        <v>1589</v>
      </c>
      <c r="AK842" s="1" t="s">
        <v>5878</v>
      </c>
      <c r="AL842" s="1" t="s">
        <v>5878</v>
      </c>
      <c r="AM842" s="2"/>
      <c r="AN842" s="2"/>
      <c r="AO842" s="2"/>
      <c r="AP842" s="2"/>
      <c r="AQ842" s="2"/>
      <c r="AR842" s="2"/>
      <c r="AS842" s="2"/>
      <c r="AT842" s="2"/>
      <c r="AU842" s="126">
        <v>50.0</v>
      </c>
      <c r="AV842" s="126">
        <v>200.0</v>
      </c>
      <c r="AW842" s="2"/>
      <c r="AX842" s="2"/>
      <c r="AY842" s="2"/>
      <c r="AZ842" s="2"/>
      <c r="BA842" s="2"/>
      <c r="BB842" s="2"/>
      <c r="BC842" s="2"/>
      <c r="BD842" s="2"/>
      <c r="BE842" s="2"/>
    </row>
    <row r="843" hidden="1">
      <c r="A843" s="2"/>
      <c r="B843" s="338" t="s">
        <v>8548</v>
      </c>
      <c r="C843" s="320" t="s">
        <v>8549</v>
      </c>
      <c r="D843" s="31">
        <v>90.0</v>
      </c>
      <c r="E843" s="31" t="s">
        <v>104</v>
      </c>
      <c r="F843" s="11" t="s">
        <v>8530</v>
      </c>
      <c r="G843" s="327" t="s">
        <v>8550</v>
      </c>
      <c r="H843" s="322">
        <v>50.0</v>
      </c>
      <c r="I843" s="328">
        <v>50.0</v>
      </c>
      <c r="J843" s="324"/>
      <c r="K843" s="322"/>
      <c r="L843" s="323"/>
      <c r="M843" s="324">
        <v>50.0</v>
      </c>
      <c r="N843" s="284">
        <v>6.5</v>
      </c>
      <c r="O843" s="322">
        <v>400.0</v>
      </c>
      <c r="P843" s="313">
        <f t="shared" ref="P843:Q843" si="444">O843</f>
        <v>400</v>
      </c>
      <c r="Q843" s="319">
        <f t="shared" si="444"/>
        <v>400</v>
      </c>
      <c r="R843" s="329" t="s">
        <v>8551</v>
      </c>
      <c r="S843" s="330">
        <v>46080.72251443287</v>
      </c>
      <c r="T843" s="2"/>
      <c r="U843" s="289">
        <f t="shared" si="424"/>
        <v>350</v>
      </c>
      <c r="V843" s="304" t="str">
        <f t="shared" si="425"/>
        <v>нет з/ч</v>
      </c>
      <c r="W843" s="2"/>
      <c r="X843" s="289">
        <v>50.0</v>
      </c>
      <c r="Y843" s="139"/>
      <c r="Z843" s="2"/>
      <c r="AA843" s="2" t="s">
        <v>8549</v>
      </c>
      <c r="AB843" s="2" t="s">
        <v>8549</v>
      </c>
      <c r="AC843" s="2"/>
      <c r="AD843" s="2" t="s">
        <v>8549</v>
      </c>
      <c r="AE843" s="3" t="s">
        <v>8548</v>
      </c>
      <c r="AF843" s="2"/>
      <c r="AG843" s="1" t="s">
        <v>1582</v>
      </c>
      <c r="AH843" s="1" t="s">
        <v>5908</v>
      </c>
      <c r="AI843" s="2">
        <v>90.0</v>
      </c>
      <c r="AJ843" s="1" t="s">
        <v>1589</v>
      </c>
      <c r="AK843" s="1" t="s">
        <v>5878</v>
      </c>
      <c r="AL843" s="1" t="s">
        <v>5878</v>
      </c>
      <c r="AM843" s="2"/>
      <c r="AN843" s="2"/>
      <c r="AO843" s="2"/>
      <c r="AP843" s="2"/>
      <c r="AQ843" s="2"/>
      <c r="AR843" s="2"/>
      <c r="AS843" s="2"/>
      <c r="AT843" s="2"/>
      <c r="AU843" s="126">
        <v>50.0</v>
      </c>
      <c r="AV843" s="126">
        <v>400.0</v>
      </c>
      <c r="AW843" s="2"/>
      <c r="AX843" s="2"/>
      <c r="AY843" s="2"/>
      <c r="AZ843" s="2"/>
      <c r="BA843" s="2"/>
      <c r="BB843" s="2"/>
      <c r="BC843" s="2"/>
      <c r="BD843" s="2"/>
      <c r="BE843" s="2"/>
    </row>
    <row r="844" hidden="1">
      <c r="A844" s="2"/>
      <c r="B844" s="338" t="s">
        <v>8552</v>
      </c>
      <c r="C844" s="320" t="s">
        <v>8553</v>
      </c>
      <c r="D844" s="31">
        <v>90.0</v>
      </c>
      <c r="E844" s="31" t="s">
        <v>111</v>
      </c>
      <c r="F844" s="11" t="s">
        <v>8530</v>
      </c>
      <c r="G844" s="327" t="s">
        <v>8554</v>
      </c>
      <c r="H844" s="322">
        <v>35.0</v>
      </c>
      <c r="I844" s="328">
        <v>35.0</v>
      </c>
      <c r="J844" s="324"/>
      <c r="K844" s="322"/>
      <c r="L844" s="323"/>
      <c r="M844" s="324">
        <v>35.0</v>
      </c>
      <c r="N844" s="284">
        <v>0.185</v>
      </c>
      <c r="O844" s="322">
        <v>50.0</v>
      </c>
      <c r="P844" s="313">
        <f t="shared" ref="P844:Q844" si="445">O844</f>
        <v>50</v>
      </c>
      <c r="Q844" s="319">
        <f t="shared" si="445"/>
        <v>50</v>
      </c>
      <c r="R844" s="329" t="s">
        <v>8555</v>
      </c>
      <c r="S844" s="330">
        <v>46080.7225405787</v>
      </c>
      <c r="T844" s="2"/>
      <c r="U844" s="289">
        <f t="shared" si="424"/>
        <v>15</v>
      </c>
      <c r="V844" s="304" t="str">
        <f t="shared" si="425"/>
        <v>нет з/ч</v>
      </c>
      <c r="W844" s="2"/>
      <c r="X844" s="289">
        <v>35.0</v>
      </c>
      <c r="Y844" s="139"/>
      <c r="Z844" s="2"/>
      <c r="AA844" s="2" t="s">
        <v>8553</v>
      </c>
      <c r="AB844" s="2" t="s">
        <v>8553</v>
      </c>
      <c r="AC844" s="2"/>
      <c r="AD844" s="2" t="s">
        <v>8553</v>
      </c>
      <c r="AE844" s="3" t="s">
        <v>8552</v>
      </c>
      <c r="AF844" s="2"/>
      <c r="AG844" s="1" t="s">
        <v>1582</v>
      </c>
      <c r="AH844" s="1" t="s">
        <v>5913</v>
      </c>
      <c r="AI844" s="2">
        <v>90.0</v>
      </c>
      <c r="AJ844" s="1" t="s">
        <v>1589</v>
      </c>
      <c r="AK844" s="1" t="s">
        <v>5878</v>
      </c>
      <c r="AL844" s="1" t="s">
        <v>5878</v>
      </c>
      <c r="AM844" s="2"/>
      <c r="AN844" s="2"/>
      <c r="AO844" s="2"/>
      <c r="AP844" s="2"/>
      <c r="AQ844" s="2"/>
      <c r="AR844" s="2"/>
      <c r="AS844" s="2"/>
      <c r="AT844" s="2"/>
      <c r="AU844" s="126">
        <v>35.0</v>
      </c>
      <c r="AV844" s="126">
        <v>50.0</v>
      </c>
      <c r="AW844" s="2"/>
      <c r="AX844" s="2"/>
      <c r="AY844" s="2"/>
      <c r="AZ844" s="2"/>
      <c r="BA844" s="2"/>
      <c r="BB844" s="2"/>
      <c r="BC844" s="2"/>
      <c r="BD844" s="2"/>
      <c r="BE844" s="2"/>
    </row>
    <row r="845" hidden="1">
      <c r="A845" s="2"/>
      <c r="B845" s="338" t="s">
        <v>8556</v>
      </c>
      <c r="C845" s="320" t="s">
        <v>8557</v>
      </c>
      <c r="D845" s="31">
        <v>90.0</v>
      </c>
      <c r="E845" s="31" t="s">
        <v>118</v>
      </c>
      <c r="F845" s="11" t="s">
        <v>8530</v>
      </c>
      <c r="G845" s="327" t="s">
        <v>8558</v>
      </c>
      <c r="H845" s="322">
        <v>50.0</v>
      </c>
      <c r="I845" s="328">
        <v>50.0</v>
      </c>
      <c r="J845" s="324"/>
      <c r="K845" s="322"/>
      <c r="L845" s="323"/>
      <c r="M845" s="324">
        <v>50.0</v>
      </c>
      <c r="N845" s="284">
        <v>0.185</v>
      </c>
      <c r="O845" s="322">
        <v>50.0</v>
      </c>
      <c r="P845" s="313">
        <f t="shared" ref="P845:Q845" si="446">O845</f>
        <v>50</v>
      </c>
      <c r="Q845" s="319">
        <f t="shared" si="446"/>
        <v>50</v>
      </c>
      <c r="R845" s="329" t="s">
        <v>8559</v>
      </c>
      <c r="S845" s="330">
        <v>46080.72257449074</v>
      </c>
      <c r="T845" s="2"/>
      <c r="U845" s="289">
        <f t="shared" si="424"/>
        <v>0</v>
      </c>
      <c r="V845" s="304" t="str">
        <f t="shared" si="425"/>
        <v>нет з/ч</v>
      </c>
      <c r="W845" s="2"/>
      <c r="X845" s="289">
        <v>50.0</v>
      </c>
      <c r="Y845" s="139"/>
      <c r="Z845" s="2"/>
      <c r="AA845" s="2" t="s">
        <v>8557</v>
      </c>
      <c r="AB845" s="2" t="s">
        <v>8557</v>
      </c>
      <c r="AC845" s="2"/>
      <c r="AD845" s="2" t="s">
        <v>8557</v>
      </c>
      <c r="AE845" s="3" t="s">
        <v>8556</v>
      </c>
      <c r="AF845" s="2"/>
      <c r="AG845" s="1" t="s">
        <v>1582</v>
      </c>
      <c r="AH845" s="1" t="s">
        <v>5918</v>
      </c>
      <c r="AI845" s="2">
        <v>90.0</v>
      </c>
      <c r="AJ845" s="1" t="s">
        <v>1589</v>
      </c>
      <c r="AK845" s="1" t="s">
        <v>5878</v>
      </c>
      <c r="AL845" s="1" t="s">
        <v>5878</v>
      </c>
      <c r="AM845" s="2"/>
      <c r="AN845" s="2"/>
      <c r="AO845" s="2"/>
      <c r="AP845" s="2"/>
      <c r="AQ845" s="2"/>
      <c r="AR845" s="2"/>
      <c r="AS845" s="2"/>
      <c r="AT845" s="2"/>
      <c r="AU845" s="126">
        <v>50.0</v>
      </c>
      <c r="AV845" s="126">
        <v>50.0</v>
      </c>
      <c r="AW845" s="2"/>
      <c r="AX845" s="2"/>
      <c r="AY845" s="2"/>
      <c r="AZ845" s="2"/>
      <c r="BA845" s="2"/>
      <c r="BB845" s="2"/>
      <c r="BC845" s="2"/>
      <c r="BD845" s="2"/>
      <c r="BE845" s="2"/>
    </row>
    <row r="846" hidden="1">
      <c r="A846" s="2"/>
      <c r="B846" s="338" t="s">
        <v>8560</v>
      </c>
      <c r="C846" s="320" t="s">
        <v>8561</v>
      </c>
      <c r="D846" s="31">
        <v>90.0</v>
      </c>
      <c r="E846" s="31" t="s">
        <v>132</v>
      </c>
      <c r="F846" s="11" t="s">
        <v>8530</v>
      </c>
      <c r="G846" s="327" t="s">
        <v>8562</v>
      </c>
      <c r="H846" s="322">
        <v>99.0</v>
      </c>
      <c r="I846" s="328">
        <v>99.0</v>
      </c>
      <c r="J846" s="324"/>
      <c r="K846" s="322"/>
      <c r="L846" s="323"/>
      <c r="M846" s="324">
        <v>99.0</v>
      </c>
      <c r="N846" s="284">
        <v>2.0</v>
      </c>
      <c r="O846" s="322">
        <v>300.0</v>
      </c>
      <c r="P846" s="313">
        <f t="shared" ref="P846:Q846" si="447">O846</f>
        <v>300</v>
      </c>
      <c r="Q846" s="319">
        <f t="shared" si="447"/>
        <v>300</v>
      </c>
      <c r="R846" s="329" t="s">
        <v>8563</v>
      </c>
      <c r="S846" s="330">
        <v>46080.72260288194</v>
      </c>
      <c r="T846" s="2"/>
      <c r="U846" s="289">
        <f t="shared" si="424"/>
        <v>201</v>
      </c>
      <c r="V846" s="304" t="str">
        <f t="shared" ref="V846:V852" si="449">IF(L846&gt;0, Q2422 - L846, "нет з/ч")</f>
        <v>нет з/ч</v>
      </c>
      <c r="W846" s="2"/>
      <c r="X846" s="289">
        <v>99.0</v>
      </c>
      <c r="Y846" s="139"/>
      <c r="Z846" s="2"/>
      <c r="AA846" s="2" t="s">
        <v>8561</v>
      </c>
      <c r="AB846" s="2" t="s">
        <v>8561</v>
      </c>
      <c r="AC846" s="2"/>
      <c r="AD846" s="2" t="s">
        <v>8561</v>
      </c>
      <c r="AE846" s="3" t="s">
        <v>8560</v>
      </c>
      <c r="AF846" s="2"/>
      <c r="AG846" s="1" t="s">
        <v>1582</v>
      </c>
      <c r="AH846" s="1" t="s">
        <v>5928</v>
      </c>
      <c r="AI846" s="2">
        <v>90.0</v>
      </c>
      <c r="AJ846" s="1" t="s">
        <v>1589</v>
      </c>
      <c r="AK846" s="1" t="s">
        <v>5878</v>
      </c>
      <c r="AL846" s="1" t="s">
        <v>5878</v>
      </c>
      <c r="AM846" s="2"/>
      <c r="AN846" s="2"/>
      <c r="AO846" s="2"/>
      <c r="AP846" s="2"/>
      <c r="AQ846" s="2"/>
      <c r="AR846" s="2"/>
      <c r="AS846" s="2"/>
      <c r="AT846" s="2"/>
      <c r="AU846" s="126">
        <v>99.0</v>
      </c>
      <c r="AV846" s="126">
        <v>300.0</v>
      </c>
      <c r="AW846" s="2"/>
      <c r="AX846" s="2"/>
      <c r="AY846" s="2"/>
      <c r="AZ846" s="2"/>
      <c r="BA846" s="2"/>
      <c r="BB846" s="2"/>
      <c r="BC846" s="2"/>
      <c r="BD846" s="2"/>
      <c r="BE846" s="2"/>
    </row>
    <row r="847" hidden="1">
      <c r="A847" s="2"/>
      <c r="B847" s="338" t="s">
        <v>8564</v>
      </c>
      <c r="C847" s="320" t="s">
        <v>8565</v>
      </c>
      <c r="D847" s="31">
        <v>90.0</v>
      </c>
      <c r="E847" s="31" t="s">
        <v>6544</v>
      </c>
      <c r="F847" s="11" t="s">
        <v>8530</v>
      </c>
      <c r="G847" s="327" t="s">
        <v>8566</v>
      </c>
      <c r="H847" s="322">
        <v>75.0</v>
      </c>
      <c r="I847" s="328">
        <v>75.0</v>
      </c>
      <c r="J847" s="324"/>
      <c r="K847" s="322"/>
      <c r="L847" s="323"/>
      <c r="M847" s="324">
        <v>75.0</v>
      </c>
      <c r="N847" s="284">
        <v>0.185</v>
      </c>
      <c r="O847" s="322">
        <v>100.0</v>
      </c>
      <c r="P847" s="313">
        <f t="shared" ref="P847:Q847" si="448">O847</f>
        <v>100</v>
      </c>
      <c r="Q847" s="319">
        <f t="shared" si="448"/>
        <v>100</v>
      </c>
      <c r="R847" s="329" t="s">
        <v>8567</v>
      </c>
      <c r="S847" s="330">
        <v>46080.722628981486</v>
      </c>
      <c r="T847" s="2"/>
      <c r="U847" s="289">
        <f t="shared" si="424"/>
        <v>25</v>
      </c>
      <c r="V847" s="304" t="str">
        <f t="shared" si="449"/>
        <v>нет з/ч</v>
      </c>
      <c r="W847" s="2"/>
      <c r="X847" s="289">
        <v>75.0</v>
      </c>
      <c r="Y847" s="139"/>
      <c r="Z847" s="2"/>
      <c r="AA847" s="2" t="s">
        <v>8565</v>
      </c>
      <c r="AB847" s="2" t="s">
        <v>8565</v>
      </c>
      <c r="AC847" s="2"/>
      <c r="AD847" s="2" t="s">
        <v>8565</v>
      </c>
      <c r="AE847" s="3" t="s">
        <v>8564</v>
      </c>
      <c r="AF847" s="2"/>
      <c r="AG847" s="1" t="s">
        <v>1582</v>
      </c>
      <c r="AH847" s="1" t="s">
        <v>5923</v>
      </c>
      <c r="AI847" s="2">
        <v>90.0</v>
      </c>
      <c r="AJ847" s="1" t="s">
        <v>1589</v>
      </c>
      <c r="AK847" s="1" t="s">
        <v>5878</v>
      </c>
      <c r="AL847" s="1" t="s">
        <v>5878</v>
      </c>
      <c r="AM847" s="2"/>
      <c r="AN847" s="2"/>
      <c r="AO847" s="2"/>
      <c r="AP847" s="2"/>
      <c r="AQ847" s="2"/>
      <c r="AR847" s="2"/>
      <c r="AS847" s="2"/>
      <c r="AT847" s="2"/>
      <c r="AU847" s="126">
        <v>75.0</v>
      </c>
      <c r="AV847" s="126">
        <v>100.0</v>
      </c>
      <c r="AW847" s="2"/>
      <c r="AX847" s="2"/>
      <c r="AY847" s="2"/>
      <c r="AZ847" s="2"/>
      <c r="BA847" s="2"/>
      <c r="BB847" s="2"/>
      <c r="BC847" s="2"/>
      <c r="BD847" s="2"/>
      <c r="BE847" s="2"/>
    </row>
    <row r="848" hidden="1">
      <c r="A848" s="2"/>
      <c r="B848" s="338" t="s">
        <v>8568</v>
      </c>
      <c r="C848" s="320" t="s">
        <v>8569</v>
      </c>
      <c r="D848" s="31">
        <v>90.0</v>
      </c>
      <c r="E848" s="31" t="s">
        <v>153</v>
      </c>
      <c r="F848" s="11" t="s">
        <v>8530</v>
      </c>
      <c r="G848" s="327" t="s">
        <v>8570</v>
      </c>
      <c r="H848" s="322">
        <v>430.0</v>
      </c>
      <c r="I848" s="328">
        <v>430.0</v>
      </c>
      <c r="J848" s="324"/>
      <c r="K848" s="322"/>
      <c r="L848" s="323"/>
      <c r="M848" s="324">
        <v>430.0</v>
      </c>
      <c r="N848" s="284">
        <v>2.0</v>
      </c>
      <c r="O848" s="322">
        <v>1300.0</v>
      </c>
      <c r="P848" s="313">
        <f t="shared" ref="P848:Q848" si="450">O848</f>
        <v>1300</v>
      </c>
      <c r="Q848" s="319">
        <f t="shared" si="450"/>
        <v>1300</v>
      </c>
      <c r="R848" s="329" t="s">
        <v>8571</v>
      </c>
      <c r="S848" s="330">
        <v>46080.722656122685</v>
      </c>
      <c r="T848" s="2"/>
      <c r="U848" s="289">
        <f t="shared" si="424"/>
        <v>870</v>
      </c>
      <c r="V848" s="304" t="str">
        <f t="shared" si="449"/>
        <v>нет з/ч</v>
      </c>
      <c r="W848" s="2"/>
      <c r="X848" s="289">
        <v>430.0</v>
      </c>
      <c r="Y848" s="139"/>
      <c r="Z848" s="2"/>
      <c r="AA848" s="2" t="s">
        <v>8569</v>
      </c>
      <c r="AB848" s="2" t="s">
        <v>8569</v>
      </c>
      <c r="AC848" s="2"/>
      <c r="AD848" s="2" t="s">
        <v>8569</v>
      </c>
      <c r="AE848" s="3" t="s">
        <v>8568</v>
      </c>
      <c r="AF848" s="2"/>
      <c r="AG848" s="1" t="s">
        <v>1582</v>
      </c>
      <c r="AH848" s="1" t="s">
        <v>5943</v>
      </c>
      <c r="AI848" s="2">
        <v>90.0</v>
      </c>
      <c r="AJ848" s="1" t="s">
        <v>1589</v>
      </c>
      <c r="AK848" s="1" t="s">
        <v>5878</v>
      </c>
      <c r="AL848" s="1" t="s">
        <v>5878</v>
      </c>
      <c r="AM848" s="2"/>
      <c r="AN848" s="2"/>
      <c r="AO848" s="2"/>
      <c r="AP848" s="2"/>
      <c r="AQ848" s="2"/>
      <c r="AR848" s="2"/>
      <c r="AS848" s="2"/>
      <c r="AT848" s="2"/>
      <c r="AU848" s="126">
        <v>430.0</v>
      </c>
      <c r="AV848" s="126">
        <v>1300.0</v>
      </c>
      <c r="AW848" s="2"/>
      <c r="AX848" s="2"/>
      <c r="AY848" s="2"/>
      <c r="AZ848" s="2"/>
      <c r="BA848" s="2"/>
      <c r="BB848" s="2"/>
      <c r="BC848" s="2"/>
      <c r="BD848" s="2"/>
      <c r="BE848" s="2"/>
    </row>
    <row r="849" hidden="1">
      <c r="A849" s="2"/>
      <c r="B849" s="338" t="s">
        <v>8572</v>
      </c>
      <c r="C849" s="320" t="s">
        <v>8573</v>
      </c>
      <c r="D849" s="31">
        <v>90.0</v>
      </c>
      <c r="E849" s="31" t="s">
        <v>159</v>
      </c>
      <c r="F849" s="11" t="s">
        <v>8530</v>
      </c>
      <c r="G849" s="327" t="s">
        <v>8574</v>
      </c>
      <c r="H849" s="322">
        <v>770.0</v>
      </c>
      <c r="I849" s="328">
        <v>770.0</v>
      </c>
      <c r="J849" s="324"/>
      <c r="K849" s="322"/>
      <c r="L849" s="323"/>
      <c r="M849" s="324">
        <v>770.0</v>
      </c>
      <c r="N849" s="284">
        <v>0.185</v>
      </c>
      <c r="O849" s="322">
        <v>900.0</v>
      </c>
      <c r="P849" s="313">
        <f t="shared" ref="P849:Q849" si="451">O849</f>
        <v>900</v>
      </c>
      <c r="Q849" s="319">
        <f t="shared" si="451"/>
        <v>900</v>
      </c>
      <c r="R849" s="329" t="s">
        <v>8575</v>
      </c>
      <c r="S849" s="330">
        <v>46080.722684629625</v>
      </c>
      <c r="T849" s="2"/>
      <c r="U849" s="289">
        <f t="shared" si="424"/>
        <v>130</v>
      </c>
      <c r="V849" s="304" t="str">
        <f t="shared" si="449"/>
        <v>нет з/ч</v>
      </c>
      <c r="W849" s="2"/>
      <c r="X849" s="289">
        <v>770.0</v>
      </c>
      <c r="Y849" s="139"/>
      <c r="Z849" s="2"/>
      <c r="AA849" s="2" t="s">
        <v>8573</v>
      </c>
      <c r="AB849" s="2" t="s">
        <v>8573</v>
      </c>
      <c r="AC849" s="2"/>
      <c r="AD849" s="2" t="s">
        <v>8573</v>
      </c>
      <c r="AE849" s="3" t="s">
        <v>8572</v>
      </c>
      <c r="AF849" s="2"/>
      <c r="AG849" s="1" t="s">
        <v>1582</v>
      </c>
      <c r="AH849" s="1" t="s">
        <v>5952</v>
      </c>
      <c r="AI849" s="2">
        <v>90.0</v>
      </c>
      <c r="AJ849" s="1" t="s">
        <v>1589</v>
      </c>
      <c r="AK849" s="1" t="s">
        <v>5878</v>
      </c>
      <c r="AL849" s="1" t="s">
        <v>5878</v>
      </c>
      <c r="AM849" s="2"/>
      <c r="AN849" s="2"/>
      <c r="AO849" s="2"/>
      <c r="AP849" s="2"/>
      <c r="AQ849" s="2"/>
      <c r="AR849" s="2"/>
      <c r="AS849" s="2"/>
      <c r="AT849" s="2"/>
      <c r="AU849" s="126">
        <v>770.0</v>
      </c>
      <c r="AV849" s="126">
        <v>900.0</v>
      </c>
      <c r="AW849" s="2"/>
      <c r="AX849" s="2"/>
      <c r="AY849" s="2"/>
      <c r="AZ849" s="2"/>
      <c r="BA849" s="2"/>
      <c r="BB849" s="2"/>
      <c r="BC849" s="2"/>
      <c r="BD849" s="2"/>
      <c r="BE849" s="2"/>
    </row>
    <row r="850" hidden="1">
      <c r="A850" s="2"/>
      <c r="B850" s="338" t="s">
        <v>8576</v>
      </c>
      <c r="C850" s="320" t="s">
        <v>8577</v>
      </c>
      <c r="D850" s="31">
        <v>90.0</v>
      </c>
      <c r="E850" s="31" t="s">
        <v>167</v>
      </c>
      <c r="F850" s="11" t="s">
        <v>8530</v>
      </c>
      <c r="G850" s="327" t="s">
        <v>8578</v>
      </c>
      <c r="H850" s="322">
        <v>730.0</v>
      </c>
      <c r="I850" s="328">
        <v>730.0</v>
      </c>
      <c r="J850" s="324"/>
      <c r="K850" s="322"/>
      <c r="L850" s="323"/>
      <c r="M850" s="324">
        <v>730.0</v>
      </c>
      <c r="N850" s="284">
        <v>0.65</v>
      </c>
      <c r="O850" s="322">
        <v>1200.0</v>
      </c>
      <c r="P850" s="313">
        <f t="shared" ref="P850:Q850" si="452">O850</f>
        <v>1200</v>
      </c>
      <c r="Q850" s="319">
        <f t="shared" si="452"/>
        <v>1200</v>
      </c>
      <c r="R850" s="329" t="s">
        <v>8579</v>
      </c>
      <c r="S850" s="330">
        <v>46080.722713888885</v>
      </c>
      <c r="T850" s="2"/>
      <c r="U850" s="289">
        <f t="shared" si="424"/>
        <v>470</v>
      </c>
      <c r="V850" s="304" t="str">
        <f t="shared" si="449"/>
        <v>нет з/ч</v>
      </c>
      <c r="W850" s="2"/>
      <c r="X850" s="289">
        <v>730.0</v>
      </c>
      <c r="Y850" s="139"/>
      <c r="Z850" s="2"/>
      <c r="AA850" s="2" t="s">
        <v>8577</v>
      </c>
      <c r="AB850" s="2" t="s">
        <v>8577</v>
      </c>
      <c r="AC850" s="2"/>
      <c r="AD850" s="2" t="s">
        <v>8577</v>
      </c>
      <c r="AE850" s="3" t="s">
        <v>8576</v>
      </c>
      <c r="AF850" s="2"/>
      <c r="AG850" s="1" t="s">
        <v>1582</v>
      </c>
      <c r="AH850" s="1" t="s">
        <v>5957</v>
      </c>
      <c r="AI850" s="2">
        <v>90.0</v>
      </c>
      <c r="AJ850" s="1" t="s">
        <v>1589</v>
      </c>
      <c r="AK850" s="1" t="s">
        <v>5878</v>
      </c>
      <c r="AL850" s="1" t="s">
        <v>5878</v>
      </c>
      <c r="AM850" s="2"/>
      <c r="AN850" s="2"/>
      <c r="AO850" s="2"/>
      <c r="AP850" s="2"/>
      <c r="AQ850" s="2"/>
      <c r="AR850" s="2"/>
      <c r="AS850" s="2"/>
      <c r="AT850" s="2"/>
      <c r="AU850" s="126">
        <v>730.0</v>
      </c>
      <c r="AV850" s="126">
        <v>1200.0</v>
      </c>
      <c r="AW850" s="2"/>
      <c r="AX850" s="2"/>
      <c r="AY850" s="2"/>
      <c r="AZ850" s="2"/>
      <c r="BA850" s="2"/>
      <c r="BB850" s="2"/>
      <c r="BC850" s="2"/>
      <c r="BD850" s="2"/>
      <c r="BE850" s="2"/>
    </row>
    <row r="851" hidden="1">
      <c r="A851" s="2"/>
      <c r="B851" s="338" t="s">
        <v>8580</v>
      </c>
      <c r="C851" s="320" t="s">
        <v>8581</v>
      </c>
      <c r="D851" s="31">
        <v>90.0</v>
      </c>
      <c r="E851" s="31" t="s">
        <v>175</v>
      </c>
      <c r="F851" s="11" t="s">
        <v>8530</v>
      </c>
      <c r="G851" s="327" t="s">
        <v>8582</v>
      </c>
      <c r="H851" s="322">
        <v>530.0</v>
      </c>
      <c r="I851" s="328">
        <v>530.0</v>
      </c>
      <c r="J851" s="324"/>
      <c r="K851" s="322"/>
      <c r="L851" s="323"/>
      <c r="M851" s="324">
        <v>530.0</v>
      </c>
      <c r="N851" s="284">
        <v>2.2</v>
      </c>
      <c r="O851" s="322">
        <v>1700.0</v>
      </c>
      <c r="P851" s="313">
        <f t="shared" ref="P851:Q851" si="453">O851</f>
        <v>1700</v>
      </c>
      <c r="Q851" s="319">
        <f t="shared" si="453"/>
        <v>1700</v>
      </c>
      <c r="R851" s="329" t="s">
        <v>8583</v>
      </c>
      <c r="S851" s="330">
        <v>46080.722741273144</v>
      </c>
      <c r="T851" s="2"/>
      <c r="U851" s="289">
        <f t="shared" si="424"/>
        <v>1170</v>
      </c>
      <c r="V851" s="304" t="str">
        <f t="shared" si="449"/>
        <v>нет з/ч</v>
      </c>
      <c r="W851" s="2"/>
      <c r="X851" s="289">
        <v>530.0</v>
      </c>
      <c r="Y851" s="139"/>
      <c r="Z851" s="2"/>
      <c r="AA851" s="2" t="s">
        <v>8581</v>
      </c>
      <c r="AB851" s="2" t="s">
        <v>8581</v>
      </c>
      <c r="AC851" s="2"/>
      <c r="AD851" s="2" t="s">
        <v>8581</v>
      </c>
      <c r="AE851" s="3" t="s">
        <v>8580</v>
      </c>
      <c r="AF851" s="2"/>
      <c r="AG851" s="1" t="s">
        <v>1582</v>
      </c>
      <c r="AH851" s="1" t="s">
        <v>5966</v>
      </c>
      <c r="AI851" s="2">
        <v>90.0</v>
      </c>
      <c r="AJ851" s="1" t="s">
        <v>1589</v>
      </c>
      <c r="AK851" s="1" t="s">
        <v>5878</v>
      </c>
      <c r="AL851" s="1" t="s">
        <v>5878</v>
      </c>
      <c r="AM851" s="2"/>
      <c r="AN851" s="2"/>
      <c r="AO851" s="2"/>
      <c r="AP851" s="2"/>
      <c r="AQ851" s="2"/>
      <c r="AR851" s="2"/>
      <c r="AS851" s="2"/>
      <c r="AT851" s="2"/>
      <c r="AU851" s="126">
        <v>530.0</v>
      </c>
      <c r="AV851" s="126">
        <v>1700.0</v>
      </c>
      <c r="AW851" s="2"/>
      <c r="AX851" s="2"/>
      <c r="AY851" s="2"/>
      <c r="AZ851" s="2"/>
      <c r="BA851" s="2"/>
      <c r="BB851" s="2"/>
      <c r="BC851" s="2"/>
      <c r="BD851" s="2"/>
      <c r="BE851" s="2"/>
    </row>
    <row r="852" hidden="1">
      <c r="A852" s="2"/>
      <c r="B852" s="338" t="s">
        <v>8584</v>
      </c>
      <c r="C852" s="320" t="s">
        <v>8585</v>
      </c>
      <c r="D852" s="31">
        <v>90.0</v>
      </c>
      <c r="E852" s="31" t="s">
        <v>183</v>
      </c>
      <c r="F852" s="11" t="s">
        <v>8530</v>
      </c>
      <c r="G852" s="327"/>
      <c r="H852" s="322"/>
      <c r="I852" s="328"/>
      <c r="J852" s="324"/>
      <c r="K852" s="322"/>
      <c r="L852" s="323"/>
      <c r="M852" s="324" t="s">
        <v>22</v>
      </c>
      <c r="N852" s="284">
        <v>0.185</v>
      </c>
      <c r="O852" s="322" t="s">
        <v>22</v>
      </c>
      <c r="P852" s="313">
        <f>MAX(O852,O853)</f>
        <v>1200</v>
      </c>
      <c r="Q852" s="319">
        <f>P852</f>
        <v>1200</v>
      </c>
      <c r="R852" s="339"/>
      <c r="S852" s="330">
        <v>46080.7227694676</v>
      </c>
      <c r="T852" s="2"/>
      <c r="U852" s="59" t="str">
        <f t="shared" si="424"/>
        <v>нет з/ч</v>
      </c>
      <c r="V852" s="304" t="str">
        <f t="shared" si="449"/>
        <v>нет з/ч</v>
      </c>
      <c r="W852" s="2"/>
      <c r="X852" s="289"/>
      <c r="Y852" s="139"/>
      <c r="Z852" s="2"/>
      <c r="AA852" s="2" t="s">
        <v>8585</v>
      </c>
      <c r="AB852" s="2" t="s">
        <v>8585</v>
      </c>
      <c r="AC852" s="2"/>
      <c r="AD852" s="1" t="s">
        <v>8585</v>
      </c>
      <c r="AE852" s="3" t="s">
        <v>8584</v>
      </c>
      <c r="AF852" s="2"/>
      <c r="AG852" s="1" t="s">
        <v>1582</v>
      </c>
      <c r="AH852" s="1" t="s">
        <v>5975</v>
      </c>
      <c r="AI852" s="2">
        <v>90.0</v>
      </c>
      <c r="AJ852" s="1" t="s">
        <v>1589</v>
      </c>
      <c r="AK852" s="1" t="s">
        <v>5878</v>
      </c>
      <c r="AL852" s="1" t="s">
        <v>5878</v>
      </c>
      <c r="AM852" s="2"/>
      <c r="AN852" s="2"/>
      <c r="AO852" s="2"/>
      <c r="AP852" s="2"/>
      <c r="AQ852" s="2"/>
      <c r="AR852" s="2"/>
      <c r="AS852" s="2"/>
      <c r="AT852" s="2"/>
      <c r="AU852" s="126" t="s">
        <v>22</v>
      </c>
      <c r="AV852" s="126">
        <v>1200.0</v>
      </c>
      <c r="AW852" s="2"/>
      <c r="AX852" s="2"/>
      <c r="AY852" s="2"/>
      <c r="AZ852" s="2"/>
      <c r="BA852" s="2"/>
      <c r="BB852" s="2"/>
      <c r="BC852" s="2"/>
      <c r="BD852" s="2"/>
      <c r="BE852" s="2"/>
    </row>
    <row r="853" hidden="1">
      <c r="A853" s="2"/>
      <c r="B853" s="338" t="s">
        <v>8586</v>
      </c>
      <c r="C853" s="320" t="s">
        <v>8587</v>
      </c>
      <c r="D853" s="31">
        <v>90.0</v>
      </c>
      <c r="E853" s="31" t="s">
        <v>183</v>
      </c>
      <c r="F853" s="11" t="s">
        <v>8530</v>
      </c>
      <c r="G853" s="327" t="s">
        <v>8588</v>
      </c>
      <c r="H853" s="322">
        <v>780.0</v>
      </c>
      <c r="I853" s="328">
        <v>780.0</v>
      </c>
      <c r="J853" s="324"/>
      <c r="K853" s="322"/>
      <c r="L853" s="323"/>
      <c r="M853" s="324">
        <v>780.0</v>
      </c>
      <c r="N853" s="284">
        <v>0.55</v>
      </c>
      <c r="O853" s="322">
        <v>1200.0</v>
      </c>
      <c r="P853" s="104"/>
      <c r="Q853" s="319">
        <f>P852</f>
        <v>1200</v>
      </c>
      <c r="R853" s="336" t="s">
        <v>8589</v>
      </c>
      <c r="S853" s="330">
        <v>46094.45598795138</v>
      </c>
      <c r="T853" s="2"/>
      <c r="U853" s="289">
        <f t="shared" si="424"/>
        <v>420</v>
      </c>
      <c r="V853" s="304" t="str">
        <f>IF(L853&gt;0, Q2469 - L853, "нет з/ч")</f>
        <v>нет з/ч</v>
      </c>
      <c r="W853" s="2"/>
      <c r="X853" s="289">
        <v>780.0</v>
      </c>
      <c r="Y853" s="139"/>
      <c r="Z853" s="2"/>
      <c r="AA853" s="2" t="s">
        <v>8587</v>
      </c>
      <c r="AB853" s="2" t="s">
        <v>8587</v>
      </c>
      <c r="AC853" s="2"/>
      <c r="AD853" s="1" t="s">
        <v>8587</v>
      </c>
      <c r="AE853" s="3" t="s">
        <v>8586</v>
      </c>
      <c r="AF853" s="2"/>
      <c r="AG853" s="1" t="s">
        <v>1582</v>
      </c>
      <c r="AH853" s="1" t="s">
        <v>5975</v>
      </c>
      <c r="AI853" s="2">
        <v>90.0</v>
      </c>
      <c r="AJ853" s="1" t="s">
        <v>1589</v>
      </c>
      <c r="AK853" s="1" t="s">
        <v>5878</v>
      </c>
      <c r="AL853" s="1" t="s">
        <v>5878</v>
      </c>
      <c r="AM853" s="2"/>
      <c r="AN853" s="2"/>
      <c r="AO853" s="2"/>
      <c r="AP853" s="2"/>
      <c r="AQ853" s="2"/>
      <c r="AR853" s="2"/>
      <c r="AS853" s="2"/>
      <c r="AT853" s="2"/>
      <c r="AU853" s="126">
        <v>780.0</v>
      </c>
      <c r="AV853" s="126">
        <v>1200.0</v>
      </c>
      <c r="AW853" s="2"/>
      <c r="AX853" s="2"/>
      <c r="AY853" s="2"/>
      <c r="AZ853" s="2"/>
      <c r="BA853" s="2"/>
      <c r="BB853" s="2"/>
      <c r="BC853" s="2"/>
      <c r="BD853" s="2"/>
      <c r="BE853" s="2"/>
    </row>
    <row r="854" hidden="1">
      <c r="A854" s="2"/>
      <c r="B854" s="338" t="s">
        <v>8590</v>
      </c>
      <c r="C854" s="320" t="s">
        <v>8591</v>
      </c>
      <c r="D854" s="31">
        <v>90.0</v>
      </c>
      <c r="E854" s="31" t="s">
        <v>185</v>
      </c>
      <c r="F854" s="11" t="s">
        <v>8530</v>
      </c>
      <c r="G854" s="327" t="s">
        <v>8592</v>
      </c>
      <c r="H854" s="322">
        <v>580.0</v>
      </c>
      <c r="I854" s="328">
        <v>580.0</v>
      </c>
      <c r="J854" s="324"/>
      <c r="K854" s="322"/>
      <c r="L854" s="323"/>
      <c r="M854" s="324">
        <v>580.0</v>
      </c>
      <c r="N854" s="284">
        <v>0.7</v>
      </c>
      <c r="O854" s="322">
        <v>1000.0</v>
      </c>
      <c r="P854" s="313">
        <f t="shared" ref="P854:Q854" si="454">O854</f>
        <v>1000</v>
      </c>
      <c r="Q854" s="319">
        <f t="shared" si="454"/>
        <v>1000</v>
      </c>
      <c r="R854" s="329" t="s">
        <v>8593</v>
      </c>
      <c r="S854" s="330">
        <v>46080.722797256945</v>
      </c>
      <c r="T854" s="2"/>
      <c r="U854" s="289">
        <f t="shared" si="424"/>
        <v>420</v>
      </c>
      <c r="V854" s="304" t="str">
        <f t="shared" ref="V854:V857" si="456">IF(L854&gt;0, Q2429 - L854, "нет з/ч")</f>
        <v>нет з/ч</v>
      </c>
      <c r="W854" s="2"/>
      <c r="X854" s="289">
        <v>580.0</v>
      </c>
      <c r="Y854" s="139"/>
      <c r="Z854" s="2"/>
      <c r="AA854" s="2" t="s">
        <v>8591</v>
      </c>
      <c r="AB854" s="2" t="s">
        <v>8591</v>
      </c>
      <c r="AC854" s="2"/>
      <c r="AD854" s="1" t="s">
        <v>8591</v>
      </c>
      <c r="AE854" s="3" t="s">
        <v>8590</v>
      </c>
      <c r="AF854" s="2"/>
      <c r="AG854" s="1" t="s">
        <v>1582</v>
      </c>
      <c r="AH854" s="1" t="s">
        <v>5984</v>
      </c>
      <c r="AI854" s="2">
        <v>90.0</v>
      </c>
      <c r="AJ854" s="1" t="s">
        <v>1589</v>
      </c>
      <c r="AK854" s="1" t="s">
        <v>5878</v>
      </c>
      <c r="AL854" s="1" t="s">
        <v>5878</v>
      </c>
      <c r="AM854" s="2"/>
      <c r="AN854" s="2"/>
      <c r="AO854" s="2"/>
      <c r="AP854" s="2"/>
      <c r="AQ854" s="2"/>
      <c r="AR854" s="2"/>
      <c r="AS854" s="2"/>
      <c r="AT854" s="2"/>
      <c r="AU854" s="126">
        <v>580.0</v>
      </c>
      <c r="AV854" s="126">
        <v>1000.0</v>
      </c>
      <c r="AW854" s="2"/>
      <c r="AX854" s="2"/>
      <c r="AY854" s="2"/>
      <c r="AZ854" s="2"/>
      <c r="BA854" s="2"/>
      <c r="BB854" s="2"/>
      <c r="BC854" s="2"/>
      <c r="BD854" s="2"/>
      <c r="BE854" s="2"/>
    </row>
    <row r="855" hidden="1">
      <c r="A855" s="2"/>
      <c r="B855" s="338" t="s">
        <v>8594</v>
      </c>
      <c r="C855" s="320" t="s">
        <v>8595</v>
      </c>
      <c r="D855" s="31">
        <v>90.0</v>
      </c>
      <c r="E855" s="31" t="s">
        <v>193</v>
      </c>
      <c r="F855" s="11" t="s">
        <v>8530</v>
      </c>
      <c r="G855" s="327" t="s">
        <v>8596</v>
      </c>
      <c r="H855" s="322">
        <v>830.0</v>
      </c>
      <c r="I855" s="328">
        <v>830.0</v>
      </c>
      <c r="J855" s="324"/>
      <c r="K855" s="322"/>
      <c r="L855" s="323"/>
      <c r="M855" s="324">
        <v>830.0</v>
      </c>
      <c r="N855" s="284">
        <v>0.8</v>
      </c>
      <c r="O855" s="322">
        <v>1500.0</v>
      </c>
      <c r="P855" s="313">
        <f t="shared" ref="P855:Q855" si="455">O855</f>
        <v>1500</v>
      </c>
      <c r="Q855" s="319">
        <f t="shared" si="455"/>
        <v>1500</v>
      </c>
      <c r="R855" s="336" t="s">
        <v>8597</v>
      </c>
      <c r="S855" s="330">
        <v>46080.72282581018</v>
      </c>
      <c r="T855" s="2"/>
      <c r="U855" s="289">
        <f t="shared" si="424"/>
        <v>670</v>
      </c>
      <c r="V855" s="304" t="str">
        <f t="shared" si="456"/>
        <v>нет з/ч</v>
      </c>
      <c r="W855" s="2"/>
      <c r="X855" s="289">
        <v>830.0</v>
      </c>
      <c r="Y855" s="139"/>
      <c r="Z855" s="2"/>
      <c r="AA855" s="2" t="s">
        <v>8595</v>
      </c>
      <c r="AB855" s="2" t="s">
        <v>8595</v>
      </c>
      <c r="AC855" s="2"/>
      <c r="AD855" s="1" t="s">
        <v>8595</v>
      </c>
      <c r="AE855" s="3" t="s">
        <v>8594</v>
      </c>
      <c r="AF855" s="2"/>
      <c r="AG855" s="1" t="s">
        <v>1582</v>
      </c>
      <c r="AH855" s="1" t="s">
        <v>5993</v>
      </c>
      <c r="AI855" s="2">
        <v>90.0</v>
      </c>
      <c r="AJ855" s="1" t="s">
        <v>1589</v>
      </c>
      <c r="AK855" s="1" t="s">
        <v>5878</v>
      </c>
      <c r="AL855" s="1" t="s">
        <v>5878</v>
      </c>
      <c r="AM855" s="2"/>
      <c r="AN855" s="2"/>
      <c r="AO855" s="2"/>
      <c r="AP855" s="2"/>
      <c r="AQ855" s="2"/>
      <c r="AR855" s="2"/>
      <c r="AS855" s="2"/>
      <c r="AT855" s="2"/>
      <c r="AU855" s="167">
        <v>830.0</v>
      </c>
      <c r="AV855" s="167">
        <v>1500.0</v>
      </c>
      <c r="AW855" s="2"/>
      <c r="AX855" s="2"/>
      <c r="AY855" s="2"/>
      <c r="AZ855" s="2"/>
      <c r="BA855" s="2"/>
      <c r="BB855" s="2"/>
      <c r="BC855" s="2"/>
      <c r="BD855" s="2"/>
      <c r="BE855" s="2"/>
    </row>
    <row r="856" hidden="1">
      <c r="A856" s="2"/>
      <c r="B856" s="338" t="s">
        <v>8598</v>
      </c>
      <c r="C856" s="320" t="s">
        <v>8599</v>
      </c>
      <c r="D856" s="31">
        <v>90.0</v>
      </c>
      <c r="E856" s="31" t="s">
        <v>6628</v>
      </c>
      <c r="F856" s="11" t="s">
        <v>8530</v>
      </c>
      <c r="G856" s="327" t="s">
        <v>8600</v>
      </c>
      <c r="H856" s="322">
        <v>1150.0</v>
      </c>
      <c r="I856" s="328">
        <v>1150.0</v>
      </c>
      <c r="J856" s="324"/>
      <c r="K856" s="322"/>
      <c r="L856" s="323"/>
      <c r="M856" s="324">
        <v>1150.0</v>
      </c>
      <c r="N856" s="284">
        <v>0.185</v>
      </c>
      <c r="O856" s="322">
        <v>1350.0</v>
      </c>
      <c r="P856" s="313">
        <f>MAX(O856,O857)</f>
        <v>1350</v>
      </c>
      <c r="Q856" s="319">
        <f>P856</f>
        <v>1350</v>
      </c>
      <c r="R856" s="329" t="s">
        <v>8601</v>
      </c>
      <c r="S856" s="330">
        <v>46080.722858796296</v>
      </c>
      <c r="T856" s="2"/>
      <c r="U856" s="289">
        <f t="shared" si="424"/>
        <v>200</v>
      </c>
      <c r="V856" s="304" t="str">
        <f t="shared" si="456"/>
        <v>нет з/ч</v>
      </c>
      <c r="W856" s="2"/>
      <c r="X856" s="289">
        <v>1150.0</v>
      </c>
      <c r="Y856" s="139"/>
      <c r="Z856" s="2"/>
      <c r="AA856" s="2" t="s">
        <v>8599</v>
      </c>
      <c r="AB856" s="2" t="s">
        <v>8599</v>
      </c>
      <c r="AC856" s="2"/>
      <c r="AD856" s="2" t="s">
        <v>8599</v>
      </c>
      <c r="AE856" s="3" t="s">
        <v>8598</v>
      </c>
      <c r="AF856" s="2"/>
      <c r="AG856" s="1" t="s">
        <v>1582</v>
      </c>
      <c r="AH856" s="1" t="s">
        <v>6002</v>
      </c>
      <c r="AI856" s="2">
        <v>90.0</v>
      </c>
      <c r="AJ856" s="1" t="s">
        <v>1589</v>
      </c>
      <c r="AK856" s="1" t="s">
        <v>5878</v>
      </c>
      <c r="AL856" s="1" t="s">
        <v>5878</v>
      </c>
      <c r="AM856" s="2"/>
      <c r="AN856" s="2"/>
      <c r="AO856" s="2"/>
      <c r="AP856" s="2"/>
      <c r="AQ856" s="2"/>
      <c r="AR856" s="2"/>
      <c r="AS856" s="2"/>
      <c r="AT856" s="2"/>
      <c r="AU856" s="126">
        <v>1150.0</v>
      </c>
      <c r="AV856" s="126">
        <v>1350.0</v>
      </c>
      <c r="AW856" s="2"/>
      <c r="AX856" s="2"/>
      <c r="AY856" s="2"/>
      <c r="AZ856" s="2"/>
      <c r="BA856" s="2"/>
      <c r="BB856" s="2"/>
      <c r="BC856" s="2"/>
      <c r="BD856" s="2"/>
      <c r="BE856" s="2"/>
    </row>
    <row r="857" hidden="1">
      <c r="A857" s="2"/>
      <c r="B857" s="340" t="s">
        <v>8602</v>
      </c>
      <c r="C857" s="93" t="s">
        <v>8603</v>
      </c>
      <c r="D857" s="31">
        <v>90.0</v>
      </c>
      <c r="E857" s="31" t="s">
        <v>6628</v>
      </c>
      <c r="F857" s="11" t="s">
        <v>8530</v>
      </c>
      <c r="G857" s="341" t="s">
        <v>8604</v>
      </c>
      <c r="H857" s="322"/>
      <c r="I857" s="328">
        <v>850.0</v>
      </c>
      <c r="J857" s="324"/>
      <c r="K857" s="322"/>
      <c r="L857" s="323"/>
      <c r="M857" s="324">
        <v>850.0</v>
      </c>
      <c r="N857" s="284">
        <v>0.185</v>
      </c>
      <c r="O857" s="322">
        <v>1000.0</v>
      </c>
      <c r="P857" s="104"/>
      <c r="Q857" s="319">
        <f>P856</f>
        <v>1350</v>
      </c>
      <c r="R857" s="342" t="s">
        <v>8605</v>
      </c>
      <c r="S857" s="343"/>
      <c r="T857" s="2"/>
      <c r="U857" s="344">
        <f t="shared" si="424"/>
        <v>500</v>
      </c>
      <c r="V857" s="345" t="str">
        <f t="shared" si="456"/>
        <v>нет з/ч</v>
      </c>
      <c r="W857" s="2"/>
      <c r="X857" s="289">
        <v>850.0</v>
      </c>
      <c r="Y857" s="139"/>
      <c r="Z857" s="2"/>
      <c r="AA857" s="2" t="s">
        <v>8603</v>
      </c>
      <c r="AB857" s="2" t="s">
        <v>8603</v>
      </c>
      <c r="AC857" s="2"/>
      <c r="AD857" s="2" t="s">
        <v>8603</v>
      </c>
      <c r="AE857" s="3" t="s">
        <v>8602</v>
      </c>
      <c r="AF857" s="2"/>
      <c r="AG857" s="1" t="s">
        <v>1582</v>
      </c>
      <c r="AH857" s="1" t="s">
        <v>6002</v>
      </c>
      <c r="AI857" s="2">
        <v>90.0</v>
      </c>
      <c r="AJ857" s="1" t="s">
        <v>1589</v>
      </c>
      <c r="AK857" s="1" t="s">
        <v>5878</v>
      </c>
      <c r="AL857" s="1" t="s">
        <v>5878</v>
      </c>
      <c r="AM857" s="2"/>
      <c r="AN857" s="2"/>
      <c r="AO857" s="2"/>
      <c r="AP857" s="2"/>
      <c r="AQ857" s="2"/>
      <c r="AR857" s="2"/>
      <c r="AS857" s="2"/>
      <c r="AT857" s="2"/>
      <c r="AU857" s="126">
        <v>850.0</v>
      </c>
      <c r="AV857" s="126">
        <v>1350.0</v>
      </c>
      <c r="AW857" s="2"/>
      <c r="AX857" s="2"/>
      <c r="AY857" s="2"/>
      <c r="AZ857" s="2"/>
      <c r="BA857" s="2"/>
      <c r="BB857" s="2"/>
      <c r="BC857" s="2"/>
      <c r="BD857" s="2"/>
      <c r="BE857" s="2"/>
    </row>
    <row r="858" hidden="1">
      <c r="A858" s="2"/>
      <c r="B858" s="338" t="s">
        <v>8606</v>
      </c>
      <c r="C858" s="320" t="s">
        <v>8607</v>
      </c>
      <c r="D858" s="31">
        <v>90.0</v>
      </c>
      <c r="E858" s="31" t="s">
        <v>212</v>
      </c>
      <c r="F858" s="11" t="s">
        <v>8530</v>
      </c>
      <c r="G858" s="321"/>
      <c r="H858" s="322"/>
      <c r="I858" s="323"/>
      <c r="J858" s="324"/>
      <c r="K858" s="322"/>
      <c r="L858" s="323"/>
      <c r="M858" s="324" t="s">
        <v>22</v>
      </c>
      <c r="N858" s="284">
        <v>0.185</v>
      </c>
      <c r="O858" s="322" t="s">
        <v>22</v>
      </c>
      <c r="P858" s="313" t="str">
        <f t="shared" ref="P858:Q858" si="457">O858</f>
        <v/>
      </c>
      <c r="Q858" s="319" t="str">
        <f t="shared" si="457"/>
        <v/>
      </c>
      <c r="R858" s="331"/>
      <c r="S858" s="326"/>
      <c r="T858" s="2"/>
      <c r="U858" s="59" t="str">
        <f t="shared" si="424"/>
        <v>нет з/ч</v>
      </c>
      <c r="V858" s="304" t="str">
        <f t="shared" ref="V858:V881" si="459">IF(L858&gt;0, Q2432 - L858, "нет з/ч")</f>
        <v>нет з/ч</v>
      </c>
      <c r="W858" s="2"/>
      <c r="X858" s="289"/>
      <c r="Y858" s="139"/>
      <c r="Z858" s="2"/>
      <c r="AA858" s="2" t="s">
        <v>8607</v>
      </c>
      <c r="AB858" s="2" t="s">
        <v>8607</v>
      </c>
      <c r="AC858" s="2"/>
      <c r="AD858" s="2" t="s">
        <v>8607</v>
      </c>
      <c r="AE858" s="3" t="s">
        <v>8606</v>
      </c>
      <c r="AF858" s="2"/>
      <c r="AG858" s="1" t="s">
        <v>1582</v>
      </c>
      <c r="AH858" s="1" t="s">
        <v>6026</v>
      </c>
      <c r="AI858" s="2">
        <v>90.0</v>
      </c>
      <c r="AJ858" s="1" t="s">
        <v>1589</v>
      </c>
      <c r="AK858" s="1" t="s">
        <v>5878</v>
      </c>
      <c r="AL858" s="1" t="s">
        <v>5878</v>
      </c>
      <c r="AM858" s="2"/>
      <c r="AN858" s="2"/>
      <c r="AO858" s="2"/>
      <c r="AP858" s="2"/>
      <c r="AQ858" s="2"/>
      <c r="AR858" s="2"/>
      <c r="AS858" s="2"/>
      <c r="AT858" s="2"/>
      <c r="AU858" s="126" t="s">
        <v>22</v>
      </c>
      <c r="AV858" s="126" t="s">
        <v>22</v>
      </c>
      <c r="AW858" s="2"/>
      <c r="AX858" s="2"/>
      <c r="AY858" s="2"/>
      <c r="AZ858" s="2"/>
      <c r="BA858" s="2"/>
      <c r="BB858" s="2"/>
      <c r="BC858" s="2"/>
      <c r="BD858" s="2"/>
      <c r="BE858" s="2"/>
    </row>
    <row r="859" hidden="1">
      <c r="A859" s="2"/>
      <c r="B859" s="338" t="s">
        <v>8608</v>
      </c>
      <c r="C859" s="320" t="s">
        <v>8609</v>
      </c>
      <c r="D859" s="31">
        <v>90.0</v>
      </c>
      <c r="E859" s="31" t="s">
        <v>228</v>
      </c>
      <c r="F859" s="11" t="s">
        <v>8530</v>
      </c>
      <c r="G859" s="327" t="s">
        <v>8610</v>
      </c>
      <c r="H859" s="322">
        <v>890.0</v>
      </c>
      <c r="I859" s="328">
        <v>890.0</v>
      </c>
      <c r="J859" s="324"/>
      <c r="K859" s="322"/>
      <c r="L859" s="323"/>
      <c r="M859" s="324">
        <v>890.0</v>
      </c>
      <c r="N859" s="284">
        <v>0.185</v>
      </c>
      <c r="O859" s="322">
        <v>1050.0</v>
      </c>
      <c r="P859" s="313">
        <f t="shared" ref="P859:Q859" si="458">O859</f>
        <v>1050</v>
      </c>
      <c r="Q859" s="319">
        <f t="shared" si="458"/>
        <v>1050</v>
      </c>
      <c r="R859" s="329" t="s">
        <v>8611</v>
      </c>
      <c r="S859" s="330">
        <v>46080.72288918981</v>
      </c>
      <c r="T859" s="2"/>
      <c r="U859" s="289">
        <f t="shared" si="424"/>
        <v>160</v>
      </c>
      <c r="V859" s="304" t="str">
        <f t="shared" si="459"/>
        <v>нет з/ч</v>
      </c>
      <c r="W859" s="2"/>
      <c r="X859" s="289">
        <v>890.0</v>
      </c>
      <c r="Y859" s="139"/>
      <c r="Z859" s="2"/>
      <c r="AA859" s="2" t="s">
        <v>8609</v>
      </c>
      <c r="AB859" s="2" t="s">
        <v>8609</v>
      </c>
      <c r="AC859" s="2"/>
      <c r="AD859" s="2" t="s">
        <v>8609</v>
      </c>
      <c r="AE859" s="3" t="s">
        <v>8608</v>
      </c>
      <c r="AF859" s="2"/>
      <c r="AG859" s="1" t="s">
        <v>1582</v>
      </c>
      <c r="AH859" s="1" t="s">
        <v>6045</v>
      </c>
      <c r="AI859" s="2">
        <v>90.0</v>
      </c>
      <c r="AJ859" s="1" t="s">
        <v>1589</v>
      </c>
      <c r="AK859" s="1" t="s">
        <v>5878</v>
      </c>
      <c r="AL859" s="1" t="s">
        <v>5878</v>
      </c>
      <c r="AM859" s="2"/>
      <c r="AN859" s="2"/>
      <c r="AO859" s="2"/>
      <c r="AP859" s="2"/>
      <c r="AQ859" s="2"/>
      <c r="AR859" s="2"/>
      <c r="AS859" s="2"/>
      <c r="AT859" s="2"/>
      <c r="AU859" s="126">
        <v>890.0</v>
      </c>
      <c r="AV859" s="126">
        <v>1050.0</v>
      </c>
      <c r="AW859" s="2"/>
      <c r="AX859" s="2"/>
      <c r="AY859" s="2"/>
      <c r="AZ859" s="2"/>
      <c r="BA859" s="2"/>
      <c r="BB859" s="2"/>
      <c r="BC859" s="2"/>
      <c r="BD859" s="2"/>
      <c r="BE859" s="2"/>
    </row>
    <row r="860" hidden="1">
      <c r="A860" s="2"/>
      <c r="B860" s="338" t="s">
        <v>8612</v>
      </c>
      <c r="C860" s="320" t="s">
        <v>8613</v>
      </c>
      <c r="D860" s="31">
        <v>90.0</v>
      </c>
      <c r="E860" s="31" t="s">
        <v>8614</v>
      </c>
      <c r="F860" s="11" t="s">
        <v>8530</v>
      </c>
      <c r="G860" s="327" t="s">
        <v>8615</v>
      </c>
      <c r="H860" s="322">
        <v>900.0</v>
      </c>
      <c r="I860" s="328">
        <v>900.0</v>
      </c>
      <c r="J860" s="324"/>
      <c r="K860" s="322"/>
      <c r="L860" s="323"/>
      <c r="M860" s="324">
        <v>900.0</v>
      </c>
      <c r="N860" s="284">
        <v>0.185</v>
      </c>
      <c r="O860" s="322">
        <v>1050.0</v>
      </c>
      <c r="P860" s="313">
        <f t="shared" ref="P860:Q860" si="460">O860</f>
        <v>1050</v>
      </c>
      <c r="Q860" s="319">
        <f t="shared" si="460"/>
        <v>1050</v>
      </c>
      <c r="R860" s="329" t="s">
        <v>8616</v>
      </c>
      <c r="S860" s="330">
        <v>46080.7229171875</v>
      </c>
      <c r="T860" s="2"/>
      <c r="U860" s="289">
        <f t="shared" si="424"/>
        <v>150</v>
      </c>
      <c r="V860" s="304" t="str">
        <f t="shared" si="459"/>
        <v>нет з/ч</v>
      </c>
      <c r="W860" s="2"/>
      <c r="X860" s="289">
        <v>900.0</v>
      </c>
      <c r="Y860" s="139"/>
      <c r="Z860" s="2"/>
      <c r="AA860" s="2" t="s">
        <v>8613</v>
      </c>
      <c r="AB860" s="2" t="s">
        <v>8613</v>
      </c>
      <c r="AC860" s="2"/>
      <c r="AD860" s="2" t="s">
        <v>8613</v>
      </c>
      <c r="AE860" s="3" t="s">
        <v>8612</v>
      </c>
      <c r="AF860" s="2"/>
      <c r="AG860" s="1" t="s">
        <v>1582</v>
      </c>
      <c r="AH860" s="1" t="s">
        <v>6069</v>
      </c>
      <c r="AI860" s="2">
        <v>90.0</v>
      </c>
      <c r="AJ860" s="1" t="s">
        <v>1589</v>
      </c>
      <c r="AK860" s="1" t="s">
        <v>5878</v>
      </c>
      <c r="AL860" s="1" t="s">
        <v>5878</v>
      </c>
      <c r="AM860" s="2"/>
      <c r="AN860" s="2"/>
      <c r="AO860" s="2"/>
      <c r="AP860" s="2"/>
      <c r="AQ860" s="2"/>
      <c r="AR860" s="2"/>
      <c r="AS860" s="2"/>
      <c r="AT860" s="2"/>
      <c r="AU860" s="126">
        <v>900.0</v>
      </c>
      <c r="AV860" s="126">
        <v>1050.0</v>
      </c>
      <c r="AW860" s="2"/>
      <c r="AX860" s="2"/>
      <c r="AY860" s="2"/>
      <c r="AZ860" s="2"/>
      <c r="BA860" s="2"/>
      <c r="BB860" s="2"/>
      <c r="BC860" s="2"/>
      <c r="BD860" s="2"/>
      <c r="BE860" s="2"/>
    </row>
    <row r="861" hidden="1">
      <c r="A861" s="2"/>
      <c r="B861" s="338" t="s">
        <v>8617</v>
      </c>
      <c r="C861" s="320" t="s">
        <v>8618</v>
      </c>
      <c r="D861" s="31">
        <v>90.0</v>
      </c>
      <c r="E861" s="31" t="s">
        <v>238</v>
      </c>
      <c r="F861" s="11" t="s">
        <v>8530</v>
      </c>
      <c r="G861" s="321"/>
      <c r="H861" s="322"/>
      <c r="I861" s="323"/>
      <c r="J861" s="324"/>
      <c r="K861" s="322"/>
      <c r="L861" s="323"/>
      <c r="M861" s="324" t="s">
        <v>22</v>
      </c>
      <c r="N861" s="284">
        <v>0.185</v>
      </c>
      <c r="O861" s="322" t="s">
        <v>22</v>
      </c>
      <c r="P861" s="313" t="str">
        <f t="shared" ref="P861:Q861" si="461">O861</f>
        <v/>
      </c>
      <c r="Q861" s="319" t="str">
        <f t="shared" si="461"/>
        <v/>
      </c>
      <c r="R861" s="331"/>
      <c r="S861" s="326"/>
      <c r="T861" s="2"/>
      <c r="U861" s="59" t="str">
        <f t="shared" si="424"/>
        <v>нет з/ч</v>
      </c>
      <c r="V861" s="304" t="str">
        <f t="shared" si="459"/>
        <v>нет з/ч</v>
      </c>
      <c r="W861" s="2"/>
      <c r="X861" s="289"/>
      <c r="Y861" s="139"/>
      <c r="Z861" s="2"/>
      <c r="AA861" s="2" t="s">
        <v>8618</v>
      </c>
      <c r="AB861" s="2" t="s">
        <v>8618</v>
      </c>
      <c r="AC861" s="2"/>
      <c r="AD861" s="2" t="s">
        <v>8618</v>
      </c>
      <c r="AE861" s="3" t="s">
        <v>8617</v>
      </c>
      <c r="AF861" s="2"/>
      <c r="AG861" s="1" t="s">
        <v>1582</v>
      </c>
      <c r="AH861" s="1" t="s">
        <v>6093</v>
      </c>
      <c r="AI861" s="2">
        <v>90.0</v>
      </c>
      <c r="AJ861" s="1" t="s">
        <v>1589</v>
      </c>
      <c r="AK861" s="1" t="s">
        <v>5878</v>
      </c>
      <c r="AL861" s="1" t="s">
        <v>5878</v>
      </c>
      <c r="AM861" s="2"/>
      <c r="AN861" s="2"/>
      <c r="AO861" s="2"/>
      <c r="AP861" s="2"/>
      <c r="AQ861" s="2"/>
      <c r="AR861" s="2"/>
      <c r="AS861" s="2"/>
      <c r="AT861" s="2"/>
      <c r="AU861" s="126" t="s">
        <v>22</v>
      </c>
      <c r="AV861" s="126" t="s">
        <v>22</v>
      </c>
      <c r="AW861" s="2"/>
      <c r="AX861" s="2"/>
      <c r="AY861" s="2"/>
      <c r="AZ861" s="2"/>
      <c r="BA861" s="2"/>
      <c r="BB861" s="2"/>
      <c r="BC861" s="2"/>
      <c r="BD861" s="2"/>
      <c r="BE861" s="2"/>
    </row>
    <row r="862" hidden="1">
      <c r="A862" s="2"/>
      <c r="B862" s="338" t="s">
        <v>8619</v>
      </c>
      <c r="C862" s="320" t="s">
        <v>8620</v>
      </c>
      <c r="D862" s="31">
        <v>90.0</v>
      </c>
      <c r="E862" s="31" t="s">
        <v>246</v>
      </c>
      <c r="F862" s="11" t="s">
        <v>8530</v>
      </c>
      <c r="G862" s="327" t="s">
        <v>8621</v>
      </c>
      <c r="H862" s="322">
        <v>900.0</v>
      </c>
      <c r="I862" s="328">
        <v>900.0</v>
      </c>
      <c r="J862" s="324"/>
      <c r="K862" s="322"/>
      <c r="L862" s="323"/>
      <c r="M862" s="324">
        <v>900.0</v>
      </c>
      <c r="N862" s="284">
        <v>0.185</v>
      </c>
      <c r="O862" s="322">
        <v>1050.0</v>
      </c>
      <c r="P862" s="313">
        <f t="shared" ref="P862:Q862" si="462">O862</f>
        <v>1050</v>
      </c>
      <c r="Q862" s="319">
        <f t="shared" si="462"/>
        <v>1050</v>
      </c>
      <c r="R862" s="336" t="s">
        <v>8622</v>
      </c>
      <c r="S862" s="330">
        <v>46080.72294810185</v>
      </c>
      <c r="T862" s="2"/>
      <c r="U862" s="289">
        <f t="shared" si="424"/>
        <v>150</v>
      </c>
      <c r="V862" s="304" t="str">
        <f t="shared" si="459"/>
        <v>нет з/ч</v>
      </c>
      <c r="W862" s="2"/>
      <c r="X862" s="289">
        <v>900.0</v>
      </c>
      <c r="Y862" s="139"/>
      <c r="Z862" s="2"/>
      <c r="AA862" s="2" t="s">
        <v>8620</v>
      </c>
      <c r="AB862" s="2" t="s">
        <v>8620</v>
      </c>
      <c r="AC862" s="2"/>
      <c r="AD862" s="2" t="s">
        <v>8620</v>
      </c>
      <c r="AE862" s="3" t="s">
        <v>8619</v>
      </c>
      <c r="AF862" s="2"/>
      <c r="AG862" s="1" t="s">
        <v>1582</v>
      </c>
      <c r="AH862" s="1" t="s">
        <v>6113</v>
      </c>
      <c r="AI862" s="2">
        <v>90.0</v>
      </c>
      <c r="AJ862" s="1" t="s">
        <v>1589</v>
      </c>
      <c r="AK862" s="1" t="s">
        <v>5878</v>
      </c>
      <c r="AL862" s="1" t="s">
        <v>5878</v>
      </c>
      <c r="AM862" s="2"/>
      <c r="AN862" s="2"/>
      <c r="AO862" s="2"/>
      <c r="AP862" s="2"/>
      <c r="AQ862" s="2"/>
      <c r="AR862" s="2"/>
      <c r="AS862" s="2"/>
      <c r="AT862" s="2"/>
      <c r="AU862" s="126">
        <v>900.0</v>
      </c>
      <c r="AV862" s="126">
        <v>1050.0</v>
      </c>
      <c r="AW862" s="2"/>
      <c r="AX862" s="2"/>
      <c r="AY862" s="2"/>
      <c r="AZ862" s="2"/>
      <c r="BA862" s="2"/>
      <c r="BB862" s="2"/>
      <c r="BC862" s="2"/>
      <c r="BD862" s="2"/>
      <c r="BE862" s="2"/>
    </row>
    <row r="863" hidden="1">
      <c r="A863" s="2"/>
      <c r="B863" s="338" t="s">
        <v>8623</v>
      </c>
      <c r="C863" s="320" t="s">
        <v>8624</v>
      </c>
      <c r="D863" s="31">
        <v>90.0</v>
      </c>
      <c r="E863" s="31" t="s">
        <v>254</v>
      </c>
      <c r="F863" s="11" t="s">
        <v>8530</v>
      </c>
      <c r="G863" s="327" t="s">
        <v>8625</v>
      </c>
      <c r="H863" s="322">
        <v>900.0</v>
      </c>
      <c r="I863" s="328">
        <v>900.0</v>
      </c>
      <c r="J863" s="324"/>
      <c r="K863" s="322"/>
      <c r="L863" s="323"/>
      <c r="M863" s="324">
        <v>900.0</v>
      </c>
      <c r="N863" s="284">
        <v>0.35</v>
      </c>
      <c r="O863" s="322">
        <v>1200.0</v>
      </c>
      <c r="P863" s="313">
        <f t="shared" ref="P863:Q863" si="463">O863</f>
        <v>1200</v>
      </c>
      <c r="Q863" s="319">
        <f t="shared" si="463"/>
        <v>1200</v>
      </c>
      <c r="R863" s="329" t="s">
        <v>8626</v>
      </c>
      <c r="S863" s="330">
        <v>46080.722977673606</v>
      </c>
      <c r="T863" s="2"/>
      <c r="U863" s="289">
        <f t="shared" si="424"/>
        <v>300</v>
      </c>
      <c r="V863" s="304" t="str">
        <f t="shared" si="459"/>
        <v>нет з/ч</v>
      </c>
      <c r="W863" s="2"/>
      <c r="X863" s="289">
        <v>900.0</v>
      </c>
      <c r="Y863" s="139"/>
      <c r="Z863" s="2"/>
      <c r="AA863" s="2" t="s">
        <v>8624</v>
      </c>
      <c r="AB863" s="2" t="s">
        <v>8624</v>
      </c>
      <c r="AC863" s="2"/>
      <c r="AD863" s="2" t="s">
        <v>8624</v>
      </c>
      <c r="AE863" s="3" t="s">
        <v>8623</v>
      </c>
      <c r="AF863" s="2"/>
      <c r="AG863" s="1" t="s">
        <v>1582</v>
      </c>
      <c r="AH863" s="1" t="s">
        <v>6137</v>
      </c>
      <c r="AI863" s="2">
        <v>90.0</v>
      </c>
      <c r="AJ863" s="1" t="s">
        <v>1589</v>
      </c>
      <c r="AK863" s="1" t="s">
        <v>5878</v>
      </c>
      <c r="AL863" s="1" t="s">
        <v>5878</v>
      </c>
      <c r="AM863" s="2"/>
      <c r="AN863" s="2"/>
      <c r="AO863" s="2"/>
      <c r="AP863" s="2"/>
      <c r="AQ863" s="2"/>
      <c r="AR863" s="2"/>
      <c r="AS863" s="2"/>
      <c r="AT863" s="2"/>
      <c r="AU863" s="126">
        <v>900.0</v>
      </c>
      <c r="AV863" s="126">
        <v>1200.0</v>
      </c>
      <c r="AW863" s="2"/>
      <c r="AX863" s="2"/>
      <c r="AY863" s="2"/>
      <c r="AZ863" s="2"/>
      <c r="BA863" s="2"/>
      <c r="BB863" s="2"/>
      <c r="BC863" s="2"/>
      <c r="BD863" s="2"/>
      <c r="BE863" s="2"/>
    </row>
    <row r="864" hidden="1">
      <c r="A864" s="2"/>
      <c r="B864" s="338" t="s">
        <v>8627</v>
      </c>
      <c r="C864" s="320" t="s">
        <v>8628</v>
      </c>
      <c r="D864" s="31">
        <v>90.0</v>
      </c>
      <c r="E864" s="31" t="s">
        <v>262</v>
      </c>
      <c r="F864" s="11" t="s">
        <v>8530</v>
      </c>
      <c r="G864" s="321"/>
      <c r="H864" s="322"/>
      <c r="I864" s="323"/>
      <c r="J864" s="324"/>
      <c r="K864" s="322"/>
      <c r="L864" s="323"/>
      <c r="M864" s="324" t="s">
        <v>22</v>
      </c>
      <c r="N864" s="284">
        <v>0.5</v>
      </c>
      <c r="O864" s="322" t="s">
        <v>22</v>
      </c>
      <c r="P864" s="313" t="str">
        <f t="shared" ref="P864:Q864" si="464">O864</f>
        <v/>
      </c>
      <c r="Q864" s="319" t="str">
        <f t="shared" si="464"/>
        <v/>
      </c>
      <c r="R864" s="339"/>
      <c r="S864" s="326"/>
      <c r="T864" s="2"/>
      <c r="U864" s="59" t="str">
        <f t="shared" si="424"/>
        <v>нет з/ч</v>
      </c>
      <c r="V864" s="304" t="str">
        <f t="shared" si="459"/>
        <v>нет з/ч</v>
      </c>
      <c r="W864" s="2"/>
      <c r="X864" s="289"/>
      <c r="Y864" s="139"/>
      <c r="Z864" s="2"/>
      <c r="AA864" s="2" t="s">
        <v>8628</v>
      </c>
      <c r="AB864" s="2" t="s">
        <v>8628</v>
      </c>
      <c r="AC864" s="2"/>
      <c r="AD864" s="2" t="s">
        <v>8628</v>
      </c>
      <c r="AE864" s="3" t="s">
        <v>8627</v>
      </c>
      <c r="AF864" s="2"/>
      <c r="AG864" s="1" t="s">
        <v>1582</v>
      </c>
      <c r="AH864" s="1" t="s">
        <v>6161</v>
      </c>
      <c r="AI864" s="2">
        <v>90.0</v>
      </c>
      <c r="AJ864" s="1" t="s">
        <v>1589</v>
      </c>
      <c r="AK864" s="1" t="s">
        <v>5878</v>
      </c>
      <c r="AL864" s="1" t="s">
        <v>5878</v>
      </c>
      <c r="AM864" s="2"/>
      <c r="AN864" s="2"/>
      <c r="AO864" s="2"/>
      <c r="AP864" s="2"/>
      <c r="AQ864" s="2"/>
      <c r="AR864" s="2"/>
      <c r="AS864" s="2"/>
      <c r="AT864" s="2"/>
      <c r="AU864" s="126" t="s">
        <v>22</v>
      </c>
      <c r="AV864" s="126" t="s">
        <v>22</v>
      </c>
      <c r="AW864" s="2"/>
      <c r="AX864" s="2"/>
      <c r="AY864" s="2"/>
      <c r="AZ864" s="2"/>
      <c r="BA864" s="2"/>
      <c r="BB864" s="2"/>
      <c r="BC864" s="2"/>
      <c r="BD864" s="2"/>
      <c r="BE864" s="2"/>
    </row>
    <row r="865" hidden="1">
      <c r="A865" s="2"/>
      <c r="B865" s="338" t="s">
        <v>8629</v>
      </c>
      <c r="C865" s="320" t="s">
        <v>8630</v>
      </c>
      <c r="D865" s="31">
        <v>90.0</v>
      </c>
      <c r="E865" s="31" t="s">
        <v>269</v>
      </c>
      <c r="F865" s="11" t="s">
        <v>8530</v>
      </c>
      <c r="G865" s="327" t="s">
        <v>8631</v>
      </c>
      <c r="H865" s="322">
        <v>900.0</v>
      </c>
      <c r="I865" s="328">
        <v>900.0</v>
      </c>
      <c r="J865" s="324"/>
      <c r="K865" s="322"/>
      <c r="L865" s="323"/>
      <c r="M865" s="324">
        <v>900.0</v>
      </c>
      <c r="N865" s="284">
        <v>0.5</v>
      </c>
      <c r="O865" s="322">
        <v>1350.0</v>
      </c>
      <c r="P865" s="313">
        <f t="shared" ref="P865:Q865" si="465">O865</f>
        <v>1350</v>
      </c>
      <c r="Q865" s="319">
        <f t="shared" si="465"/>
        <v>1350</v>
      </c>
      <c r="R865" s="329" t="s">
        <v>8632</v>
      </c>
      <c r="S865" s="330">
        <v>46080.72300697917</v>
      </c>
      <c r="T865" s="2"/>
      <c r="U865" s="289">
        <f t="shared" si="424"/>
        <v>450</v>
      </c>
      <c r="V865" s="304" t="str">
        <f t="shared" si="459"/>
        <v>нет з/ч</v>
      </c>
      <c r="W865" s="2"/>
      <c r="X865" s="289">
        <v>900.0</v>
      </c>
      <c r="Y865" s="139"/>
      <c r="Z865" s="2"/>
      <c r="AA865" s="2" t="s">
        <v>8630</v>
      </c>
      <c r="AB865" s="2" t="s">
        <v>8630</v>
      </c>
      <c r="AC865" s="2"/>
      <c r="AD865" s="2" t="s">
        <v>8630</v>
      </c>
      <c r="AE865" s="3" t="s">
        <v>8629</v>
      </c>
      <c r="AF865" s="2"/>
      <c r="AG865" s="1" t="s">
        <v>1582</v>
      </c>
      <c r="AH865" s="1" t="s">
        <v>6185</v>
      </c>
      <c r="AI865" s="2">
        <v>90.0</v>
      </c>
      <c r="AJ865" s="1" t="s">
        <v>1589</v>
      </c>
      <c r="AK865" s="1" t="s">
        <v>5878</v>
      </c>
      <c r="AL865" s="1" t="s">
        <v>5878</v>
      </c>
      <c r="AM865" s="2"/>
      <c r="AN865" s="2"/>
      <c r="AO865" s="2"/>
      <c r="AP865" s="2"/>
      <c r="AQ865" s="2"/>
      <c r="AR865" s="2"/>
      <c r="AS865" s="2"/>
      <c r="AT865" s="2"/>
      <c r="AU865" s="126">
        <v>900.0</v>
      </c>
      <c r="AV865" s="126">
        <v>1350.0</v>
      </c>
      <c r="AW865" s="2"/>
      <c r="AX865" s="2"/>
      <c r="AY865" s="2"/>
      <c r="AZ865" s="2"/>
      <c r="BA865" s="2"/>
      <c r="BB865" s="2"/>
      <c r="BC865" s="2"/>
      <c r="BD865" s="2"/>
      <c r="BE865" s="2"/>
    </row>
    <row r="866" hidden="1">
      <c r="A866" s="2"/>
      <c r="B866" s="338" t="s">
        <v>8633</v>
      </c>
      <c r="C866" s="320" t="s">
        <v>8634</v>
      </c>
      <c r="D866" s="31">
        <v>90.0</v>
      </c>
      <c r="E866" s="31" t="s">
        <v>276</v>
      </c>
      <c r="F866" s="11" t="s">
        <v>8530</v>
      </c>
      <c r="G866" s="327" t="s">
        <v>8635</v>
      </c>
      <c r="H866" s="322">
        <v>800.0</v>
      </c>
      <c r="I866" s="328">
        <v>800.0</v>
      </c>
      <c r="J866" s="324"/>
      <c r="K866" s="322"/>
      <c r="L866" s="323"/>
      <c r="M866" s="324">
        <v>800.0</v>
      </c>
      <c r="N866" s="284">
        <v>0.5</v>
      </c>
      <c r="O866" s="322">
        <v>1200.0</v>
      </c>
      <c r="P866" s="313">
        <f t="shared" ref="P866:Q866" si="466">O866</f>
        <v>1200</v>
      </c>
      <c r="Q866" s="319">
        <f t="shared" si="466"/>
        <v>1200</v>
      </c>
      <c r="R866" s="329" t="s">
        <v>8636</v>
      </c>
      <c r="S866" s="330">
        <v>46080.723040902776</v>
      </c>
      <c r="T866" s="2"/>
      <c r="U866" s="289">
        <f t="shared" si="424"/>
        <v>400</v>
      </c>
      <c r="V866" s="304" t="str">
        <f t="shared" si="459"/>
        <v>нет з/ч</v>
      </c>
      <c r="W866" s="2"/>
      <c r="X866" s="289">
        <v>800.0</v>
      </c>
      <c r="Y866" s="139"/>
      <c r="Z866" s="2"/>
      <c r="AA866" s="2" t="s">
        <v>8634</v>
      </c>
      <c r="AB866" s="2" t="s">
        <v>8634</v>
      </c>
      <c r="AC866" s="2"/>
      <c r="AD866" s="2" t="s">
        <v>8634</v>
      </c>
      <c r="AE866" s="3" t="s">
        <v>8633</v>
      </c>
      <c r="AF866" s="2"/>
      <c r="AG866" s="1" t="s">
        <v>1582</v>
      </c>
      <c r="AH866" s="1" t="s">
        <v>6205</v>
      </c>
      <c r="AI866" s="2">
        <v>90.0</v>
      </c>
      <c r="AJ866" s="1" t="s">
        <v>1589</v>
      </c>
      <c r="AK866" s="1" t="s">
        <v>5878</v>
      </c>
      <c r="AL866" s="1" t="s">
        <v>5878</v>
      </c>
      <c r="AM866" s="2"/>
      <c r="AN866" s="2"/>
      <c r="AO866" s="2"/>
      <c r="AP866" s="2"/>
      <c r="AQ866" s="2"/>
      <c r="AR866" s="2"/>
      <c r="AS866" s="2"/>
      <c r="AT866" s="2"/>
      <c r="AU866" s="126">
        <v>800.0</v>
      </c>
      <c r="AV866" s="126">
        <v>1200.0</v>
      </c>
      <c r="AW866" s="2"/>
      <c r="AX866" s="2"/>
      <c r="AY866" s="2"/>
      <c r="AZ866" s="2"/>
      <c r="BA866" s="2"/>
      <c r="BB866" s="2"/>
      <c r="BC866" s="2"/>
      <c r="BD866" s="2"/>
      <c r="BE866" s="2"/>
    </row>
    <row r="867" hidden="1">
      <c r="A867" s="2"/>
      <c r="B867" s="338" t="s">
        <v>8637</v>
      </c>
      <c r="C867" s="320" t="s">
        <v>8638</v>
      </c>
      <c r="D867" s="31">
        <v>90.0</v>
      </c>
      <c r="E867" s="31" t="s">
        <v>283</v>
      </c>
      <c r="F867" s="11" t="s">
        <v>8530</v>
      </c>
      <c r="G867" s="327" t="s">
        <v>8639</v>
      </c>
      <c r="H867" s="322">
        <v>800.0</v>
      </c>
      <c r="I867" s="328">
        <v>800.0</v>
      </c>
      <c r="J867" s="324"/>
      <c r="K867" s="322"/>
      <c r="L867" s="323"/>
      <c r="M867" s="324">
        <v>800.0</v>
      </c>
      <c r="N867" s="284">
        <v>0.5</v>
      </c>
      <c r="O867" s="322">
        <v>1200.0</v>
      </c>
      <c r="P867" s="313">
        <f t="shared" ref="P867:Q867" si="467">O867</f>
        <v>1200</v>
      </c>
      <c r="Q867" s="319">
        <f t="shared" si="467"/>
        <v>1200</v>
      </c>
      <c r="R867" s="329" t="s">
        <v>8640</v>
      </c>
      <c r="S867" s="330">
        <v>46080.72308099537</v>
      </c>
      <c r="T867" s="2"/>
      <c r="U867" s="289">
        <f t="shared" si="424"/>
        <v>400</v>
      </c>
      <c r="V867" s="304" t="str">
        <f t="shared" si="459"/>
        <v>нет з/ч</v>
      </c>
      <c r="W867" s="2"/>
      <c r="X867" s="289">
        <v>800.0</v>
      </c>
      <c r="Y867" s="139"/>
      <c r="Z867" s="2"/>
      <c r="AA867" s="2" t="s">
        <v>8638</v>
      </c>
      <c r="AB867" s="2" t="s">
        <v>8638</v>
      </c>
      <c r="AC867" s="2"/>
      <c r="AD867" s="2" t="s">
        <v>8638</v>
      </c>
      <c r="AE867" s="3" t="s">
        <v>8637</v>
      </c>
      <c r="AF867" s="2"/>
      <c r="AG867" s="1" t="s">
        <v>1582</v>
      </c>
      <c r="AH867" s="1" t="s">
        <v>6229</v>
      </c>
      <c r="AI867" s="2">
        <v>90.0</v>
      </c>
      <c r="AJ867" s="1" t="s">
        <v>1589</v>
      </c>
      <c r="AK867" s="1" t="s">
        <v>5878</v>
      </c>
      <c r="AL867" s="1" t="s">
        <v>5878</v>
      </c>
      <c r="AM867" s="2"/>
      <c r="AN867" s="2"/>
      <c r="AO867" s="2"/>
      <c r="AP867" s="2"/>
      <c r="AQ867" s="2"/>
      <c r="AR867" s="2"/>
      <c r="AS867" s="2"/>
      <c r="AT867" s="2"/>
      <c r="AU867" s="126">
        <v>800.0</v>
      </c>
      <c r="AV867" s="126">
        <v>1200.0</v>
      </c>
      <c r="AW867" s="2"/>
      <c r="AX867" s="2"/>
      <c r="AY867" s="2"/>
      <c r="AZ867" s="2"/>
      <c r="BA867" s="2"/>
      <c r="BB867" s="2"/>
      <c r="BC867" s="2"/>
      <c r="BD867" s="2"/>
      <c r="BE867" s="2"/>
    </row>
    <row r="868" hidden="1">
      <c r="A868" s="2"/>
      <c r="B868" s="338" t="s">
        <v>8641</v>
      </c>
      <c r="C868" s="320" t="s">
        <v>8642</v>
      </c>
      <c r="D868" s="31">
        <v>90.0</v>
      </c>
      <c r="E868" s="31" t="s">
        <v>290</v>
      </c>
      <c r="F868" s="11" t="s">
        <v>8530</v>
      </c>
      <c r="G868" s="327" t="s">
        <v>8643</v>
      </c>
      <c r="H868" s="322">
        <v>900.0</v>
      </c>
      <c r="I868" s="328">
        <v>900.0</v>
      </c>
      <c r="J868" s="324"/>
      <c r="K868" s="322"/>
      <c r="L868" s="323"/>
      <c r="M868" s="324">
        <v>900.0</v>
      </c>
      <c r="N868" s="284">
        <v>0.5</v>
      </c>
      <c r="O868" s="322">
        <v>1350.0</v>
      </c>
      <c r="P868" s="313">
        <f t="shared" ref="P868:Q868" si="468">O868</f>
        <v>1350</v>
      </c>
      <c r="Q868" s="319">
        <f t="shared" si="468"/>
        <v>1350</v>
      </c>
      <c r="R868" s="329" t="s">
        <v>8644</v>
      </c>
      <c r="S868" s="330">
        <v>46080.72310775463</v>
      </c>
      <c r="T868" s="2"/>
      <c r="U868" s="289">
        <f t="shared" si="424"/>
        <v>450</v>
      </c>
      <c r="V868" s="304" t="str">
        <f t="shared" si="459"/>
        <v>нет з/ч</v>
      </c>
      <c r="W868" s="2"/>
      <c r="X868" s="289">
        <v>900.0</v>
      </c>
      <c r="Y868" s="139"/>
      <c r="Z868" s="2"/>
      <c r="AA868" s="2" t="s">
        <v>8642</v>
      </c>
      <c r="AB868" s="2" t="s">
        <v>8642</v>
      </c>
      <c r="AC868" s="2"/>
      <c r="AD868" s="2" t="s">
        <v>8642</v>
      </c>
      <c r="AE868" s="3" t="s">
        <v>8641</v>
      </c>
      <c r="AF868" s="2"/>
      <c r="AG868" s="1" t="s">
        <v>1582</v>
      </c>
      <c r="AH868" s="1" t="s">
        <v>6253</v>
      </c>
      <c r="AI868" s="2">
        <v>90.0</v>
      </c>
      <c r="AJ868" s="1" t="s">
        <v>1589</v>
      </c>
      <c r="AK868" s="1" t="s">
        <v>5878</v>
      </c>
      <c r="AL868" s="1" t="s">
        <v>5878</v>
      </c>
      <c r="AM868" s="2"/>
      <c r="AN868" s="2"/>
      <c r="AO868" s="2"/>
      <c r="AP868" s="2"/>
      <c r="AQ868" s="2"/>
      <c r="AR868" s="2"/>
      <c r="AS868" s="2"/>
      <c r="AT868" s="2"/>
      <c r="AU868" s="126">
        <v>900.0</v>
      </c>
      <c r="AV868" s="126">
        <v>1350.0</v>
      </c>
      <c r="AW868" s="2"/>
      <c r="AX868" s="2"/>
      <c r="AY868" s="2"/>
      <c r="AZ868" s="2"/>
      <c r="BA868" s="2"/>
      <c r="BB868" s="2"/>
      <c r="BC868" s="2"/>
      <c r="BD868" s="2"/>
      <c r="BE868" s="2"/>
    </row>
    <row r="869" hidden="1">
      <c r="A869" s="2"/>
      <c r="B869" s="338" t="s">
        <v>8645</v>
      </c>
      <c r="C869" s="320" t="s">
        <v>8646</v>
      </c>
      <c r="D869" s="31">
        <v>90.0</v>
      </c>
      <c r="E869" s="31" t="s">
        <v>297</v>
      </c>
      <c r="F869" s="11" t="s">
        <v>8530</v>
      </c>
      <c r="G869" s="327" t="s">
        <v>8647</v>
      </c>
      <c r="H869" s="322">
        <v>900.0</v>
      </c>
      <c r="I869" s="328">
        <v>900.0</v>
      </c>
      <c r="J869" s="324"/>
      <c r="K869" s="322"/>
      <c r="L869" s="323"/>
      <c r="M869" s="324">
        <v>900.0</v>
      </c>
      <c r="N869" s="284">
        <v>0.5</v>
      </c>
      <c r="O869" s="322">
        <v>1350.0</v>
      </c>
      <c r="P869" s="313">
        <f t="shared" ref="P869:Q869" si="469">O869</f>
        <v>1350</v>
      </c>
      <c r="Q869" s="319">
        <f t="shared" si="469"/>
        <v>1350</v>
      </c>
      <c r="R869" s="329" t="s">
        <v>8648</v>
      </c>
      <c r="S869" s="330">
        <v>46080.72314321759</v>
      </c>
      <c r="T869" s="2"/>
      <c r="U869" s="289">
        <f t="shared" si="424"/>
        <v>450</v>
      </c>
      <c r="V869" s="304" t="str">
        <f t="shared" si="459"/>
        <v>нет з/ч</v>
      </c>
      <c r="W869" s="2"/>
      <c r="X869" s="289">
        <v>900.0</v>
      </c>
      <c r="Y869" s="139"/>
      <c r="Z869" s="2"/>
      <c r="AA869" s="2" t="s">
        <v>8646</v>
      </c>
      <c r="AB869" s="2" t="s">
        <v>8646</v>
      </c>
      <c r="AC869" s="2"/>
      <c r="AD869" s="2" t="s">
        <v>8646</v>
      </c>
      <c r="AE869" s="3" t="s">
        <v>8645</v>
      </c>
      <c r="AF869" s="2"/>
      <c r="AG869" s="1" t="s">
        <v>1582</v>
      </c>
      <c r="AH869" s="1" t="s">
        <v>6277</v>
      </c>
      <c r="AI869" s="2">
        <v>90.0</v>
      </c>
      <c r="AJ869" s="1" t="s">
        <v>1589</v>
      </c>
      <c r="AK869" s="1" t="s">
        <v>5878</v>
      </c>
      <c r="AL869" s="1" t="s">
        <v>5878</v>
      </c>
      <c r="AM869" s="2"/>
      <c r="AN869" s="2"/>
      <c r="AO869" s="2"/>
      <c r="AP869" s="2"/>
      <c r="AQ869" s="2"/>
      <c r="AR869" s="2"/>
      <c r="AS869" s="2"/>
      <c r="AT869" s="2"/>
      <c r="AU869" s="126">
        <v>900.0</v>
      </c>
      <c r="AV869" s="126">
        <v>1350.0</v>
      </c>
      <c r="AW869" s="2"/>
      <c r="AX869" s="2"/>
      <c r="AY869" s="2"/>
      <c r="AZ869" s="2"/>
      <c r="BA869" s="2"/>
      <c r="BB869" s="2"/>
      <c r="BC869" s="2"/>
      <c r="BD869" s="2"/>
      <c r="BE869" s="2"/>
    </row>
    <row r="870" hidden="1">
      <c r="A870" s="2"/>
      <c r="B870" s="338" t="s">
        <v>8649</v>
      </c>
      <c r="C870" s="320" t="s">
        <v>8650</v>
      </c>
      <c r="D870" s="31">
        <v>90.0</v>
      </c>
      <c r="E870" s="31" t="s">
        <v>304</v>
      </c>
      <c r="F870" s="11" t="s">
        <v>8530</v>
      </c>
      <c r="G870" s="327" t="s">
        <v>8651</v>
      </c>
      <c r="H870" s="322">
        <v>900.0</v>
      </c>
      <c r="I870" s="328">
        <v>900.0</v>
      </c>
      <c r="J870" s="324"/>
      <c r="K870" s="322"/>
      <c r="L870" s="323"/>
      <c r="M870" s="324">
        <v>900.0</v>
      </c>
      <c r="N870" s="284">
        <v>0.5</v>
      </c>
      <c r="O870" s="322">
        <v>1350.0</v>
      </c>
      <c r="P870" s="313">
        <f t="shared" ref="P870:Q870" si="470">O870</f>
        <v>1350</v>
      </c>
      <c r="Q870" s="319">
        <f t="shared" si="470"/>
        <v>1350</v>
      </c>
      <c r="R870" s="329" t="s">
        <v>8652</v>
      </c>
      <c r="S870" s="330">
        <v>46080.72317175926</v>
      </c>
      <c r="T870" s="2"/>
      <c r="U870" s="289">
        <f t="shared" si="424"/>
        <v>450</v>
      </c>
      <c r="V870" s="304" t="str">
        <f t="shared" si="459"/>
        <v>нет з/ч</v>
      </c>
      <c r="W870" s="2"/>
      <c r="X870" s="289">
        <v>900.0</v>
      </c>
      <c r="Y870" s="139"/>
      <c r="Z870" s="2"/>
      <c r="AA870" s="2" t="s">
        <v>8650</v>
      </c>
      <c r="AB870" s="2" t="s">
        <v>8650</v>
      </c>
      <c r="AC870" s="2"/>
      <c r="AD870" s="2" t="s">
        <v>8650</v>
      </c>
      <c r="AE870" s="3" t="s">
        <v>8649</v>
      </c>
      <c r="AF870" s="2"/>
      <c r="AG870" s="1" t="s">
        <v>1582</v>
      </c>
      <c r="AH870" s="1" t="s">
        <v>6295</v>
      </c>
      <c r="AI870" s="2">
        <v>90.0</v>
      </c>
      <c r="AJ870" s="1" t="s">
        <v>1589</v>
      </c>
      <c r="AK870" s="1" t="s">
        <v>5878</v>
      </c>
      <c r="AL870" s="1" t="s">
        <v>5878</v>
      </c>
      <c r="AM870" s="2"/>
      <c r="AN870" s="2"/>
      <c r="AO870" s="2"/>
      <c r="AP870" s="2"/>
      <c r="AQ870" s="2"/>
      <c r="AR870" s="2"/>
      <c r="AS870" s="2"/>
      <c r="AT870" s="2"/>
      <c r="AU870" s="126">
        <v>900.0</v>
      </c>
      <c r="AV870" s="126">
        <v>1350.0</v>
      </c>
      <c r="AW870" s="2"/>
      <c r="AX870" s="2"/>
      <c r="AY870" s="2"/>
      <c r="AZ870" s="2"/>
      <c r="BA870" s="2"/>
      <c r="BB870" s="2"/>
      <c r="BC870" s="2"/>
      <c r="BD870" s="2"/>
      <c r="BE870" s="2"/>
    </row>
    <row r="871" hidden="1">
      <c r="A871" s="2"/>
      <c r="B871" s="338" t="s">
        <v>8653</v>
      </c>
      <c r="C871" s="320" t="s">
        <v>8654</v>
      </c>
      <c r="D871" s="31">
        <v>90.0</v>
      </c>
      <c r="E871" s="31" t="s">
        <v>311</v>
      </c>
      <c r="F871" s="11" t="s">
        <v>8530</v>
      </c>
      <c r="G871" s="327" t="s">
        <v>8655</v>
      </c>
      <c r="H871" s="322">
        <v>900.0</v>
      </c>
      <c r="I871" s="328">
        <v>900.0</v>
      </c>
      <c r="J871" s="324"/>
      <c r="K871" s="322"/>
      <c r="L871" s="323"/>
      <c r="M871" s="324">
        <v>900.0</v>
      </c>
      <c r="N871" s="284">
        <v>0.5</v>
      </c>
      <c r="O871" s="322">
        <v>1350.0</v>
      </c>
      <c r="P871" s="313">
        <f t="shared" ref="P871:Q871" si="471">O871</f>
        <v>1350</v>
      </c>
      <c r="Q871" s="319">
        <f t="shared" si="471"/>
        <v>1350</v>
      </c>
      <c r="R871" s="329" t="s">
        <v>8656</v>
      </c>
      <c r="S871" s="330">
        <v>46080.72320086806</v>
      </c>
      <c r="T871" s="2"/>
      <c r="U871" s="289">
        <f t="shared" si="424"/>
        <v>450</v>
      </c>
      <c r="V871" s="304" t="str">
        <f t="shared" si="459"/>
        <v>нет з/ч</v>
      </c>
      <c r="W871" s="2"/>
      <c r="X871" s="289">
        <v>900.0</v>
      </c>
      <c r="Y871" s="139"/>
      <c r="Z871" s="2"/>
      <c r="AA871" s="2" t="s">
        <v>8654</v>
      </c>
      <c r="AB871" s="2" t="s">
        <v>8654</v>
      </c>
      <c r="AC871" s="2"/>
      <c r="AD871" s="2" t="s">
        <v>8654</v>
      </c>
      <c r="AE871" s="3" t="s">
        <v>8653</v>
      </c>
      <c r="AF871" s="2"/>
      <c r="AG871" s="1" t="s">
        <v>1582</v>
      </c>
      <c r="AH871" s="1" t="s">
        <v>6319</v>
      </c>
      <c r="AI871" s="2">
        <v>90.0</v>
      </c>
      <c r="AJ871" s="1" t="s">
        <v>1589</v>
      </c>
      <c r="AK871" s="1" t="s">
        <v>5878</v>
      </c>
      <c r="AL871" s="1" t="s">
        <v>5878</v>
      </c>
      <c r="AM871" s="2"/>
      <c r="AN871" s="2"/>
      <c r="AO871" s="2"/>
      <c r="AP871" s="2"/>
      <c r="AQ871" s="2"/>
      <c r="AR871" s="2"/>
      <c r="AS871" s="2"/>
      <c r="AT871" s="2"/>
      <c r="AU871" s="126">
        <v>900.0</v>
      </c>
      <c r="AV871" s="126">
        <v>1350.0</v>
      </c>
      <c r="AW871" s="2"/>
      <c r="AX871" s="2"/>
      <c r="AY871" s="2"/>
      <c r="AZ871" s="2"/>
      <c r="BA871" s="2"/>
      <c r="BB871" s="2"/>
      <c r="BC871" s="2"/>
      <c r="BD871" s="2"/>
      <c r="BE871" s="2"/>
    </row>
    <row r="872" hidden="1">
      <c r="A872" s="2"/>
      <c r="B872" s="338" t="s">
        <v>8657</v>
      </c>
      <c r="C872" s="93"/>
      <c r="D872" s="31">
        <v>90.0</v>
      </c>
      <c r="E872" s="31" t="s">
        <v>318</v>
      </c>
      <c r="F872" s="11" t="s">
        <v>8530</v>
      </c>
      <c r="G872" s="327" t="s">
        <v>8658</v>
      </c>
      <c r="H872" s="322">
        <v>2600.0</v>
      </c>
      <c r="I872" s="328">
        <v>2600.0</v>
      </c>
      <c r="J872" s="324"/>
      <c r="K872" s="322"/>
      <c r="L872" s="323"/>
      <c r="M872" s="324">
        <v>2600.0</v>
      </c>
      <c r="N872" s="284">
        <v>0.25</v>
      </c>
      <c r="O872" s="322">
        <v>3250.0</v>
      </c>
      <c r="P872" s="313">
        <f t="shared" ref="P872:Q872" si="472">O872</f>
        <v>3250</v>
      </c>
      <c r="Q872" s="319">
        <f t="shared" si="472"/>
        <v>3250</v>
      </c>
      <c r="R872" s="329" t="s">
        <v>8659</v>
      </c>
      <c r="S872" s="330">
        <v>46080.72322884259</v>
      </c>
      <c r="T872" s="2"/>
      <c r="U872" s="289">
        <f t="shared" si="424"/>
        <v>650</v>
      </c>
      <c r="V872" s="304" t="str">
        <f t="shared" si="459"/>
        <v>нет з/ч</v>
      </c>
      <c r="W872" s="2"/>
      <c r="X872" s="289">
        <v>2600.0</v>
      </c>
      <c r="Y872" s="139"/>
      <c r="Z872" s="2"/>
      <c r="AA872" s="2"/>
      <c r="AB872" s="2"/>
      <c r="AC872" s="2"/>
      <c r="AD872" s="2"/>
      <c r="AE872" s="3" t="s">
        <v>8657</v>
      </c>
      <c r="AF872" s="2"/>
      <c r="AG872" s="1" t="s">
        <v>1582</v>
      </c>
      <c r="AH872" s="1" t="s">
        <v>6343</v>
      </c>
      <c r="AI872" s="2">
        <v>90.0</v>
      </c>
      <c r="AJ872" s="1" t="s">
        <v>1589</v>
      </c>
      <c r="AK872" s="1" t="s">
        <v>5878</v>
      </c>
      <c r="AL872" s="1" t="s">
        <v>5878</v>
      </c>
      <c r="AM872" s="2"/>
      <c r="AN872" s="2"/>
      <c r="AO872" s="2"/>
      <c r="AP872" s="2"/>
      <c r="AQ872" s="2"/>
      <c r="AR872" s="2"/>
      <c r="AS872" s="2"/>
      <c r="AT872" s="2"/>
      <c r="AU872" s="126">
        <v>2600.0</v>
      </c>
      <c r="AV872" s="126">
        <v>3250.0</v>
      </c>
      <c r="AW872" s="2"/>
      <c r="AX872" s="2"/>
      <c r="AY872" s="2"/>
      <c r="AZ872" s="2"/>
      <c r="BA872" s="2"/>
      <c r="BB872" s="2"/>
      <c r="BC872" s="2"/>
      <c r="BD872" s="2"/>
      <c r="BE872" s="2"/>
    </row>
    <row r="873" hidden="1">
      <c r="A873" s="2"/>
      <c r="B873" s="338" t="s">
        <v>8660</v>
      </c>
      <c r="C873" s="93"/>
      <c r="D873" s="31">
        <v>90.0</v>
      </c>
      <c r="E873" s="31" t="s">
        <v>325</v>
      </c>
      <c r="F873" s="11" t="s">
        <v>8530</v>
      </c>
      <c r="G873" s="321"/>
      <c r="H873" s="322"/>
      <c r="I873" s="323"/>
      <c r="J873" s="324"/>
      <c r="K873" s="322"/>
      <c r="L873" s="323"/>
      <c r="M873" s="324" t="s">
        <v>22</v>
      </c>
      <c r="N873" s="284">
        <v>0.5</v>
      </c>
      <c r="O873" s="322" t="s">
        <v>22</v>
      </c>
      <c r="P873" s="313" t="str">
        <f t="shared" ref="P873:Q873" si="473">O873</f>
        <v/>
      </c>
      <c r="Q873" s="319" t="str">
        <f t="shared" si="473"/>
        <v/>
      </c>
      <c r="R873" s="331"/>
      <c r="S873" s="326"/>
      <c r="T873" s="2"/>
      <c r="U873" s="59" t="str">
        <f t="shared" si="424"/>
        <v>нет з/ч</v>
      </c>
      <c r="V873" s="304" t="str">
        <f t="shared" si="459"/>
        <v>нет з/ч</v>
      </c>
      <c r="W873" s="2"/>
      <c r="X873" s="289"/>
      <c r="Y873" s="139"/>
      <c r="Z873" s="2"/>
      <c r="AA873" s="2"/>
      <c r="AB873" s="2"/>
      <c r="AC873" s="2"/>
      <c r="AD873" s="2"/>
      <c r="AE873" s="3" t="s">
        <v>8660</v>
      </c>
      <c r="AF873" s="2"/>
      <c r="AG873" s="1" t="s">
        <v>1582</v>
      </c>
      <c r="AH873" s="1" t="s">
        <v>6359</v>
      </c>
      <c r="AI873" s="2">
        <v>90.0</v>
      </c>
      <c r="AJ873" s="1" t="s">
        <v>1589</v>
      </c>
      <c r="AK873" s="1" t="s">
        <v>5878</v>
      </c>
      <c r="AL873" s="1" t="s">
        <v>5878</v>
      </c>
      <c r="AM873" s="2"/>
      <c r="AN873" s="2"/>
      <c r="AO873" s="2"/>
      <c r="AP873" s="2"/>
      <c r="AQ873" s="2"/>
      <c r="AR873" s="2"/>
      <c r="AS873" s="2"/>
      <c r="AT873" s="2"/>
      <c r="AU873" s="126" t="s">
        <v>22</v>
      </c>
      <c r="AV873" s="126" t="s">
        <v>22</v>
      </c>
      <c r="AW873" s="2"/>
      <c r="AX873" s="2"/>
      <c r="AY873" s="2"/>
      <c r="AZ873" s="2"/>
      <c r="BA873" s="2"/>
      <c r="BB873" s="2"/>
      <c r="BC873" s="2"/>
      <c r="BD873" s="2"/>
      <c r="BE873" s="2"/>
    </row>
    <row r="874" hidden="1">
      <c r="A874" s="2"/>
      <c r="B874" s="338" t="s">
        <v>8661</v>
      </c>
      <c r="C874" s="93"/>
      <c r="D874" s="31">
        <v>90.0</v>
      </c>
      <c r="E874" s="31" t="s">
        <v>332</v>
      </c>
      <c r="F874" s="11" t="s">
        <v>8530</v>
      </c>
      <c r="G874" s="327" t="s">
        <v>8662</v>
      </c>
      <c r="H874" s="322">
        <v>2700.0</v>
      </c>
      <c r="I874" s="328">
        <v>2700.0</v>
      </c>
      <c r="J874" s="324"/>
      <c r="K874" s="322"/>
      <c r="L874" s="323"/>
      <c r="M874" s="324">
        <v>2700.0</v>
      </c>
      <c r="N874" s="284">
        <v>0.25</v>
      </c>
      <c r="O874" s="322">
        <v>3400.0</v>
      </c>
      <c r="P874" s="313">
        <f t="shared" ref="P874:Q874" si="474">O874</f>
        <v>3400</v>
      </c>
      <c r="Q874" s="319">
        <f t="shared" si="474"/>
        <v>3400</v>
      </c>
      <c r="R874" s="329" t="s">
        <v>8663</v>
      </c>
      <c r="S874" s="330">
        <v>46080.72325804398</v>
      </c>
      <c r="T874" s="2"/>
      <c r="U874" s="289">
        <f t="shared" si="424"/>
        <v>700</v>
      </c>
      <c r="V874" s="304" t="str">
        <f t="shared" si="459"/>
        <v>нет з/ч</v>
      </c>
      <c r="W874" s="2"/>
      <c r="X874" s="289">
        <v>2700.0</v>
      </c>
      <c r="Y874" s="139"/>
      <c r="Z874" s="2"/>
      <c r="AA874" s="2"/>
      <c r="AB874" s="2"/>
      <c r="AC874" s="2"/>
      <c r="AD874" s="2"/>
      <c r="AE874" s="3" t="s">
        <v>8661</v>
      </c>
      <c r="AF874" s="2"/>
      <c r="AG874" s="1" t="s">
        <v>1582</v>
      </c>
      <c r="AH874" s="1" t="s">
        <v>6373</v>
      </c>
      <c r="AI874" s="2">
        <v>90.0</v>
      </c>
      <c r="AJ874" s="1" t="s">
        <v>1589</v>
      </c>
      <c r="AK874" s="1" t="s">
        <v>5878</v>
      </c>
      <c r="AL874" s="1" t="s">
        <v>5878</v>
      </c>
      <c r="AM874" s="2"/>
      <c r="AN874" s="2"/>
      <c r="AO874" s="2"/>
      <c r="AP874" s="2"/>
      <c r="AQ874" s="2"/>
      <c r="AR874" s="2"/>
      <c r="AS874" s="2"/>
      <c r="AT874" s="2"/>
      <c r="AU874" s="126">
        <v>2700.0</v>
      </c>
      <c r="AV874" s="126">
        <v>3400.0</v>
      </c>
      <c r="AW874" s="2"/>
      <c r="AX874" s="2"/>
      <c r="AY874" s="2"/>
      <c r="AZ874" s="2"/>
      <c r="BA874" s="2"/>
      <c r="BB874" s="2"/>
      <c r="BC874" s="2"/>
      <c r="BD874" s="2"/>
      <c r="BE874" s="2"/>
    </row>
    <row r="875" hidden="1">
      <c r="A875" s="2"/>
      <c r="B875" s="338" t="s">
        <v>8664</v>
      </c>
      <c r="C875" s="320" t="s">
        <v>8665</v>
      </c>
      <c r="D875" s="31">
        <v>90.0</v>
      </c>
      <c r="E875" s="31" t="s">
        <v>339</v>
      </c>
      <c r="F875" s="11" t="s">
        <v>8530</v>
      </c>
      <c r="G875" s="327" t="s">
        <v>8666</v>
      </c>
      <c r="H875" s="322">
        <v>350.0</v>
      </c>
      <c r="I875" s="328">
        <v>350.0</v>
      </c>
      <c r="J875" s="324"/>
      <c r="K875" s="322"/>
      <c r="L875" s="323"/>
      <c r="M875" s="324">
        <v>350.0</v>
      </c>
      <c r="N875" s="284">
        <v>8.1</v>
      </c>
      <c r="O875" s="322">
        <v>3200.0</v>
      </c>
      <c r="P875" s="313">
        <f t="shared" ref="P875:Q875" si="475">O875</f>
        <v>3200</v>
      </c>
      <c r="Q875" s="319">
        <f t="shared" si="475"/>
        <v>3200</v>
      </c>
      <c r="R875" s="329" t="s">
        <v>8667</v>
      </c>
      <c r="S875" s="330">
        <v>46080.723285370375</v>
      </c>
      <c r="T875" s="2"/>
      <c r="U875" s="289">
        <f t="shared" si="424"/>
        <v>2850</v>
      </c>
      <c r="V875" s="304" t="str">
        <f t="shared" si="459"/>
        <v>нет з/ч</v>
      </c>
      <c r="W875" s="2"/>
      <c r="X875" s="289">
        <v>350.0</v>
      </c>
      <c r="Y875" s="139"/>
      <c r="Z875" s="2"/>
      <c r="AA875" s="2" t="s">
        <v>8665</v>
      </c>
      <c r="AB875" s="2" t="s">
        <v>8665</v>
      </c>
      <c r="AC875" s="2"/>
      <c r="AD875" s="2" t="s">
        <v>8665</v>
      </c>
      <c r="AE875" s="3" t="s">
        <v>8664</v>
      </c>
      <c r="AF875" s="2"/>
      <c r="AG875" s="1" t="s">
        <v>1582</v>
      </c>
      <c r="AH875" s="1" t="s">
        <v>6389</v>
      </c>
      <c r="AI875" s="2">
        <v>90.0</v>
      </c>
      <c r="AJ875" s="1" t="s">
        <v>1589</v>
      </c>
      <c r="AK875" s="1" t="s">
        <v>5878</v>
      </c>
      <c r="AL875" s="1" t="s">
        <v>5878</v>
      </c>
      <c r="AM875" s="2"/>
      <c r="AN875" s="2"/>
      <c r="AO875" s="2"/>
      <c r="AP875" s="2"/>
      <c r="AQ875" s="2"/>
      <c r="AR875" s="2"/>
      <c r="AS875" s="2"/>
      <c r="AT875" s="2"/>
      <c r="AU875" s="126">
        <v>350.0</v>
      </c>
      <c r="AV875" s="126">
        <v>3200.0</v>
      </c>
      <c r="AW875" s="2"/>
      <c r="AX875" s="2"/>
      <c r="AY875" s="2"/>
      <c r="AZ875" s="2"/>
      <c r="BA875" s="2"/>
      <c r="BB875" s="2"/>
      <c r="BC875" s="2"/>
      <c r="BD875" s="2"/>
      <c r="BE875" s="2"/>
    </row>
    <row r="876" hidden="1">
      <c r="A876" s="2"/>
      <c r="B876" s="338" t="s">
        <v>8668</v>
      </c>
      <c r="C876" s="320" t="s">
        <v>8669</v>
      </c>
      <c r="D876" s="31">
        <v>90.0</v>
      </c>
      <c r="E876" s="31" t="s">
        <v>346</v>
      </c>
      <c r="F876" s="11" t="s">
        <v>8530</v>
      </c>
      <c r="G876" s="327" t="s">
        <v>8670</v>
      </c>
      <c r="H876" s="322">
        <v>350.0</v>
      </c>
      <c r="I876" s="328">
        <v>350.0</v>
      </c>
      <c r="J876" s="324"/>
      <c r="K876" s="322"/>
      <c r="L876" s="323"/>
      <c r="M876" s="324">
        <v>350.0</v>
      </c>
      <c r="N876" s="284">
        <v>9.25</v>
      </c>
      <c r="O876" s="322">
        <v>3600.0</v>
      </c>
      <c r="P876" s="313">
        <f t="shared" ref="P876:Q876" si="476">O876</f>
        <v>3600</v>
      </c>
      <c r="Q876" s="319">
        <f t="shared" si="476"/>
        <v>3600</v>
      </c>
      <c r="R876" s="329" t="s">
        <v>8671</v>
      </c>
      <c r="S876" s="330">
        <v>46080.723320694444</v>
      </c>
      <c r="T876" s="2"/>
      <c r="U876" s="289">
        <f t="shared" si="424"/>
        <v>3250</v>
      </c>
      <c r="V876" s="304" t="str">
        <f t="shared" si="459"/>
        <v>нет з/ч</v>
      </c>
      <c r="W876" s="2"/>
      <c r="X876" s="289">
        <v>350.0</v>
      </c>
      <c r="Y876" s="139"/>
      <c r="Z876" s="2"/>
      <c r="AA876" s="2" t="s">
        <v>8669</v>
      </c>
      <c r="AB876" s="2" t="s">
        <v>8669</v>
      </c>
      <c r="AC876" s="2"/>
      <c r="AD876" s="2" t="s">
        <v>8669</v>
      </c>
      <c r="AE876" s="3" t="s">
        <v>8668</v>
      </c>
      <c r="AF876" s="2"/>
      <c r="AG876" s="1" t="s">
        <v>1582</v>
      </c>
      <c r="AH876" s="1" t="s">
        <v>6407</v>
      </c>
      <c r="AI876" s="2">
        <v>90.0</v>
      </c>
      <c r="AJ876" s="1" t="s">
        <v>1589</v>
      </c>
      <c r="AK876" s="1" t="s">
        <v>5878</v>
      </c>
      <c r="AL876" s="1" t="s">
        <v>5878</v>
      </c>
      <c r="AM876" s="2"/>
      <c r="AN876" s="2"/>
      <c r="AO876" s="2"/>
      <c r="AP876" s="2"/>
      <c r="AQ876" s="2"/>
      <c r="AR876" s="2"/>
      <c r="AS876" s="2"/>
      <c r="AT876" s="2"/>
      <c r="AU876" s="126">
        <v>350.0</v>
      </c>
      <c r="AV876" s="126">
        <v>3600.0</v>
      </c>
      <c r="AW876" s="2"/>
      <c r="AX876" s="2"/>
      <c r="AY876" s="2"/>
      <c r="AZ876" s="2"/>
      <c r="BA876" s="2"/>
      <c r="BB876" s="2"/>
      <c r="BC876" s="2"/>
      <c r="BD876" s="2"/>
      <c r="BE876" s="2"/>
    </row>
    <row r="877" hidden="1">
      <c r="A877" s="2"/>
      <c r="B877" s="338" t="s">
        <v>8672</v>
      </c>
      <c r="C877" s="93"/>
      <c r="D877" s="31">
        <v>90.0</v>
      </c>
      <c r="E877" s="31" t="s">
        <v>353</v>
      </c>
      <c r="F877" s="11" t="s">
        <v>8530</v>
      </c>
      <c r="G877" s="321"/>
      <c r="H877" s="322"/>
      <c r="I877" s="323"/>
      <c r="J877" s="324"/>
      <c r="K877" s="322"/>
      <c r="L877" s="323"/>
      <c r="M877" s="324" t="s">
        <v>22</v>
      </c>
      <c r="N877" s="284">
        <v>0.5</v>
      </c>
      <c r="O877" s="322" t="s">
        <v>22</v>
      </c>
      <c r="P877" s="313" t="str">
        <f t="shared" ref="P877:Q877" si="477">O877</f>
        <v/>
      </c>
      <c r="Q877" s="319" t="str">
        <f t="shared" si="477"/>
        <v/>
      </c>
      <c r="R877" s="331"/>
      <c r="S877" s="326"/>
      <c r="T877" s="2"/>
      <c r="U877" s="59" t="str">
        <f t="shared" si="424"/>
        <v>нет з/ч</v>
      </c>
      <c r="V877" s="304" t="str">
        <f t="shared" si="459"/>
        <v>нет з/ч</v>
      </c>
      <c r="W877" s="2"/>
      <c r="X877" s="289"/>
      <c r="Y877" s="139"/>
      <c r="Z877" s="2"/>
      <c r="AA877" s="2"/>
      <c r="AB877" s="2"/>
      <c r="AC877" s="2"/>
      <c r="AD877" s="2"/>
      <c r="AE877" s="3" t="s">
        <v>8672</v>
      </c>
      <c r="AF877" s="2"/>
      <c r="AG877" s="1" t="s">
        <v>1582</v>
      </c>
      <c r="AH877" s="1" t="s">
        <v>6922</v>
      </c>
      <c r="AI877" s="2">
        <v>90.0</v>
      </c>
      <c r="AJ877" s="1" t="s">
        <v>1589</v>
      </c>
      <c r="AK877" s="1" t="s">
        <v>5878</v>
      </c>
      <c r="AL877" s="1" t="s">
        <v>5878</v>
      </c>
      <c r="AM877" s="2"/>
      <c r="AN877" s="2"/>
      <c r="AO877" s="2"/>
      <c r="AP877" s="2"/>
      <c r="AQ877" s="2"/>
      <c r="AR877" s="2"/>
      <c r="AS877" s="2"/>
      <c r="AT877" s="2"/>
      <c r="AU877" s="126" t="s">
        <v>22</v>
      </c>
      <c r="AV877" s="126" t="s">
        <v>22</v>
      </c>
      <c r="AW877" s="2"/>
      <c r="AX877" s="2"/>
      <c r="AY877" s="2"/>
      <c r="AZ877" s="2"/>
      <c r="BA877" s="2"/>
      <c r="BB877" s="2"/>
      <c r="BC877" s="2"/>
      <c r="BD877" s="2"/>
      <c r="BE877" s="2"/>
    </row>
    <row r="878" hidden="1">
      <c r="A878" s="2"/>
      <c r="B878" s="338" t="s">
        <v>8673</v>
      </c>
      <c r="C878" s="93"/>
      <c r="D878" s="31">
        <v>90.0</v>
      </c>
      <c r="E878" s="31" t="s">
        <v>360</v>
      </c>
      <c r="F878" s="11" t="s">
        <v>8530</v>
      </c>
      <c r="G878" s="321"/>
      <c r="H878" s="322"/>
      <c r="I878" s="323"/>
      <c r="J878" s="324"/>
      <c r="K878" s="322"/>
      <c r="L878" s="323"/>
      <c r="M878" s="324" t="s">
        <v>22</v>
      </c>
      <c r="N878" s="284">
        <v>0.5</v>
      </c>
      <c r="O878" s="322" t="s">
        <v>22</v>
      </c>
      <c r="P878" s="313" t="str">
        <f t="shared" ref="P878:Q878" si="478">O878</f>
        <v/>
      </c>
      <c r="Q878" s="319" t="str">
        <f t="shared" si="478"/>
        <v/>
      </c>
      <c r="R878" s="331"/>
      <c r="S878" s="326"/>
      <c r="T878" s="2"/>
      <c r="U878" s="59" t="str">
        <f t="shared" si="424"/>
        <v>нет з/ч</v>
      </c>
      <c r="V878" s="304" t="str">
        <f t="shared" si="459"/>
        <v>нет з/ч</v>
      </c>
      <c r="W878" s="2"/>
      <c r="X878" s="289"/>
      <c r="Y878" s="139"/>
      <c r="Z878" s="2"/>
      <c r="AA878" s="2"/>
      <c r="AB878" s="2"/>
      <c r="AC878" s="2"/>
      <c r="AD878" s="2"/>
      <c r="AE878" s="3" t="s">
        <v>8673</v>
      </c>
      <c r="AF878" s="2"/>
      <c r="AG878" s="1" t="s">
        <v>1582</v>
      </c>
      <c r="AH878" s="1" t="s">
        <v>6934</v>
      </c>
      <c r="AI878" s="2">
        <v>90.0</v>
      </c>
      <c r="AJ878" s="1" t="s">
        <v>1589</v>
      </c>
      <c r="AK878" s="1" t="s">
        <v>5878</v>
      </c>
      <c r="AL878" s="1" t="s">
        <v>5878</v>
      </c>
      <c r="AM878" s="2"/>
      <c r="AN878" s="2"/>
      <c r="AO878" s="2"/>
      <c r="AP878" s="2"/>
      <c r="AQ878" s="2"/>
      <c r="AR878" s="2"/>
      <c r="AS878" s="2"/>
      <c r="AT878" s="2"/>
      <c r="AU878" s="126" t="s">
        <v>22</v>
      </c>
      <c r="AV878" s="126" t="s">
        <v>22</v>
      </c>
      <c r="AW878" s="2"/>
      <c r="AX878" s="2"/>
      <c r="AY878" s="2"/>
      <c r="AZ878" s="2"/>
      <c r="BA878" s="2"/>
      <c r="BB878" s="2"/>
      <c r="BC878" s="2"/>
      <c r="BD878" s="2"/>
      <c r="BE878" s="2"/>
    </row>
    <row r="879" hidden="1">
      <c r="A879" s="2"/>
      <c r="B879" s="338" t="s">
        <v>8674</v>
      </c>
      <c r="C879" s="93"/>
      <c r="D879" s="31">
        <v>90.0</v>
      </c>
      <c r="E879" s="31" t="s">
        <v>367</v>
      </c>
      <c r="F879" s="11" t="s">
        <v>8530</v>
      </c>
      <c r="G879" s="321"/>
      <c r="H879" s="322"/>
      <c r="I879" s="323"/>
      <c r="J879" s="324"/>
      <c r="K879" s="322"/>
      <c r="L879" s="323"/>
      <c r="M879" s="324" t="s">
        <v>22</v>
      </c>
      <c r="N879" s="284">
        <v>0.5</v>
      </c>
      <c r="O879" s="322" t="s">
        <v>22</v>
      </c>
      <c r="P879" s="313" t="str">
        <f t="shared" ref="P879:Q879" si="479">O879</f>
        <v/>
      </c>
      <c r="Q879" s="319" t="str">
        <f t="shared" si="479"/>
        <v/>
      </c>
      <c r="R879" s="331"/>
      <c r="S879" s="326"/>
      <c r="T879" s="2"/>
      <c r="U879" s="59" t="str">
        <f t="shared" si="424"/>
        <v>нет з/ч</v>
      </c>
      <c r="V879" s="304" t="str">
        <f t="shared" si="459"/>
        <v>нет з/ч</v>
      </c>
      <c r="W879" s="2"/>
      <c r="X879" s="289"/>
      <c r="Y879" s="139"/>
      <c r="Z879" s="2"/>
      <c r="AA879" s="2"/>
      <c r="AB879" s="2"/>
      <c r="AC879" s="2"/>
      <c r="AD879" s="2"/>
      <c r="AE879" s="3" t="s">
        <v>8674</v>
      </c>
      <c r="AF879" s="2"/>
      <c r="AG879" s="1" t="s">
        <v>1582</v>
      </c>
      <c r="AH879" s="1" t="s">
        <v>6946</v>
      </c>
      <c r="AI879" s="2">
        <v>90.0</v>
      </c>
      <c r="AJ879" s="1" t="s">
        <v>1589</v>
      </c>
      <c r="AK879" s="1" t="s">
        <v>5878</v>
      </c>
      <c r="AL879" s="1" t="s">
        <v>5878</v>
      </c>
      <c r="AM879" s="2"/>
      <c r="AN879" s="2"/>
      <c r="AO879" s="2"/>
      <c r="AP879" s="2"/>
      <c r="AQ879" s="2"/>
      <c r="AR879" s="2"/>
      <c r="AS879" s="2"/>
      <c r="AT879" s="2"/>
      <c r="AU879" s="126" t="s">
        <v>22</v>
      </c>
      <c r="AV879" s="126" t="s">
        <v>22</v>
      </c>
      <c r="AW879" s="2"/>
      <c r="AX879" s="2"/>
      <c r="AY879" s="2"/>
      <c r="AZ879" s="2"/>
      <c r="BA879" s="2"/>
      <c r="BB879" s="2"/>
      <c r="BC879" s="2"/>
      <c r="BD879" s="2"/>
      <c r="BE879" s="2"/>
    </row>
    <row r="880" hidden="1">
      <c r="A880" s="2"/>
      <c r="B880" s="338" t="s">
        <v>8675</v>
      </c>
      <c r="C880" s="93"/>
      <c r="D880" s="31">
        <v>90.0</v>
      </c>
      <c r="E880" s="31" t="s">
        <v>374</v>
      </c>
      <c r="F880" s="11" t="s">
        <v>8530</v>
      </c>
      <c r="G880" s="321"/>
      <c r="H880" s="322"/>
      <c r="I880" s="323"/>
      <c r="J880" s="324"/>
      <c r="K880" s="322"/>
      <c r="L880" s="323"/>
      <c r="M880" s="324" t="s">
        <v>22</v>
      </c>
      <c r="N880" s="284">
        <v>0.5</v>
      </c>
      <c r="O880" s="322" t="s">
        <v>22</v>
      </c>
      <c r="P880" s="313" t="str">
        <f t="shared" ref="P880:Q880" si="480">O880</f>
        <v/>
      </c>
      <c r="Q880" s="319" t="str">
        <f t="shared" si="480"/>
        <v/>
      </c>
      <c r="R880" s="331"/>
      <c r="S880" s="326"/>
      <c r="T880" s="2"/>
      <c r="U880" s="59" t="str">
        <f t="shared" si="424"/>
        <v>нет з/ч</v>
      </c>
      <c r="V880" s="304" t="str">
        <f t="shared" si="459"/>
        <v>нет з/ч</v>
      </c>
      <c r="W880" s="2"/>
      <c r="X880" s="289"/>
      <c r="Y880" s="139"/>
      <c r="Z880" s="2"/>
      <c r="AA880" s="2"/>
      <c r="AB880" s="2"/>
      <c r="AC880" s="2"/>
      <c r="AD880" s="2"/>
      <c r="AE880" s="3" t="s">
        <v>8675</v>
      </c>
      <c r="AF880" s="2"/>
      <c r="AG880" s="1" t="s">
        <v>1582</v>
      </c>
      <c r="AH880" s="1" t="s">
        <v>6958</v>
      </c>
      <c r="AI880" s="2">
        <v>90.0</v>
      </c>
      <c r="AJ880" s="1" t="s">
        <v>1589</v>
      </c>
      <c r="AK880" s="1" t="s">
        <v>5878</v>
      </c>
      <c r="AL880" s="1" t="s">
        <v>5878</v>
      </c>
      <c r="AM880" s="2"/>
      <c r="AN880" s="2"/>
      <c r="AO880" s="2"/>
      <c r="AP880" s="2"/>
      <c r="AQ880" s="2"/>
      <c r="AR880" s="2"/>
      <c r="AS880" s="2"/>
      <c r="AT880" s="2"/>
      <c r="AU880" s="126" t="s">
        <v>22</v>
      </c>
      <c r="AV880" s="126" t="s">
        <v>22</v>
      </c>
      <c r="AW880" s="2"/>
      <c r="AX880" s="2"/>
      <c r="AY880" s="2"/>
      <c r="AZ880" s="2"/>
      <c r="BA880" s="2"/>
      <c r="BB880" s="2"/>
      <c r="BC880" s="2"/>
      <c r="BD880" s="2"/>
      <c r="BE880" s="2"/>
    </row>
    <row r="881" hidden="1">
      <c r="A881" s="2"/>
      <c r="B881" s="337" t="s">
        <v>8676</v>
      </c>
      <c r="C881" s="320" t="s">
        <v>8677</v>
      </c>
      <c r="D881" s="31">
        <v>90.0</v>
      </c>
      <c r="E881" s="31" t="s">
        <v>67</v>
      </c>
      <c r="F881" s="11" t="s">
        <v>8678</v>
      </c>
      <c r="G881" s="321"/>
      <c r="H881" s="322"/>
      <c r="I881" s="323"/>
      <c r="J881" s="324"/>
      <c r="K881" s="322"/>
      <c r="L881" s="323"/>
      <c r="M881" s="324" t="s">
        <v>22</v>
      </c>
      <c r="N881" s="284">
        <v>0.185</v>
      </c>
      <c r="O881" s="322" t="s">
        <v>22</v>
      </c>
      <c r="P881" s="333">
        <v>50.0</v>
      </c>
      <c r="Q881" s="319">
        <f>P881</f>
        <v>50</v>
      </c>
      <c r="R881" s="331"/>
      <c r="S881" s="326"/>
      <c r="T881" s="2"/>
      <c r="U881" s="59" t="str">
        <f t="shared" si="424"/>
        <v>нет з/ч</v>
      </c>
      <c r="V881" s="304" t="str">
        <f t="shared" si="459"/>
        <v>нет з/ч</v>
      </c>
      <c r="W881" s="2"/>
      <c r="X881" s="289"/>
      <c r="Y881" s="139"/>
      <c r="Z881" s="2"/>
      <c r="AA881" s="2" t="s">
        <v>8677</v>
      </c>
      <c r="AB881" s="2" t="s">
        <v>8677</v>
      </c>
      <c r="AC881" s="2"/>
      <c r="AD881" s="2" t="s">
        <v>8677</v>
      </c>
      <c r="AE881" s="3" t="s">
        <v>8676</v>
      </c>
      <c r="AF881" s="2"/>
      <c r="AG881" s="1" t="s">
        <v>1582</v>
      </c>
      <c r="AH881" s="1" t="s">
        <v>5876</v>
      </c>
      <c r="AI881" s="2">
        <v>90.0</v>
      </c>
      <c r="AJ881" s="1" t="s">
        <v>1589</v>
      </c>
      <c r="AK881" s="1" t="s">
        <v>5878</v>
      </c>
      <c r="AL881" s="1" t="s">
        <v>5878</v>
      </c>
      <c r="AM881" s="2"/>
      <c r="AN881" s="2"/>
      <c r="AO881" s="2"/>
      <c r="AP881" s="2"/>
      <c r="AQ881" s="2"/>
      <c r="AR881" s="2"/>
      <c r="AS881" s="2"/>
      <c r="AT881" s="2"/>
      <c r="AU881" s="126" t="s">
        <v>22</v>
      </c>
      <c r="AV881" s="126">
        <v>50.0</v>
      </c>
      <c r="AW881" s="2"/>
      <c r="AX881" s="2"/>
      <c r="AY881" s="2"/>
      <c r="AZ881" s="2"/>
      <c r="BA881" s="2"/>
      <c r="BB881" s="2"/>
      <c r="BC881" s="2"/>
      <c r="BD881" s="2"/>
      <c r="BE881" s="2"/>
    </row>
    <row r="882" hidden="1">
      <c r="A882" s="2"/>
      <c r="B882" s="338" t="s">
        <v>8679</v>
      </c>
      <c r="C882" s="320" t="s">
        <v>8680</v>
      </c>
      <c r="D882" s="31">
        <v>90.0</v>
      </c>
      <c r="E882" s="31" t="s">
        <v>83</v>
      </c>
      <c r="F882" s="11" t="s">
        <v>8678</v>
      </c>
      <c r="G882" s="327" t="s">
        <v>8681</v>
      </c>
      <c r="H882" s="322"/>
      <c r="I882" s="328">
        <v>40.0</v>
      </c>
      <c r="J882" s="324"/>
      <c r="K882" s="322"/>
      <c r="L882" s="323"/>
      <c r="M882" s="324">
        <v>40.0</v>
      </c>
      <c r="N882" s="284">
        <v>0.185</v>
      </c>
      <c r="O882" s="322">
        <v>50.0</v>
      </c>
      <c r="P882" s="313">
        <f t="shared" ref="P882:Q882" si="481">O882</f>
        <v>50</v>
      </c>
      <c r="Q882" s="319">
        <f t="shared" si="481"/>
        <v>50</v>
      </c>
      <c r="R882" s="329" t="s">
        <v>8682</v>
      </c>
      <c r="S882" s="330">
        <v>46141.55214048611</v>
      </c>
      <c r="T882" s="2"/>
      <c r="U882" s="289">
        <f t="shared" si="424"/>
        <v>10</v>
      </c>
      <c r="V882" s="304" t="str">
        <f t="shared" ref="V882:V889" si="483">IF(L882&gt;0, Q2458 - L882, "нет з/ч")</f>
        <v>нет з/ч</v>
      </c>
      <c r="W882" s="2"/>
      <c r="X882" s="289">
        <v>40.0</v>
      </c>
      <c r="Y882" s="139"/>
      <c r="Z882" s="2"/>
      <c r="AA882" s="2" t="s">
        <v>8680</v>
      </c>
      <c r="AB882" s="2" t="s">
        <v>8680</v>
      </c>
      <c r="AC882" s="2"/>
      <c r="AD882" s="2" t="s">
        <v>8680</v>
      </c>
      <c r="AE882" s="3" t="s">
        <v>8679</v>
      </c>
      <c r="AF882" s="2"/>
      <c r="AG882" s="1" t="s">
        <v>1582</v>
      </c>
      <c r="AH882" s="1" t="s">
        <v>5893</v>
      </c>
      <c r="AI882" s="2">
        <v>90.0</v>
      </c>
      <c r="AJ882" s="1" t="s">
        <v>1589</v>
      </c>
      <c r="AK882" s="1" t="s">
        <v>5878</v>
      </c>
      <c r="AL882" s="1" t="s">
        <v>5878</v>
      </c>
      <c r="AM882" s="2"/>
      <c r="AN882" s="2"/>
      <c r="AO882" s="2"/>
      <c r="AP882" s="2"/>
      <c r="AQ882" s="2"/>
      <c r="AR882" s="2"/>
      <c r="AS882" s="2"/>
      <c r="AT882" s="2"/>
      <c r="AU882" s="126">
        <v>40.0</v>
      </c>
      <c r="AV882" s="126">
        <v>50.0</v>
      </c>
      <c r="AW882" s="2"/>
      <c r="AX882" s="2"/>
      <c r="AY882" s="2"/>
      <c r="AZ882" s="2"/>
      <c r="BA882" s="2"/>
      <c r="BB882" s="2"/>
      <c r="BC882" s="2"/>
      <c r="BD882" s="2"/>
      <c r="BE882" s="2"/>
    </row>
    <row r="883" hidden="1">
      <c r="A883" s="2"/>
      <c r="B883" s="338" t="s">
        <v>8683</v>
      </c>
      <c r="C883" s="320" t="s">
        <v>8684</v>
      </c>
      <c r="D883" s="31">
        <v>90.0</v>
      </c>
      <c r="E883" s="31" t="s">
        <v>90</v>
      </c>
      <c r="F883" s="11" t="s">
        <v>8678</v>
      </c>
      <c r="G883" s="327" t="s">
        <v>8685</v>
      </c>
      <c r="H883" s="322"/>
      <c r="I883" s="328">
        <v>60.0</v>
      </c>
      <c r="J883" s="324"/>
      <c r="K883" s="322"/>
      <c r="L883" s="323"/>
      <c r="M883" s="324">
        <v>60.0</v>
      </c>
      <c r="N883" s="284">
        <v>2.5</v>
      </c>
      <c r="O883" s="322">
        <v>200.0</v>
      </c>
      <c r="P883" s="313">
        <f t="shared" ref="P883:Q883" si="482">O883</f>
        <v>200</v>
      </c>
      <c r="Q883" s="319">
        <f t="shared" si="482"/>
        <v>200</v>
      </c>
      <c r="R883" s="329" t="s">
        <v>8686</v>
      </c>
      <c r="S883" s="330">
        <v>46141.552199513884</v>
      </c>
      <c r="T883" s="2"/>
      <c r="U883" s="289">
        <f t="shared" si="424"/>
        <v>140</v>
      </c>
      <c r="V883" s="304" t="str">
        <f t="shared" si="483"/>
        <v>нет з/ч</v>
      </c>
      <c r="W883" s="2"/>
      <c r="X883" s="289">
        <v>60.0</v>
      </c>
      <c r="Y883" s="139"/>
      <c r="Z883" s="2"/>
      <c r="AA883" s="2" t="s">
        <v>8684</v>
      </c>
      <c r="AB883" s="2" t="s">
        <v>8684</v>
      </c>
      <c r="AC883" s="2"/>
      <c r="AD883" s="2" t="s">
        <v>8684</v>
      </c>
      <c r="AE883" s="3" t="s">
        <v>8683</v>
      </c>
      <c r="AF883" s="2"/>
      <c r="AG883" s="1" t="s">
        <v>1582</v>
      </c>
      <c r="AH883" s="1" t="s">
        <v>5898</v>
      </c>
      <c r="AI883" s="2">
        <v>90.0</v>
      </c>
      <c r="AJ883" s="1" t="s">
        <v>1589</v>
      </c>
      <c r="AK883" s="1" t="s">
        <v>5878</v>
      </c>
      <c r="AL883" s="1" t="s">
        <v>5878</v>
      </c>
      <c r="AM883" s="2"/>
      <c r="AN883" s="2"/>
      <c r="AO883" s="2"/>
      <c r="AP883" s="2"/>
      <c r="AQ883" s="2"/>
      <c r="AR883" s="2"/>
      <c r="AS883" s="2"/>
      <c r="AT883" s="2"/>
      <c r="AU883" s="126">
        <v>60.0</v>
      </c>
      <c r="AV883" s="126">
        <v>200.0</v>
      </c>
      <c r="AW883" s="2"/>
      <c r="AX883" s="2"/>
      <c r="AY883" s="2"/>
      <c r="AZ883" s="2"/>
      <c r="BA883" s="2"/>
      <c r="BB883" s="2"/>
      <c r="BC883" s="2"/>
      <c r="BD883" s="2"/>
      <c r="BE883" s="2"/>
    </row>
    <row r="884" hidden="1">
      <c r="A884" s="2"/>
      <c r="B884" s="338" t="s">
        <v>8687</v>
      </c>
      <c r="C884" s="320" t="s">
        <v>8688</v>
      </c>
      <c r="D884" s="31">
        <v>90.0</v>
      </c>
      <c r="E884" s="31" t="s">
        <v>97</v>
      </c>
      <c r="F884" s="11" t="s">
        <v>8678</v>
      </c>
      <c r="G884" s="327" t="s">
        <v>8689</v>
      </c>
      <c r="H884" s="322"/>
      <c r="I884" s="328">
        <v>50.0</v>
      </c>
      <c r="J884" s="324"/>
      <c r="K884" s="322"/>
      <c r="L884" s="323"/>
      <c r="M884" s="324">
        <v>50.0</v>
      </c>
      <c r="N884" s="284">
        <v>2.5</v>
      </c>
      <c r="O884" s="322">
        <v>200.0</v>
      </c>
      <c r="P884" s="313">
        <f t="shared" ref="P884:Q884" si="484">O884</f>
        <v>200</v>
      </c>
      <c r="Q884" s="319">
        <f t="shared" si="484"/>
        <v>200</v>
      </c>
      <c r="R884" s="329" t="s">
        <v>8690</v>
      </c>
      <c r="S884" s="330">
        <v>46141.55225390046</v>
      </c>
      <c r="T884" s="2"/>
      <c r="U884" s="289">
        <f t="shared" si="424"/>
        <v>150</v>
      </c>
      <c r="V884" s="304" t="str">
        <f t="shared" si="483"/>
        <v>нет з/ч</v>
      </c>
      <c r="W884" s="2"/>
      <c r="X884" s="289">
        <v>50.0</v>
      </c>
      <c r="Y884" s="139"/>
      <c r="Z884" s="2"/>
      <c r="AA884" s="2" t="s">
        <v>8688</v>
      </c>
      <c r="AB884" s="2" t="s">
        <v>8688</v>
      </c>
      <c r="AC884" s="2"/>
      <c r="AD884" s="2" t="s">
        <v>8688</v>
      </c>
      <c r="AE884" s="3" t="s">
        <v>8687</v>
      </c>
      <c r="AF884" s="2"/>
      <c r="AG884" s="1" t="s">
        <v>1582</v>
      </c>
      <c r="AH884" s="1" t="s">
        <v>5903</v>
      </c>
      <c r="AI884" s="2">
        <v>90.0</v>
      </c>
      <c r="AJ884" s="1" t="s">
        <v>1589</v>
      </c>
      <c r="AK884" s="1" t="s">
        <v>5878</v>
      </c>
      <c r="AL884" s="1" t="s">
        <v>5878</v>
      </c>
      <c r="AM884" s="2"/>
      <c r="AN884" s="2"/>
      <c r="AO884" s="2"/>
      <c r="AP884" s="2"/>
      <c r="AQ884" s="2"/>
      <c r="AR884" s="2"/>
      <c r="AS884" s="2"/>
      <c r="AT884" s="2"/>
      <c r="AU884" s="126">
        <v>50.0</v>
      </c>
      <c r="AV884" s="126">
        <v>200.0</v>
      </c>
      <c r="AW884" s="2"/>
      <c r="AX884" s="2"/>
      <c r="AY884" s="2"/>
      <c r="AZ884" s="2"/>
      <c r="BA884" s="2"/>
      <c r="BB884" s="2"/>
      <c r="BC884" s="2"/>
      <c r="BD884" s="2"/>
      <c r="BE884" s="2"/>
    </row>
    <row r="885" hidden="1">
      <c r="A885" s="2"/>
      <c r="B885" s="338" t="s">
        <v>8691</v>
      </c>
      <c r="C885" s="320" t="s">
        <v>8692</v>
      </c>
      <c r="D885" s="31">
        <v>90.0</v>
      </c>
      <c r="E885" s="31" t="s">
        <v>104</v>
      </c>
      <c r="F885" s="11" t="s">
        <v>8678</v>
      </c>
      <c r="G885" s="327" t="s">
        <v>8693</v>
      </c>
      <c r="H885" s="322"/>
      <c r="I885" s="328">
        <v>90.0</v>
      </c>
      <c r="J885" s="324"/>
      <c r="K885" s="322"/>
      <c r="L885" s="323"/>
      <c r="M885" s="324">
        <v>90.0</v>
      </c>
      <c r="N885" s="284">
        <v>3.5</v>
      </c>
      <c r="O885" s="322">
        <v>400.0</v>
      </c>
      <c r="P885" s="313">
        <f t="shared" ref="P885:Q885" si="485">O885</f>
        <v>400</v>
      </c>
      <c r="Q885" s="319">
        <f t="shared" si="485"/>
        <v>400</v>
      </c>
      <c r="R885" s="329" t="s">
        <v>8694</v>
      </c>
      <c r="S885" s="330">
        <v>46141.55230790509</v>
      </c>
      <c r="T885" s="2"/>
      <c r="U885" s="289">
        <f t="shared" si="424"/>
        <v>310</v>
      </c>
      <c r="V885" s="304" t="str">
        <f t="shared" si="483"/>
        <v>нет з/ч</v>
      </c>
      <c r="W885" s="2"/>
      <c r="X885" s="289">
        <v>90.0</v>
      </c>
      <c r="Y885" s="139"/>
      <c r="Z885" s="2"/>
      <c r="AA885" s="2" t="s">
        <v>8692</v>
      </c>
      <c r="AB885" s="2" t="s">
        <v>8692</v>
      </c>
      <c r="AC885" s="2"/>
      <c r="AD885" s="2" t="s">
        <v>8692</v>
      </c>
      <c r="AE885" s="3" t="s">
        <v>8691</v>
      </c>
      <c r="AF885" s="2"/>
      <c r="AG885" s="1" t="s">
        <v>1582</v>
      </c>
      <c r="AH885" s="1" t="s">
        <v>5908</v>
      </c>
      <c r="AI885" s="2">
        <v>90.0</v>
      </c>
      <c r="AJ885" s="1" t="s">
        <v>1589</v>
      </c>
      <c r="AK885" s="1" t="s">
        <v>5878</v>
      </c>
      <c r="AL885" s="1" t="s">
        <v>5878</v>
      </c>
      <c r="AM885" s="2"/>
      <c r="AN885" s="2"/>
      <c r="AO885" s="2"/>
      <c r="AP885" s="2"/>
      <c r="AQ885" s="2"/>
      <c r="AR885" s="2"/>
      <c r="AS885" s="2"/>
      <c r="AT885" s="2"/>
      <c r="AU885" s="126">
        <v>90.0</v>
      </c>
      <c r="AV885" s="126">
        <v>400.0</v>
      </c>
      <c r="AW885" s="2"/>
      <c r="AX885" s="2"/>
      <c r="AY885" s="2"/>
      <c r="AZ885" s="2"/>
      <c r="BA885" s="2"/>
      <c r="BB885" s="2"/>
      <c r="BC885" s="2"/>
      <c r="BD885" s="2"/>
      <c r="BE885" s="2"/>
    </row>
    <row r="886" hidden="1">
      <c r="A886" s="2"/>
      <c r="B886" s="338" t="s">
        <v>8695</v>
      </c>
      <c r="C886" s="93"/>
      <c r="D886" s="31">
        <v>90.0</v>
      </c>
      <c r="E886" s="31" t="s">
        <v>111</v>
      </c>
      <c r="F886" s="11" t="s">
        <v>8678</v>
      </c>
      <c r="G886" s="327" t="s">
        <v>8696</v>
      </c>
      <c r="H886" s="322"/>
      <c r="I886" s="328">
        <v>95.0</v>
      </c>
      <c r="J886" s="324"/>
      <c r="K886" s="322"/>
      <c r="L886" s="323"/>
      <c r="M886" s="324">
        <v>95.0</v>
      </c>
      <c r="N886" s="284">
        <v>0.185</v>
      </c>
      <c r="O886" s="322">
        <v>100.0</v>
      </c>
      <c r="P886" s="313">
        <f t="shared" ref="P886:Q886" si="486">O886</f>
        <v>100</v>
      </c>
      <c r="Q886" s="319">
        <f t="shared" si="486"/>
        <v>100</v>
      </c>
      <c r="R886" s="329" t="s">
        <v>8697</v>
      </c>
      <c r="S886" s="330">
        <v>46141.552362002316</v>
      </c>
      <c r="T886" s="2"/>
      <c r="U886" s="289">
        <f t="shared" si="424"/>
        <v>5</v>
      </c>
      <c r="V886" s="304" t="str">
        <f t="shared" si="483"/>
        <v>нет з/ч</v>
      </c>
      <c r="W886" s="2"/>
      <c r="X886" s="289">
        <v>95.0</v>
      </c>
      <c r="Y886" s="139"/>
      <c r="Z886" s="2"/>
      <c r="AA886" s="2"/>
      <c r="AB886" s="2"/>
      <c r="AC886" s="2"/>
      <c r="AD886" s="2"/>
      <c r="AE886" s="3" t="s">
        <v>8695</v>
      </c>
      <c r="AF886" s="2"/>
      <c r="AG886" s="1" t="s">
        <v>1582</v>
      </c>
      <c r="AH886" s="1" t="s">
        <v>5913</v>
      </c>
      <c r="AI886" s="2">
        <v>90.0</v>
      </c>
      <c r="AJ886" s="1" t="s">
        <v>1589</v>
      </c>
      <c r="AK886" s="1" t="s">
        <v>5878</v>
      </c>
      <c r="AL886" s="1" t="s">
        <v>5878</v>
      </c>
      <c r="AM886" s="2"/>
      <c r="AN886" s="2"/>
      <c r="AO886" s="2"/>
      <c r="AP886" s="2"/>
      <c r="AQ886" s="2"/>
      <c r="AR886" s="2"/>
      <c r="AS886" s="2"/>
      <c r="AT886" s="2"/>
      <c r="AU886" s="126">
        <v>95.0</v>
      </c>
      <c r="AV886" s="126">
        <v>100.0</v>
      </c>
      <c r="AW886" s="2"/>
      <c r="AX886" s="2"/>
      <c r="AY886" s="2"/>
      <c r="AZ886" s="2"/>
      <c r="BA886" s="2"/>
      <c r="BB886" s="2"/>
      <c r="BC886" s="2"/>
      <c r="BD886" s="2"/>
      <c r="BE886" s="2"/>
    </row>
    <row r="887" hidden="1">
      <c r="A887" s="2"/>
      <c r="B887" s="338" t="s">
        <v>8698</v>
      </c>
      <c r="C887" s="320" t="s">
        <v>8699</v>
      </c>
      <c r="D887" s="31">
        <v>90.0</v>
      </c>
      <c r="E887" s="31" t="s">
        <v>118</v>
      </c>
      <c r="F887" s="11" t="s">
        <v>8678</v>
      </c>
      <c r="G887" s="327" t="s">
        <v>8700</v>
      </c>
      <c r="H887" s="322"/>
      <c r="I887" s="328">
        <v>150.0</v>
      </c>
      <c r="J887" s="324"/>
      <c r="K887" s="322"/>
      <c r="L887" s="323"/>
      <c r="M887" s="324">
        <v>150.0</v>
      </c>
      <c r="N887" s="284">
        <v>0.185</v>
      </c>
      <c r="O887" s="322">
        <v>200.0</v>
      </c>
      <c r="P887" s="313">
        <f t="shared" ref="P887:Q887" si="487">O887</f>
        <v>200</v>
      </c>
      <c r="Q887" s="319">
        <f t="shared" si="487"/>
        <v>200</v>
      </c>
      <c r="R887" s="329" t="s">
        <v>8701</v>
      </c>
      <c r="S887" s="330">
        <v>46141.55241199074</v>
      </c>
      <c r="T887" s="2"/>
      <c r="U887" s="289">
        <f t="shared" si="424"/>
        <v>50</v>
      </c>
      <c r="V887" s="304" t="str">
        <f t="shared" si="483"/>
        <v>нет з/ч</v>
      </c>
      <c r="W887" s="2"/>
      <c r="X887" s="289">
        <v>150.0</v>
      </c>
      <c r="Y887" s="139"/>
      <c r="Z887" s="2"/>
      <c r="AA887" s="2" t="s">
        <v>8699</v>
      </c>
      <c r="AB887" s="2" t="s">
        <v>8699</v>
      </c>
      <c r="AC887" s="2"/>
      <c r="AD887" s="2" t="s">
        <v>8699</v>
      </c>
      <c r="AE887" s="3" t="s">
        <v>8698</v>
      </c>
      <c r="AF887" s="2"/>
      <c r="AG887" s="1" t="s">
        <v>1582</v>
      </c>
      <c r="AH887" s="1" t="s">
        <v>5918</v>
      </c>
      <c r="AI887" s="2">
        <v>90.0</v>
      </c>
      <c r="AJ887" s="1" t="s">
        <v>1589</v>
      </c>
      <c r="AK887" s="1" t="s">
        <v>5878</v>
      </c>
      <c r="AL887" s="1" t="s">
        <v>5878</v>
      </c>
      <c r="AM887" s="2"/>
      <c r="AN887" s="2"/>
      <c r="AO887" s="2"/>
      <c r="AP887" s="2"/>
      <c r="AQ887" s="2"/>
      <c r="AR887" s="2"/>
      <c r="AS887" s="2"/>
      <c r="AT887" s="2"/>
      <c r="AU887" s="126">
        <v>150.0</v>
      </c>
      <c r="AV887" s="126">
        <v>200.0</v>
      </c>
      <c r="AW887" s="2"/>
      <c r="AX887" s="2"/>
      <c r="AY887" s="2"/>
      <c r="AZ887" s="2"/>
      <c r="BA887" s="2"/>
      <c r="BB887" s="2"/>
      <c r="BC887" s="2"/>
      <c r="BD887" s="2"/>
      <c r="BE887" s="2"/>
    </row>
    <row r="888" hidden="1">
      <c r="A888" s="2"/>
      <c r="B888" s="338" t="s">
        <v>8702</v>
      </c>
      <c r="C888" s="320" t="s">
        <v>8703</v>
      </c>
      <c r="D888" s="31">
        <v>90.0</v>
      </c>
      <c r="E888" s="31" t="s">
        <v>6544</v>
      </c>
      <c r="F888" s="11" t="s">
        <v>8678</v>
      </c>
      <c r="G888" s="327" t="s">
        <v>8704</v>
      </c>
      <c r="H888" s="322"/>
      <c r="I888" s="328">
        <v>145.0</v>
      </c>
      <c r="J888" s="324"/>
      <c r="K888" s="322"/>
      <c r="L888" s="323"/>
      <c r="M888" s="324">
        <v>145.0</v>
      </c>
      <c r="N888" s="284">
        <v>0.185</v>
      </c>
      <c r="O888" s="322">
        <v>150.0</v>
      </c>
      <c r="P888" s="313">
        <f t="shared" ref="P888:Q888" si="488">O888</f>
        <v>150</v>
      </c>
      <c r="Q888" s="319">
        <f t="shared" si="488"/>
        <v>150</v>
      </c>
      <c r="R888" s="329" t="s">
        <v>8705</v>
      </c>
      <c r="S888" s="330">
        <v>46141.55245846065</v>
      </c>
      <c r="T888" s="2"/>
      <c r="U888" s="289">
        <f t="shared" si="424"/>
        <v>5</v>
      </c>
      <c r="V888" s="304" t="str">
        <f t="shared" si="483"/>
        <v>нет з/ч</v>
      </c>
      <c r="W888" s="2"/>
      <c r="X888" s="289">
        <v>145.0</v>
      </c>
      <c r="Y888" s="139"/>
      <c r="Z888" s="2"/>
      <c r="AA888" s="2" t="s">
        <v>8703</v>
      </c>
      <c r="AB888" s="2" t="s">
        <v>8703</v>
      </c>
      <c r="AC888" s="2"/>
      <c r="AD888" s="2" t="s">
        <v>8703</v>
      </c>
      <c r="AE888" s="3" t="s">
        <v>8702</v>
      </c>
      <c r="AF888" s="2"/>
      <c r="AG888" s="1" t="s">
        <v>1582</v>
      </c>
      <c r="AH888" s="1" t="s">
        <v>5923</v>
      </c>
      <c r="AI888" s="2">
        <v>90.0</v>
      </c>
      <c r="AJ888" s="1" t="s">
        <v>1589</v>
      </c>
      <c r="AK888" s="1" t="s">
        <v>5878</v>
      </c>
      <c r="AL888" s="1" t="s">
        <v>5878</v>
      </c>
      <c r="AM888" s="2"/>
      <c r="AN888" s="2"/>
      <c r="AO888" s="2"/>
      <c r="AP888" s="2"/>
      <c r="AQ888" s="2"/>
      <c r="AR888" s="2"/>
      <c r="AS888" s="2"/>
      <c r="AT888" s="2"/>
      <c r="AU888" s="126">
        <v>145.0</v>
      </c>
      <c r="AV888" s="126">
        <v>150.0</v>
      </c>
      <c r="AW888" s="2"/>
      <c r="AX888" s="2"/>
      <c r="AY888" s="2"/>
      <c r="AZ888" s="2"/>
      <c r="BA888" s="2"/>
      <c r="BB888" s="2"/>
      <c r="BC888" s="2"/>
      <c r="BD888" s="2"/>
      <c r="BE888" s="2"/>
    </row>
    <row r="889" hidden="1">
      <c r="A889" s="2"/>
      <c r="B889" s="338" t="s">
        <v>8706</v>
      </c>
      <c r="C889" s="320" t="s">
        <v>8707</v>
      </c>
      <c r="D889" s="31">
        <v>90.0</v>
      </c>
      <c r="E889" s="31" t="s">
        <v>132</v>
      </c>
      <c r="F889" s="11" t="s">
        <v>8678</v>
      </c>
      <c r="G889" s="327" t="s">
        <v>8708</v>
      </c>
      <c r="H889" s="322"/>
      <c r="I889" s="328">
        <v>160.0</v>
      </c>
      <c r="J889" s="324"/>
      <c r="K889" s="322"/>
      <c r="L889" s="323"/>
      <c r="M889" s="324">
        <v>160.0</v>
      </c>
      <c r="N889" s="284">
        <v>1.0</v>
      </c>
      <c r="O889" s="322">
        <v>300.0</v>
      </c>
      <c r="P889" s="313">
        <f t="shared" ref="P889:Q889" si="489">O889</f>
        <v>300</v>
      </c>
      <c r="Q889" s="319">
        <f t="shared" si="489"/>
        <v>300</v>
      </c>
      <c r="R889" s="329" t="s">
        <v>8709</v>
      </c>
      <c r="S889" s="330">
        <v>46141.552506747685</v>
      </c>
      <c r="T889" s="2"/>
      <c r="U889" s="289">
        <f t="shared" si="424"/>
        <v>140</v>
      </c>
      <c r="V889" s="304" t="str">
        <f t="shared" si="483"/>
        <v>нет з/ч</v>
      </c>
      <c r="W889" s="2"/>
      <c r="X889" s="289">
        <v>160.0</v>
      </c>
      <c r="Y889" s="139"/>
      <c r="Z889" s="2"/>
      <c r="AA889" s="2" t="s">
        <v>8707</v>
      </c>
      <c r="AB889" s="2" t="s">
        <v>8707</v>
      </c>
      <c r="AC889" s="2"/>
      <c r="AD889" s="2" t="s">
        <v>8707</v>
      </c>
      <c r="AE889" s="3" t="s">
        <v>8706</v>
      </c>
      <c r="AF889" s="2"/>
      <c r="AG889" s="1" t="s">
        <v>1582</v>
      </c>
      <c r="AH889" s="1" t="s">
        <v>5928</v>
      </c>
      <c r="AI889" s="2">
        <v>90.0</v>
      </c>
      <c r="AJ889" s="1" t="s">
        <v>1589</v>
      </c>
      <c r="AK889" s="1" t="s">
        <v>5878</v>
      </c>
      <c r="AL889" s="1" t="s">
        <v>5878</v>
      </c>
      <c r="AM889" s="2"/>
      <c r="AN889" s="2"/>
      <c r="AO889" s="2"/>
      <c r="AP889" s="2"/>
      <c r="AQ889" s="2"/>
      <c r="AR889" s="2"/>
      <c r="AS889" s="2"/>
      <c r="AT889" s="2"/>
      <c r="AU889" s="126">
        <v>160.0</v>
      </c>
      <c r="AV889" s="126">
        <v>300.0</v>
      </c>
      <c r="AW889" s="2"/>
      <c r="AX889" s="2"/>
      <c r="AY889" s="2"/>
      <c r="AZ889" s="2"/>
      <c r="BA889" s="2"/>
      <c r="BB889" s="2"/>
      <c r="BC889" s="2"/>
      <c r="BD889" s="2"/>
      <c r="BE889" s="2"/>
    </row>
    <row r="890" hidden="1">
      <c r="A890" s="2"/>
      <c r="B890" s="338" t="s">
        <v>8710</v>
      </c>
      <c r="C890" s="320" t="s">
        <v>8711</v>
      </c>
      <c r="D890" s="31">
        <v>90.0</v>
      </c>
      <c r="E890" s="31" t="s">
        <v>153</v>
      </c>
      <c r="F890" s="11" t="s">
        <v>8678</v>
      </c>
      <c r="G890" s="327" t="s">
        <v>8712</v>
      </c>
      <c r="H890" s="322"/>
      <c r="I890" s="328">
        <v>90.0</v>
      </c>
      <c r="J890" s="324"/>
      <c r="K890" s="322"/>
      <c r="L890" s="323"/>
      <c r="M890" s="324">
        <v>90.0</v>
      </c>
      <c r="N890" s="284">
        <v>10.0</v>
      </c>
      <c r="O890" s="322">
        <v>1000.0</v>
      </c>
      <c r="P890" s="313">
        <f t="shared" ref="P890:Q890" si="490">O890</f>
        <v>1000</v>
      </c>
      <c r="Q890" s="319">
        <f t="shared" si="490"/>
        <v>1000</v>
      </c>
      <c r="R890" s="329" t="s">
        <v>8713</v>
      </c>
      <c r="S890" s="330">
        <v>46141.55255412037</v>
      </c>
      <c r="T890" s="2"/>
      <c r="U890" s="289">
        <f t="shared" si="424"/>
        <v>910</v>
      </c>
      <c r="V890" s="304" t="str">
        <f t="shared" ref="V890:V920" si="492">IF(L890&gt;0, Q2465 - L890, "нет з/ч")</f>
        <v>нет з/ч</v>
      </c>
      <c r="W890" s="2"/>
      <c r="X890" s="289">
        <v>90.0</v>
      </c>
      <c r="Y890" s="139"/>
      <c r="Z890" s="2"/>
      <c r="AA890" s="2" t="s">
        <v>8711</v>
      </c>
      <c r="AB890" s="2" t="s">
        <v>8711</v>
      </c>
      <c r="AC890" s="2"/>
      <c r="AD890" s="2" t="s">
        <v>8711</v>
      </c>
      <c r="AE890" s="3" t="s">
        <v>8710</v>
      </c>
      <c r="AF890" s="2"/>
      <c r="AG890" s="1" t="s">
        <v>1582</v>
      </c>
      <c r="AH890" s="1" t="s">
        <v>5943</v>
      </c>
      <c r="AI890" s="2">
        <v>90.0</v>
      </c>
      <c r="AJ890" s="1" t="s">
        <v>1589</v>
      </c>
      <c r="AK890" s="1" t="s">
        <v>5878</v>
      </c>
      <c r="AL890" s="1" t="s">
        <v>5878</v>
      </c>
      <c r="AM890" s="2"/>
      <c r="AN890" s="2"/>
      <c r="AO890" s="2"/>
      <c r="AP890" s="2"/>
      <c r="AQ890" s="2"/>
      <c r="AR890" s="2"/>
      <c r="AS890" s="2"/>
      <c r="AT890" s="2"/>
      <c r="AU890" s="126">
        <v>90.0</v>
      </c>
      <c r="AV890" s="126">
        <v>1000.0</v>
      </c>
      <c r="AW890" s="2"/>
      <c r="AX890" s="2"/>
      <c r="AY890" s="2"/>
      <c r="AZ890" s="2"/>
      <c r="BA890" s="2"/>
      <c r="BB890" s="2"/>
      <c r="BC890" s="2"/>
      <c r="BD890" s="2"/>
      <c r="BE890" s="2"/>
    </row>
    <row r="891" hidden="1">
      <c r="A891" s="2"/>
      <c r="B891" s="338" t="s">
        <v>8714</v>
      </c>
      <c r="C891" s="320" t="s">
        <v>8715</v>
      </c>
      <c r="D891" s="31">
        <v>90.0</v>
      </c>
      <c r="E891" s="31" t="s">
        <v>159</v>
      </c>
      <c r="F891" s="11" t="s">
        <v>8678</v>
      </c>
      <c r="G891" s="327" t="s">
        <v>8716</v>
      </c>
      <c r="H891" s="322"/>
      <c r="I891" s="328">
        <v>90.0</v>
      </c>
      <c r="J891" s="324"/>
      <c r="K891" s="322"/>
      <c r="L891" s="323"/>
      <c r="M891" s="324">
        <v>90.0</v>
      </c>
      <c r="N891" s="284">
        <v>6.5</v>
      </c>
      <c r="O891" s="322">
        <v>700.0</v>
      </c>
      <c r="P891" s="313">
        <f t="shared" ref="P891:Q891" si="491">O891</f>
        <v>700</v>
      </c>
      <c r="Q891" s="319">
        <f t="shared" si="491"/>
        <v>700</v>
      </c>
      <c r="R891" s="329" t="s">
        <v>8717</v>
      </c>
      <c r="S891" s="330">
        <v>46141.5526080787</v>
      </c>
      <c r="T891" s="2"/>
      <c r="U891" s="289">
        <f t="shared" si="424"/>
        <v>610</v>
      </c>
      <c r="V891" s="304" t="str">
        <f t="shared" si="492"/>
        <v>нет з/ч</v>
      </c>
      <c r="W891" s="2"/>
      <c r="X891" s="289">
        <v>90.0</v>
      </c>
      <c r="Y891" s="139"/>
      <c r="Z891" s="2"/>
      <c r="AA891" s="2" t="s">
        <v>8715</v>
      </c>
      <c r="AB891" s="2" t="s">
        <v>8715</v>
      </c>
      <c r="AC891" s="2"/>
      <c r="AD891" s="2" t="s">
        <v>8715</v>
      </c>
      <c r="AE891" s="3" t="s">
        <v>8714</v>
      </c>
      <c r="AF891" s="2"/>
      <c r="AG891" s="1" t="s">
        <v>1582</v>
      </c>
      <c r="AH891" s="1" t="s">
        <v>5952</v>
      </c>
      <c r="AI891" s="2">
        <v>90.0</v>
      </c>
      <c r="AJ891" s="1" t="s">
        <v>1589</v>
      </c>
      <c r="AK891" s="1" t="s">
        <v>5878</v>
      </c>
      <c r="AL891" s="1" t="s">
        <v>5878</v>
      </c>
      <c r="AM891" s="2"/>
      <c r="AN891" s="2"/>
      <c r="AO891" s="2"/>
      <c r="AP891" s="2"/>
      <c r="AQ891" s="2"/>
      <c r="AR891" s="2"/>
      <c r="AS891" s="2"/>
      <c r="AT891" s="2"/>
      <c r="AU891" s="126">
        <v>90.0</v>
      </c>
      <c r="AV891" s="126">
        <v>700.0</v>
      </c>
      <c r="AW891" s="2"/>
      <c r="AX891" s="2"/>
      <c r="AY891" s="2"/>
      <c r="AZ891" s="2"/>
      <c r="BA891" s="2"/>
      <c r="BB891" s="2"/>
      <c r="BC891" s="2"/>
      <c r="BD891" s="2"/>
      <c r="BE891" s="2"/>
    </row>
    <row r="892" hidden="1">
      <c r="A892" s="2"/>
      <c r="B892" s="338" t="s">
        <v>8718</v>
      </c>
      <c r="C892" s="320" t="s">
        <v>8719</v>
      </c>
      <c r="D892" s="31">
        <v>90.0</v>
      </c>
      <c r="E892" s="31" t="s">
        <v>167</v>
      </c>
      <c r="F892" s="11" t="s">
        <v>8678</v>
      </c>
      <c r="G892" s="327" t="s">
        <v>8720</v>
      </c>
      <c r="H892" s="322"/>
      <c r="I892" s="328">
        <v>90.0</v>
      </c>
      <c r="J892" s="324"/>
      <c r="K892" s="322"/>
      <c r="L892" s="323"/>
      <c r="M892" s="324">
        <v>90.0</v>
      </c>
      <c r="N892" s="284">
        <v>12.5</v>
      </c>
      <c r="O892" s="322">
        <v>1200.0</v>
      </c>
      <c r="P892" s="313">
        <f t="shared" ref="P892:Q892" si="493">O892</f>
        <v>1200</v>
      </c>
      <c r="Q892" s="319">
        <f t="shared" si="493"/>
        <v>1200</v>
      </c>
      <c r="R892" s="329" t="s">
        <v>8721</v>
      </c>
      <c r="S892" s="330">
        <v>46141.55266019676</v>
      </c>
      <c r="T892" s="2"/>
      <c r="U892" s="289">
        <f t="shared" si="424"/>
        <v>1110</v>
      </c>
      <c r="V892" s="304" t="str">
        <f t="shared" si="492"/>
        <v>нет з/ч</v>
      </c>
      <c r="W892" s="2"/>
      <c r="X892" s="289">
        <v>90.0</v>
      </c>
      <c r="Y892" s="139"/>
      <c r="Z892" s="2"/>
      <c r="AA892" s="2" t="s">
        <v>8719</v>
      </c>
      <c r="AB892" s="2" t="s">
        <v>8719</v>
      </c>
      <c r="AC892" s="2"/>
      <c r="AD892" s="2" t="s">
        <v>8719</v>
      </c>
      <c r="AE892" s="3" t="s">
        <v>8718</v>
      </c>
      <c r="AF892" s="2"/>
      <c r="AG892" s="1" t="s">
        <v>1582</v>
      </c>
      <c r="AH892" s="1" t="s">
        <v>5957</v>
      </c>
      <c r="AI892" s="2">
        <v>90.0</v>
      </c>
      <c r="AJ892" s="1" t="s">
        <v>1589</v>
      </c>
      <c r="AK892" s="1" t="s">
        <v>5878</v>
      </c>
      <c r="AL892" s="1" t="s">
        <v>5878</v>
      </c>
      <c r="AM892" s="2"/>
      <c r="AN892" s="2"/>
      <c r="AO892" s="2"/>
      <c r="AP892" s="2"/>
      <c r="AQ892" s="2"/>
      <c r="AR892" s="2"/>
      <c r="AS892" s="2"/>
      <c r="AT892" s="2"/>
      <c r="AU892" s="126">
        <v>90.0</v>
      </c>
      <c r="AV892" s="126">
        <v>1200.0</v>
      </c>
      <c r="AW892" s="2"/>
      <c r="AX892" s="2"/>
      <c r="AY892" s="2"/>
      <c r="AZ892" s="2"/>
      <c r="BA892" s="2"/>
      <c r="BB892" s="2"/>
      <c r="BC892" s="2"/>
      <c r="BD892" s="2"/>
      <c r="BE892" s="2"/>
    </row>
    <row r="893" hidden="1">
      <c r="A893" s="2"/>
      <c r="B893" s="338" t="s">
        <v>8722</v>
      </c>
      <c r="C893" s="320" t="s">
        <v>8723</v>
      </c>
      <c r="D893" s="31">
        <v>90.0</v>
      </c>
      <c r="E893" s="31" t="s">
        <v>175</v>
      </c>
      <c r="F893" s="11" t="s">
        <v>8678</v>
      </c>
      <c r="G893" s="327" t="s">
        <v>8724</v>
      </c>
      <c r="H893" s="322"/>
      <c r="I893" s="328">
        <v>120.0</v>
      </c>
      <c r="J893" s="324"/>
      <c r="K893" s="322"/>
      <c r="L893" s="323"/>
      <c r="M893" s="324">
        <v>120.0</v>
      </c>
      <c r="N893" s="284">
        <v>13.0</v>
      </c>
      <c r="O893" s="322">
        <v>1700.0</v>
      </c>
      <c r="P893" s="313">
        <f t="shared" ref="P893:Q893" si="494">O893</f>
        <v>1700</v>
      </c>
      <c r="Q893" s="319">
        <f t="shared" si="494"/>
        <v>1700</v>
      </c>
      <c r="R893" s="329" t="s">
        <v>8725</v>
      </c>
      <c r="S893" s="330">
        <v>46141.55271150463</v>
      </c>
      <c r="T893" s="2"/>
      <c r="U893" s="289">
        <f t="shared" si="424"/>
        <v>1580</v>
      </c>
      <c r="V893" s="304" t="str">
        <f t="shared" si="492"/>
        <v>нет з/ч</v>
      </c>
      <c r="W893" s="2"/>
      <c r="X893" s="289">
        <v>120.0</v>
      </c>
      <c r="Y893" s="139"/>
      <c r="Z893" s="2"/>
      <c r="AA893" s="2" t="s">
        <v>8723</v>
      </c>
      <c r="AB893" s="2" t="s">
        <v>8723</v>
      </c>
      <c r="AC893" s="2"/>
      <c r="AD893" s="2" t="s">
        <v>8723</v>
      </c>
      <c r="AE893" s="3" t="s">
        <v>8722</v>
      </c>
      <c r="AF893" s="2"/>
      <c r="AG893" s="1" t="s">
        <v>1582</v>
      </c>
      <c r="AH893" s="1" t="s">
        <v>5966</v>
      </c>
      <c r="AI893" s="2">
        <v>90.0</v>
      </c>
      <c r="AJ893" s="1" t="s">
        <v>1589</v>
      </c>
      <c r="AK893" s="1" t="s">
        <v>5878</v>
      </c>
      <c r="AL893" s="1" t="s">
        <v>5878</v>
      </c>
      <c r="AM893" s="2"/>
      <c r="AN893" s="2"/>
      <c r="AO893" s="2"/>
      <c r="AP893" s="2"/>
      <c r="AQ893" s="2"/>
      <c r="AR893" s="2"/>
      <c r="AS893" s="2"/>
      <c r="AT893" s="2"/>
      <c r="AU893" s="126">
        <v>120.0</v>
      </c>
      <c r="AV893" s="126">
        <v>1700.0</v>
      </c>
      <c r="AW893" s="2"/>
      <c r="AX893" s="2"/>
      <c r="AY893" s="2"/>
      <c r="AZ893" s="2"/>
      <c r="BA893" s="2"/>
      <c r="BB893" s="2"/>
      <c r="BC893" s="2"/>
      <c r="BD893" s="2"/>
      <c r="BE893" s="2"/>
    </row>
    <row r="894" hidden="1">
      <c r="A894" s="2"/>
      <c r="B894" s="338" t="s">
        <v>8726</v>
      </c>
      <c r="C894" s="320" t="s">
        <v>8727</v>
      </c>
      <c r="D894" s="31">
        <v>90.0</v>
      </c>
      <c r="E894" s="31" t="s">
        <v>183</v>
      </c>
      <c r="F894" s="11" t="s">
        <v>8678</v>
      </c>
      <c r="G894" s="327" t="s">
        <v>8728</v>
      </c>
      <c r="H894" s="322"/>
      <c r="I894" s="328">
        <v>190.0</v>
      </c>
      <c r="J894" s="324"/>
      <c r="K894" s="322"/>
      <c r="L894" s="323"/>
      <c r="M894" s="324">
        <v>190.0</v>
      </c>
      <c r="N894" s="284">
        <v>5.25</v>
      </c>
      <c r="O894" s="322">
        <v>1200.0</v>
      </c>
      <c r="P894" s="313">
        <f t="shared" ref="P894:Q894" si="495">O894</f>
        <v>1200</v>
      </c>
      <c r="Q894" s="319">
        <f t="shared" si="495"/>
        <v>1200</v>
      </c>
      <c r="R894" s="329" t="s">
        <v>8729</v>
      </c>
      <c r="S894" s="330">
        <v>46141.55276056713</v>
      </c>
      <c r="T894" s="2"/>
      <c r="U894" s="289">
        <f t="shared" si="424"/>
        <v>1010</v>
      </c>
      <c r="V894" s="304" t="str">
        <f t="shared" si="492"/>
        <v>нет з/ч</v>
      </c>
      <c r="W894" s="2"/>
      <c r="X894" s="289">
        <v>190.0</v>
      </c>
      <c r="Y894" s="139"/>
      <c r="Z894" s="2"/>
      <c r="AA894" s="2" t="s">
        <v>8727</v>
      </c>
      <c r="AB894" s="2" t="s">
        <v>8727</v>
      </c>
      <c r="AC894" s="2"/>
      <c r="AD894" s="1" t="s">
        <v>8727</v>
      </c>
      <c r="AE894" s="3" t="s">
        <v>8726</v>
      </c>
      <c r="AF894" s="2"/>
      <c r="AG894" s="1" t="s">
        <v>1582</v>
      </c>
      <c r="AH894" s="1" t="s">
        <v>5975</v>
      </c>
      <c r="AI894" s="2">
        <v>90.0</v>
      </c>
      <c r="AJ894" s="1" t="s">
        <v>1589</v>
      </c>
      <c r="AK894" s="1" t="s">
        <v>5878</v>
      </c>
      <c r="AL894" s="1" t="s">
        <v>5878</v>
      </c>
      <c r="AM894" s="2"/>
      <c r="AN894" s="2"/>
      <c r="AO894" s="2"/>
      <c r="AP894" s="2"/>
      <c r="AQ894" s="2"/>
      <c r="AR894" s="2"/>
      <c r="AS894" s="2"/>
      <c r="AT894" s="2"/>
      <c r="AU894" s="126">
        <v>190.0</v>
      </c>
      <c r="AV894" s="126">
        <v>1200.0</v>
      </c>
      <c r="AW894" s="2"/>
      <c r="AX894" s="2"/>
      <c r="AY894" s="2"/>
      <c r="AZ894" s="2"/>
      <c r="BA894" s="2"/>
      <c r="BB894" s="2"/>
      <c r="BC894" s="2"/>
      <c r="BD894" s="2"/>
      <c r="BE894" s="2"/>
    </row>
    <row r="895" hidden="1">
      <c r="A895" s="2"/>
      <c r="B895" s="338" t="s">
        <v>8730</v>
      </c>
      <c r="C895" s="320" t="s">
        <v>8731</v>
      </c>
      <c r="D895" s="31">
        <v>90.0</v>
      </c>
      <c r="E895" s="31" t="s">
        <v>185</v>
      </c>
      <c r="F895" s="11" t="s">
        <v>8678</v>
      </c>
      <c r="G895" s="327" t="s">
        <v>8732</v>
      </c>
      <c r="H895" s="322"/>
      <c r="I895" s="328">
        <v>120.0</v>
      </c>
      <c r="J895" s="324"/>
      <c r="K895" s="322"/>
      <c r="L895" s="323"/>
      <c r="M895" s="324">
        <v>120.0</v>
      </c>
      <c r="N895" s="284">
        <v>7.25</v>
      </c>
      <c r="O895" s="322">
        <v>1000.0</v>
      </c>
      <c r="P895" s="313">
        <f t="shared" ref="P895:Q895" si="496">O895</f>
        <v>1000</v>
      </c>
      <c r="Q895" s="319">
        <f t="shared" si="496"/>
        <v>1000</v>
      </c>
      <c r="R895" s="329" t="s">
        <v>8733</v>
      </c>
      <c r="S895" s="330">
        <v>46141.55280659722</v>
      </c>
      <c r="T895" s="2"/>
      <c r="U895" s="289">
        <f t="shared" si="424"/>
        <v>880</v>
      </c>
      <c r="V895" s="304" t="str">
        <f t="shared" si="492"/>
        <v>нет з/ч</v>
      </c>
      <c r="W895" s="2"/>
      <c r="X895" s="289">
        <v>120.0</v>
      </c>
      <c r="Y895" s="139"/>
      <c r="Z895" s="2"/>
      <c r="AA895" s="2" t="s">
        <v>8731</v>
      </c>
      <c r="AB895" s="2" t="s">
        <v>8731</v>
      </c>
      <c r="AC895" s="2"/>
      <c r="AD895" s="1" t="s">
        <v>8731</v>
      </c>
      <c r="AE895" s="3" t="s">
        <v>8730</v>
      </c>
      <c r="AF895" s="2"/>
      <c r="AG895" s="1" t="s">
        <v>1582</v>
      </c>
      <c r="AH895" s="1" t="s">
        <v>5984</v>
      </c>
      <c r="AI895" s="2">
        <v>90.0</v>
      </c>
      <c r="AJ895" s="1" t="s">
        <v>1589</v>
      </c>
      <c r="AK895" s="1" t="s">
        <v>5878</v>
      </c>
      <c r="AL895" s="1" t="s">
        <v>5878</v>
      </c>
      <c r="AM895" s="2"/>
      <c r="AN895" s="2"/>
      <c r="AO895" s="2"/>
      <c r="AP895" s="2"/>
      <c r="AQ895" s="2"/>
      <c r="AR895" s="2"/>
      <c r="AS895" s="2"/>
      <c r="AT895" s="2"/>
      <c r="AU895" s="126">
        <v>120.0</v>
      </c>
      <c r="AV895" s="126">
        <v>1000.0</v>
      </c>
      <c r="AW895" s="2"/>
      <c r="AX895" s="2"/>
      <c r="AY895" s="2"/>
      <c r="AZ895" s="2"/>
      <c r="BA895" s="2"/>
      <c r="BB895" s="2"/>
      <c r="BC895" s="2"/>
      <c r="BD895" s="2"/>
      <c r="BE895" s="2"/>
    </row>
    <row r="896" hidden="1">
      <c r="A896" s="2"/>
      <c r="B896" s="338" t="s">
        <v>8734</v>
      </c>
      <c r="C896" s="320" t="s">
        <v>8735</v>
      </c>
      <c r="D896" s="31">
        <v>90.0</v>
      </c>
      <c r="E896" s="31" t="s">
        <v>193</v>
      </c>
      <c r="F896" s="11" t="s">
        <v>8678</v>
      </c>
      <c r="G896" s="327" t="s">
        <v>8736</v>
      </c>
      <c r="H896" s="322"/>
      <c r="I896" s="328">
        <v>530.0</v>
      </c>
      <c r="J896" s="324"/>
      <c r="K896" s="322"/>
      <c r="L896" s="323"/>
      <c r="M896" s="324">
        <v>530.0</v>
      </c>
      <c r="N896" s="284">
        <v>1.8</v>
      </c>
      <c r="O896" s="322">
        <v>1500.0</v>
      </c>
      <c r="P896" s="313">
        <f t="shared" ref="P896:Q896" si="497">O896</f>
        <v>1500</v>
      </c>
      <c r="Q896" s="319">
        <f t="shared" si="497"/>
        <v>1500</v>
      </c>
      <c r="R896" s="329" t="s">
        <v>8737</v>
      </c>
      <c r="S896" s="330">
        <v>46141.55285373842</v>
      </c>
      <c r="T896" s="2"/>
      <c r="U896" s="289">
        <f t="shared" si="424"/>
        <v>970</v>
      </c>
      <c r="V896" s="304" t="str">
        <f t="shared" si="492"/>
        <v>нет з/ч</v>
      </c>
      <c r="W896" s="2"/>
      <c r="X896" s="289">
        <v>530.0</v>
      </c>
      <c r="Y896" s="139"/>
      <c r="Z896" s="2"/>
      <c r="AA896" s="2" t="s">
        <v>8735</v>
      </c>
      <c r="AB896" s="2" t="s">
        <v>8735</v>
      </c>
      <c r="AC896" s="2"/>
      <c r="AD896" s="1" t="s">
        <v>8735</v>
      </c>
      <c r="AE896" s="3" t="s">
        <v>8734</v>
      </c>
      <c r="AF896" s="2"/>
      <c r="AG896" s="1" t="s">
        <v>1582</v>
      </c>
      <c r="AH896" s="1" t="s">
        <v>5993</v>
      </c>
      <c r="AI896" s="2">
        <v>90.0</v>
      </c>
      <c r="AJ896" s="1" t="s">
        <v>1589</v>
      </c>
      <c r="AK896" s="1" t="s">
        <v>5878</v>
      </c>
      <c r="AL896" s="1" t="s">
        <v>5878</v>
      </c>
      <c r="AM896" s="2"/>
      <c r="AN896" s="2"/>
      <c r="AO896" s="2"/>
      <c r="AP896" s="2"/>
      <c r="AQ896" s="2"/>
      <c r="AR896" s="2"/>
      <c r="AS896" s="2"/>
      <c r="AT896" s="2"/>
      <c r="AU896" s="167">
        <v>530.0</v>
      </c>
      <c r="AV896" s="167">
        <v>1500.0</v>
      </c>
      <c r="AW896" s="2"/>
      <c r="AX896" s="2"/>
      <c r="AY896" s="2"/>
      <c r="AZ896" s="2"/>
      <c r="BA896" s="2"/>
      <c r="BB896" s="2"/>
      <c r="BC896" s="2"/>
      <c r="BD896" s="2"/>
      <c r="BE896" s="2"/>
    </row>
    <row r="897" hidden="1">
      <c r="A897" s="2"/>
      <c r="B897" s="338" t="s">
        <v>8738</v>
      </c>
      <c r="C897" s="320" t="s">
        <v>8739</v>
      </c>
      <c r="D897" s="31">
        <v>90.0</v>
      </c>
      <c r="E897" s="31" t="s">
        <v>6628</v>
      </c>
      <c r="F897" s="11" t="s">
        <v>8678</v>
      </c>
      <c r="G897" s="327" t="s">
        <v>8740</v>
      </c>
      <c r="H897" s="322"/>
      <c r="I897" s="328">
        <v>350.0</v>
      </c>
      <c r="J897" s="324"/>
      <c r="K897" s="322"/>
      <c r="L897" s="323"/>
      <c r="M897" s="324">
        <v>350.0</v>
      </c>
      <c r="N897" s="284">
        <v>1.9</v>
      </c>
      <c r="O897" s="322">
        <v>1000.0</v>
      </c>
      <c r="P897" s="313">
        <f t="shared" ref="P897:Q897" si="498">O897</f>
        <v>1000</v>
      </c>
      <c r="Q897" s="319">
        <f t="shared" si="498"/>
        <v>1000</v>
      </c>
      <c r="R897" s="329" t="s">
        <v>8741</v>
      </c>
      <c r="S897" s="330">
        <v>46141.55290761574</v>
      </c>
      <c r="T897" s="2"/>
      <c r="U897" s="289">
        <f t="shared" si="424"/>
        <v>650</v>
      </c>
      <c r="V897" s="304" t="str">
        <f t="shared" si="492"/>
        <v>нет з/ч</v>
      </c>
      <c r="W897" s="2"/>
      <c r="X897" s="289">
        <v>350.0</v>
      </c>
      <c r="Y897" s="139"/>
      <c r="Z897" s="2"/>
      <c r="AA897" s="2" t="s">
        <v>8739</v>
      </c>
      <c r="AB897" s="2" t="s">
        <v>8739</v>
      </c>
      <c r="AC897" s="2"/>
      <c r="AD897" s="2" t="s">
        <v>8739</v>
      </c>
      <c r="AE897" s="3" t="s">
        <v>8738</v>
      </c>
      <c r="AF897" s="2"/>
      <c r="AG897" s="1" t="s">
        <v>1582</v>
      </c>
      <c r="AH897" s="1" t="s">
        <v>6002</v>
      </c>
      <c r="AI897" s="2">
        <v>90.0</v>
      </c>
      <c r="AJ897" s="1" t="s">
        <v>1589</v>
      </c>
      <c r="AK897" s="1" t="s">
        <v>5878</v>
      </c>
      <c r="AL897" s="1" t="s">
        <v>5878</v>
      </c>
      <c r="AM897" s="2"/>
      <c r="AN897" s="2"/>
      <c r="AO897" s="2"/>
      <c r="AP897" s="2"/>
      <c r="AQ897" s="2"/>
      <c r="AR897" s="2"/>
      <c r="AS897" s="2"/>
      <c r="AT897" s="2"/>
      <c r="AU897" s="126">
        <v>350.0</v>
      </c>
      <c r="AV897" s="126">
        <v>1000.0</v>
      </c>
      <c r="AW897" s="2"/>
      <c r="AX897" s="2"/>
      <c r="AY897" s="2"/>
      <c r="AZ897" s="2"/>
      <c r="BA897" s="2"/>
      <c r="BB897" s="2"/>
      <c r="BC897" s="2"/>
      <c r="BD897" s="2"/>
      <c r="BE897" s="2"/>
    </row>
    <row r="898" hidden="1">
      <c r="A898" s="2"/>
      <c r="B898" s="338" t="s">
        <v>8742</v>
      </c>
      <c r="C898" s="320" t="s">
        <v>8743</v>
      </c>
      <c r="D898" s="31">
        <v>90.0</v>
      </c>
      <c r="E898" s="31" t="s">
        <v>212</v>
      </c>
      <c r="F898" s="11" t="s">
        <v>8678</v>
      </c>
      <c r="G898" s="321"/>
      <c r="H898" s="322"/>
      <c r="I898" s="323"/>
      <c r="J898" s="324"/>
      <c r="K898" s="322"/>
      <c r="L898" s="323"/>
      <c r="M898" s="324" t="s">
        <v>22</v>
      </c>
      <c r="N898" s="284">
        <v>0.185</v>
      </c>
      <c r="O898" s="322" t="s">
        <v>22</v>
      </c>
      <c r="P898" s="313" t="str">
        <f t="shared" ref="P898:Q898" si="499">O898</f>
        <v/>
      </c>
      <c r="Q898" s="319" t="str">
        <f t="shared" si="499"/>
        <v/>
      </c>
      <c r="R898" s="331"/>
      <c r="S898" s="326"/>
      <c r="T898" s="2"/>
      <c r="U898" s="59" t="str">
        <f t="shared" si="424"/>
        <v>нет з/ч</v>
      </c>
      <c r="V898" s="304" t="str">
        <f t="shared" si="492"/>
        <v>нет з/ч</v>
      </c>
      <c r="W898" s="2"/>
      <c r="X898" s="289"/>
      <c r="Y898" s="139"/>
      <c r="Z898" s="2"/>
      <c r="AA898" s="2" t="s">
        <v>8743</v>
      </c>
      <c r="AB898" s="2" t="s">
        <v>8743</v>
      </c>
      <c r="AC898" s="2"/>
      <c r="AD898" s="2" t="s">
        <v>8743</v>
      </c>
      <c r="AE898" s="3" t="s">
        <v>8742</v>
      </c>
      <c r="AF898" s="2"/>
      <c r="AG898" s="1" t="s">
        <v>1582</v>
      </c>
      <c r="AH898" s="1" t="s">
        <v>6026</v>
      </c>
      <c r="AI898" s="2">
        <v>90.0</v>
      </c>
      <c r="AJ898" s="1" t="s">
        <v>1589</v>
      </c>
      <c r="AK898" s="1" t="s">
        <v>5878</v>
      </c>
      <c r="AL898" s="1" t="s">
        <v>5878</v>
      </c>
      <c r="AM898" s="2"/>
      <c r="AN898" s="2"/>
      <c r="AO898" s="2"/>
      <c r="AP898" s="2"/>
      <c r="AQ898" s="2"/>
      <c r="AR898" s="2"/>
      <c r="AS898" s="2"/>
      <c r="AT898" s="2"/>
      <c r="AU898" s="126" t="s">
        <v>22</v>
      </c>
      <c r="AV898" s="126" t="s">
        <v>22</v>
      </c>
      <c r="AW898" s="2"/>
      <c r="AX898" s="2"/>
      <c r="AY898" s="2"/>
      <c r="AZ898" s="2"/>
      <c r="BA898" s="2"/>
      <c r="BB898" s="2"/>
      <c r="BC898" s="2"/>
      <c r="BD898" s="2"/>
      <c r="BE898" s="2"/>
    </row>
    <row r="899" hidden="1">
      <c r="A899" s="2"/>
      <c r="B899" s="338" t="s">
        <v>8744</v>
      </c>
      <c r="C899" s="320" t="s">
        <v>8745</v>
      </c>
      <c r="D899" s="31">
        <v>90.0</v>
      </c>
      <c r="E899" s="31" t="s">
        <v>228</v>
      </c>
      <c r="F899" s="11" t="s">
        <v>8678</v>
      </c>
      <c r="G899" s="327" t="s">
        <v>8746</v>
      </c>
      <c r="H899" s="322"/>
      <c r="I899" s="328">
        <v>650.0</v>
      </c>
      <c r="J899" s="324"/>
      <c r="K899" s="322"/>
      <c r="L899" s="323"/>
      <c r="M899" s="324">
        <v>650.0</v>
      </c>
      <c r="N899" s="284">
        <v>0.5</v>
      </c>
      <c r="O899" s="322">
        <v>1000.0</v>
      </c>
      <c r="P899" s="313">
        <f t="shared" ref="P899:Q899" si="500">O899</f>
        <v>1000</v>
      </c>
      <c r="Q899" s="319">
        <f t="shared" si="500"/>
        <v>1000</v>
      </c>
      <c r="R899" s="329" t="s">
        <v>8747</v>
      </c>
      <c r="S899" s="330">
        <v>46141.55295943287</v>
      </c>
      <c r="T899" s="2"/>
      <c r="U899" s="289">
        <f t="shared" si="424"/>
        <v>350</v>
      </c>
      <c r="V899" s="304" t="str">
        <f t="shared" si="492"/>
        <v>нет з/ч</v>
      </c>
      <c r="W899" s="2"/>
      <c r="X899" s="289">
        <v>650.0</v>
      </c>
      <c r="Y899" s="139"/>
      <c r="Z899" s="2"/>
      <c r="AA899" s="2" t="s">
        <v>8745</v>
      </c>
      <c r="AB899" s="2" t="s">
        <v>8745</v>
      </c>
      <c r="AC899" s="2"/>
      <c r="AD899" s="2" t="s">
        <v>8745</v>
      </c>
      <c r="AE899" s="3" t="s">
        <v>8744</v>
      </c>
      <c r="AF899" s="2"/>
      <c r="AG899" s="1" t="s">
        <v>1582</v>
      </c>
      <c r="AH899" s="1" t="s">
        <v>6045</v>
      </c>
      <c r="AI899" s="2">
        <v>90.0</v>
      </c>
      <c r="AJ899" s="1" t="s">
        <v>1589</v>
      </c>
      <c r="AK899" s="1" t="s">
        <v>5878</v>
      </c>
      <c r="AL899" s="1" t="s">
        <v>5878</v>
      </c>
      <c r="AM899" s="2"/>
      <c r="AN899" s="2"/>
      <c r="AO899" s="2"/>
      <c r="AP899" s="2"/>
      <c r="AQ899" s="2"/>
      <c r="AR899" s="2"/>
      <c r="AS899" s="2"/>
      <c r="AT899" s="2"/>
      <c r="AU899" s="126">
        <v>650.0</v>
      </c>
      <c r="AV899" s="126">
        <v>1000.0</v>
      </c>
      <c r="AW899" s="2"/>
      <c r="AX899" s="2"/>
      <c r="AY899" s="2"/>
      <c r="AZ899" s="2"/>
      <c r="BA899" s="2"/>
      <c r="BB899" s="2"/>
      <c r="BC899" s="2"/>
      <c r="BD899" s="2"/>
      <c r="BE899" s="2"/>
    </row>
    <row r="900" hidden="1">
      <c r="A900" s="2"/>
      <c r="B900" s="338" t="s">
        <v>8748</v>
      </c>
      <c r="C900" s="320" t="s">
        <v>8749</v>
      </c>
      <c r="D900" s="31">
        <v>90.0</v>
      </c>
      <c r="E900" s="31" t="s">
        <v>8614</v>
      </c>
      <c r="F900" s="11" t="s">
        <v>8678</v>
      </c>
      <c r="G900" s="327" t="s">
        <v>8750</v>
      </c>
      <c r="H900" s="322"/>
      <c r="I900" s="328">
        <v>650.0</v>
      </c>
      <c r="J900" s="324"/>
      <c r="K900" s="322"/>
      <c r="L900" s="323"/>
      <c r="M900" s="324">
        <v>650.0</v>
      </c>
      <c r="N900" s="284">
        <v>0.35</v>
      </c>
      <c r="O900" s="322">
        <v>900.0</v>
      </c>
      <c r="P900" s="313">
        <f t="shared" ref="P900:Q900" si="501">O900</f>
        <v>900</v>
      </c>
      <c r="Q900" s="319">
        <f t="shared" si="501"/>
        <v>900</v>
      </c>
      <c r="R900" s="329" t="s">
        <v>8751</v>
      </c>
      <c r="S900" s="330">
        <v>46141.553005740745</v>
      </c>
      <c r="T900" s="2"/>
      <c r="U900" s="289">
        <f t="shared" si="424"/>
        <v>250</v>
      </c>
      <c r="V900" s="304" t="str">
        <f t="shared" si="492"/>
        <v>нет з/ч</v>
      </c>
      <c r="W900" s="2"/>
      <c r="X900" s="289">
        <v>650.0</v>
      </c>
      <c r="Y900" s="139"/>
      <c r="Z900" s="2"/>
      <c r="AA900" s="2" t="s">
        <v>8749</v>
      </c>
      <c r="AB900" s="2" t="s">
        <v>8749</v>
      </c>
      <c r="AC900" s="2"/>
      <c r="AD900" s="2" t="s">
        <v>8749</v>
      </c>
      <c r="AE900" s="3" t="s">
        <v>8748</v>
      </c>
      <c r="AF900" s="2"/>
      <c r="AG900" s="1" t="s">
        <v>1582</v>
      </c>
      <c r="AH900" s="1" t="s">
        <v>6069</v>
      </c>
      <c r="AI900" s="2">
        <v>90.0</v>
      </c>
      <c r="AJ900" s="1" t="s">
        <v>1589</v>
      </c>
      <c r="AK900" s="1" t="s">
        <v>5878</v>
      </c>
      <c r="AL900" s="1" t="s">
        <v>5878</v>
      </c>
      <c r="AM900" s="2"/>
      <c r="AN900" s="2"/>
      <c r="AO900" s="2"/>
      <c r="AP900" s="2"/>
      <c r="AQ900" s="2"/>
      <c r="AR900" s="2"/>
      <c r="AS900" s="2"/>
      <c r="AT900" s="2"/>
      <c r="AU900" s="126">
        <v>650.0</v>
      </c>
      <c r="AV900" s="126">
        <v>900.0</v>
      </c>
      <c r="AW900" s="2"/>
      <c r="AX900" s="2"/>
      <c r="AY900" s="2"/>
      <c r="AZ900" s="2"/>
      <c r="BA900" s="2"/>
      <c r="BB900" s="2"/>
      <c r="BC900" s="2"/>
      <c r="BD900" s="2"/>
      <c r="BE900" s="2"/>
    </row>
    <row r="901" hidden="1">
      <c r="A901" s="2"/>
      <c r="B901" s="338" t="s">
        <v>8752</v>
      </c>
      <c r="C901" s="320" t="s">
        <v>8753</v>
      </c>
      <c r="D901" s="31">
        <v>90.0</v>
      </c>
      <c r="E901" s="31" t="s">
        <v>238</v>
      </c>
      <c r="F901" s="11" t="s">
        <v>8678</v>
      </c>
      <c r="G901" s="321"/>
      <c r="H901" s="322"/>
      <c r="I901" s="323"/>
      <c r="J901" s="324"/>
      <c r="K901" s="322"/>
      <c r="L901" s="323"/>
      <c r="M901" s="324" t="s">
        <v>22</v>
      </c>
      <c r="N901" s="284">
        <v>0.185</v>
      </c>
      <c r="O901" s="322" t="s">
        <v>22</v>
      </c>
      <c r="P901" s="313" t="str">
        <f t="shared" ref="P901:Q901" si="502">O901</f>
        <v/>
      </c>
      <c r="Q901" s="319" t="str">
        <f t="shared" si="502"/>
        <v/>
      </c>
      <c r="R901" s="331"/>
      <c r="S901" s="326"/>
      <c r="T901" s="2"/>
      <c r="U901" s="59" t="str">
        <f t="shared" si="424"/>
        <v>нет з/ч</v>
      </c>
      <c r="V901" s="304" t="str">
        <f t="shared" si="492"/>
        <v>нет з/ч</v>
      </c>
      <c r="W901" s="2"/>
      <c r="X901" s="289"/>
      <c r="Y901" s="139"/>
      <c r="Z901" s="2"/>
      <c r="AA901" s="2" t="s">
        <v>8753</v>
      </c>
      <c r="AB901" s="2" t="s">
        <v>8753</v>
      </c>
      <c r="AC901" s="2"/>
      <c r="AD901" s="2" t="s">
        <v>8753</v>
      </c>
      <c r="AE901" s="3" t="s">
        <v>8752</v>
      </c>
      <c r="AF901" s="2"/>
      <c r="AG901" s="1" t="s">
        <v>1582</v>
      </c>
      <c r="AH901" s="1" t="s">
        <v>6093</v>
      </c>
      <c r="AI901" s="2">
        <v>90.0</v>
      </c>
      <c r="AJ901" s="1" t="s">
        <v>1589</v>
      </c>
      <c r="AK901" s="1" t="s">
        <v>5878</v>
      </c>
      <c r="AL901" s="1" t="s">
        <v>5878</v>
      </c>
      <c r="AM901" s="2"/>
      <c r="AN901" s="2"/>
      <c r="AO901" s="2"/>
      <c r="AP901" s="2"/>
      <c r="AQ901" s="2"/>
      <c r="AR901" s="2"/>
      <c r="AS901" s="2"/>
      <c r="AT901" s="2"/>
      <c r="AU901" s="126" t="s">
        <v>22</v>
      </c>
      <c r="AV901" s="126" t="s">
        <v>22</v>
      </c>
      <c r="AW901" s="2"/>
      <c r="AX901" s="2"/>
      <c r="AY901" s="2"/>
      <c r="AZ901" s="2"/>
      <c r="BA901" s="2"/>
      <c r="BB901" s="2"/>
      <c r="BC901" s="2"/>
      <c r="BD901" s="2"/>
      <c r="BE901" s="2"/>
    </row>
    <row r="902" hidden="1">
      <c r="A902" s="2"/>
      <c r="B902" s="338" t="s">
        <v>8754</v>
      </c>
      <c r="C902" s="320" t="s">
        <v>8755</v>
      </c>
      <c r="D902" s="31">
        <v>90.0</v>
      </c>
      <c r="E902" s="31" t="s">
        <v>246</v>
      </c>
      <c r="F902" s="11" t="s">
        <v>8678</v>
      </c>
      <c r="G902" s="327" t="s">
        <v>8756</v>
      </c>
      <c r="H902" s="322"/>
      <c r="I902" s="328">
        <v>900.0</v>
      </c>
      <c r="J902" s="324"/>
      <c r="K902" s="322"/>
      <c r="L902" s="323"/>
      <c r="M902" s="324">
        <v>900.0</v>
      </c>
      <c r="N902" s="284">
        <v>0.185</v>
      </c>
      <c r="O902" s="322">
        <v>1050.0</v>
      </c>
      <c r="P902" s="313">
        <f t="shared" ref="P902:Q902" si="503">O902</f>
        <v>1050</v>
      </c>
      <c r="Q902" s="319">
        <f t="shared" si="503"/>
        <v>1050</v>
      </c>
      <c r="R902" s="329" t="s">
        <v>8757</v>
      </c>
      <c r="S902" s="330">
        <v>46141.553052233794</v>
      </c>
      <c r="T902" s="2"/>
      <c r="U902" s="289">
        <f t="shared" si="424"/>
        <v>150</v>
      </c>
      <c r="V902" s="304" t="str">
        <f t="shared" si="492"/>
        <v>нет з/ч</v>
      </c>
      <c r="W902" s="2"/>
      <c r="X902" s="289">
        <v>900.0</v>
      </c>
      <c r="Y902" s="139"/>
      <c r="Z902" s="2"/>
      <c r="AA902" s="2" t="s">
        <v>8755</v>
      </c>
      <c r="AB902" s="2" t="s">
        <v>8755</v>
      </c>
      <c r="AC902" s="2"/>
      <c r="AD902" s="2" t="s">
        <v>8755</v>
      </c>
      <c r="AE902" s="3" t="s">
        <v>8754</v>
      </c>
      <c r="AF902" s="2"/>
      <c r="AG902" s="1" t="s">
        <v>1582</v>
      </c>
      <c r="AH902" s="1" t="s">
        <v>6113</v>
      </c>
      <c r="AI902" s="2">
        <v>90.0</v>
      </c>
      <c r="AJ902" s="1" t="s">
        <v>1589</v>
      </c>
      <c r="AK902" s="1" t="s">
        <v>5878</v>
      </c>
      <c r="AL902" s="1" t="s">
        <v>5878</v>
      </c>
      <c r="AM902" s="2"/>
      <c r="AN902" s="2"/>
      <c r="AO902" s="2"/>
      <c r="AP902" s="2"/>
      <c r="AQ902" s="2"/>
      <c r="AR902" s="2"/>
      <c r="AS902" s="2"/>
      <c r="AT902" s="2"/>
      <c r="AU902" s="126">
        <v>900.0</v>
      </c>
      <c r="AV902" s="126">
        <v>1050.0</v>
      </c>
      <c r="AW902" s="2"/>
      <c r="AX902" s="2"/>
      <c r="AY902" s="2"/>
      <c r="AZ902" s="2"/>
      <c r="BA902" s="2"/>
      <c r="BB902" s="2"/>
      <c r="BC902" s="2"/>
      <c r="BD902" s="2"/>
      <c r="BE902" s="2"/>
    </row>
    <row r="903" hidden="1">
      <c r="A903" s="2"/>
      <c r="B903" s="338" t="s">
        <v>8758</v>
      </c>
      <c r="C903" s="320" t="s">
        <v>8759</v>
      </c>
      <c r="D903" s="31">
        <v>90.0</v>
      </c>
      <c r="E903" s="31" t="s">
        <v>254</v>
      </c>
      <c r="F903" s="11" t="s">
        <v>8678</v>
      </c>
      <c r="G903" s="327" t="s">
        <v>8760</v>
      </c>
      <c r="H903" s="322"/>
      <c r="I903" s="328">
        <v>900.0</v>
      </c>
      <c r="J903" s="324"/>
      <c r="K903" s="322"/>
      <c r="L903" s="323"/>
      <c r="M903" s="324">
        <v>900.0</v>
      </c>
      <c r="N903" s="284">
        <v>0.35</v>
      </c>
      <c r="O903" s="322">
        <v>1200.0</v>
      </c>
      <c r="P903" s="313">
        <f t="shared" ref="P903:Q903" si="504">O903</f>
        <v>1200</v>
      </c>
      <c r="Q903" s="319">
        <f t="shared" si="504"/>
        <v>1200</v>
      </c>
      <c r="R903" s="329" t="s">
        <v>8761</v>
      </c>
      <c r="S903" s="330">
        <v>46141.55310122685</v>
      </c>
      <c r="T903" s="2"/>
      <c r="U903" s="289">
        <f t="shared" si="424"/>
        <v>300</v>
      </c>
      <c r="V903" s="304" t="str">
        <f t="shared" si="492"/>
        <v>нет з/ч</v>
      </c>
      <c r="W903" s="2"/>
      <c r="X903" s="289">
        <v>900.0</v>
      </c>
      <c r="Y903" s="139"/>
      <c r="Z903" s="2"/>
      <c r="AA903" s="2" t="s">
        <v>8759</v>
      </c>
      <c r="AB903" s="2" t="s">
        <v>8759</v>
      </c>
      <c r="AC903" s="2"/>
      <c r="AD903" s="2" t="s">
        <v>8759</v>
      </c>
      <c r="AE903" s="3" t="s">
        <v>8758</v>
      </c>
      <c r="AF903" s="2"/>
      <c r="AG903" s="1" t="s">
        <v>1582</v>
      </c>
      <c r="AH903" s="1" t="s">
        <v>6137</v>
      </c>
      <c r="AI903" s="2">
        <v>90.0</v>
      </c>
      <c r="AJ903" s="1" t="s">
        <v>1589</v>
      </c>
      <c r="AK903" s="1" t="s">
        <v>5878</v>
      </c>
      <c r="AL903" s="1" t="s">
        <v>5878</v>
      </c>
      <c r="AM903" s="2"/>
      <c r="AN903" s="2"/>
      <c r="AO903" s="2"/>
      <c r="AP903" s="2"/>
      <c r="AQ903" s="2"/>
      <c r="AR903" s="2"/>
      <c r="AS903" s="2"/>
      <c r="AT903" s="2"/>
      <c r="AU903" s="126">
        <v>900.0</v>
      </c>
      <c r="AV903" s="126">
        <v>1200.0</v>
      </c>
      <c r="AW903" s="2"/>
      <c r="AX903" s="2"/>
      <c r="AY903" s="2"/>
      <c r="AZ903" s="2"/>
      <c r="BA903" s="2"/>
      <c r="BB903" s="2"/>
      <c r="BC903" s="2"/>
      <c r="BD903" s="2"/>
      <c r="BE903" s="2"/>
    </row>
    <row r="904" hidden="1">
      <c r="A904" s="2"/>
      <c r="B904" s="338" t="s">
        <v>8762</v>
      </c>
      <c r="C904" s="320" t="s">
        <v>8763</v>
      </c>
      <c r="D904" s="31">
        <v>90.0</v>
      </c>
      <c r="E904" s="31" t="s">
        <v>262</v>
      </c>
      <c r="F904" s="11" t="s">
        <v>8678</v>
      </c>
      <c r="G904" s="327" t="s">
        <v>8764</v>
      </c>
      <c r="H904" s="322"/>
      <c r="I904" s="328">
        <v>650.0</v>
      </c>
      <c r="J904" s="324"/>
      <c r="K904" s="322"/>
      <c r="L904" s="323"/>
      <c r="M904" s="324">
        <v>650.0</v>
      </c>
      <c r="N904" s="284">
        <v>0.185</v>
      </c>
      <c r="O904" s="322">
        <v>750.0</v>
      </c>
      <c r="P904" s="313">
        <f t="shared" ref="P904:Q904" si="505">O904</f>
        <v>750</v>
      </c>
      <c r="Q904" s="319">
        <f t="shared" si="505"/>
        <v>750</v>
      </c>
      <c r="R904" s="329" t="s">
        <v>8765</v>
      </c>
      <c r="S904" s="330">
        <v>46141.553148321764</v>
      </c>
      <c r="T904" s="2"/>
      <c r="U904" s="289">
        <f t="shared" si="424"/>
        <v>100</v>
      </c>
      <c r="V904" s="304" t="str">
        <f t="shared" si="492"/>
        <v>нет з/ч</v>
      </c>
      <c r="W904" s="2"/>
      <c r="X904" s="289">
        <v>650.0</v>
      </c>
      <c r="Y904" s="139"/>
      <c r="Z904" s="2"/>
      <c r="AA904" s="2" t="s">
        <v>8763</v>
      </c>
      <c r="AB904" s="2" t="s">
        <v>8763</v>
      </c>
      <c r="AC904" s="2"/>
      <c r="AD904" s="2" t="s">
        <v>8763</v>
      </c>
      <c r="AE904" s="3" t="s">
        <v>8762</v>
      </c>
      <c r="AF904" s="2"/>
      <c r="AG904" s="1" t="s">
        <v>1582</v>
      </c>
      <c r="AH904" s="1" t="s">
        <v>6161</v>
      </c>
      <c r="AI904" s="2">
        <v>90.0</v>
      </c>
      <c r="AJ904" s="1" t="s">
        <v>1589</v>
      </c>
      <c r="AK904" s="1" t="s">
        <v>5878</v>
      </c>
      <c r="AL904" s="1" t="s">
        <v>5878</v>
      </c>
      <c r="AM904" s="2"/>
      <c r="AN904" s="2"/>
      <c r="AO904" s="2"/>
      <c r="AP904" s="2"/>
      <c r="AQ904" s="2"/>
      <c r="AR904" s="2"/>
      <c r="AS904" s="2"/>
      <c r="AT904" s="2"/>
      <c r="AU904" s="126">
        <v>650.0</v>
      </c>
      <c r="AV904" s="126">
        <v>750.0</v>
      </c>
      <c r="AW904" s="2"/>
      <c r="AX904" s="2"/>
      <c r="AY904" s="2"/>
      <c r="AZ904" s="2"/>
      <c r="BA904" s="2"/>
      <c r="BB904" s="2"/>
      <c r="BC904" s="2"/>
      <c r="BD904" s="2"/>
      <c r="BE904" s="2"/>
    </row>
    <row r="905" hidden="1">
      <c r="A905" s="2"/>
      <c r="B905" s="338" t="s">
        <v>8766</v>
      </c>
      <c r="C905" s="320" t="s">
        <v>8767</v>
      </c>
      <c r="D905" s="31">
        <v>90.0</v>
      </c>
      <c r="E905" s="31" t="s">
        <v>269</v>
      </c>
      <c r="F905" s="11" t="s">
        <v>8678</v>
      </c>
      <c r="G905" s="321"/>
      <c r="H905" s="322"/>
      <c r="I905" s="323"/>
      <c r="J905" s="324"/>
      <c r="K905" s="322"/>
      <c r="L905" s="323"/>
      <c r="M905" s="324" t="s">
        <v>22</v>
      </c>
      <c r="N905" s="284">
        <v>0.185</v>
      </c>
      <c r="O905" s="322" t="s">
        <v>22</v>
      </c>
      <c r="P905" s="313" t="str">
        <f t="shared" ref="P905:Q905" si="506">O905</f>
        <v/>
      </c>
      <c r="Q905" s="319" t="str">
        <f t="shared" si="506"/>
        <v/>
      </c>
      <c r="R905" s="331"/>
      <c r="S905" s="326"/>
      <c r="T905" s="2"/>
      <c r="U905" s="59" t="str">
        <f t="shared" si="424"/>
        <v>нет з/ч</v>
      </c>
      <c r="V905" s="304" t="str">
        <f t="shared" si="492"/>
        <v>нет з/ч</v>
      </c>
      <c r="W905" s="2"/>
      <c r="X905" s="289"/>
      <c r="Y905" s="139"/>
      <c r="Z905" s="2"/>
      <c r="AA905" s="2" t="s">
        <v>8767</v>
      </c>
      <c r="AB905" s="2" t="s">
        <v>8767</v>
      </c>
      <c r="AC905" s="2"/>
      <c r="AD905" s="2" t="s">
        <v>8767</v>
      </c>
      <c r="AE905" s="3" t="s">
        <v>8766</v>
      </c>
      <c r="AF905" s="2"/>
      <c r="AG905" s="1" t="s">
        <v>1582</v>
      </c>
      <c r="AH905" s="1" t="s">
        <v>6185</v>
      </c>
      <c r="AI905" s="2">
        <v>90.0</v>
      </c>
      <c r="AJ905" s="1" t="s">
        <v>1589</v>
      </c>
      <c r="AK905" s="1" t="s">
        <v>5878</v>
      </c>
      <c r="AL905" s="1" t="s">
        <v>5878</v>
      </c>
      <c r="AM905" s="2"/>
      <c r="AN905" s="2"/>
      <c r="AO905" s="2"/>
      <c r="AP905" s="2"/>
      <c r="AQ905" s="2"/>
      <c r="AR905" s="2"/>
      <c r="AS905" s="2"/>
      <c r="AT905" s="2"/>
      <c r="AU905" s="126" t="s">
        <v>22</v>
      </c>
      <c r="AV905" s="126" t="s">
        <v>22</v>
      </c>
      <c r="AW905" s="2"/>
      <c r="AX905" s="2"/>
      <c r="AY905" s="2"/>
      <c r="AZ905" s="2"/>
      <c r="BA905" s="2"/>
      <c r="BB905" s="2"/>
      <c r="BC905" s="2"/>
      <c r="BD905" s="2"/>
      <c r="BE905" s="2"/>
    </row>
    <row r="906" hidden="1">
      <c r="A906" s="2"/>
      <c r="B906" s="338" t="s">
        <v>8768</v>
      </c>
      <c r="C906" s="320" t="s">
        <v>8769</v>
      </c>
      <c r="D906" s="31">
        <v>90.0</v>
      </c>
      <c r="E906" s="31" t="s">
        <v>276</v>
      </c>
      <c r="F906" s="11" t="s">
        <v>8678</v>
      </c>
      <c r="G906" s="327" t="s">
        <v>8770</v>
      </c>
      <c r="H906" s="322"/>
      <c r="I906" s="328">
        <v>900.0</v>
      </c>
      <c r="J906" s="324"/>
      <c r="K906" s="322"/>
      <c r="L906" s="323"/>
      <c r="M906" s="324">
        <v>900.0</v>
      </c>
      <c r="N906" s="284">
        <v>0.5</v>
      </c>
      <c r="O906" s="322">
        <v>1350.0</v>
      </c>
      <c r="P906" s="313">
        <f t="shared" ref="P906:Q906" si="507">O906</f>
        <v>1350</v>
      </c>
      <c r="Q906" s="319">
        <f t="shared" si="507"/>
        <v>1350</v>
      </c>
      <c r="R906" s="329" t="s">
        <v>8771</v>
      </c>
      <c r="S906" s="330">
        <v>46141.55319517361</v>
      </c>
      <c r="T906" s="2"/>
      <c r="U906" s="289">
        <f t="shared" si="424"/>
        <v>450</v>
      </c>
      <c r="V906" s="304" t="str">
        <f t="shared" si="492"/>
        <v>нет з/ч</v>
      </c>
      <c r="W906" s="2"/>
      <c r="X906" s="289">
        <v>900.0</v>
      </c>
      <c r="Y906" s="139"/>
      <c r="Z906" s="2"/>
      <c r="AA906" s="2" t="s">
        <v>8769</v>
      </c>
      <c r="AB906" s="2" t="s">
        <v>8769</v>
      </c>
      <c r="AC906" s="2"/>
      <c r="AD906" s="2" t="s">
        <v>8769</v>
      </c>
      <c r="AE906" s="3" t="s">
        <v>8768</v>
      </c>
      <c r="AF906" s="2"/>
      <c r="AG906" s="1" t="s">
        <v>1582</v>
      </c>
      <c r="AH906" s="1" t="s">
        <v>6205</v>
      </c>
      <c r="AI906" s="2">
        <v>90.0</v>
      </c>
      <c r="AJ906" s="1" t="s">
        <v>1589</v>
      </c>
      <c r="AK906" s="1" t="s">
        <v>5878</v>
      </c>
      <c r="AL906" s="1" t="s">
        <v>5878</v>
      </c>
      <c r="AM906" s="2"/>
      <c r="AN906" s="2"/>
      <c r="AO906" s="2"/>
      <c r="AP906" s="2"/>
      <c r="AQ906" s="2"/>
      <c r="AR906" s="2"/>
      <c r="AS906" s="2"/>
      <c r="AT906" s="2"/>
      <c r="AU906" s="126">
        <v>900.0</v>
      </c>
      <c r="AV906" s="126">
        <v>1350.0</v>
      </c>
      <c r="AW906" s="2"/>
      <c r="AX906" s="2"/>
      <c r="AY906" s="2"/>
      <c r="AZ906" s="2"/>
      <c r="BA906" s="2"/>
      <c r="BB906" s="2"/>
      <c r="BC906" s="2"/>
      <c r="BD906" s="2"/>
      <c r="BE906" s="2"/>
    </row>
    <row r="907" hidden="1">
      <c r="A907" s="2"/>
      <c r="B907" s="338" t="s">
        <v>8772</v>
      </c>
      <c r="C907" s="320" t="s">
        <v>8773</v>
      </c>
      <c r="D907" s="31">
        <v>90.0</v>
      </c>
      <c r="E907" s="31" t="s">
        <v>283</v>
      </c>
      <c r="F907" s="11" t="s">
        <v>8678</v>
      </c>
      <c r="G907" s="327" t="s">
        <v>8774</v>
      </c>
      <c r="H907" s="322"/>
      <c r="I907" s="328">
        <v>900.0</v>
      </c>
      <c r="J907" s="324"/>
      <c r="K907" s="322"/>
      <c r="L907" s="323"/>
      <c r="M907" s="324">
        <v>900.0</v>
      </c>
      <c r="N907" s="284">
        <v>0.5</v>
      </c>
      <c r="O907" s="322">
        <v>1350.0</v>
      </c>
      <c r="P907" s="313">
        <f t="shared" ref="P907:Q907" si="508">O907</f>
        <v>1350</v>
      </c>
      <c r="Q907" s="319">
        <f t="shared" si="508"/>
        <v>1350</v>
      </c>
      <c r="R907" s="329" t="s">
        <v>8775</v>
      </c>
      <c r="S907" s="330">
        <v>46141.5532449537</v>
      </c>
      <c r="T907" s="2"/>
      <c r="U907" s="289">
        <f t="shared" si="424"/>
        <v>450</v>
      </c>
      <c r="V907" s="304" t="str">
        <f t="shared" si="492"/>
        <v>нет з/ч</v>
      </c>
      <c r="W907" s="2"/>
      <c r="X907" s="289">
        <v>900.0</v>
      </c>
      <c r="Y907" s="139"/>
      <c r="Z907" s="2"/>
      <c r="AA907" s="2" t="s">
        <v>8773</v>
      </c>
      <c r="AB907" s="2" t="s">
        <v>8773</v>
      </c>
      <c r="AC907" s="2"/>
      <c r="AD907" s="2" t="s">
        <v>8773</v>
      </c>
      <c r="AE907" s="3" t="s">
        <v>8772</v>
      </c>
      <c r="AF907" s="2"/>
      <c r="AG907" s="1" t="s">
        <v>1582</v>
      </c>
      <c r="AH907" s="1" t="s">
        <v>6229</v>
      </c>
      <c r="AI907" s="2">
        <v>90.0</v>
      </c>
      <c r="AJ907" s="1" t="s">
        <v>1589</v>
      </c>
      <c r="AK907" s="1" t="s">
        <v>5878</v>
      </c>
      <c r="AL907" s="1" t="s">
        <v>5878</v>
      </c>
      <c r="AM907" s="2"/>
      <c r="AN907" s="2"/>
      <c r="AO907" s="2"/>
      <c r="AP907" s="2"/>
      <c r="AQ907" s="2"/>
      <c r="AR907" s="2"/>
      <c r="AS907" s="2"/>
      <c r="AT907" s="2"/>
      <c r="AU907" s="126">
        <v>900.0</v>
      </c>
      <c r="AV907" s="126">
        <v>1350.0</v>
      </c>
      <c r="AW907" s="2"/>
      <c r="AX907" s="2"/>
      <c r="AY907" s="2"/>
      <c r="AZ907" s="2"/>
      <c r="BA907" s="2"/>
      <c r="BB907" s="2"/>
      <c r="BC907" s="2"/>
      <c r="BD907" s="2"/>
      <c r="BE907" s="2"/>
    </row>
    <row r="908" hidden="1">
      <c r="A908" s="2"/>
      <c r="B908" s="338" t="s">
        <v>8776</v>
      </c>
      <c r="C908" s="320" t="s">
        <v>8777</v>
      </c>
      <c r="D908" s="31">
        <v>90.0</v>
      </c>
      <c r="E908" s="31" t="s">
        <v>290</v>
      </c>
      <c r="F908" s="11" t="s">
        <v>8678</v>
      </c>
      <c r="G908" s="327" t="s">
        <v>8778</v>
      </c>
      <c r="H908" s="322"/>
      <c r="I908" s="328">
        <v>900.0</v>
      </c>
      <c r="J908" s="324"/>
      <c r="K908" s="322"/>
      <c r="L908" s="323"/>
      <c r="M908" s="324">
        <v>900.0</v>
      </c>
      <c r="N908" s="284">
        <v>0.5</v>
      </c>
      <c r="O908" s="322">
        <v>1350.0</v>
      </c>
      <c r="P908" s="313">
        <f t="shared" ref="P908:Q908" si="509">O908</f>
        <v>1350</v>
      </c>
      <c r="Q908" s="319">
        <f t="shared" si="509"/>
        <v>1350</v>
      </c>
      <c r="R908" s="329" t="s">
        <v>8779</v>
      </c>
      <c r="S908" s="330">
        <v>46141.553292303244</v>
      </c>
      <c r="T908" s="2"/>
      <c r="U908" s="289">
        <f t="shared" si="424"/>
        <v>450</v>
      </c>
      <c r="V908" s="304" t="str">
        <f t="shared" si="492"/>
        <v>нет з/ч</v>
      </c>
      <c r="W908" s="2"/>
      <c r="X908" s="289">
        <v>900.0</v>
      </c>
      <c r="Y908" s="139"/>
      <c r="Z908" s="2"/>
      <c r="AA908" s="2" t="s">
        <v>8777</v>
      </c>
      <c r="AB908" s="2" t="s">
        <v>8777</v>
      </c>
      <c r="AC908" s="2"/>
      <c r="AD908" s="2" t="s">
        <v>8777</v>
      </c>
      <c r="AE908" s="3" t="s">
        <v>8776</v>
      </c>
      <c r="AF908" s="2"/>
      <c r="AG908" s="1" t="s">
        <v>1582</v>
      </c>
      <c r="AH908" s="1" t="s">
        <v>6253</v>
      </c>
      <c r="AI908" s="2">
        <v>90.0</v>
      </c>
      <c r="AJ908" s="1" t="s">
        <v>1589</v>
      </c>
      <c r="AK908" s="1" t="s">
        <v>5878</v>
      </c>
      <c r="AL908" s="1" t="s">
        <v>5878</v>
      </c>
      <c r="AM908" s="2"/>
      <c r="AN908" s="2"/>
      <c r="AO908" s="2"/>
      <c r="AP908" s="2"/>
      <c r="AQ908" s="2"/>
      <c r="AR908" s="2"/>
      <c r="AS908" s="2"/>
      <c r="AT908" s="2"/>
      <c r="AU908" s="126">
        <v>900.0</v>
      </c>
      <c r="AV908" s="126">
        <v>1350.0</v>
      </c>
      <c r="AW908" s="2"/>
      <c r="AX908" s="2"/>
      <c r="AY908" s="2"/>
      <c r="AZ908" s="2"/>
      <c r="BA908" s="2"/>
      <c r="BB908" s="2"/>
      <c r="BC908" s="2"/>
      <c r="BD908" s="2"/>
      <c r="BE908" s="2"/>
    </row>
    <row r="909" hidden="1">
      <c r="A909" s="2"/>
      <c r="B909" s="338" t="s">
        <v>8780</v>
      </c>
      <c r="C909" s="320" t="s">
        <v>8781</v>
      </c>
      <c r="D909" s="31">
        <v>90.0</v>
      </c>
      <c r="E909" s="31" t="s">
        <v>297</v>
      </c>
      <c r="F909" s="11" t="s">
        <v>8678</v>
      </c>
      <c r="G909" s="321"/>
      <c r="H909" s="322"/>
      <c r="I909" s="323"/>
      <c r="J909" s="324"/>
      <c r="K909" s="322"/>
      <c r="L909" s="323"/>
      <c r="M909" s="324" t="s">
        <v>22</v>
      </c>
      <c r="N909" s="284">
        <v>0.5</v>
      </c>
      <c r="O909" s="322" t="s">
        <v>22</v>
      </c>
      <c r="P909" s="313" t="str">
        <f t="shared" ref="P909:Q909" si="510">O909</f>
        <v/>
      </c>
      <c r="Q909" s="319" t="str">
        <f t="shared" si="510"/>
        <v/>
      </c>
      <c r="R909" s="331"/>
      <c r="S909" s="326"/>
      <c r="T909" s="2"/>
      <c r="U909" s="59" t="str">
        <f t="shared" si="424"/>
        <v>нет з/ч</v>
      </c>
      <c r="V909" s="304" t="str">
        <f t="shared" si="492"/>
        <v>нет з/ч</v>
      </c>
      <c r="W909" s="2"/>
      <c r="X909" s="289"/>
      <c r="Y909" s="139"/>
      <c r="Z909" s="2"/>
      <c r="AA909" s="2" t="s">
        <v>8781</v>
      </c>
      <c r="AB909" s="2" t="s">
        <v>8781</v>
      </c>
      <c r="AC909" s="2"/>
      <c r="AD909" s="2" t="s">
        <v>8781</v>
      </c>
      <c r="AE909" s="3" t="s">
        <v>8780</v>
      </c>
      <c r="AF909" s="2"/>
      <c r="AG909" s="1" t="s">
        <v>1582</v>
      </c>
      <c r="AH909" s="1" t="s">
        <v>6277</v>
      </c>
      <c r="AI909" s="2">
        <v>90.0</v>
      </c>
      <c r="AJ909" s="1" t="s">
        <v>1589</v>
      </c>
      <c r="AK909" s="1" t="s">
        <v>5878</v>
      </c>
      <c r="AL909" s="1" t="s">
        <v>5878</v>
      </c>
      <c r="AM909" s="2"/>
      <c r="AN909" s="2"/>
      <c r="AO909" s="2"/>
      <c r="AP909" s="2"/>
      <c r="AQ909" s="2"/>
      <c r="AR909" s="2"/>
      <c r="AS909" s="2"/>
      <c r="AT909" s="2"/>
      <c r="AU909" s="126" t="s">
        <v>22</v>
      </c>
      <c r="AV909" s="126" t="s">
        <v>22</v>
      </c>
      <c r="AW909" s="2"/>
      <c r="AX909" s="2"/>
      <c r="AY909" s="2"/>
      <c r="AZ909" s="2"/>
      <c r="BA909" s="2"/>
      <c r="BB909" s="2"/>
      <c r="BC909" s="2"/>
      <c r="BD909" s="2"/>
      <c r="BE909" s="2"/>
    </row>
    <row r="910" hidden="1">
      <c r="A910" s="2"/>
      <c r="B910" s="338" t="s">
        <v>8782</v>
      </c>
      <c r="C910" s="320" t="s">
        <v>8783</v>
      </c>
      <c r="D910" s="31">
        <v>90.0</v>
      </c>
      <c r="E910" s="31" t="s">
        <v>304</v>
      </c>
      <c r="F910" s="11" t="s">
        <v>8678</v>
      </c>
      <c r="G910" s="327" t="s">
        <v>8784</v>
      </c>
      <c r="H910" s="322"/>
      <c r="I910" s="328">
        <v>900.0</v>
      </c>
      <c r="J910" s="324"/>
      <c r="K910" s="322"/>
      <c r="L910" s="323"/>
      <c r="M910" s="324">
        <v>900.0</v>
      </c>
      <c r="N910" s="284">
        <v>0.5</v>
      </c>
      <c r="O910" s="322">
        <v>1350.0</v>
      </c>
      <c r="P910" s="313">
        <f t="shared" ref="P910:Q910" si="511">O910</f>
        <v>1350</v>
      </c>
      <c r="Q910" s="319">
        <f t="shared" si="511"/>
        <v>1350</v>
      </c>
      <c r="R910" s="329" t="s">
        <v>8785</v>
      </c>
      <c r="S910" s="330">
        <v>46141.55334190972</v>
      </c>
      <c r="T910" s="2"/>
      <c r="U910" s="289">
        <f t="shared" si="424"/>
        <v>450</v>
      </c>
      <c r="V910" s="304" t="str">
        <f t="shared" si="492"/>
        <v>нет з/ч</v>
      </c>
      <c r="W910" s="2"/>
      <c r="X910" s="289">
        <v>900.0</v>
      </c>
      <c r="Y910" s="139"/>
      <c r="Z910" s="2"/>
      <c r="AA910" s="2" t="s">
        <v>8783</v>
      </c>
      <c r="AB910" s="2" t="s">
        <v>8783</v>
      </c>
      <c r="AC910" s="2"/>
      <c r="AD910" s="2" t="s">
        <v>8783</v>
      </c>
      <c r="AE910" s="3" t="s">
        <v>8782</v>
      </c>
      <c r="AF910" s="2"/>
      <c r="AG910" s="1" t="s">
        <v>1582</v>
      </c>
      <c r="AH910" s="1" t="s">
        <v>6295</v>
      </c>
      <c r="AI910" s="2">
        <v>90.0</v>
      </c>
      <c r="AJ910" s="1" t="s">
        <v>1589</v>
      </c>
      <c r="AK910" s="1" t="s">
        <v>5878</v>
      </c>
      <c r="AL910" s="1" t="s">
        <v>5878</v>
      </c>
      <c r="AM910" s="2"/>
      <c r="AN910" s="2"/>
      <c r="AO910" s="2"/>
      <c r="AP910" s="2"/>
      <c r="AQ910" s="2"/>
      <c r="AR910" s="2"/>
      <c r="AS910" s="2"/>
      <c r="AT910" s="2"/>
      <c r="AU910" s="126">
        <v>900.0</v>
      </c>
      <c r="AV910" s="126">
        <v>1350.0</v>
      </c>
      <c r="AW910" s="2"/>
      <c r="AX910" s="2"/>
      <c r="AY910" s="2"/>
      <c r="AZ910" s="2"/>
      <c r="BA910" s="2"/>
      <c r="BB910" s="2"/>
      <c r="BC910" s="2"/>
      <c r="BD910" s="2"/>
      <c r="BE910" s="2"/>
    </row>
    <row r="911" hidden="1">
      <c r="A911" s="2"/>
      <c r="B911" s="338" t="s">
        <v>8786</v>
      </c>
      <c r="C911" s="320" t="s">
        <v>8787</v>
      </c>
      <c r="D911" s="31">
        <v>90.0</v>
      </c>
      <c r="E911" s="31" t="s">
        <v>311</v>
      </c>
      <c r="F911" s="11" t="s">
        <v>8678</v>
      </c>
      <c r="G911" s="327" t="s">
        <v>8788</v>
      </c>
      <c r="H911" s="322"/>
      <c r="I911" s="328">
        <v>900.0</v>
      </c>
      <c r="J911" s="324"/>
      <c r="K911" s="322"/>
      <c r="L911" s="323"/>
      <c r="M911" s="324">
        <v>900.0</v>
      </c>
      <c r="N911" s="284">
        <v>0.5</v>
      </c>
      <c r="O911" s="322">
        <v>1350.0</v>
      </c>
      <c r="P911" s="313">
        <f t="shared" ref="P911:Q911" si="512">O911</f>
        <v>1350</v>
      </c>
      <c r="Q911" s="319">
        <f t="shared" si="512"/>
        <v>1350</v>
      </c>
      <c r="R911" s="329" t="s">
        <v>8789</v>
      </c>
      <c r="S911" s="330">
        <v>46141.55339008102</v>
      </c>
      <c r="T911" s="2"/>
      <c r="U911" s="289">
        <f t="shared" si="424"/>
        <v>450</v>
      </c>
      <c r="V911" s="304" t="str">
        <f t="shared" si="492"/>
        <v>нет з/ч</v>
      </c>
      <c r="W911" s="2"/>
      <c r="X911" s="289">
        <v>900.0</v>
      </c>
      <c r="Y911" s="139"/>
      <c r="Z911" s="2"/>
      <c r="AA911" s="2" t="s">
        <v>8787</v>
      </c>
      <c r="AB911" s="2" t="s">
        <v>8787</v>
      </c>
      <c r="AC911" s="2"/>
      <c r="AD911" s="2" t="s">
        <v>8787</v>
      </c>
      <c r="AE911" s="3" t="s">
        <v>8786</v>
      </c>
      <c r="AF911" s="2"/>
      <c r="AG911" s="1" t="s">
        <v>1582</v>
      </c>
      <c r="AH911" s="1" t="s">
        <v>6319</v>
      </c>
      <c r="AI911" s="2">
        <v>90.0</v>
      </c>
      <c r="AJ911" s="1" t="s">
        <v>1589</v>
      </c>
      <c r="AK911" s="1" t="s">
        <v>5878</v>
      </c>
      <c r="AL911" s="1" t="s">
        <v>5878</v>
      </c>
      <c r="AM911" s="2"/>
      <c r="AN911" s="2"/>
      <c r="AO911" s="2"/>
      <c r="AP911" s="2"/>
      <c r="AQ911" s="2"/>
      <c r="AR911" s="2"/>
      <c r="AS911" s="2"/>
      <c r="AT911" s="2"/>
      <c r="AU911" s="126">
        <v>900.0</v>
      </c>
      <c r="AV911" s="126">
        <v>1350.0</v>
      </c>
      <c r="AW911" s="2"/>
      <c r="AX911" s="2"/>
      <c r="AY911" s="2"/>
      <c r="AZ911" s="2"/>
      <c r="BA911" s="2"/>
      <c r="BB911" s="2"/>
      <c r="BC911" s="2"/>
      <c r="BD911" s="2"/>
      <c r="BE911" s="2"/>
    </row>
    <row r="912" hidden="1">
      <c r="A912" s="2"/>
      <c r="B912" s="338" t="s">
        <v>8790</v>
      </c>
      <c r="C912" s="93"/>
      <c r="D912" s="31">
        <v>90.0</v>
      </c>
      <c r="E912" s="31" t="s">
        <v>318</v>
      </c>
      <c r="F912" s="11" t="s">
        <v>8678</v>
      </c>
      <c r="G912" s="321"/>
      <c r="H912" s="322"/>
      <c r="I912" s="323"/>
      <c r="J912" s="324"/>
      <c r="K912" s="322"/>
      <c r="L912" s="323"/>
      <c r="M912" s="324" t="s">
        <v>22</v>
      </c>
      <c r="N912" s="284">
        <v>0.5</v>
      </c>
      <c r="O912" s="322" t="s">
        <v>22</v>
      </c>
      <c r="P912" s="313" t="str">
        <f t="shared" ref="P912:Q912" si="513">O912</f>
        <v/>
      </c>
      <c r="Q912" s="319" t="str">
        <f t="shared" si="513"/>
        <v/>
      </c>
      <c r="R912" s="331"/>
      <c r="S912" s="326"/>
      <c r="T912" s="2"/>
      <c r="U912" s="59" t="str">
        <f t="shared" si="424"/>
        <v>нет з/ч</v>
      </c>
      <c r="V912" s="304" t="str">
        <f t="shared" si="492"/>
        <v>нет з/ч</v>
      </c>
      <c r="W912" s="2"/>
      <c r="X912" s="289"/>
      <c r="Y912" s="139"/>
      <c r="Z912" s="2"/>
      <c r="AA912" s="2"/>
      <c r="AB912" s="2"/>
      <c r="AC912" s="2"/>
      <c r="AD912" s="2"/>
      <c r="AE912" s="3" t="s">
        <v>8790</v>
      </c>
      <c r="AF912" s="2"/>
      <c r="AG912" s="1" t="s">
        <v>1582</v>
      </c>
      <c r="AH912" s="1" t="s">
        <v>6343</v>
      </c>
      <c r="AI912" s="2">
        <v>90.0</v>
      </c>
      <c r="AJ912" s="1" t="s">
        <v>1589</v>
      </c>
      <c r="AK912" s="1" t="s">
        <v>5878</v>
      </c>
      <c r="AL912" s="1" t="s">
        <v>5878</v>
      </c>
      <c r="AM912" s="2"/>
      <c r="AN912" s="2"/>
      <c r="AO912" s="2"/>
      <c r="AP912" s="2"/>
      <c r="AQ912" s="2"/>
      <c r="AR912" s="2"/>
      <c r="AS912" s="2"/>
      <c r="AT912" s="2"/>
      <c r="AU912" s="126" t="s">
        <v>22</v>
      </c>
      <c r="AV912" s="126" t="s">
        <v>22</v>
      </c>
      <c r="AW912" s="2"/>
      <c r="AX912" s="2"/>
      <c r="AY912" s="2"/>
      <c r="AZ912" s="2"/>
      <c r="BA912" s="2"/>
      <c r="BB912" s="2"/>
      <c r="BC912" s="2"/>
      <c r="BD912" s="2"/>
      <c r="BE912" s="2"/>
    </row>
    <row r="913" hidden="1">
      <c r="A913" s="2"/>
      <c r="B913" s="338" t="s">
        <v>8791</v>
      </c>
      <c r="C913" s="93"/>
      <c r="D913" s="31">
        <v>90.0</v>
      </c>
      <c r="E913" s="31" t="s">
        <v>325</v>
      </c>
      <c r="F913" s="11" t="s">
        <v>8678</v>
      </c>
      <c r="G913" s="321"/>
      <c r="H913" s="322"/>
      <c r="I913" s="323"/>
      <c r="J913" s="324"/>
      <c r="K913" s="322"/>
      <c r="L913" s="323"/>
      <c r="M913" s="324" t="s">
        <v>22</v>
      </c>
      <c r="N913" s="284">
        <v>0.5</v>
      </c>
      <c r="O913" s="322" t="s">
        <v>22</v>
      </c>
      <c r="P913" s="313" t="str">
        <f t="shared" ref="P913:Q913" si="514">O913</f>
        <v/>
      </c>
      <c r="Q913" s="319" t="str">
        <f t="shared" si="514"/>
        <v/>
      </c>
      <c r="R913" s="331"/>
      <c r="S913" s="326"/>
      <c r="T913" s="2"/>
      <c r="U913" s="59" t="str">
        <f t="shared" si="424"/>
        <v>нет з/ч</v>
      </c>
      <c r="V913" s="304" t="str">
        <f t="shared" si="492"/>
        <v>нет з/ч</v>
      </c>
      <c r="W913" s="2"/>
      <c r="X913" s="289"/>
      <c r="Y913" s="139"/>
      <c r="Z913" s="2"/>
      <c r="AA913" s="2"/>
      <c r="AB913" s="2"/>
      <c r="AC913" s="2"/>
      <c r="AD913" s="2"/>
      <c r="AE913" s="3" t="s">
        <v>8791</v>
      </c>
      <c r="AF913" s="2"/>
      <c r="AG913" s="1" t="s">
        <v>1582</v>
      </c>
      <c r="AH913" s="1" t="s">
        <v>6359</v>
      </c>
      <c r="AI913" s="2">
        <v>90.0</v>
      </c>
      <c r="AJ913" s="1" t="s">
        <v>1589</v>
      </c>
      <c r="AK913" s="1" t="s">
        <v>5878</v>
      </c>
      <c r="AL913" s="1" t="s">
        <v>5878</v>
      </c>
      <c r="AM913" s="2"/>
      <c r="AN913" s="2"/>
      <c r="AO913" s="2"/>
      <c r="AP913" s="2"/>
      <c r="AQ913" s="2"/>
      <c r="AR913" s="2"/>
      <c r="AS913" s="2"/>
      <c r="AT913" s="2"/>
      <c r="AU913" s="126" t="s">
        <v>22</v>
      </c>
      <c r="AV913" s="126" t="s">
        <v>22</v>
      </c>
      <c r="AW913" s="2"/>
      <c r="AX913" s="2"/>
      <c r="AY913" s="2"/>
      <c r="AZ913" s="2"/>
      <c r="BA913" s="2"/>
      <c r="BB913" s="2"/>
      <c r="BC913" s="2"/>
      <c r="BD913" s="2"/>
      <c r="BE913" s="2"/>
    </row>
    <row r="914" hidden="1">
      <c r="A914" s="2"/>
      <c r="B914" s="338" t="s">
        <v>8792</v>
      </c>
      <c r="C914" s="93"/>
      <c r="D914" s="31">
        <v>90.0</v>
      </c>
      <c r="E914" s="31" t="s">
        <v>332</v>
      </c>
      <c r="F914" s="11" t="s">
        <v>8678</v>
      </c>
      <c r="G914" s="321"/>
      <c r="H914" s="322"/>
      <c r="I914" s="323"/>
      <c r="J914" s="324"/>
      <c r="K914" s="322"/>
      <c r="L914" s="323"/>
      <c r="M914" s="324" t="s">
        <v>22</v>
      </c>
      <c r="N914" s="284">
        <v>0.5</v>
      </c>
      <c r="O914" s="322" t="s">
        <v>22</v>
      </c>
      <c r="P914" s="313" t="str">
        <f t="shared" ref="P914:Q914" si="515">O914</f>
        <v/>
      </c>
      <c r="Q914" s="319" t="str">
        <f t="shared" si="515"/>
        <v/>
      </c>
      <c r="R914" s="331"/>
      <c r="S914" s="326"/>
      <c r="T914" s="2"/>
      <c r="U914" s="59" t="str">
        <f t="shared" si="424"/>
        <v>нет з/ч</v>
      </c>
      <c r="V914" s="304" t="str">
        <f t="shared" si="492"/>
        <v>нет з/ч</v>
      </c>
      <c r="W914" s="2"/>
      <c r="X914" s="289"/>
      <c r="Y914" s="139"/>
      <c r="Z914" s="2"/>
      <c r="AA914" s="2"/>
      <c r="AB914" s="2"/>
      <c r="AC914" s="2"/>
      <c r="AD914" s="2"/>
      <c r="AE914" s="3" t="s">
        <v>8792</v>
      </c>
      <c r="AF914" s="2"/>
      <c r="AG914" s="1" t="s">
        <v>1582</v>
      </c>
      <c r="AH914" s="1" t="s">
        <v>6373</v>
      </c>
      <c r="AI914" s="2">
        <v>90.0</v>
      </c>
      <c r="AJ914" s="1" t="s">
        <v>1589</v>
      </c>
      <c r="AK914" s="1" t="s">
        <v>5878</v>
      </c>
      <c r="AL914" s="1" t="s">
        <v>5878</v>
      </c>
      <c r="AM914" s="2"/>
      <c r="AN914" s="2"/>
      <c r="AO914" s="2"/>
      <c r="AP914" s="2"/>
      <c r="AQ914" s="2"/>
      <c r="AR914" s="2"/>
      <c r="AS914" s="2"/>
      <c r="AT914" s="2"/>
      <c r="AU914" s="126" t="s">
        <v>22</v>
      </c>
      <c r="AV914" s="126" t="s">
        <v>22</v>
      </c>
      <c r="AW914" s="2"/>
      <c r="AX914" s="2"/>
      <c r="AY914" s="2"/>
      <c r="AZ914" s="2"/>
      <c r="BA914" s="2"/>
      <c r="BB914" s="2"/>
      <c r="BC914" s="2"/>
      <c r="BD914" s="2"/>
      <c r="BE914" s="2"/>
    </row>
    <row r="915" hidden="1">
      <c r="A915" s="2"/>
      <c r="B915" s="338" t="s">
        <v>8793</v>
      </c>
      <c r="C915" s="93"/>
      <c r="D915" s="31">
        <v>90.0</v>
      </c>
      <c r="E915" s="31" t="s">
        <v>339</v>
      </c>
      <c r="F915" s="11" t="s">
        <v>8678</v>
      </c>
      <c r="G915" s="321"/>
      <c r="H915" s="322"/>
      <c r="I915" s="323"/>
      <c r="J915" s="324"/>
      <c r="K915" s="322"/>
      <c r="L915" s="323"/>
      <c r="M915" s="324" t="s">
        <v>22</v>
      </c>
      <c r="N915" s="284">
        <v>0.5</v>
      </c>
      <c r="O915" s="322" t="s">
        <v>22</v>
      </c>
      <c r="P915" s="313" t="str">
        <f t="shared" ref="P915:Q915" si="516">O915</f>
        <v/>
      </c>
      <c r="Q915" s="319" t="str">
        <f t="shared" si="516"/>
        <v/>
      </c>
      <c r="R915" s="331"/>
      <c r="S915" s="326"/>
      <c r="T915" s="2"/>
      <c r="U915" s="59" t="str">
        <f t="shared" si="424"/>
        <v>нет з/ч</v>
      </c>
      <c r="V915" s="304" t="str">
        <f t="shared" si="492"/>
        <v>нет з/ч</v>
      </c>
      <c r="W915" s="2"/>
      <c r="X915" s="289"/>
      <c r="Y915" s="139"/>
      <c r="Z915" s="2"/>
      <c r="AA915" s="2"/>
      <c r="AB915" s="2"/>
      <c r="AC915" s="2"/>
      <c r="AD915" s="2"/>
      <c r="AE915" s="3" t="s">
        <v>8793</v>
      </c>
      <c r="AF915" s="2"/>
      <c r="AG915" s="1" t="s">
        <v>1582</v>
      </c>
      <c r="AH915" s="1" t="s">
        <v>6389</v>
      </c>
      <c r="AI915" s="2">
        <v>90.0</v>
      </c>
      <c r="AJ915" s="1" t="s">
        <v>1589</v>
      </c>
      <c r="AK915" s="1" t="s">
        <v>5878</v>
      </c>
      <c r="AL915" s="1" t="s">
        <v>5878</v>
      </c>
      <c r="AM915" s="2"/>
      <c r="AN915" s="2"/>
      <c r="AO915" s="2"/>
      <c r="AP915" s="2"/>
      <c r="AQ915" s="2"/>
      <c r="AR915" s="2"/>
      <c r="AS915" s="2"/>
      <c r="AT915" s="2"/>
      <c r="AU915" s="126" t="s">
        <v>22</v>
      </c>
      <c r="AV915" s="126" t="s">
        <v>22</v>
      </c>
      <c r="AW915" s="2"/>
      <c r="AX915" s="2"/>
      <c r="AY915" s="2"/>
      <c r="AZ915" s="2"/>
      <c r="BA915" s="2"/>
      <c r="BB915" s="2"/>
      <c r="BC915" s="2"/>
      <c r="BD915" s="2"/>
      <c r="BE915" s="2"/>
    </row>
    <row r="916" hidden="1">
      <c r="A916" s="2"/>
      <c r="B916" s="338" t="s">
        <v>8794</v>
      </c>
      <c r="C916" s="320" t="s">
        <v>8795</v>
      </c>
      <c r="D916" s="31">
        <v>90.0</v>
      </c>
      <c r="E916" s="31" t="s">
        <v>346</v>
      </c>
      <c r="F916" s="11" t="s">
        <v>8678</v>
      </c>
      <c r="G916" s="321"/>
      <c r="H916" s="322"/>
      <c r="I916" s="323"/>
      <c r="J916" s="324"/>
      <c r="K916" s="322"/>
      <c r="L916" s="323"/>
      <c r="M916" s="324" t="s">
        <v>22</v>
      </c>
      <c r="N916" s="284">
        <v>0.5</v>
      </c>
      <c r="O916" s="322" t="s">
        <v>22</v>
      </c>
      <c r="P916" s="313" t="str">
        <f t="shared" ref="P916:Q916" si="517">O916</f>
        <v/>
      </c>
      <c r="Q916" s="319" t="str">
        <f t="shared" si="517"/>
        <v/>
      </c>
      <c r="R916" s="331"/>
      <c r="S916" s="326"/>
      <c r="T916" s="2"/>
      <c r="U916" s="59" t="str">
        <f t="shared" si="424"/>
        <v>нет з/ч</v>
      </c>
      <c r="V916" s="304" t="str">
        <f t="shared" si="492"/>
        <v>нет з/ч</v>
      </c>
      <c r="W916" s="2"/>
      <c r="X916" s="289"/>
      <c r="Y916" s="139"/>
      <c r="Z916" s="2"/>
      <c r="AA916" s="2" t="s">
        <v>8795</v>
      </c>
      <c r="AB916" s="2" t="s">
        <v>8795</v>
      </c>
      <c r="AC916" s="2"/>
      <c r="AD916" s="2" t="s">
        <v>8795</v>
      </c>
      <c r="AE916" s="3" t="s">
        <v>8794</v>
      </c>
      <c r="AF916" s="2"/>
      <c r="AG916" s="1" t="s">
        <v>1582</v>
      </c>
      <c r="AH916" s="1" t="s">
        <v>6407</v>
      </c>
      <c r="AI916" s="2">
        <v>90.0</v>
      </c>
      <c r="AJ916" s="1" t="s">
        <v>1589</v>
      </c>
      <c r="AK916" s="1" t="s">
        <v>5878</v>
      </c>
      <c r="AL916" s="1" t="s">
        <v>5878</v>
      </c>
      <c r="AM916" s="2"/>
      <c r="AN916" s="2"/>
      <c r="AO916" s="2"/>
      <c r="AP916" s="2"/>
      <c r="AQ916" s="2"/>
      <c r="AR916" s="2"/>
      <c r="AS916" s="2"/>
      <c r="AT916" s="2"/>
      <c r="AU916" s="126" t="s">
        <v>22</v>
      </c>
      <c r="AV916" s="126" t="s">
        <v>22</v>
      </c>
      <c r="AW916" s="2"/>
      <c r="AX916" s="2"/>
      <c r="AY916" s="2"/>
      <c r="AZ916" s="2"/>
      <c r="BA916" s="2"/>
      <c r="BB916" s="2"/>
      <c r="BC916" s="2"/>
      <c r="BD916" s="2"/>
      <c r="BE916" s="2"/>
    </row>
    <row r="917" hidden="1">
      <c r="A917" s="2"/>
      <c r="B917" s="338" t="s">
        <v>8796</v>
      </c>
      <c r="C917" s="93"/>
      <c r="D917" s="31">
        <v>90.0</v>
      </c>
      <c r="E917" s="31" t="s">
        <v>353</v>
      </c>
      <c r="F917" s="11" t="s">
        <v>8678</v>
      </c>
      <c r="G917" s="321"/>
      <c r="H917" s="322"/>
      <c r="I917" s="323"/>
      <c r="J917" s="324"/>
      <c r="K917" s="322"/>
      <c r="L917" s="323"/>
      <c r="M917" s="324" t="s">
        <v>22</v>
      </c>
      <c r="N917" s="284">
        <v>0.5</v>
      </c>
      <c r="O917" s="322" t="s">
        <v>22</v>
      </c>
      <c r="P917" s="313" t="str">
        <f t="shared" ref="P917:Q917" si="518">O917</f>
        <v/>
      </c>
      <c r="Q917" s="319" t="str">
        <f t="shared" si="518"/>
        <v/>
      </c>
      <c r="R917" s="331"/>
      <c r="S917" s="326"/>
      <c r="T917" s="2"/>
      <c r="U917" s="59" t="str">
        <f t="shared" si="424"/>
        <v>нет з/ч</v>
      </c>
      <c r="V917" s="304" t="str">
        <f t="shared" si="492"/>
        <v>нет з/ч</v>
      </c>
      <c r="W917" s="2"/>
      <c r="X917" s="289"/>
      <c r="Y917" s="139"/>
      <c r="Z917" s="2"/>
      <c r="AA917" s="2"/>
      <c r="AB917" s="2"/>
      <c r="AC917" s="2"/>
      <c r="AD917" s="2"/>
      <c r="AE917" s="3" t="s">
        <v>8796</v>
      </c>
      <c r="AF917" s="2"/>
      <c r="AG917" s="1" t="s">
        <v>1582</v>
      </c>
      <c r="AH917" s="1" t="s">
        <v>6922</v>
      </c>
      <c r="AI917" s="2">
        <v>90.0</v>
      </c>
      <c r="AJ917" s="1" t="s">
        <v>1589</v>
      </c>
      <c r="AK917" s="1" t="s">
        <v>5878</v>
      </c>
      <c r="AL917" s="1" t="s">
        <v>5878</v>
      </c>
      <c r="AM917" s="2"/>
      <c r="AN917" s="2"/>
      <c r="AO917" s="2"/>
      <c r="AP917" s="2"/>
      <c r="AQ917" s="2"/>
      <c r="AR917" s="2"/>
      <c r="AS917" s="2"/>
      <c r="AT917" s="2"/>
      <c r="AU917" s="126" t="s">
        <v>22</v>
      </c>
      <c r="AV917" s="126" t="s">
        <v>22</v>
      </c>
      <c r="AW917" s="2"/>
      <c r="AX917" s="2"/>
      <c r="AY917" s="2"/>
      <c r="AZ917" s="2"/>
      <c r="BA917" s="2"/>
      <c r="BB917" s="2"/>
      <c r="BC917" s="2"/>
      <c r="BD917" s="2"/>
      <c r="BE917" s="2"/>
    </row>
    <row r="918" hidden="1">
      <c r="A918" s="2"/>
      <c r="B918" s="338" t="s">
        <v>8797</v>
      </c>
      <c r="C918" s="93"/>
      <c r="D918" s="31">
        <v>90.0</v>
      </c>
      <c r="E918" s="31" t="s">
        <v>360</v>
      </c>
      <c r="F918" s="11" t="s">
        <v>8678</v>
      </c>
      <c r="G918" s="321"/>
      <c r="H918" s="322"/>
      <c r="I918" s="323"/>
      <c r="J918" s="324"/>
      <c r="K918" s="322"/>
      <c r="L918" s="323"/>
      <c r="M918" s="324" t="s">
        <v>22</v>
      </c>
      <c r="N918" s="284">
        <v>0.5</v>
      </c>
      <c r="O918" s="322" t="s">
        <v>22</v>
      </c>
      <c r="P918" s="313" t="str">
        <f t="shared" ref="P918:Q918" si="519">O918</f>
        <v/>
      </c>
      <c r="Q918" s="319" t="str">
        <f t="shared" si="519"/>
        <v/>
      </c>
      <c r="R918" s="331"/>
      <c r="S918" s="326"/>
      <c r="T918" s="2"/>
      <c r="U918" s="59" t="str">
        <f t="shared" si="424"/>
        <v>нет з/ч</v>
      </c>
      <c r="V918" s="304" t="str">
        <f t="shared" si="492"/>
        <v>нет з/ч</v>
      </c>
      <c r="W918" s="2"/>
      <c r="X918" s="289"/>
      <c r="Y918" s="139"/>
      <c r="Z918" s="2"/>
      <c r="AA918" s="2"/>
      <c r="AB918" s="2"/>
      <c r="AC918" s="2"/>
      <c r="AD918" s="2"/>
      <c r="AE918" s="3" t="s">
        <v>8797</v>
      </c>
      <c r="AF918" s="2"/>
      <c r="AG918" s="1" t="s">
        <v>1582</v>
      </c>
      <c r="AH918" s="1" t="s">
        <v>6934</v>
      </c>
      <c r="AI918" s="2">
        <v>90.0</v>
      </c>
      <c r="AJ918" s="1" t="s">
        <v>1589</v>
      </c>
      <c r="AK918" s="1" t="s">
        <v>5878</v>
      </c>
      <c r="AL918" s="1" t="s">
        <v>5878</v>
      </c>
      <c r="AM918" s="2"/>
      <c r="AN918" s="2"/>
      <c r="AO918" s="2"/>
      <c r="AP918" s="2"/>
      <c r="AQ918" s="2"/>
      <c r="AR918" s="2"/>
      <c r="AS918" s="2"/>
      <c r="AT918" s="2"/>
      <c r="AU918" s="126" t="s">
        <v>22</v>
      </c>
      <c r="AV918" s="126" t="s">
        <v>22</v>
      </c>
      <c r="AW918" s="2"/>
      <c r="AX918" s="2"/>
      <c r="AY918" s="2"/>
      <c r="AZ918" s="2"/>
      <c r="BA918" s="2"/>
      <c r="BB918" s="2"/>
      <c r="BC918" s="2"/>
      <c r="BD918" s="2"/>
      <c r="BE918" s="2"/>
    </row>
    <row r="919" hidden="1">
      <c r="A919" s="2"/>
      <c r="B919" s="338" t="s">
        <v>8798</v>
      </c>
      <c r="C919" s="93"/>
      <c r="D919" s="31">
        <v>90.0</v>
      </c>
      <c r="E919" s="31" t="s">
        <v>367</v>
      </c>
      <c r="F919" s="11" t="s">
        <v>8678</v>
      </c>
      <c r="G919" s="321"/>
      <c r="H919" s="322"/>
      <c r="I919" s="323"/>
      <c r="J919" s="324"/>
      <c r="K919" s="322"/>
      <c r="L919" s="323"/>
      <c r="M919" s="324" t="s">
        <v>22</v>
      </c>
      <c r="N919" s="284">
        <v>0.5</v>
      </c>
      <c r="O919" s="322" t="s">
        <v>22</v>
      </c>
      <c r="P919" s="313" t="str">
        <f t="shared" ref="P919:Q919" si="520">O919</f>
        <v/>
      </c>
      <c r="Q919" s="319" t="str">
        <f t="shared" si="520"/>
        <v/>
      </c>
      <c r="R919" s="331"/>
      <c r="S919" s="326"/>
      <c r="T919" s="2"/>
      <c r="U919" s="59" t="str">
        <f t="shared" si="424"/>
        <v>нет з/ч</v>
      </c>
      <c r="V919" s="304" t="str">
        <f t="shared" si="492"/>
        <v>нет з/ч</v>
      </c>
      <c r="W919" s="2"/>
      <c r="X919" s="289"/>
      <c r="Y919" s="139"/>
      <c r="Z919" s="2"/>
      <c r="AA919" s="2"/>
      <c r="AB919" s="2"/>
      <c r="AC919" s="2"/>
      <c r="AD919" s="2"/>
      <c r="AE919" s="3" t="s">
        <v>8798</v>
      </c>
      <c r="AF919" s="2"/>
      <c r="AG919" s="1" t="s">
        <v>1582</v>
      </c>
      <c r="AH919" s="1" t="s">
        <v>6946</v>
      </c>
      <c r="AI919" s="2">
        <v>90.0</v>
      </c>
      <c r="AJ919" s="1" t="s">
        <v>1589</v>
      </c>
      <c r="AK919" s="1" t="s">
        <v>5878</v>
      </c>
      <c r="AL919" s="1" t="s">
        <v>5878</v>
      </c>
      <c r="AM919" s="2"/>
      <c r="AN919" s="2"/>
      <c r="AO919" s="2"/>
      <c r="AP919" s="2"/>
      <c r="AQ919" s="2"/>
      <c r="AR919" s="2"/>
      <c r="AS919" s="2"/>
      <c r="AT919" s="2"/>
      <c r="AU919" s="126" t="s">
        <v>22</v>
      </c>
      <c r="AV919" s="126" t="s">
        <v>22</v>
      </c>
      <c r="AW919" s="2"/>
      <c r="AX919" s="2"/>
      <c r="AY919" s="2"/>
      <c r="AZ919" s="2"/>
      <c r="BA919" s="2"/>
      <c r="BB919" s="2"/>
      <c r="BC919" s="2"/>
      <c r="BD919" s="2"/>
      <c r="BE919" s="2"/>
    </row>
    <row r="920" hidden="1">
      <c r="A920" s="2"/>
      <c r="B920" s="338" t="s">
        <v>8799</v>
      </c>
      <c r="C920" s="93"/>
      <c r="D920" s="31">
        <v>90.0</v>
      </c>
      <c r="E920" s="31" t="s">
        <v>374</v>
      </c>
      <c r="F920" s="11" t="s">
        <v>8678</v>
      </c>
      <c r="G920" s="321"/>
      <c r="H920" s="322"/>
      <c r="I920" s="323"/>
      <c r="J920" s="324"/>
      <c r="K920" s="322"/>
      <c r="L920" s="323"/>
      <c r="M920" s="324" t="s">
        <v>22</v>
      </c>
      <c r="N920" s="284">
        <v>0.5</v>
      </c>
      <c r="O920" s="322" t="s">
        <v>22</v>
      </c>
      <c r="P920" s="313" t="str">
        <f t="shared" ref="P920:Q920" si="521">O920</f>
        <v/>
      </c>
      <c r="Q920" s="319" t="str">
        <f t="shared" si="521"/>
        <v/>
      </c>
      <c r="R920" s="331"/>
      <c r="S920" s="326"/>
      <c r="T920" s="2"/>
      <c r="U920" s="59" t="str">
        <f t="shared" si="424"/>
        <v>нет з/ч</v>
      </c>
      <c r="V920" s="304" t="str">
        <f t="shared" si="492"/>
        <v>нет з/ч</v>
      </c>
      <c r="W920" s="2"/>
      <c r="X920" s="289"/>
      <c r="Y920" s="139"/>
      <c r="Z920" s="2"/>
      <c r="AA920" s="2"/>
      <c r="AB920" s="2"/>
      <c r="AC920" s="2"/>
      <c r="AD920" s="2"/>
      <c r="AE920" s="3" t="s">
        <v>8799</v>
      </c>
      <c r="AF920" s="2"/>
      <c r="AG920" s="1" t="s">
        <v>1582</v>
      </c>
      <c r="AH920" s="1" t="s">
        <v>6958</v>
      </c>
      <c r="AI920" s="2">
        <v>90.0</v>
      </c>
      <c r="AJ920" s="1" t="s">
        <v>1589</v>
      </c>
      <c r="AK920" s="1" t="s">
        <v>5878</v>
      </c>
      <c r="AL920" s="1" t="s">
        <v>5878</v>
      </c>
      <c r="AM920" s="2"/>
      <c r="AN920" s="2"/>
      <c r="AO920" s="2"/>
      <c r="AP920" s="2"/>
      <c r="AQ920" s="2"/>
      <c r="AR920" s="2"/>
      <c r="AS920" s="2"/>
      <c r="AT920" s="2"/>
      <c r="AU920" s="126" t="s">
        <v>22</v>
      </c>
      <c r="AV920" s="126" t="s">
        <v>22</v>
      </c>
      <c r="AW920" s="2"/>
      <c r="AX920" s="2"/>
      <c r="AY920" s="2"/>
      <c r="AZ920" s="2"/>
      <c r="BA920" s="2"/>
      <c r="BB920" s="2"/>
      <c r="BC920" s="2"/>
      <c r="BD920" s="2"/>
      <c r="BE920" s="2"/>
    </row>
    <row r="921">
      <c r="A921" s="2"/>
      <c r="B921" s="346"/>
      <c r="C921" s="93"/>
      <c r="D921" s="65"/>
      <c r="E921" s="31"/>
      <c r="F921" s="11"/>
      <c r="G921" s="321"/>
      <c r="H921" s="322"/>
      <c r="I921" s="323"/>
      <c r="J921" s="324"/>
      <c r="K921" s="322"/>
      <c r="L921" s="323"/>
      <c r="M921" s="324" t="s">
        <v>22</v>
      </c>
      <c r="N921" s="284"/>
      <c r="O921" s="322" t="s">
        <v>22</v>
      </c>
      <c r="P921" s="313"/>
      <c r="Q921" s="319"/>
      <c r="R921" s="325"/>
      <c r="S921" s="326"/>
      <c r="T921" s="2"/>
      <c r="U921" s="59" t="str">
        <f t="shared" si="424"/>
        <v>нет з/ч</v>
      </c>
      <c r="V921" s="304" t="str">
        <f>IF(L921&gt;0, Q2572 - L921, "нет з/ч")</f>
        <v>нет з/ч</v>
      </c>
      <c r="W921" s="2"/>
      <c r="X921" s="289"/>
      <c r="Y921" s="139"/>
      <c r="Z921" s="2"/>
      <c r="AA921" s="2"/>
      <c r="AB921" s="2"/>
      <c r="AC921" s="2"/>
      <c r="AD921" s="2"/>
      <c r="AE921" s="3"/>
      <c r="AF921" s="2"/>
      <c r="AG921" s="2" t="s">
        <v>1582</v>
      </c>
      <c r="AH921" s="2"/>
      <c r="AI921" s="2"/>
      <c r="AJ921" s="2" t="s">
        <v>1589</v>
      </c>
      <c r="AK921" s="2"/>
      <c r="AL921" s="2" t="s">
        <v>5878</v>
      </c>
      <c r="AM921" s="2"/>
      <c r="AN921" s="2"/>
      <c r="AO921" s="2"/>
      <c r="AP921" s="2"/>
      <c r="AQ921" s="2"/>
      <c r="AR921" s="2"/>
      <c r="AS921" s="2"/>
      <c r="AT921" s="2"/>
      <c r="AU921" s="167" t="s">
        <v>22</v>
      </c>
      <c r="AV921" s="167"/>
      <c r="AW921" s="2"/>
      <c r="AX921" s="2"/>
      <c r="AY921" s="2"/>
      <c r="AZ921" s="2"/>
      <c r="BA921" s="2"/>
      <c r="BB921" s="2"/>
      <c r="BC921" s="2"/>
      <c r="BD921" s="2"/>
      <c r="BE921" s="2"/>
    </row>
  </sheetData>
  <autoFilter ref="$E$4:$F$920">
    <filterColumn colId="0">
      <filters>
        <filter val="iPhone 15 / 15 Plus"/>
        <filter val="iPhone 7 Plus / 8 Plus"/>
        <filter val="iPhone 14 Pro / 14 Pro Max"/>
        <filter val="iPhone SE 2020 / SE 2022"/>
        <filter val="iPhone 16 Pro / 16 Pro Max"/>
        <filter val="iPhone 5S"/>
        <filter val="iPhone 5C / 5S"/>
        <filter val="iPhone 7 / 8 / SE 2020 / SE 2022"/>
        <filter val="iPhone 16"/>
        <filter val="iPhone 16 / 16 Plus"/>
        <filter val="iPhone 11 / 12 / 12 Mini"/>
        <filter val="iPhone 13 Pro / 13 Pro Max"/>
        <filter val="iPhone 5"/>
        <filter val="iPhone 13 / 13 Mini"/>
        <filter val="iPhone 14 / 14 Plus"/>
        <filter val="iPhone 6 / 6 Plus"/>
        <filter val="iPhone 15 Pro / 15 Pro Max"/>
        <filter val="iPhone 6S / 6S Plus"/>
        <filter val="iPhone SE 2016"/>
        <filter val="iPhone 11 Pro / 11 Pro Max / 12 Pro"/>
        <filter val="iPhone 11 Pro / 11 Pro Max"/>
        <filter val="iPhone XS / XS Max"/>
      </filters>
    </filterColumn>
    <filterColumn colId="1">
      <filters>
        <filter val="Дисплей"/>
      </filters>
    </filterColumn>
  </autoFilter>
  <mergeCells count="162">
    <mergeCell ref="G2:L2"/>
    <mergeCell ref="G3:I3"/>
    <mergeCell ref="J3:L3"/>
    <mergeCell ref="U3:V3"/>
    <mergeCell ref="X3:Y3"/>
    <mergeCell ref="P18:P19"/>
    <mergeCell ref="P21:P22"/>
    <mergeCell ref="P23:P24"/>
    <mergeCell ref="P25:P26"/>
    <mergeCell ref="P27:P28"/>
    <mergeCell ref="P29:P30"/>
    <mergeCell ref="P35:P36"/>
    <mergeCell ref="P40:P41"/>
    <mergeCell ref="P46:P47"/>
    <mergeCell ref="P52:P53"/>
    <mergeCell ref="P57:P58"/>
    <mergeCell ref="P63:P64"/>
    <mergeCell ref="P69:P70"/>
    <mergeCell ref="P75:P76"/>
    <mergeCell ref="P81:P82"/>
    <mergeCell ref="P87:P88"/>
    <mergeCell ref="P93:P94"/>
    <mergeCell ref="P99:P100"/>
    <mergeCell ref="P105:P106"/>
    <mergeCell ref="P111:P112"/>
    <mergeCell ref="P117:P118"/>
    <mergeCell ref="P123:P124"/>
    <mergeCell ref="P129:P130"/>
    <mergeCell ref="P135:P136"/>
    <mergeCell ref="P141:P142"/>
    <mergeCell ref="P147:P148"/>
    <mergeCell ref="P150:P151"/>
    <mergeCell ref="P152:P153"/>
    <mergeCell ref="P154:P155"/>
    <mergeCell ref="P156:P157"/>
    <mergeCell ref="P158:P159"/>
    <mergeCell ref="P160:P161"/>
    <mergeCell ref="P162:P163"/>
    <mergeCell ref="P164:P165"/>
    <mergeCell ref="P166:P167"/>
    <mergeCell ref="P168:P169"/>
    <mergeCell ref="P170:P171"/>
    <mergeCell ref="P172:P173"/>
    <mergeCell ref="P174:P175"/>
    <mergeCell ref="P176:P177"/>
    <mergeCell ref="P178:P179"/>
    <mergeCell ref="P180:P181"/>
    <mergeCell ref="P182:P183"/>
    <mergeCell ref="P184:P185"/>
    <mergeCell ref="P320:P323"/>
    <mergeCell ref="P324:P327"/>
    <mergeCell ref="P328:P330"/>
    <mergeCell ref="P331:P333"/>
    <mergeCell ref="P334:P339"/>
    <mergeCell ref="P340:P341"/>
    <mergeCell ref="P342:P344"/>
    <mergeCell ref="P345:P347"/>
    <mergeCell ref="P348:P353"/>
    <mergeCell ref="P354:P357"/>
    <mergeCell ref="P358:P361"/>
    <mergeCell ref="P362:P367"/>
    <mergeCell ref="P368:P373"/>
    <mergeCell ref="P374:P377"/>
    <mergeCell ref="P378:P381"/>
    <mergeCell ref="P382:P387"/>
    <mergeCell ref="P388:P393"/>
    <mergeCell ref="P394:P398"/>
    <mergeCell ref="P399:P403"/>
    <mergeCell ref="P404:P409"/>
    <mergeCell ref="P410:P415"/>
    <mergeCell ref="P416:P421"/>
    <mergeCell ref="P422:P427"/>
    <mergeCell ref="P428:P431"/>
    <mergeCell ref="P432:P435"/>
    <mergeCell ref="P436:P440"/>
    <mergeCell ref="P441:P445"/>
    <mergeCell ref="P446:P450"/>
    <mergeCell ref="P451:P455"/>
    <mergeCell ref="P456:P459"/>
    <mergeCell ref="P460:P463"/>
    <mergeCell ref="P464:P467"/>
    <mergeCell ref="P468:P471"/>
    <mergeCell ref="P472:P476"/>
    <mergeCell ref="P477:P481"/>
    <mergeCell ref="P482:P483"/>
    <mergeCell ref="P484:P485"/>
    <mergeCell ref="P486:P490"/>
    <mergeCell ref="P491:P495"/>
    <mergeCell ref="P496:P499"/>
    <mergeCell ref="P500:P503"/>
    <mergeCell ref="P504:P507"/>
    <mergeCell ref="P508:P511"/>
    <mergeCell ref="P512:P516"/>
    <mergeCell ref="P517:P521"/>
    <mergeCell ref="P522:P525"/>
    <mergeCell ref="P526:P529"/>
    <mergeCell ref="P530:P532"/>
    <mergeCell ref="P533:P535"/>
    <mergeCell ref="P741:P744"/>
    <mergeCell ref="P745:P747"/>
    <mergeCell ref="P748:P750"/>
    <mergeCell ref="P751:P754"/>
    <mergeCell ref="P792:P795"/>
    <mergeCell ref="P836:P839"/>
    <mergeCell ref="P852:P853"/>
    <mergeCell ref="P856:P857"/>
    <mergeCell ref="P712:P715"/>
    <mergeCell ref="P716:P720"/>
    <mergeCell ref="P721:P722"/>
    <mergeCell ref="P723:P727"/>
    <mergeCell ref="P728:P731"/>
    <mergeCell ref="P732:P735"/>
    <mergeCell ref="P736:P740"/>
    <mergeCell ref="P536:P538"/>
    <mergeCell ref="P539:P541"/>
    <mergeCell ref="P549:P550"/>
    <mergeCell ref="P551:P552"/>
    <mergeCell ref="P553:P555"/>
    <mergeCell ref="P556:P557"/>
    <mergeCell ref="P558:P560"/>
    <mergeCell ref="P561:P562"/>
    <mergeCell ref="P563:P565"/>
    <mergeCell ref="P566:P567"/>
    <mergeCell ref="P568:P570"/>
    <mergeCell ref="P571:P572"/>
    <mergeCell ref="P574:P576"/>
    <mergeCell ref="P577:P578"/>
    <mergeCell ref="P580:P582"/>
    <mergeCell ref="P583:P585"/>
    <mergeCell ref="P586:P590"/>
    <mergeCell ref="P591:P592"/>
    <mergeCell ref="P593:P594"/>
    <mergeCell ref="P595:P596"/>
    <mergeCell ref="P597:P598"/>
    <mergeCell ref="P599:P600"/>
    <mergeCell ref="P601:P602"/>
    <mergeCell ref="P603:P604"/>
    <mergeCell ref="P605:P607"/>
    <mergeCell ref="P608:P610"/>
    <mergeCell ref="P611:P612"/>
    <mergeCell ref="P613:P614"/>
    <mergeCell ref="P615:P616"/>
    <mergeCell ref="P617:P618"/>
    <mergeCell ref="P619:P621"/>
    <mergeCell ref="P622:P624"/>
    <mergeCell ref="P625:P630"/>
    <mergeCell ref="P631:P634"/>
    <mergeCell ref="P635:P638"/>
    <mergeCell ref="P639:P645"/>
    <mergeCell ref="P646:P651"/>
    <mergeCell ref="P652:P655"/>
    <mergeCell ref="P656:P661"/>
    <mergeCell ref="P662:P667"/>
    <mergeCell ref="P668:P672"/>
    <mergeCell ref="P673:P677"/>
    <mergeCell ref="P678:P683"/>
    <mergeCell ref="P684:P689"/>
    <mergeCell ref="P690:P693"/>
    <mergeCell ref="P694:P697"/>
    <mergeCell ref="P698:P702"/>
    <mergeCell ref="P703:P707"/>
    <mergeCell ref="P708:P711"/>
  </mergeCells>
  <conditionalFormatting sqref="G1:G921">
    <cfRule type="containsText" dxfId="4" priority="1" operator="containsText" text="ошибка">
      <formula>NOT(ISERROR(SEARCH(("ошибка"),(G1))))</formula>
    </cfRule>
  </conditionalFormatting>
  <conditionalFormatting sqref="J4">
    <cfRule type="containsText" dxfId="4" priority="2" operator="containsText" text="ошибка">
      <formula>NOT(ISERROR(SEARCH(("ошибка"),(J4))))</formula>
    </cfRule>
  </conditionalFormatting>
  <conditionalFormatting sqref="U1:V921 X3:Y3">
    <cfRule type="cellIs" dxfId="5" priority="3" operator="equal">
      <formula>"нет з/ч"</formula>
    </cfRule>
  </conditionalFormatting>
  <conditionalFormatting sqref="I5:I921">
    <cfRule type="cellIs" dxfId="6" priority="4" operator="lessThan">
      <formula>H5:H921</formula>
    </cfRule>
  </conditionalFormatting>
  <conditionalFormatting sqref="I5:I921">
    <cfRule type="cellIs" dxfId="7" priority="5" operator="equal">
      <formula>H5:H921</formula>
    </cfRule>
  </conditionalFormatting>
  <conditionalFormatting sqref="I5:I921">
    <cfRule type="cellIs" dxfId="3" priority="6" operator="greaterThan">
      <formula>H5:H921</formula>
    </cfRule>
  </conditionalFormatting>
  <conditionalFormatting sqref="J5:L921">
    <cfRule type="cellIs" dxfId="6" priority="7" operator="lessThan">
      <formula>#REF!</formula>
    </cfRule>
  </conditionalFormatting>
  <conditionalFormatting sqref="J5:L921">
    <cfRule type="cellIs" dxfId="7" priority="8" operator="equal">
      <formula>#REF!</formula>
    </cfRule>
  </conditionalFormatting>
  <conditionalFormatting sqref="J5:L921">
    <cfRule type="cellIs" dxfId="3" priority="9" operator="greaterThan">
      <formula>#REF!</formula>
    </cfRule>
  </conditionalFormatting>
  <conditionalFormatting sqref="X5:Y921">
    <cfRule type="expression" dxfId="8" priority="10">
      <formula>AND(X5&lt;&gt;"", X5&gt;0, X5=MAX($X5:$Y5))</formula>
    </cfRule>
  </conditionalFormatting>
  <conditionalFormatting sqref="X5:Y921">
    <cfRule type="expression" dxfId="9" priority="11">
      <formula>AND(X5&lt;&gt;"", X5&gt;0, X5=MIN(IF($X5:$Y5&gt;0, $X5:$Y5)))</formula>
    </cfRule>
  </conditionalFormatting>
  <dataValidations>
    <dataValidation type="list" allowBlank="1" showErrorMessage="1" sqref="F5:F921">
      <formula1>"Аккумулятор,Дисплей,Крышка (заднее стекло),Стекло камеры,Корпус,Шлейф зарядки,Модуль бепроводной зарядки,Основная камера,Фронтальная камера,Слуховой динамик,Полифонический динамик,Вибромотор,Стекло дисплея,Тачскрин дисплея"</formula1>
    </dataValidation>
  </dataValidations>
  <hyperlinks>
    <hyperlink r:id="rId1" ref="R5"/>
    <hyperlink r:id="rId2" ref="R6"/>
    <hyperlink r:id="rId3" ref="R7"/>
    <hyperlink r:id="rId4" ref="R8"/>
    <hyperlink r:id="rId5" ref="R9"/>
    <hyperlink r:id="rId6" ref="R10"/>
    <hyperlink r:id="rId7" ref="R11"/>
    <hyperlink r:id="rId8" ref="R12"/>
    <hyperlink r:id="rId9" ref="R13"/>
    <hyperlink r:id="rId10" ref="R14"/>
    <hyperlink r:id="rId11" ref="R15"/>
    <hyperlink r:id="rId12" ref="R16"/>
    <hyperlink r:id="rId13" ref="R17"/>
    <hyperlink r:id="rId14" ref="R18"/>
    <hyperlink r:id="rId15" ref="R19"/>
    <hyperlink r:id="rId16" ref="R20"/>
    <hyperlink r:id="rId17" ref="R21"/>
    <hyperlink r:id="rId18" ref="R22"/>
    <hyperlink r:id="rId19" ref="R23"/>
    <hyperlink r:id="rId20" ref="R24"/>
    <hyperlink r:id="rId21" ref="R25"/>
    <hyperlink r:id="rId22" ref="R26"/>
    <hyperlink r:id="rId23" ref="R27"/>
    <hyperlink r:id="rId24" ref="R28"/>
    <hyperlink r:id="rId25" ref="R29"/>
    <hyperlink r:id="rId26" ref="R30"/>
    <hyperlink r:id="rId27" ref="R31"/>
    <hyperlink r:id="rId28" ref="R32"/>
    <hyperlink r:id="rId29" ref="R33"/>
    <hyperlink r:id="rId30" ref="R34"/>
    <hyperlink r:id="rId31" ref="R35"/>
    <hyperlink r:id="rId32" ref="R36"/>
    <hyperlink r:id="rId33" ref="R37"/>
    <hyperlink r:id="rId34" ref="R38"/>
    <hyperlink r:id="rId35" ref="R39"/>
    <hyperlink r:id="rId36" ref="R40"/>
    <hyperlink r:id="rId37" ref="R41"/>
    <hyperlink r:id="rId38" ref="R42"/>
    <hyperlink r:id="rId39" ref="R43"/>
    <hyperlink r:id="rId40" ref="R44"/>
    <hyperlink r:id="rId41" ref="R45"/>
    <hyperlink r:id="rId42" ref="R46"/>
    <hyperlink r:id="rId43" ref="R47"/>
    <hyperlink r:id="rId44" ref="R48"/>
    <hyperlink r:id="rId45" ref="R49"/>
    <hyperlink r:id="rId46" ref="R50"/>
    <hyperlink r:id="rId47" ref="R51"/>
    <hyperlink r:id="rId48" ref="R52"/>
    <hyperlink r:id="rId49" ref="R53"/>
    <hyperlink r:id="rId50" ref="R54"/>
    <hyperlink r:id="rId51" ref="R55"/>
    <hyperlink r:id="rId52" ref="R56"/>
    <hyperlink r:id="rId53" ref="R57"/>
    <hyperlink r:id="rId54" ref="R58"/>
    <hyperlink r:id="rId55" ref="R59"/>
    <hyperlink r:id="rId56" ref="R60"/>
    <hyperlink r:id="rId57" ref="R61"/>
    <hyperlink r:id="rId58" ref="R62"/>
    <hyperlink r:id="rId59" ref="R63"/>
    <hyperlink r:id="rId60" ref="R64"/>
    <hyperlink r:id="rId61" ref="R65"/>
    <hyperlink r:id="rId62" ref="R66"/>
    <hyperlink r:id="rId63" ref="R67"/>
    <hyperlink r:id="rId64" ref="R68"/>
    <hyperlink r:id="rId65" ref="R69"/>
    <hyperlink r:id="rId66" ref="R70"/>
    <hyperlink r:id="rId67" ref="R71"/>
    <hyperlink r:id="rId68" ref="R72"/>
    <hyperlink r:id="rId69" ref="R73"/>
    <hyperlink r:id="rId70" ref="R74"/>
    <hyperlink r:id="rId71" ref="R75"/>
    <hyperlink r:id="rId72" ref="R76"/>
    <hyperlink r:id="rId73" ref="R77"/>
    <hyperlink r:id="rId74" ref="R78"/>
    <hyperlink r:id="rId75" ref="R80"/>
    <hyperlink r:id="rId76" ref="R81"/>
    <hyperlink r:id="rId77" ref="R83"/>
    <hyperlink r:id="rId78" ref="R84"/>
    <hyperlink r:id="rId79" ref="R85"/>
    <hyperlink r:id="rId80" ref="R86"/>
    <hyperlink r:id="rId81" ref="R87"/>
    <hyperlink r:id="rId82" ref="R88"/>
    <hyperlink r:id="rId83" ref="R89"/>
    <hyperlink r:id="rId84" ref="R90"/>
    <hyperlink r:id="rId85" ref="R91"/>
    <hyperlink r:id="rId86" ref="R92"/>
    <hyperlink r:id="rId87" ref="R93"/>
    <hyperlink r:id="rId88" ref="R94"/>
    <hyperlink r:id="rId89" ref="R95"/>
    <hyperlink r:id="rId90" ref="R96"/>
    <hyperlink r:id="rId91" ref="R97"/>
    <hyperlink r:id="rId92" ref="R98"/>
    <hyperlink r:id="rId93" ref="R99"/>
    <hyperlink r:id="rId94" ref="R100"/>
    <hyperlink r:id="rId95" ref="R101"/>
    <hyperlink r:id="rId96" ref="R104"/>
    <hyperlink r:id="rId97" ref="R105"/>
    <hyperlink r:id="rId98" ref="R107"/>
    <hyperlink r:id="rId99" ref="R108"/>
    <hyperlink r:id="rId100" ref="R109"/>
    <hyperlink r:id="rId101" ref="R110"/>
    <hyperlink r:id="rId102" ref="R111"/>
    <hyperlink r:id="rId103" ref="R112"/>
    <hyperlink r:id="rId104" ref="R113"/>
    <hyperlink r:id="rId105" ref="R114"/>
    <hyperlink r:id="rId106" ref="R115"/>
    <hyperlink r:id="rId107" ref="R116"/>
    <hyperlink r:id="rId108" ref="R117"/>
    <hyperlink r:id="rId109" ref="R118"/>
    <hyperlink r:id="rId110" ref="R119"/>
    <hyperlink r:id="rId111" ref="R120"/>
    <hyperlink r:id="rId112" ref="R123"/>
    <hyperlink r:id="rId113" ref="R131"/>
    <hyperlink r:id="rId114" ref="R135"/>
    <hyperlink r:id="rId115" ref="R137"/>
    <hyperlink r:id="rId116" ref="R138"/>
    <hyperlink r:id="rId117" ref="R141"/>
    <hyperlink r:id="rId118" ref="R143"/>
    <hyperlink r:id="rId119" ref="R144"/>
    <hyperlink r:id="rId120" ref="R147"/>
    <hyperlink r:id="rId121" ref="R150"/>
    <hyperlink r:id="rId122" ref="R151"/>
    <hyperlink r:id="rId123" ref="R152"/>
    <hyperlink r:id="rId124" ref="R153"/>
    <hyperlink r:id="rId125" ref="R154"/>
    <hyperlink r:id="rId126" ref="R155"/>
    <hyperlink r:id="rId127" ref="R156"/>
    <hyperlink r:id="rId128" ref="R157"/>
    <hyperlink r:id="rId129" ref="R158"/>
    <hyperlink r:id="rId130" ref="R159"/>
    <hyperlink r:id="rId131" ref="R160"/>
    <hyperlink r:id="rId132" ref="R161"/>
    <hyperlink r:id="rId133" ref="R162"/>
    <hyperlink r:id="rId134" ref="R163"/>
    <hyperlink r:id="rId135" ref="R164"/>
    <hyperlink r:id="rId136" ref="R165"/>
    <hyperlink r:id="rId137" ref="R166"/>
    <hyperlink r:id="rId138" ref="R167"/>
    <hyperlink r:id="rId139" ref="R168"/>
    <hyperlink r:id="rId140" ref="R169"/>
    <hyperlink r:id="rId141" ref="R170"/>
    <hyperlink r:id="rId142" ref="R171"/>
    <hyperlink r:id="rId143" ref="R172"/>
    <hyperlink r:id="rId144" ref="R173"/>
    <hyperlink r:id="rId145" ref="R174"/>
    <hyperlink r:id="rId146" ref="R175"/>
    <hyperlink r:id="rId147" ref="R176"/>
    <hyperlink r:id="rId148" ref="R177"/>
    <hyperlink r:id="rId149" ref="R178"/>
    <hyperlink r:id="rId150" ref="R179"/>
    <hyperlink r:id="rId151" ref="R180"/>
    <hyperlink r:id="rId152" ref="R181"/>
    <hyperlink r:id="rId153" ref="R182"/>
    <hyperlink r:id="rId154" ref="R183"/>
    <hyperlink r:id="rId155" ref="R184"/>
    <hyperlink r:id="rId156" ref="R185"/>
    <hyperlink r:id="rId157" ref="R186"/>
    <hyperlink r:id="rId158" ref="R187"/>
    <hyperlink r:id="rId159" ref="R188"/>
    <hyperlink r:id="rId160" ref="R189"/>
    <hyperlink r:id="rId161" ref="R190"/>
    <hyperlink r:id="rId162" ref="R191"/>
    <hyperlink r:id="rId163" ref="R192"/>
    <hyperlink r:id="rId164" ref="R193"/>
    <hyperlink r:id="rId165" ref="R194"/>
    <hyperlink r:id="rId166" ref="R195"/>
    <hyperlink r:id="rId167" ref="R196"/>
    <hyperlink r:id="rId168" ref="R197"/>
    <hyperlink r:id="rId169" ref="R198"/>
    <hyperlink r:id="rId170" ref="R199"/>
    <hyperlink r:id="rId171" ref="R200"/>
    <hyperlink r:id="rId172" ref="R201"/>
    <hyperlink r:id="rId173" ref="R202"/>
    <hyperlink r:id="rId174" ref="R204"/>
    <hyperlink r:id="rId175" ref="R207"/>
    <hyperlink r:id="rId176" ref="R209"/>
    <hyperlink r:id="rId177" ref="R212"/>
    <hyperlink r:id="rId178" ref="R214"/>
    <hyperlink r:id="rId179" ref="R216"/>
    <hyperlink r:id="rId180" ref="R217"/>
    <hyperlink r:id="rId181" ref="R218"/>
    <hyperlink r:id="rId182" ref="R219"/>
    <hyperlink r:id="rId183" ref="R221"/>
    <hyperlink r:id="rId184" ref="R222"/>
    <hyperlink r:id="rId185" ref="R224"/>
    <hyperlink r:id="rId186" ref="R225"/>
    <hyperlink r:id="rId187" ref="R226"/>
    <hyperlink r:id="rId188" ref="R227"/>
    <hyperlink r:id="rId189" ref="R228"/>
    <hyperlink r:id="rId190" ref="R229"/>
    <hyperlink r:id="rId191" ref="R230"/>
    <hyperlink r:id="rId192" ref="R231"/>
    <hyperlink r:id="rId193" ref="R232"/>
    <hyperlink r:id="rId194" ref="R233"/>
    <hyperlink r:id="rId195" ref="R234"/>
    <hyperlink r:id="rId196" ref="R236"/>
    <hyperlink r:id="rId197" ref="R237"/>
    <hyperlink r:id="rId198" ref="R238"/>
    <hyperlink r:id="rId199" ref="R239"/>
    <hyperlink r:id="rId200" ref="R242"/>
    <hyperlink r:id="rId201" ref="R245"/>
    <hyperlink r:id="rId202" ref="R246"/>
    <hyperlink r:id="rId203" ref="R247"/>
    <hyperlink r:id="rId204" ref="R248"/>
    <hyperlink r:id="rId205" ref="R249"/>
    <hyperlink r:id="rId206" ref="R250"/>
    <hyperlink r:id="rId207" ref="R251"/>
    <hyperlink r:id="rId208" ref="R252"/>
    <hyperlink r:id="rId209" ref="R253"/>
    <hyperlink r:id="rId210" ref="R254"/>
    <hyperlink r:id="rId211" ref="R256"/>
    <hyperlink r:id="rId212" ref="R257"/>
    <hyperlink r:id="rId213" ref="R258"/>
    <hyperlink r:id="rId214" ref="R259"/>
    <hyperlink r:id="rId215" ref="R262"/>
    <hyperlink r:id="rId216" ref="R265"/>
    <hyperlink r:id="rId217" ref="R266"/>
    <hyperlink r:id="rId218" ref="R267"/>
    <hyperlink r:id="rId219" ref="R268"/>
    <hyperlink r:id="rId220" ref="R269"/>
    <hyperlink r:id="rId221" ref="R270"/>
    <hyperlink r:id="rId222" ref="R271"/>
    <hyperlink r:id="rId223" ref="R272"/>
    <hyperlink r:id="rId224" ref="R273"/>
    <hyperlink r:id="rId225" ref="R274"/>
    <hyperlink r:id="rId226" ref="R276"/>
    <hyperlink r:id="rId227" ref="R277"/>
    <hyperlink r:id="rId228" ref="R278"/>
    <hyperlink r:id="rId229" ref="R282"/>
    <hyperlink r:id="rId230" ref="R287"/>
    <hyperlink r:id="rId231" ref="R290"/>
    <hyperlink r:id="rId232" ref="R291"/>
    <hyperlink r:id="rId233" ref="R292"/>
    <hyperlink r:id="rId234" ref="R293"/>
    <hyperlink r:id="rId235" ref="R294"/>
    <hyperlink r:id="rId236" ref="R295"/>
    <hyperlink r:id="rId237" ref="R296"/>
    <hyperlink r:id="rId238" ref="R297"/>
    <hyperlink r:id="rId239" ref="R298"/>
    <hyperlink r:id="rId240" ref="R299"/>
    <hyperlink r:id="rId241" ref="R300"/>
    <hyperlink r:id="rId242" ref="R301"/>
    <hyperlink r:id="rId243" ref="R302"/>
    <hyperlink r:id="rId244" ref="R305"/>
    <hyperlink r:id="rId245" ref="R306"/>
    <hyperlink r:id="rId246" ref="R307"/>
    <hyperlink r:id="rId247" ref="R310"/>
    <hyperlink r:id="rId248" ref="R311"/>
    <hyperlink r:id="rId249" ref="R312"/>
    <hyperlink r:id="rId250" ref="R315"/>
    <hyperlink r:id="rId251" ref="R316"/>
    <hyperlink r:id="rId252" ref="R317"/>
    <hyperlink r:id="rId253" ref="R320"/>
    <hyperlink r:id="rId254" ref="R321"/>
    <hyperlink r:id="rId255" ref="R322"/>
    <hyperlink r:id="rId256" ref="R323"/>
    <hyperlink r:id="rId257" ref="R324"/>
    <hyperlink r:id="rId258" ref="R325"/>
    <hyperlink r:id="rId259" ref="R326"/>
    <hyperlink r:id="rId260" ref="R327"/>
    <hyperlink r:id="rId261" ref="R328"/>
    <hyperlink r:id="rId262" ref="R329"/>
    <hyperlink r:id="rId263" ref="R330"/>
    <hyperlink r:id="rId264" ref="R334"/>
    <hyperlink r:id="rId265" ref="R335"/>
    <hyperlink r:id="rId266" ref="R336"/>
    <hyperlink r:id="rId267" ref="R337"/>
    <hyperlink r:id="rId268" ref="R338"/>
    <hyperlink r:id="rId269" ref="R340"/>
    <hyperlink r:id="rId270" ref="R341"/>
    <hyperlink r:id="rId271" ref="R342"/>
    <hyperlink r:id="rId272" ref="R343"/>
    <hyperlink r:id="rId273" ref="R344"/>
    <hyperlink r:id="rId274" ref="R345"/>
    <hyperlink r:id="rId275" ref="R346"/>
    <hyperlink r:id="rId276" ref="R347"/>
    <hyperlink r:id="rId277" ref="R348"/>
    <hyperlink r:id="rId278" ref="R349"/>
    <hyperlink r:id="rId279" ref="R350"/>
    <hyperlink r:id="rId280" ref="R351"/>
    <hyperlink r:id="rId281" ref="R352"/>
    <hyperlink r:id="rId282" ref="R354"/>
    <hyperlink r:id="rId283" ref="R355"/>
    <hyperlink r:id="rId284" ref="R356"/>
    <hyperlink r:id="rId285" ref="R357"/>
    <hyperlink r:id="rId286" ref="R358"/>
    <hyperlink r:id="rId287" ref="R359"/>
    <hyperlink r:id="rId288" ref="R360"/>
    <hyperlink r:id="rId289" ref="R361"/>
    <hyperlink r:id="rId290" ref="R362"/>
    <hyperlink r:id="rId291" ref="R363"/>
    <hyperlink r:id="rId292" ref="R364"/>
    <hyperlink r:id="rId293" ref="R365"/>
    <hyperlink r:id="rId294" ref="R366"/>
    <hyperlink r:id="rId295" ref="R367"/>
    <hyperlink r:id="rId296" ref="R368"/>
    <hyperlink r:id="rId297" ref="R369"/>
    <hyperlink r:id="rId298" ref="R370"/>
    <hyperlink r:id="rId299" ref="R371"/>
    <hyperlink r:id="rId300" ref="R372"/>
    <hyperlink r:id="rId301" ref="R373"/>
    <hyperlink r:id="rId302" ref="R374"/>
    <hyperlink r:id="rId303" ref="R375"/>
    <hyperlink r:id="rId304" ref="R376"/>
    <hyperlink r:id="rId305" ref="R377"/>
    <hyperlink r:id="rId306" ref="R378"/>
    <hyperlink r:id="rId307" ref="R379"/>
    <hyperlink r:id="rId308" ref="R380"/>
    <hyperlink r:id="rId309" ref="R382"/>
    <hyperlink r:id="rId310" ref="R383"/>
    <hyperlink r:id="rId311" ref="R384"/>
    <hyperlink r:id="rId312" ref="R385"/>
    <hyperlink r:id="rId313" ref="R386"/>
    <hyperlink r:id="rId314" ref="R387"/>
    <hyperlink r:id="rId315" ref="R388"/>
    <hyperlink r:id="rId316" ref="R389"/>
    <hyperlink r:id="rId317" ref="R390"/>
    <hyperlink r:id="rId318" ref="R391"/>
    <hyperlink r:id="rId319" ref="R392"/>
    <hyperlink r:id="rId320" ref="R393"/>
    <hyperlink r:id="rId321" ref="R394"/>
    <hyperlink r:id="rId322" ref="R395"/>
    <hyperlink r:id="rId323" ref="R396"/>
    <hyperlink r:id="rId324" ref="R397"/>
    <hyperlink r:id="rId325" ref="R398"/>
    <hyperlink r:id="rId326" ref="R399"/>
    <hyperlink r:id="rId327" ref="R400"/>
    <hyperlink r:id="rId328" ref="R401"/>
    <hyperlink r:id="rId329" ref="R402"/>
    <hyperlink r:id="rId330" ref="R403"/>
    <hyperlink r:id="rId331" ref="R410"/>
    <hyperlink r:id="rId332" ref="R411"/>
    <hyperlink r:id="rId333" ref="R412"/>
    <hyperlink r:id="rId334" ref="R413"/>
    <hyperlink r:id="rId335" ref="R414"/>
    <hyperlink r:id="rId336" ref="R415"/>
    <hyperlink r:id="rId337" ref="R422"/>
    <hyperlink r:id="rId338" ref="R423"/>
    <hyperlink r:id="rId339" ref="R424"/>
    <hyperlink r:id="rId340" ref="R426"/>
    <hyperlink r:id="rId341" ref="R427"/>
    <hyperlink r:id="rId342" ref="R428"/>
    <hyperlink r:id="rId343" ref="R429"/>
    <hyperlink r:id="rId344" ref="R430"/>
    <hyperlink r:id="rId345" ref="R431"/>
    <hyperlink r:id="rId346" ref="R432"/>
    <hyperlink r:id="rId347" ref="R433"/>
    <hyperlink r:id="rId348" ref="R434"/>
    <hyperlink r:id="rId349" ref="R435"/>
    <hyperlink r:id="rId350" ref="R436"/>
    <hyperlink r:id="rId351" ref="R437"/>
    <hyperlink r:id="rId352" ref="R438"/>
    <hyperlink r:id="rId353" ref="R439"/>
    <hyperlink r:id="rId354" ref="R440"/>
    <hyperlink r:id="rId355" ref="R441"/>
    <hyperlink r:id="rId356" ref="R442"/>
    <hyperlink r:id="rId357" ref="R443"/>
    <hyperlink r:id="rId358" ref="R444"/>
    <hyperlink r:id="rId359" ref="R445"/>
    <hyperlink r:id="rId360" ref="R456"/>
    <hyperlink r:id="rId361" ref="R457"/>
    <hyperlink r:id="rId362" ref="R458"/>
    <hyperlink r:id="rId363" ref="R459"/>
    <hyperlink r:id="rId364" ref="R460"/>
    <hyperlink r:id="rId365" ref="R461"/>
    <hyperlink r:id="rId366" ref="R462"/>
    <hyperlink r:id="rId367" ref="R463"/>
    <hyperlink r:id="rId368" ref="R464"/>
    <hyperlink r:id="rId369" ref="R465"/>
    <hyperlink r:id="rId370" ref="R466"/>
    <hyperlink r:id="rId371" ref="R467"/>
    <hyperlink r:id="rId372" ref="R468"/>
    <hyperlink r:id="rId373" ref="R469"/>
    <hyperlink r:id="rId374" ref="R470"/>
    <hyperlink r:id="rId375" ref="R471"/>
    <hyperlink r:id="rId376" ref="R472"/>
    <hyperlink r:id="rId377" ref="R473"/>
    <hyperlink r:id="rId378" ref="R474"/>
    <hyperlink r:id="rId379" ref="R475"/>
    <hyperlink r:id="rId380" ref="R476"/>
    <hyperlink r:id="rId381" ref="R477"/>
    <hyperlink r:id="rId382" ref="R478"/>
    <hyperlink r:id="rId383" ref="R479"/>
    <hyperlink r:id="rId384" ref="R480"/>
    <hyperlink r:id="rId385" ref="R481"/>
    <hyperlink r:id="rId386" ref="R492"/>
    <hyperlink r:id="rId387" ref="R493"/>
    <hyperlink r:id="rId388" ref="R494"/>
    <hyperlink r:id="rId389" ref="R495"/>
    <hyperlink r:id="rId390" ref="R496"/>
    <hyperlink r:id="rId391" ref="R497"/>
    <hyperlink r:id="rId392" ref="R498"/>
    <hyperlink r:id="rId393" ref="R499"/>
    <hyperlink r:id="rId394" ref="R500"/>
    <hyperlink r:id="rId395" ref="R501"/>
    <hyperlink r:id="rId396" ref="R502"/>
    <hyperlink r:id="rId397" ref="R503"/>
    <hyperlink r:id="rId398" ref="R504"/>
    <hyperlink r:id="rId399" ref="R505"/>
    <hyperlink r:id="rId400" ref="R506"/>
    <hyperlink r:id="rId401" ref="R507"/>
    <hyperlink r:id="rId402" ref="R508"/>
    <hyperlink r:id="rId403" ref="R509"/>
    <hyperlink r:id="rId404" ref="R510"/>
    <hyperlink r:id="rId405" ref="R511"/>
    <hyperlink r:id="rId406" ref="R512"/>
    <hyperlink r:id="rId407" ref="R513"/>
    <hyperlink r:id="rId408" ref="R514"/>
    <hyperlink r:id="rId409" ref="R515"/>
    <hyperlink r:id="rId410" ref="R516"/>
    <hyperlink r:id="rId411" ref="R517"/>
    <hyperlink r:id="rId412" ref="R518"/>
    <hyperlink r:id="rId413" ref="R519"/>
    <hyperlink r:id="rId414" ref="R520"/>
    <hyperlink r:id="rId415" ref="R521"/>
    <hyperlink r:id="rId416" ref="R522"/>
    <hyperlink r:id="rId417" ref="R523"/>
    <hyperlink r:id="rId418" ref="R524"/>
    <hyperlink r:id="rId419" ref="R525"/>
    <hyperlink r:id="rId420" ref="R530"/>
    <hyperlink r:id="rId421" ref="R531"/>
    <hyperlink r:id="rId422" ref="R532"/>
    <hyperlink r:id="rId423" ref="R533"/>
    <hyperlink r:id="rId424" ref="R534"/>
    <hyperlink r:id="rId425" ref="R535"/>
    <hyperlink r:id="rId426" ref="R536"/>
    <hyperlink r:id="rId427" ref="R537"/>
    <hyperlink r:id="rId428" ref="R538"/>
    <hyperlink r:id="rId429" ref="R539"/>
    <hyperlink r:id="rId430" ref="R540"/>
    <hyperlink r:id="rId431" ref="R541"/>
    <hyperlink r:id="rId432" ref="R542"/>
    <hyperlink r:id="rId433" ref="R543"/>
    <hyperlink r:id="rId434" ref="R544"/>
    <hyperlink r:id="rId435" ref="R545"/>
    <hyperlink r:id="rId436" ref="R547"/>
    <hyperlink r:id="rId437" ref="R548"/>
    <hyperlink r:id="rId438" ref="R549"/>
    <hyperlink r:id="rId439" ref="R551"/>
    <hyperlink r:id="rId440" ref="R553"/>
    <hyperlink r:id="rId441" ref="R556"/>
    <hyperlink r:id="rId442" ref="R558"/>
    <hyperlink r:id="rId443" ref="R561"/>
    <hyperlink r:id="rId444" ref="R563"/>
    <hyperlink r:id="rId445" ref="R566"/>
    <hyperlink r:id="rId446" ref="R568"/>
    <hyperlink r:id="rId447" ref="R571"/>
    <hyperlink r:id="rId448" ref="R574"/>
    <hyperlink r:id="rId449" ref="R577"/>
    <hyperlink r:id="rId450" ref="R579"/>
    <hyperlink r:id="rId451" ref="R580"/>
    <hyperlink r:id="rId452" ref="R583"/>
    <hyperlink r:id="rId453" ref="R593"/>
    <hyperlink r:id="rId454" ref="R594"/>
    <hyperlink r:id="rId455" ref="R595"/>
    <hyperlink r:id="rId456" ref="R596"/>
    <hyperlink r:id="rId457" ref="R597"/>
    <hyperlink r:id="rId458" ref="R598"/>
    <hyperlink r:id="rId459" ref="R599"/>
    <hyperlink r:id="rId460" ref="R600"/>
    <hyperlink r:id="rId461" ref="R601"/>
    <hyperlink r:id="rId462" ref="R602"/>
    <hyperlink r:id="rId463" ref="R603"/>
    <hyperlink r:id="rId464" ref="R604"/>
    <hyperlink r:id="rId465" ref="R605"/>
    <hyperlink r:id="rId466" ref="R606"/>
    <hyperlink r:id="rId467" ref="R607"/>
    <hyperlink r:id="rId468" ref="R608"/>
    <hyperlink r:id="rId469" ref="R609"/>
    <hyperlink r:id="rId470" ref="R611"/>
    <hyperlink r:id="rId471" ref="R612"/>
    <hyperlink r:id="rId472" ref="R615"/>
    <hyperlink r:id="rId473" ref="R616"/>
    <hyperlink r:id="rId474" ref="R617"/>
    <hyperlink r:id="rId475" ref="R618"/>
    <hyperlink r:id="rId476" ref="R619"/>
    <hyperlink r:id="rId477" ref="R620"/>
    <hyperlink r:id="rId478" ref="R622"/>
    <hyperlink r:id="rId479" ref="R623"/>
    <hyperlink r:id="rId480" ref="R624"/>
    <hyperlink r:id="rId481" ref="R625"/>
    <hyperlink r:id="rId482" ref="R626"/>
    <hyperlink r:id="rId483" ref="R627"/>
    <hyperlink r:id="rId484" ref="R628"/>
    <hyperlink r:id="rId485" ref="R629"/>
    <hyperlink r:id="rId486" ref="R630"/>
    <hyperlink r:id="rId487" ref="R631"/>
    <hyperlink r:id="rId488" ref="R632"/>
    <hyperlink r:id="rId489" ref="R635"/>
    <hyperlink r:id="rId490" ref="R636"/>
    <hyperlink r:id="rId491" ref="R639"/>
    <hyperlink r:id="rId492" ref="R640"/>
    <hyperlink r:id="rId493" ref="R641"/>
    <hyperlink r:id="rId494" ref="R643"/>
    <hyperlink r:id="rId495" ref="R645"/>
    <hyperlink r:id="rId496" ref="R646"/>
    <hyperlink r:id="rId497" ref="R652"/>
    <hyperlink r:id="rId498" ref="R653"/>
    <hyperlink r:id="rId499" ref="R654"/>
    <hyperlink r:id="rId500" ref="R655"/>
    <hyperlink r:id="rId501" ref="R657"/>
    <hyperlink r:id="rId502" ref="R659"/>
    <hyperlink r:id="rId503" ref="R662"/>
    <hyperlink r:id="rId504" ref="R668"/>
    <hyperlink r:id="rId505" ref="R669"/>
    <hyperlink r:id="rId506" ref="R673"/>
    <hyperlink r:id="rId507" ref="R674"/>
    <hyperlink r:id="rId508" ref="R678"/>
    <hyperlink r:id="rId509" ref="R679"/>
    <hyperlink r:id="rId510" ref="R684"/>
    <hyperlink r:id="rId511" ref="R685"/>
    <hyperlink r:id="rId512" ref="R690"/>
    <hyperlink r:id="rId513" ref="R691"/>
    <hyperlink r:id="rId514" ref="R694"/>
    <hyperlink r:id="rId515" ref="R695"/>
    <hyperlink r:id="rId516" ref="R698"/>
    <hyperlink r:id="rId517" ref="R700"/>
    <hyperlink r:id="rId518" ref="R703"/>
    <hyperlink r:id="rId519" ref="R705"/>
    <hyperlink r:id="rId520" ref="R708"/>
    <hyperlink r:id="rId521" ref="R709"/>
    <hyperlink r:id="rId522" ref="R712"/>
    <hyperlink r:id="rId523" ref="R713"/>
    <hyperlink r:id="rId524" ref="R716"/>
    <hyperlink r:id="rId525" ref="R717"/>
    <hyperlink r:id="rId526" ref="R723"/>
    <hyperlink r:id="rId527" ref="R724"/>
    <hyperlink r:id="rId528" ref="R728"/>
    <hyperlink r:id="rId529" ref="R729"/>
    <hyperlink r:id="rId530" ref="R732"/>
    <hyperlink r:id="rId531" ref="R733"/>
    <hyperlink r:id="rId532" ref="R736"/>
    <hyperlink r:id="rId533" ref="R741"/>
    <hyperlink r:id="rId534" ref="R747"/>
    <hyperlink r:id="rId535" ref="R750"/>
    <hyperlink r:id="rId536" ref="R755"/>
    <hyperlink r:id="rId537" ref="R756"/>
    <hyperlink r:id="rId538" ref="R757"/>
    <hyperlink r:id="rId539" ref="R758"/>
    <hyperlink r:id="rId540" ref="R759"/>
    <hyperlink r:id="rId541" ref="R760"/>
    <hyperlink r:id="rId542" ref="R761"/>
    <hyperlink r:id="rId543" ref="R762"/>
    <hyperlink r:id="rId544" ref="R763"/>
    <hyperlink r:id="rId545" ref="R764"/>
    <hyperlink r:id="rId546" ref="R765"/>
    <hyperlink r:id="rId547" ref="R766"/>
    <hyperlink r:id="rId548" ref="R767"/>
    <hyperlink r:id="rId549" ref="R768"/>
    <hyperlink r:id="rId550" ref="R769"/>
    <hyperlink r:id="rId551" ref="R770"/>
    <hyperlink r:id="rId552" ref="R771"/>
    <hyperlink r:id="rId553" ref="R772"/>
    <hyperlink r:id="rId554" ref="R773"/>
    <hyperlink r:id="rId555" ref="R774"/>
    <hyperlink r:id="rId556" ref="R775"/>
    <hyperlink r:id="rId557" ref="R776"/>
    <hyperlink r:id="rId558" ref="R777"/>
    <hyperlink r:id="rId559" ref="R778"/>
    <hyperlink r:id="rId560" ref="R779"/>
    <hyperlink r:id="rId561" ref="R780"/>
    <hyperlink r:id="rId562" ref="R781"/>
    <hyperlink r:id="rId563" ref="R782"/>
    <hyperlink r:id="rId564" ref="R783"/>
    <hyperlink r:id="rId565" ref="R785"/>
    <hyperlink r:id="rId566" ref="R786"/>
    <hyperlink r:id="rId567" ref="R787"/>
    <hyperlink r:id="rId568" ref="R788"/>
    <hyperlink r:id="rId569" ref="R789"/>
    <hyperlink r:id="rId570" ref="R790"/>
    <hyperlink r:id="rId571" ref="R791"/>
    <hyperlink r:id="rId572" ref="R796"/>
    <hyperlink r:id="rId573" ref="R797"/>
    <hyperlink r:id="rId574" ref="R798"/>
    <hyperlink r:id="rId575" ref="R799"/>
    <hyperlink r:id="rId576" ref="R800"/>
    <hyperlink r:id="rId577" ref="R801"/>
    <hyperlink r:id="rId578" ref="R802"/>
    <hyperlink r:id="rId579" ref="R803"/>
    <hyperlink r:id="rId580" ref="R804"/>
    <hyperlink r:id="rId581" ref="R805"/>
    <hyperlink r:id="rId582" ref="R806"/>
    <hyperlink r:id="rId583" ref="R807"/>
    <hyperlink r:id="rId584" ref="R808"/>
    <hyperlink r:id="rId585" ref="R809"/>
    <hyperlink r:id="rId586" ref="R810"/>
    <hyperlink r:id="rId587" ref="R811"/>
    <hyperlink r:id="rId588" ref="R812"/>
    <hyperlink r:id="rId589" ref="R814"/>
    <hyperlink r:id="rId590" ref="R815"/>
    <hyperlink r:id="rId591" ref="R817"/>
    <hyperlink r:id="rId592" ref="R818"/>
    <hyperlink r:id="rId593" ref="R819"/>
    <hyperlink r:id="rId594" ref="R820"/>
    <hyperlink r:id="rId595" ref="R821"/>
    <hyperlink r:id="rId596" ref="R822"/>
    <hyperlink r:id="rId597" ref="R823"/>
    <hyperlink r:id="rId598" ref="R824"/>
    <hyperlink r:id="rId599" ref="R825"/>
    <hyperlink r:id="rId600" ref="R826"/>
    <hyperlink r:id="rId601" ref="R827"/>
    <hyperlink r:id="rId602" ref="R829"/>
    <hyperlink r:id="rId603" ref="R830"/>
    <hyperlink r:id="rId604" ref="R831"/>
    <hyperlink r:id="rId605" ref="R832"/>
    <hyperlink r:id="rId606" ref="R833"/>
    <hyperlink r:id="rId607" ref="R834"/>
    <hyperlink r:id="rId608" ref="R835"/>
    <hyperlink r:id="rId609" ref="R840"/>
    <hyperlink r:id="rId610" ref="R841"/>
    <hyperlink r:id="rId611" ref="R842"/>
    <hyperlink r:id="rId612" ref="R843"/>
    <hyperlink r:id="rId613" ref="R844"/>
    <hyperlink r:id="rId614" ref="R845"/>
    <hyperlink r:id="rId615" ref="R846"/>
    <hyperlink r:id="rId616" ref="R847"/>
    <hyperlink r:id="rId617" ref="R848"/>
    <hyperlink r:id="rId618" ref="R849"/>
    <hyperlink r:id="rId619" ref="R850"/>
    <hyperlink r:id="rId620" ref="R851"/>
    <hyperlink r:id="rId621" ref="R853"/>
    <hyperlink r:id="rId622" ref="R854"/>
    <hyperlink r:id="rId623" ref="R855"/>
    <hyperlink r:id="rId624" ref="R856"/>
    <hyperlink r:id="rId625" ref="R857"/>
    <hyperlink r:id="rId626" ref="R859"/>
    <hyperlink r:id="rId627" ref="R860"/>
    <hyperlink r:id="rId628" ref="R862"/>
    <hyperlink r:id="rId629" ref="R863"/>
    <hyperlink r:id="rId630" ref="R865"/>
    <hyperlink r:id="rId631" ref="R866"/>
    <hyperlink r:id="rId632" ref="R867"/>
    <hyperlink r:id="rId633" ref="R868"/>
    <hyperlink r:id="rId634" ref="R869"/>
    <hyperlink r:id="rId635" ref="R870"/>
    <hyperlink r:id="rId636" ref="R871"/>
    <hyperlink r:id="rId637" ref="R872"/>
    <hyperlink r:id="rId638" ref="R874"/>
    <hyperlink r:id="rId639" ref="R875"/>
    <hyperlink r:id="rId640" ref="R876"/>
    <hyperlink r:id="rId641" ref="R882"/>
    <hyperlink r:id="rId642" ref="R883"/>
    <hyperlink r:id="rId643" ref="R884"/>
    <hyperlink r:id="rId644" ref="R885"/>
    <hyperlink r:id="rId645" ref="R886"/>
    <hyperlink r:id="rId646" ref="R887"/>
    <hyperlink r:id="rId647" ref="R888"/>
    <hyperlink r:id="rId648" ref="R889"/>
    <hyperlink r:id="rId649" ref="R890"/>
    <hyperlink r:id="rId650" ref="R891"/>
    <hyperlink r:id="rId651" ref="R892"/>
    <hyperlink r:id="rId652" ref="R893"/>
    <hyperlink r:id="rId653" ref="R894"/>
    <hyperlink r:id="rId654" ref="R895"/>
    <hyperlink r:id="rId655" ref="R896"/>
    <hyperlink r:id="rId656" ref="R897"/>
    <hyperlink r:id="rId657" ref="R899"/>
    <hyperlink r:id="rId658" ref="R900"/>
    <hyperlink r:id="rId659" ref="R902"/>
    <hyperlink r:id="rId660" ref="R903"/>
    <hyperlink r:id="rId661" ref="R904"/>
    <hyperlink r:id="rId662" ref="R906"/>
    <hyperlink r:id="rId663" ref="R907"/>
    <hyperlink r:id="rId664" ref="R908"/>
    <hyperlink r:id="rId665" ref="R910"/>
    <hyperlink r:id="rId666" ref="R911"/>
  </hyperlinks>
  <drawing r:id="rId66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4.5"/>
    <col customWidth="1" min="3" max="3" width="41.88"/>
    <col customWidth="1" min="4" max="4" width="63.5"/>
  </cols>
  <sheetData>
    <row r="1">
      <c r="A1" s="120"/>
      <c r="B1" s="109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</row>
    <row r="2">
      <c r="A2" s="120"/>
      <c r="B2" s="109"/>
      <c r="C2" s="114" t="s">
        <v>8800</v>
      </c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</row>
    <row r="3">
      <c r="A3" s="120"/>
      <c r="B3" s="109"/>
      <c r="C3" s="120"/>
      <c r="D3" s="264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</row>
    <row r="4">
      <c r="A4" s="120"/>
      <c r="B4" s="109"/>
      <c r="C4" s="108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</row>
    <row r="5">
      <c r="A5" s="120"/>
      <c r="B5" s="109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</row>
    <row r="6">
      <c r="A6" s="120"/>
      <c r="B6" s="347" t="s">
        <v>8801</v>
      </c>
      <c r="C6" s="348" t="s">
        <v>8802</v>
      </c>
      <c r="D6" s="349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</row>
    <row r="7">
      <c r="A7" s="120"/>
      <c r="B7" s="350"/>
      <c r="C7" s="114" t="s">
        <v>8803</v>
      </c>
      <c r="D7" s="351" t="s">
        <v>8804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</row>
    <row r="8">
      <c r="A8" s="120"/>
      <c r="B8" s="350"/>
      <c r="C8" s="114" t="s">
        <v>8805</v>
      </c>
      <c r="D8" s="352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</row>
    <row r="9">
      <c r="A9" s="120"/>
      <c r="B9" s="350"/>
      <c r="C9" s="114" t="s">
        <v>8806</v>
      </c>
      <c r="D9" s="352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</row>
    <row r="10">
      <c r="A10" s="120"/>
      <c r="B10" s="350"/>
      <c r="C10" s="114" t="s">
        <v>8807</v>
      </c>
      <c r="D10" s="352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</row>
    <row r="11">
      <c r="A11" s="120"/>
      <c r="B11" s="350"/>
      <c r="C11" s="114" t="s">
        <v>8808</v>
      </c>
      <c r="D11" s="352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</row>
    <row r="12">
      <c r="A12" s="120"/>
      <c r="B12" s="350"/>
      <c r="C12" s="114" t="s">
        <v>8809</v>
      </c>
      <c r="D12" s="352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</row>
    <row r="13">
      <c r="A13" s="120"/>
      <c r="B13" s="350"/>
      <c r="C13" s="114" t="s">
        <v>8810</v>
      </c>
      <c r="D13" s="352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</row>
    <row r="14">
      <c r="A14" s="120"/>
      <c r="B14" s="350"/>
      <c r="C14" s="114" t="s">
        <v>8811</v>
      </c>
      <c r="D14" s="352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</row>
    <row r="15">
      <c r="A15" s="120"/>
      <c r="B15" s="353"/>
      <c r="C15" s="354" t="s">
        <v>8812</v>
      </c>
      <c r="D15" s="355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</row>
    <row r="16" ht="7.5" customHeight="1">
      <c r="A16" s="120"/>
      <c r="B16" s="350"/>
      <c r="C16" s="120"/>
      <c r="D16" s="356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</row>
    <row r="17">
      <c r="A17" s="120"/>
      <c r="B17" s="357" t="s">
        <v>8813</v>
      </c>
      <c r="C17" s="358" t="s">
        <v>8814</v>
      </c>
      <c r="D17" s="263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</row>
    <row r="18" ht="7.5" customHeight="1">
      <c r="A18" s="120"/>
      <c r="B18" s="350"/>
      <c r="C18" s="120"/>
      <c r="D18" s="356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</row>
    <row r="19">
      <c r="A19" s="120"/>
      <c r="B19" s="357" t="s">
        <v>8815</v>
      </c>
      <c r="C19" s="358" t="s">
        <v>8816</v>
      </c>
      <c r="D19" s="263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</row>
    <row r="20" ht="7.5" customHeight="1">
      <c r="A20" s="120"/>
      <c r="B20" s="350"/>
      <c r="C20" s="120"/>
      <c r="D20" s="356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</row>
    <row r="21">
      <c r="A21" s="120"/>
      <c r="B21" s="347" t="s">
        <v>8817</v>
      </c>
      <c r="C21" s="348" t="s">
        <v>8818</v>
      </c>
      <c r="D21" s="349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</row>
    <row r="22">
      <c r="A22" s="120"/>
      <c r="B22" s="350"/>
      <c r="C22" s="114" t="s">
        <v>8819</v>
      </c>
      <c r="D22" s="352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</row>
    <row r="23">
      <c r="A23" s="120"/>
      <c r="B23" s="353"/>
      <c r="C23" s="354" t="s">
        <v>8820</v>
      </c>
      <c r="D23" s="355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</row>
    <row r="24" ht="7.5" customHeight="1">
      <c r="A24" s="120"/>
      <c r="B24" s="350"/>
      <c r="C24" s="120"/>
      <c r="D24" s="356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</row>
    <row r="25">
      <c r="A25" s="120"/>
      <c r="B25" s="357" t="s">
        <v>8821</v>
      </c>
      <c r="C25" s="358" t="s">
        <v>8822</v>
      </c>
      <c r="D25" s="263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</row>
    <row r="26" ht="7.5" customHeight="1">
      <c r="A26" s="120"/>
      <c r="B26" s="350"/>
      <c r="C26" s="120"/>
      <c r="D26" s="356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</row>
    <row r="27">
      <c r="A27" s="120"/>
      <c r="B27" s="357" t="s">
        <v>8823</v>
      </c>
      <c r="C27" s="358" t="s">
        <v>8824</v>
      </c>
      <c r="D27" s="263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</row>
    <row r="28" ht="7.5" customHeight="1">
      <c r="A28" s="120"/>
      <c r="B28" s="350"/>
      <c r="C28" s="120"/>
      <c r="D28" s="356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</row>
    <row r="29">
      <c r="A29" s="120"/>
      <c r="B29" s="357" t="s">
        <v>8825</v>
      </c>
      <c r="C29" s="358" t="s">
        <v>8826</v>
      </c>
      <c r="D29" s="263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</row>
    <row r="30">
      <c r="A30" s="120"/>
      <c r="B30" s="109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</row>
  </sheetData>
  <mergeCells count="11">
    <mergeCell ref="C23:D23"/>
    <mergeCell ref="C25:D25"/>
    <mergeCell ref="C27:D27"/>
    <mergeCell ref="C29:D29"/>
    <mergeCell ref="C4:D4"/>
    <mergeCell ref="C6:D6"/>
    <mergeCell ref="D7:D15"/>
    <mergeCell ref="C17:D17"/>
    <mergeCell ref="C19:D19"/>
    <mergeCell ref="C21:D21"/>
    <mergeCell ref="C22:D2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</cols>
  <sheetData>
    <row r="1">
      <c r="A1" s="264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264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60"/>
      <c r="AO1" s="360"/>
      <c r="AP1" s="360"/>
      <c r="AQ1" s="360"/>
      <c r="AR1" s="360"/>
      <c r="AS1" s="360"/>
      <c r="AT1" s="360"/>
      <c r="AU1" s="360"/>
      <c r="AV1" s="360"/>
      <c r="AW1" s="264"/>
      <c r="AX1" s="264"/>
      <c r="AY1" s="264"/>
      <c r="AZ1" s="264"/>
      <c r="BA1" s="264"/>
      <c r="BB1" s="264"/>
      <c r="BC1" s="264"/>
      <c r="BD1" s="264"/>
      <c r="BE1" s="264"/>
    </row>
    <row r="2">
      <c r="A2" s="2"/>
      <c r="B2" s="361" t="s">
        <v>8827</v>
      </c>
      <c r="C2" s="362"/>
      <c r="D2" s="362"/>
      <c r="E2" s="362"/>
      <c r="F2" s="362"/>
      <c r="G2" s="349"/>
      <c r="H2" s="9"/>
      <c r="I2" s="2"/>
      <c r="J2" s="2"/>
      <c r="K2" s="2"/>
      <c r="L2" s="2"/>
      <c r="M2" s="3" t="s">
        <v>22</v>
      </c>
      <c r="N2" s="2"/>
      <c r="O2" s="2" t="s">
        <v>22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63"/>
      <c r="AC2" s="363"/>
      <c r="AD2" s="363"/>
      <c r="AE2" s="364"/>
      <c r="AF2" s="365"/>
      <c r="AG2" s="363"/>
      <c r="AH2" s="9"/>
      <c r="AI2" s="2"/>
      <c r="AJ2" s="2" t="s">
        <v>1589</v>
      </c>
      <c r="AK2" s="2"/>
      <c r="AL2" s="2" t="s">
        <v>5878</v>
      </c>
      <c r="AM2" s="3"/>
      <c r="AN2" s="2"/>
      <c r="AO2" s="2"/>
      <c r="AP2" s="2"/>
      <c r="AQ2" s="2"/>
      <c r="AR2" s="2"/>
      <c r="AS2" s="2"/>
      <c r="AT2" s="2"/>
      <c r="AU2" s="2" t="s">
        <v>22</v>
      </c>
      <c r="AV2" s="2"/>
      <c r="AW2" s="2"/>
      <c r="AX2" s="2"/>
      <c r="AY2" s="2"/>
      <c r="AZ2" s="2"/>
      <c r="BA2" s="366"/>
      <c r="BB2" s="366"/>
      <c r="BC2" s="366"/>
      <c r="BD2" s="366"/>
      <c r="BE2" s="366"/>
    </row>
    <row r="3">
      <c r="A3" s="2"/>
      <c r="B3" s="367" t="s">
        <v>8828</v>
      </c>
      <c r="C3" s="359" t="s">
        <v>8829</v>
      </c>
      <c r="D3" s="359" t="s">
        <v>8830</v>
      </c>
      <c r="E3" s="359" t="s">
        <v>8831</v>
      </c>
      <c r="F3" s="359" t="s">
        <v>8832</v>
      </c>
      <c r="G3" s="368" t="s">
        <v>8833</v>
      </c>
      <c r="H3" s="9"/>
      <c r="I3" s="2"/>
      <c r="J3" s="2"/>
      <c r="K3" s="2"/>
      <c r="L3" s="2"/>
      <c r="M3" s="3" t="s">
        <v>22</v>
      </c>
      <c r="N3" s="2"/>
      <c r="O3" s="2" t="s">
        <v>22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 t="s">
        <v>8829</v>
      </c>
      <c r="AB3" s="363"/>
      <c r="AC3" s="363"/>
      <c r="AD3" s="363"/>
      <c r="AE3" s="364"/>
      <c r="AF3" s="365"/>
      <c r="AG3" s="363"/>
      <c r="AH3" s="9"/>
      <c r="AI3" s="2" t="s">
        <v>8830</v>
      </c>
      <c r="AJ3" s="2" t="s">
        <v>1589</v>
      </c>
      <c r="AK3" s="2"/>
      <c r="AL3" s="2" t="s">
        <v>5878</v>
      </c>
      <c r="AM3" s="3"/>
      <c r="AN3" s="2"/>
      <c r="AO3" s="2"/>
      <c r="AP3" s="2"/>
      <c r="AQ3" s="2"/>
      <c r="AR3" s="2"/>
      <c r="AS3" s="2"/>
      <c r="AT3" s="2"/>
      <c r="AU3" s="2" t="s">
        <v>22</v>
      </c>
      <c r="AV3" s="2"/>
      <c r="AW3" s="2"/>
      <c r="AX3" s="2"/>
      <c r="AY3" s="2"/>
      <c r="AZ3" s="2"/>
      <c r="BA3" s="366"/>
      <c r="BB3" s="366"/>
      <c r="BC3" s="366"/>
      <c r="BD3" s="366"/>
      <c r="BE3" s="366"/>
    </row>
    <row r="4">
      <c r="A4" s="2"/>
      <c r="B4" s="6" t="s">
        <v>0</v>
      </c>
      <c r="C4" s="6" t="s">
        <v>1</v>
      </c>
      <c r="D4" s="6" t="s">
        <v>2</v>
      </c>
      <c r="E4" s="7" t="s">
        <v>3</v>
      </c>
      <c r="F4" s="8" t="s">
        <v>4</v>
      </c>
      <c r="G4" s="6" t="s">
        <v>5</v>
      </c>
      <c r="H4" s="9"/>
      <c r="I4" s="2"/>
      <c r="J4" s="2"/>
      <c r="K4" s="2"/>
      <c r="L4" s="2"/>
      <c r="M4" s="3" t="s">
        <v>22</v>
      </c>
      <c r="N4" s="2"/>
      <c r="O4" s="2" t="s">
        <v>22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 t="s">
        <v>1</v>
      </c>
      <c r="AB4" s="6" t="s">
        <v>0</v>
      </c>
      <c r="AC4" s="6" t="s">
        <v>1</v>
      </c>
      <c r="AD4" s="6" t="s">
        <v>2</v>
      </c>
      <c r="AE4" s="7" t="s">
        <v>3</v>
      </c>
      <c r="AF4" s="8" t="s">
        <v>4</v>
      </c>
      <c r="AG4" s="6" t="s">
        <v>5</v>
      </c>
      <c r="AH4" s="9"/>
      <c r="AI4" s="2" t="s">
        <v>2</v>
      </c>
      <c r="AJ4" s="2" t="s">
        <v>1589</v>
      </c>
      <c r="AK4" s="2"/>
      <c r="AL4" s="2" t="s">
        <v>5878</v>
      </c>
      <c r="AM4" s="3"/>
      <c r="AN4" s="2"/>
      <c r="AO4" s="2"/>
      <c r="AP4" s="2"/>
      <c r="AQ4" s="2"/>
      <c r="AR4" s="2"/>
      <c r="AS4" s="2"/>
      <c r="AT4" s="2"/>
      <c r="AU4" s="2" t="s">
        <v>22</v>
      </c>
      <c r="AV4" s="2"/>
      <c r="AW4" s="2"/>
      <c r="AX4" s="2"/>
      <c r="AY4" s="2"/>
      <c r="AZ4" s="2"/>
      <c r="BA4" s="366"/>
      <c r="BB4" s="366"/>
      <c r="BC4" s="366"/>
      <c r="BD4" s="366"/>
      <c r="BE4" s="366"/>
    </row>
    <row r="5">
      <c r="A5" s="366"/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6" t="s">
        <v>22</v>
      </c>
      <c r="N5" s="366"/>
      <c r="O5" s="366" t="s">
        <v>22</v>
      </c>
      <c r="P5" s="366"/>
      <c r="Q5" s="366"/>
      <c r="R5" s="366"/>
      <c r="S5" s="366"/>
      <c r="T5" s="366"/>
      <c r="U5" s="360"/>
      <c r="V5" s="360"/>
      <c r="W5" s="360"/>
      <c r="X5" s="360"/>
      <c r="Y5" s="360"/>
      <c r="Z5" s="360"/>
      <c r="AA5" s="360"/>
      <c r="AB5" s="360"/>
      <c r="AC5" s="360"/>
      <c r="AD5" s="360"/>
      <c r="AE5" s="360"/>
      <c r="AF5" s="360"/>
      <c r="AG5" s="360"/>
      <c r="AH5" s="360"/>
      <c r="AI5" s="360"/>
      <c r="AJ5" s="360" t="s">
        <v>1589</v>
      </c>
      <c r="AK5" s="360"/>
      <c r="AL5" s="360" t="s">
        <v>5878</v>
      </c>
      <c r="AM5" s="360"/>
      <c r="AN5" s="360"/>
      <c r="AO5" s="360"/>
      <c r="AP5" s="360"/>
      <c r="AQ5" s="360"/>
      <c r="AR5" s="360"/>
      <c r="AS5" s="360"/>
      <c r="AT5" s="360"/>
      <c r="AU5" s="360" t="s">
        <v>22</v>
      </c>
      <c r="AV5" s="360"/>
      <c r="AW5" s="366"/>
      <c r="AX5" s="366"/>
      <c r="AY5" s="366"/>
      <c r="AZ5" s="366"/>
      <c r="BA5" s="366"/>
      <c r="BB5" s="366"/>
      <c r="BC5" s="366"/>
      <c r="BD5" s="366"/>
      <c r="BE5" s="366"/>
    </row>
    <row r="6">
      <c r="A6" s="366"/>
      <c r="B6" s="369"/>
      <c r="C6" s="369"/>
      <c r="D6" s="369"/>
      <c r="E6" s="369"/>
      <c r="F6" s="369"/>
      <c r="G6" s="369"/>
      <c r="H6" s="369"/>
      <c r="I6" s="369"/>
      <c r="J6" s="369"/>
      <c r="K6" s="369"/>
      <c r="L6" s="369"/>
      <c r="M6" s="366" t="s">
        <v>22</v>
      </c>
      <c r="N6" s="366"/>
      <c r="O6" s="366" t="s">
        <v>22</v>
      </c>
      <c r="P6" s="366"/>
      <c r="Q6" s="366"/>
      <c r="R6" s="366"/>
      <c r="S6" s="366"/>
      <c r="T6" s="366"/>
      <c r="U6" s="360"/>
      <c r="V6" s="360"/>
      <c r="W6" s="360"/>
      <c r="X6" s="360"/>
      <c r="Y6" s="360"/>
      <c r="Z6" s="360"/>
      <c r="AA6" s="360"/>
      <c r="AB6" s="360"/>
      <c r="AC6" s="360"/>
      <c r="AD6" s="360"/>
      <c r="AE6" s="360"/>
      <c r="AF6" s="360"/>
      <c r="AG6" s="360"/>
      <c r="AH6" s="360"/>
      <c r="AI6" s="360"/>
      <c r="AJ6" s="360" t="s">
        <v>1589</v>
      </c>
      <c r="AK6" s="360"/>
      <c r="AL6" s="360" t="s">
        <v>5878</v>
      </c>
      <c r="AM6" s="360"/>
      <c r="AN6" s="360"/>
      <c r="AO6" s="360"/>
      <c r="AP6" s="360"/>
      <c r="AQ6" s="360"/>
      <c r="AR6" s="360"/>
      <c r="AS6" s="360"/>
      <c r="AT6" s="360"/>
      <c r="AU6" s="360" t="s">
        <v>22</v>
      </c>
      <c r="AV6" s="360"/>
      <c r="AW6" s="366"/>
      <c r="AX6" s="366"/>
      <c r="AY6" s="366"/>
      <c r="AZ6" s="366"/>
      <c r="BA6" s="366"/>
      <c r="BB6" s="366"/>
      <c r="BC6" s="366"/>
      <c r="BD6" s="366"/>
      <c r="BE6" s="366"/>
    </row>
    <row r="7">
      <c r="A7" s="366"/>
      <c r="B7" s="370" t="s">
        <v>8834</v>
      </c>
      <c r="C7" s="362"/>
      <c r="D7" s="362"/>
      <c r="E7" s="362"/>
      <c r="F7" s="362"/>
      <c r="G7" s="362"/>
      <c r="H7" s="362"/>
      <c r="I7" s="362"/>
      <c r="J7" s="362"/>
      <c r="K7" s="362"/>
      <c r="L7" s="349"/>
      <c r="M7" s="366" t="s">
        <v>22</v>
      </c>
      <c r="N7" s="366"/>
      <c r="O7" s="366" t="s">
        <v>22</v>
      </c>
      <c r="P7" s="366"/>
      <c r="Q7" s="366"/>
      <c r="R7" s="366"/>
      <c r="S7" s="366"/>
      <c r="T7" s="366"/>
      <c r="U7" s="360"/>
      <c r="V7" s="360"/>
      <c r="W7" s="360"/>
      <c r="X7" s="360"/>
      <c r="Y7" s="360"/>
      <c r="Z7" s="360"/>
      <c r="AA7" s="360"/>
      <c r="AB7" s="360"/>
      <c r="AC7" s="360"/>
      <c r="AD7" s="360"/>
      <c r="AE7" s="360"/>
      <c r="AF7" s="360"/>
      <c r="AG7" s="360"/>
      <c r="AH7" s="360"/>
      <c r="AI7" s="360"/>
      <c r="AJ7" s="360" t="s">
        <v>1589</v>
      </c>
      <c r="AK7" s="360"/>
      <c r="AL7" s="360" t="s">
        <v>5878</v>
      </c>
      <c r="AM7" s="360"/>
      <c r="AN7" s="360"/>
      <c r="AO7" s="360"/>
      <c r="AP7" s="360"/>
      <c r="AQ7" s="360"/>
      <c r="AR7" s="360"/>
      <c r="AS7" s="360"/>
      <c r="AT7" s="360"/>
      <c r="AU7" s="360" t="s">
        <v>22</v>
      </c>
      <c r="AV7" s="360"/>
      <c r="AW7" s="366"/>
      <c r="AX7" s="366"/>
      <c r="AY7" s="366"/>
      <c r="AZ7" s="366"/>
      <c r="BA7" s="366"/>
      <c r="BB7" s="366"/>
      <c r="BC7" s="366"/>
      <c r="BD7" s="366"/>
      <c r="BE7" s="366"/>
    </row>
    <row r="8">
      <c r="A8" s="371"/>
      <c r="B8" s="372" t="s">
        <v>8835</v>
      </c>
      <c r="C8" s="373" t="s">
        <v>8836</v>
      </c>
      <c r="D8" s="373" t="s">
        <v>8837</v>
      </c>
      <c r="E8" s="373" t="s">
        <v>8838</v>
      </c>
      <c r="F8" s="373" t="s">
        <v>8839</v>
      </c>
      <c r="G8" s="373" t="s">
        <v>8840</v>
      </c>
      <c r="H8" s="373" t="s">
        <v>8841</v>
      </c>
      <c r="I8" s="373" t="s">
        <v>8842</v>
      </c>
      <c r="J8" s="373" t="s">
        <v>8843</v>
      </c>
      <c r="K8" s="373" t="s">
        <v>8844</v>
      </c>
      <c r="L8" s="374" t="s">
        <v>8845</v>
      </c>
      <c r="M8" s="371" t="s">
        <v>22</v>
      </c>
      <c r="N8" s="371"/>
      <c r="O8" s="371" t="s">
        <v>22</v>
      </c>
      <c r="P8" s="371"/>
      <c r="Q8" s="371"/>
      <c r="R8" s="371"/>
      <c r="S8" s="371"/>
      <c r="T8" s="371"/>
      <c r="U8" s="371"/>
      <c r="V8" s="371"/>
      <c r="W8" s="371"/>
      <c r="X8" s="371" t="s">
        <v>8846</v>
      </c>
      <c r="Y8" s="371" t="s">
        <v>8845</v>
      </c>
      <c r="Z8" s="371"/>
      <c r="AA8" s="371" t="s">
        <v>8836</v>
      </c>
      <c r="AB8" s="360"/>
      <c r="AC8" s="360"/>
      <c r="AD8" s="360"/>
      <c r="AE8" s="360"/>
      <c r="AF8" s="360"/>
      <c r="AG8" s="360"/>
      <c r="AH8" s="360"/>
      <c r="AI8" s="360" t="s">
        <v>8847</v>
      </c>
      <c r="AJ8" s="360" t="s">
        <v>1589</v>
      </c>
      <c r="AK8" s="360"/>
      <c r="AL8" s="360" t="s">
        <v>5878</v>
      </c>
      <c r="AM8" s="360"/>
      <c r="AN8" s="360"/>
      <c r="AO8" s="360"/>
      <c r="AP8" s="360"/>
      <c r="AQ8" s="360"/>
      <c r="AR8" s="360"/>
      <c r="AS8" s="360"/>
      <c r="AT8" s="360"/>
      <c r="AU8" s="360" t="s">
        <v>22</v>
      </c>
      <c r="AV8" s="360"/>
      <c r="AW8" s="366"/>
      <c r="AX8" s="366"/>
      <c r="AY8" s="366"/>
      <c r="AZ8" s="366"/>
      <c r="BA8" s="366"/>
      <c r="BB8" s="366"/>
      <c r="BC8" s="366"/>
      <c r="BD8" s="366"/>
      <c r="BE8" s="366"/>
    </row>
    <row r="9">
      <c r="A9" s="375"/>
      <c r="B9" s="376" t="s">
        <v>0</v>
      </c>
      <c r="C9" s="377" t="s">
        <v>381</v>
      </c>
      <c r="D9" s="378" t="s">
        <v>382</v>
      </c>
      <c r="E9" s="378" t="s">
        <v>383</v>
      </c>
      <c r="F9" s="379" t="s">
        <v>384</v>
      </c>
      <c r="G9" s="379" t="s">
        <v>385</v>
      </c>
      <c r="H9" s="379" t="s">
        <v>386</v>
      </c>
      <c r="I9" s="379" t="s">
        <v>387</v>
      </c>
      <c r="J9" s="379" t="s">
        <v>388</v>
      </c>
      <c r="K9" s="380"/>
      <c r="L9" s="381" t="s">
        <v>389</v>
      </c>
      <c r="M9" s="375" t="s">
        <v>22</v>
      </c>
      <c r="N9" s="375"/>
      <c r="O9" s="375" t="s">
        <v>22</v>
      </c>
      <c r="P9" s="375"/>
      <c r="Q9" s="375"/>
      <c r="R9" s="375"/>
      <c r="S9" s="375"/>
      <c r="T9" s="375"/>
      <c r="U9" s="375"/>
      <c r="V9" s="375"/>
      <c r="W9" s="375"/>
      <c r="X9" s="375" t="s">
        <v>387</v>
      </c>
      <c r="Y9" s="375" t="s">
        <v>389</v>
      </c>
      <c r="Z9" s="375"/>
      <c r="AA9" s="382" t="s">
        <v>381</v>
      </c>
      <c r="AB9" s="360"/>
      <c r="AC9" s="360"/>
      <c r="AD9" s="360"/>
      <c r="AE9" s="360"/>
      <c r="AF9" s="360"/>
      <c r="AG9" s="360"/>
      <c r="AH9" s="360"/>
      <c r="AI9" s="360" t="s">
        <v>382</v>
      </c>
      <c r="AJ9" s="360" t="s">
        <v>1589</v>
      </c>
      <c r="AK9" s="360"/>
      <c r="AL9" s="360" t="s">
        <v>5878</v>
      </c>
      <c r="AM9" s="360"/>
      <c r="AN9" s="360"/>
      <c r="AO9" s="360"/>
      <c r="AP9" s="360"/>
      <c r="AQ9" s="360"/>
      <c r="AR9" s="360"/>
      <c r="AS9" s="360"/>
      <c r="AT9" s="360"/>
      <c r="AU9" s="360" t="s">
        <v>22</v>
      </c>
      <c r="AV9" s="360"/>
      <c r="AW9" s="366"/>
      <c r="AX9" s="366"/>
      <c r="AY9" s="366"/>
      <c r="AZ9" s="366"/>
      <c r="BA9" s="366"/>
      <c r="BB9" s="366"/>
      <c r="BC9" s="366"/>
      <c r="BD9" s="366"/>
      <c r="BE9" s="366"/>
    </row>
    <row r="10">
      <c r="A10" s="264"/>
      <c r="B10" s="359"/>
      <c r="C10" s="359"/>
      <c r="D10" s="359"/>
      <c r="E10" s="359"/>
      <c r="F10" s="359"/>
      <c r="G10" s="359"/>
      <c r="H10" s="359"/>
      <c r="I10" s="359"/>
      <c r="J10" s="359"/>
      <c r="K10" s="359"/>
      <c r="L10" s="359"/>
      <c r="M10" s="359"/>
      <c r="N10" s="359"/>
      <c r="O10" s="359"/>
      <c r="P10" s="359"/>
      <c r="Q10" s="359"/>
      <c r="R10" s="359"/>
      <c r="S10" s="359"/>
      <c r="T10" s="264"/>
      <c r="U10" s="360"/>
      <c r="V10" s="360"/>
      <c r="W10" s="360"/>
      <c r="X10" s="360"/>
      <c r="Y10" s="360"/>
      <c r="Z10" s="360"/>
      <c r="AA10" s="360"/>
      <c r="AB10" s="360"/>
      <c r="AC10" s="360"/>
      <c r="AD10" s="360"/>
      <c r="AE10" s="360"/>
      <c r="AF10" s="360"/>
      <c r="AG10" s="360"/>
      <c r="AH10" s="360"/>
      <c r="AI10" s="360"/>
      <c r="AJ10" s="360"/>
      <c r="AK10" s="360"/>
      <c r="AL10" s="360"/>
      <c r="AM10" s="360"/>
      <c r="AN10" s="360"/>
      <c r="AO10" s="360"/>
      <c r="AP10" s="360"/>
      <c r="AQ10" s="360"/>
      <c r="AR10" s="360"/>
      <c r="AS10" s="360"/>
      <c r="AT10" s="360"/>
      <c r="AU10" s="360"/>
      <c r="AV10" s="360"/>
      <c r="AW10" s="264"/>
      <c r="AX10" s="264"/>
      <c r="AY10" s="264"/>
      <c r="AZ10" s="264"/>
      <c r="BA10" s="264"/>
      <c r="BB10" s="264"/>
      <c r="BC10" s="264"/>
      <c r="BD10" s="264"/>
      <c r="BE10" s="264"/>
    </row>
    <row r="11">
      <c r="A11" s="264"/>
      <c r="B11" s="359"/>
      <c r="C11" s="359"/>
      <c r="D11" s="359"/>
      <c r="E11" s="359"/>
      <c r="F11" s="359"/>
      <c r="G11" s="359"/>
      <c r="H11" s="359"/>
      <c r="I11" s="359"/>
      <c r="J11" s="359"/>
      <c r="K11" s="359"/>
      <c r="L11" s="359"/>
      <c r="M11" s="359"/>
      <c r="N11" s="359"/>
      <c r="O11" s="359"/>
      <c r="P11" s="359"/>
      <c r="Q11" s="359"/>
      <c r="R11" s="359"/>
      <c r="S11" s="359"/>
      <c r="T11" s="264"/>
      <c r="U11" s="360"/>
      <c r="V11" s="360"/>
      <c r="W11" s="360"/>
      <c r="X11" s="360"/>
      <c r="Y11" s="360"/>
      <c r="Z11" s="360"/>
      <c r="AA11" s="360"/>
      <c r="AB11" s="360"/>
      <c r="AC11" s="360"/>
      <c r="AD11" s="360"/>
      <c r="AE11" s="360"/>
      <c r="AF11" s="360"/>
      <c r="AG11" s="360"/>
      <c r="AH11" s="360"/>
      <c r="AI11" s="360"/>
      <c r="AJ11" s="360"/>
      <c r="AK11" s="360"/>
      <c r="AL11" s="360"/>
      <c r="AM11" s="360"/>
      <c r="AN11" s="360"/>
      <c r="AO11" s="360"/>
      <c r="AP11" s="360"/>
      <c r="AQ11" s="360"/>
      <c r="AR11" s="360"/>
      <c r="AS11" s="360"/>
      <c r="AT11" s="360"/>
      <c r="AU11" s="360"/>
      <c r="AV11" s="360"/>
      <c r="AW11" s="264"/>
      <c r="AX11" s="264"/>
      <c r="AY11" s="264"/>
      <c r="AZ11" s="264"/>
      <c r="BA11" s="264"/>
      <c r="BB11" s="264"/>
      <c r="BC11" s="264"/>
      <c r="BD11" s="264"/>
      <c r="BE11" s="264"/>
    </row>
    <row r="12">
      <c r="A12" s="264"/>
      <c r="B12" s="383" t="s">
        <v>8848</v>
      </c>
      <c r="C12" s="362"/>
      <c r="D12" s="362"/>
      <c r="E12" s="362"/>
      <c r="F12" s="362"/>
      <c r="G12" s="362"/>
      <c r="H12" s="362"/>
      <c r="I12" s="362"/>
      <c r="J12" s="362"/>
      <c r="K12" s="362"/>
      <c r="L12" s="362"/>
      <c r="M12" s="362"/>
      <c r="N12" s="362"/>
      <c r="O12" s="362"/>
      <c r="P12" s="362"/>
      <c r="Q12" s="362"/>
      <c r="R12" s="362"/>
      <c r="S12" s="362"/>
      <c r="T12" s="384"/>
      <c r="U12" s="385"/>
      <c r="V12" s="385"/>
      <c r="W12" s="385"/>
      <c r="X12" s="385"/>
      <c r="Y12" s="385"/>
      <c r="Z12" s="385"/>
      <c r="AA12" s="386" t="s">
        <v>8849</v>
      </c>
      <c r="AB12" s="362"/>
      <c r="AC12" s="362"/>
      <c r="AD12" s="362"/>
      <c r="AE12" s="362"/>
      <c r="AF12" s="362"/>
      <c r="AG12" s="362"/>
      <c r="AH12" s="362"/>
      <c r="AI12" s="362"/>
      <c r="AJ12" s="362"/>
      <c r="AK12" s="362"/>
      <c r="AL12" s="362"/>
      <c r="AM12" s="362"/>
      <c r="AN12" s="362"/>
      <c r="AO12" s="362"/>
      <c r="AP12" s="362"/>
      <c r="AQ12" s="362"/>
      <c r="AR12" s="362"/>
      <c r="AS12" s="362"/>
      <c r="AT12" s="362"/>
      <c r="AU12" s="362"/>
      <c r="AV12" s="349"/>
      <c r="AW12" s="264"/>
      <c r="AX12" s="264"/>
      <c r="AY12" s="264"/>
      <c r="AZ12" s="264"/>
      <c r="BA12" s="264"/>
      <c r="BB12" s="264"/>
      <c r="BC12" s="264"/>
      <c r="BD12" s="264"/>
      <c r="BE12" s="264"/>
    </row>
    <row r="13">
      <c r="A13" s="264"/>
      <c r="B13" s="367" t="s">
        <v>8828</v>
      </c>
      <c r="C13" s="359" t="s">
        <v>8850</v>
      </c>
      <c r="D13" s="359" t="s">
        <v>8851</v>
      </c>
      <c r="E13" s="359" t="s">
        <v>8852</v>
      </c>
      <c r="F13" s="359" t="s">
        <v>8853</v>
      </c>
      <c r="G13" s="359" t="s">
        <v>8854</v>
      </c>
      <c r="H13" s="359" t="s">
        <v>8855</v>
      </c>
      <c r="I13" s="359" t="s">
        <v>8856</v>
      </c>
      <c r="J13" s="359" t="s">
        <v>8857</v>
      </c>
      <c r="K13" s="359" t="s">
        <v>8858</v>
      </c>
      <c r="L13" s="359" t="s">
        <v>8859</v>
      </c>
      <c r="M13" s="359" t="s">
        <v>8860</v>
      </c>
      <c r="N13" s="359" t="s">
        <v>8861</v>
      </c>
      <c r="O13" s="359" t="s">
        <v>8862</v>
      </c>
      <c r="P13" s="359" t="s">
        <v>8863</v>
      </c>
      <c r="Q13" s="359" t="s">
        <v>8864</v>
      </c>
      <c r="R13" s="359" t="s">
        <v>8865</v>
      </c>
      <c r="S13" s="359" t="s">
        <v>8866</v>
      </c>
      <c r="T13" s="359" t="s">
        <v>8867</v>
      </c>
      <c r="U13" s="359" t="s">
        <v>8868</v>
      </c>
      <c r="V13" s="359" t="s">
        <v>8869</v>
      </c>
      <c r="W13" s="359" t="s">
        <v>8870</v>
      </c>
      <c r="X13" s="359" t="s">
        <v>8871</v>
      </c>
      <c r="Y13" s="359" t="s">
        <v>8872</v>
      </c>
      <c r="Z13" s="359" t="s">
        <v>8873</v>
      </c>
      <c r="AA13" s="359" t="s">
        <v>8874</v>
      </c>
      <c r="AB13" s="359" t="s">
        <v>8875</v>
      </c>
      <c r="AC13" s="359" t="s">
        <v>8876</v>
      </c>
      <c r="AD13" s="359" t="s">
        <v>8877</v>
      </c>
      <c r="AE13" s="359" t="s">
        <v>8878</v>
      </c>
      <c r="AF13" s="359" t="s">
        <v>8879</v>
      </c>
      <c r="AG13" s="359" t="s">
        <v>8880</v>
      </c>
      <c r="AH13" s="359" t="s">
        <v>8881</v>
      </c>
      <c r="AI13" s="359" t="s">
        <v>8882</v>
      </c>
      <c r="AJ13" s="359" t="s">
        <v>8883</v>
      </c>
      <c r="AK13" s="359" t="s">
        <v>8884</v>
      </c>
      <c r="AL13" s="359" t="s">
        <v>8885</v>
      </c>
      <c r="AM13" s="359" t="s">
        <v>8886</v>
      </c>
      <c r="AN13" s="359" t="s">
        <v>8887</v>
      </c>
      <c r="AO13" s="359" t="s">
        <v>8888</v>
      </c>
      <c r="AP13" s="359" t="s">
        <v>8889</v>
      </c>
      <c r="AQ13" s="359" t="s">
        <v>8890</v>
      </c>
      <c r="AR13" s="359" t="s">
        <v>8891</v>
      </c>
      <c r="AS13" s="359" t="s">
        <v>8892</v>
      </c>
      <c r="AT13" s="359" t="s">
        <v>8893</v>
      </c>
      <c r="AU13" s="359" t="s">
        <v>8894</v>
      </c>
      <c r="AV13" s="368" t="s">
        <v>8895</v>
      </c>
      <c r="AW13" s="264"/>
      <c r="AX13" s="264"/>
      <c r="AY13" s="264"/>
      <c r="AZ13" s="264"/>
      <c r="BA13" s="264"/>
      <c r="BB13" s="264"/>
      <c r="BC13" s="264"/>
      <c r="BD13" s="264"/>
      <c r="BE13" s="264"/>
    </row>
    <row r="14">
      <c r="A14" s="371"/>
      <c r="B14" s="387" t="s">
        <v>5843</v>
      </c>
      <c r="C14" s="387" t="s">
        <v>5844</v>
      </c>
      <c r="D14" s="387" t="s">
        <v>1531</v>
      </c>
      <c r="E14" s="387" t="s">
        <v>5845</v>
      </c>
      <c r="F14" s="387" t="s">
        <v>5846</v>
      </c>
      <c r="G14" s="388" t="s">
        <v>5847</v>
      </c>
      <c r="H14" s="388" t="s">
        <v>5848</v>
      </c>
      <c r="I14" s="388" t="s">
        <v>5849</v>
      </c>
      <c r="J14" s="388" t="s">
        <v>5850</v>
      </c>
      <c r="K14" s="388" t="s">
        <v>5851</v>
      </c>
      <c r="L14" s="388" t="s">
        <v>5852</v>
      </c>
      <c r="M14" s="388" t="str">
        <f t="array" ref="M14:M1014">{"ПОДХОДЯЩАЯ ЦЕНА              ЗАПЧАСТИ*"; BYROW(H15:L1014, LAMBDA(row, IF(COUNT(row)&gt;0, MAX(row), "")))}</f>
        <v>ПОДХОДЯЩАЯ ЦЕНА              ЗАПЧАСТИ*</v>
      </c>
      <c r="N14" s="389" t="s">
        <v>5853</v>
      </c>
      <c r="O14" s="388" t="str">
        <f t="array" ref="O14:O1014">{"СТОИМОСТЬ ЗАПЧАСТИ С НАЦЕНКОЙ*"; IF(M15:M1014&lt;&gt;"", MROUND(M15:M1014*(1+N15:N1014), 50), "")}</f>
        <v>СТОИМОСТЬ ЗАПЧАСТИ С НАЦЕНКОЙ*</v>
      </c>
      <c r="P14" s="388" t="s">
        <v>5854</v>
      </c>
      <c r="Q14" s="388" t="s">
        <v>5855</v>
      </c>
      <c r="R14" s="387" t="s">
        <v>5856</v>
      </c>
      <c r="S14" s="387" t="s">
        <v>5857</v>
      </c>
      <c r="T14" s="371"/>
      <c r="U14" s="390" t="s">
        <v>5858</v>
      </c>
      <c r="V14" s="391" t="s">
        <v>5859</v>
      </c>
      <c r="W14" s="392"/>
      <c r="X14" s="393" t="str">
        <f t="array" ref="X14:X1014">{"ЦЕНА ICOMPONENTS*"; I15:I1014}</f>
        <v>ЦЕНА ICOMPONENTS*</v>
      </c>
      <c r="Y14" s="394" t="str">
        <f t="array" ref="Y14:Y1014">{"ЦЕНА              MOS - LCD*"; L15:L1014}</f>
        <v>ЦЕНА              MOS - LCD*</v>
      </c>
      <c r="Z14" s="392"/>
      <c r="AA14" s="395" t="str">
        <f t="array" ref="AA14:AA1014">{"ID*"; C15:C1014}</f>
        <v>ID*</v>
      </c>
      <c r="AB14" s="396" t="str">
        <f t="array" ref="AB14:AB1014">{"КОД*"; AA15:AA1014}</f>
        <v>КОД*</v>
      </c>
      <c r="AC14" s="396" t="s">
        <v>5860</v>
      </c>
      <c r="AD14" s="396" t="str">
        <f t="array" ref="AD14:AD1014">{"ШТРИХКОД*"; AA15:AA1014}</f>
        <v>ШТРИХКОД*</v>
      </c>
      <c r="AE14" s="397" t="str">
        <f t="array" ref="AE14:AE1014">{"Наименование*"; B15:B1014}</f>
        <v>Наименование*</v>
      </c>
      <c r="AF14" s="396" t="s">
        <v>388</v>
      </c>
      <c r="AG14" s="396" t="str">
        <f t="array" ref="AG14:AG1014">{ "Единица измерения*" ; IF(AG15:AG1014 &lt;&gt; "", "pcs", "pcs") }</f>
        <v>Единица измерения*</v>
      </c>
      <c r="AH14" s="396" t="s">
        <v>5861</v>
      </c>
      <c r="AI14" s="396" t="str">
        <f t="array" ref="AI14:AI1014">{"Гарантия*"; D15:D1014}</f>
        <v>Гарантия*</v>
      </c>
      <c r="AJ14" s="396" t="str">
        <f t="array" ref="AJ14:AJ1014">{ "Гарантийный период*" ; IF(AJ15:AJ1014 &lt;&gt; "", "дн", "дн") }</f>
        <v>Гарантийный период*</v>
      </c>
      <c r="AK14" s="396" t="s">
        <v>5862</v>
      </c>
      <c r="AL14" s="396" t="str">
        <f t="array" ref="AL14:AL1014">{ "Включить отслеживание срока годности*" ; IF(AL15:AL1014 &lt;&gt; "", "нет", "нет") }</f>
        <v>Включить отслеживание срока годности*</v>
      </c>
      <c r="AM14" s="396" t="s">
        <v>5863</v>
      </c>
      <c r="AN14" s="396" t="s">
        <v>5864</v>
      </c>
      <c r="AO14" s="396" t="s">
        <v>5865</v>
      </c>
      <c r="AP14" s="396" t="s">
        <v>5866</v>
      </c>
      <c r="AQ14" s="396" t="s">
        <v>5867</v>
      </c>
      <c r="AR14" s="396" t="s">
        <v>5868</v>
      </c>
      <c r="AS14" s="396" t="s">
        <v>5869</v>
      </c>
      <c r="AT14" s="396" t="s">
        <v>5870</v>
      </c>
      <c r="AU14" s="398" t="str">
        <f t="array" ref="AU14:AU1014">{"Закупочная*"; M15:M1014}</f>
        <v>Закупочная*</v>
      </c>
      <c r="AV14" s="399" t="str">
        <f t="array" ref="AV14:AV1014">{"Розничная*"; Q15:Q1014}</f>
        <v>Розничная*</v>
      </c>
      <c r="AW14" s="371"/>
      <c r="AX14" s="371"/>
      <c r="AY14" s="371"/>
      <c r="AZ14" s="371"/>
      <c r="BA14" s="371"/>
      <c r="BB14" s="371"/>
      <c r="BC14" s="371"/>
      <c r="BD14" s="371"/>
      <c r="BE14" s="371"/>
    </row>
    <row r="15">
      <c r="A15" s="371"/>
      <c r="B15" s="400" t="s">
        <v>5871</v>
      </c>
      <c r="C15" s="401" t="s">
        <v>5872</v>
      </c>
      <c r="D15" s="401">
        <v>180.0</v>
      </c>
      <c r="E15" s="402" t="str">
        <f>LEFT(B15,FIND("[",B15) - 2)</f>
        <v>iPhone 5</v>
      </c>
      <c r="F15" s="402" t="s">
        <v>5873</v>
      </c>
      <c r="G15" s="403" t="s">
        <v>5874</v>
      </c>
      <c r="H15" s="404"/>
      <c r="I15" s="405">
        <v>430.0</v>
      </c>
      <c r="J15" s="406"/>
      <c r="K15" s="404"/>
      <c r="L15" s="407">
        <v>340.0</v>
      </c>
      <c r="M15" s="408">
        <v>430.0</v>
      </c>
      <c r="N15" s="409">
        <v>0.12</v>
      </c>
      <c r="O15" s="410">
        <v>500.0</v>
      </c>
      <c r="P15" s="411">
        <f t="shared" ref="P15:Q15" si="1">O15</f>
        <v>500</v>
      </c>
      <c r="Q15" s="412">
        <f t="shared" si="1"/>
        <v>500</v>
      </c>
      <c r="R15" s="413" t="s">
        <v>5875</v>
      </c>
      <c r="S15" s="414">
        <v>46140.38005681713</v>
      </c>
      <c r="T15" s="415"/>
      <c r="U15" s="416">
        <f>IF(I15&gt;0, Q15 - I15, "нет з/ч")</f>
        <v>70</v>
      </c>
      <c r="V15" s="417">
        <f>IF(L15&gt;0, Q15 - L15, "нет з/ч")</f>
        <v>160</v>
      </c>
      <c r="W15" s="418"/>
      <c r="X15" s="419">
        <v>430.0</v>
      </c>
      <c r="Y15" s="420">
        <v>340.0</v>
      </c>
      <c r="Z15" s="418"/>
      <c r="AA15" s="421" t="s">
        <v>5872</v>
      </c>
      <c r="AB15" s="421" t="s">
        <v>5872</v>
      </c>
      <c r="AC15" s="418"/>
      <c r="AD15" s="421" t="s">
        <v>5872</v>
      </c>
      <c r="AE15" s="422" t="s">
        <v>5871</v>
      </c>
      <c r="AF15" s="418"/>
      <c r="AG15" s="421" t="s">
        <v>1582</v>
      </c>
      <c r="AH15" s="421" t="s">
        <v>5876</v>
      </c>
      <c r="AI15" s="421">
        <v>180.0</v>
      </c>
      <c r="AJ15" s="421" t="s">
        <v>1589</v>
      </c>
      <c r="AK15" s="421" t="s">
        <v>5877</v>
      </c>
      <c r="AL15" s="421" t="s">
        <v>5878</v>
      </c>
      <c r="AM15" s="418"/>
      <c r="AN15" s="418"/>
      <c r="AO15" s="418"/>
      <c r="AP15" s="418"/>
      <c r="AQ15" s="418"/>
      <c r="AR15" s="418"/>
      <c r="AS15" s="418"/>
      <c r="AT15" s="418"/>
      <c r="AU15" s="423">
        <v>430.0</v>
      </c>
      <c r="AV15" s="417">
        <v>500.0</v>
      </c>
      <c r="AW15" s="371"/>
      <c r="AX15" s="371"/>
      <c r="AY15" s="371"/>
      <c r="AZ15" s="371"/>
      <c r="BA15" s="371"/>
      <c r="BB15" s="371"/>
      <c r="BC15" s="371"/>
      <c r="BD15" s="371"/>
      <c r="BE15" s="371"/>
    </row>
    <row r="16">
      <c r="A16" s="366"/>
      <c r="B16" s="366"/>
      <c r="C16" s="366"/>
      <c r="D16" s="366"/>
      <c r="E16" s="366"/>
      <c r="F16" s="366"/>
      <c r="G16" s="366"/>
      <c r="H16" s="366"/>
      <c r="I16" s="366"/>
      <c r="J16" s="366"/>
      <c r="K16" s="366"/>
      <c r="L16" s="366"/>
      <c r="M16" s="366" t="s">
        <v>22</v>
      </c>
      <c r="N16" s="366"/>
      <c r="O16" s="366" t="s">
        <v>22</v>
      </c>
      <c r="P16" s="366"/>
      <c r="Q16" s="366"/>
      <c r="R16" s="366"/>
      <c r="S16" s="366"/>
      <c r="T16" s="366"/>
      <c r="U16" s="360"/>
      <c r="V16" s="360"/>
      <c r="W16" s="360"/>
      <c r="X16" s="360"/>
      <c r="Y16" s="360"/>
      <c r="Z16" s="360"/>
      <c r="AA16" s="360"/>
      <c r="AB16" s="360"/>
      <c r="AC16" s="360"/>
      <c r="AD16" s="360"/>
      <c r="AE16" s="360"/>
      <c r="AF16" s="360"/>
      <c r="AG16" s="360" t="s">
        <v>1582</v>
      </c>
      <c r="AH16" s="360"/>
      <c r="AI16" s="360"/>
      <c r="AJ16" s="360" t="s">
        <v>1589</v>
      </c>
      <c r="AK16" s="360"/>
      <c r="AL16" s="360" t="s">
        <v>5878</v>
      </c>
      <c r="AM16" s="360"/>
      <c r="AN16" s="360"/>
      <c r="AO16" s="360"/>
      <c r="AP16" s="360"/>
      <c r="AQ16" s="360"/>
      <c r="AR16" s="360"/>
      <c r="AS16" s="360"/>
      <c r="AT16" s="360"/>
      <c r="AU16" s="360" t="s">
        <v>22</v>
      </c>
      <c r="AV16" s="360"/>
      <c r="AW16" s="366"/>
      <c r="AX16" s="366"/>
      <c r="AY16" s="366"/>
      <c r="AZ16" s="366"/>
      <c r="BA16" s="366"/>
      <c r="BB16" s="366"/>
      <c r="BC16" s="366"/>
      <c r="BD16" s="366"/>
      <c r="BE16" s="366"/>
    </row>
    <row r="17">
      <c r="A17" s="366"/>
      <c r="B17" s="366"/>
      <c r="C17" s="366"/>
      <c r="D17" s="366"/>
      <c r="E17" s="366"/>
      <c r="F17" s="366"/>
      <c r="G17" s="366"/>
      <c r="H17" s="366"/>
      <c r="I17" s="366"/>
      <c r="J17" s="366"/>
      <c r="K17" s="366"/>
      <c r="L17" s="366"/>
      <c r="M17" s="366" t="s">
        <v>22</v>
      </c>
      <c r="N17" s="366"/>
      <c r="O17" s="366" t="s">
        <v>22</v>
      </c>
      <c r="P17" s="366"/>
      <c r="Q17" s="366"/>
      <c r="R17" s="366"/>
      <c r="S17" s="366"/>
      <c r="T17" s="366"/>
      <c r="U17" s="360"/>
      <c r="V17" s="360"/>
      <c r="W17" s="360"/>
      <c r="X17" s="360"/>
      <c r="Y17" s="360"/>
      <c r="Z17" s="360"/>
      <c r="AA17" s="360"/>
      <c r="AB17" s="360"/>
      <c r="AC17" s="360"/>
      <c r="AD17" s="360"/>
      <c r="AE17" s="360"/>
      <c r="AF17" s="360"/>
      <c r="AG17" s="360" t="s">
        <v>1582</v>
      </c>
      <c r="AH17" s="360"/>
      <c r="AI17" s="360"/>
      <c r="AJ17" s="360" t="s">
        <v>1589</v>
      </c>
      <c r="AK17" s="360"/>
      <c r="AL17" s="360" t="s">
        <v>5878</v>
      </c>
      <c r="AM17" s="360"/>
      <c r="AN17" s="360"/>
      <c r="AO17" s="360"/>
      <c r="AP17" s="360"/>
      <c r="AQ17" s="360"/>
      <c r="AR17" s="360"/>
      <c r="AS17" s="360"/>
      <c r="AT17" s="360"/>
      <c r="AU17" s="360" t="s">
        <v>22</v>
      </c>
      <c r="AV17" s="360"/>
      <c r="AW17" s="366"/>
      <c r="AX17" s="366"/>
      <c r="AY17" s="366"/>
      <c r="AZ17" s="366"/>
      <c r="BA17" s="366"/>
      <c r="BB17" s="366"/>
      <c r="BC17" s="366"/>
      <c r="BD17" s="366"/>
      <c r="BE17" s="366"/>
    </row>
    <row r="18">
      <c r="M18" s="77" t="s">
        <v>22</v>
      </c>
      <c r="O18" s="77" t="s">
        <v>22</v>
      </c>
      <c r="X18" s="77"/>
      <c r="Y18" s="77"/>
      <c r="AA18" s="77"/>
      <c r="AB18" s="77"/>
      <c r="AD18" s="77"/>
      <c r="AE18" s="77"/>
      <c r="AG18" s="77" t="s">
        <v>1582</v>
      </c>
      <c r="AI18" s="77"/>
      <c r="AJ18" s="77" t="s">
        <v>1589</v>
      </c>
      <c r="AL18" s="77" t="s">
        <v>5878</v>
      </c>
      <c r="AU18" s="77" t="s">
        <v>22</v>
      </c>
      <c r="AV18" s="77"/>
    </row>
    <row r="19">
      <c r="M19" s="77" t="s">
        <v>22</v>
      </c>
      <c r="O19" s="77" t="s">
        <v>22</v>
      </c>
      <c r="X19" s="77"/>
      <c r="Y19" s="77"/>
      <c r="AA19" s="77"/>
      <c r="AB19" s="77"/>
      <c r="AD19" s="77"/>
      <c r="AE19" s="77"/>
      <c r="AG19" s="77" t="s">
        <v>1582</v>
      </c>
      <c r="AI19" s="77"/>
      <c r="AJ19" s="77" t="s">
        <v>1589</v>
      </c>
      <c r="AL19" s="77" t="s">
        <v>5878</v>
      </c>
      <c r="AU19" s="77" t="s">
        <v>22</v>
      </c>
      <c r="AV19" s="77"/>
    </row>
    <row r="20">
      <c r="B20" s="424" t="s">
        <v>8896</v>
      </c>
      <c r="M20" s="77" t="s">
        <v>22</v>
      </c>
      <c r="O20" s="77" t="s">
        <v>22</v>
      </c>
      <c r="X20" s="77"/>
      <c r="Y20" s="77"/>
      <c r="AA20" s="77"/>
      <c r="AB20" s="77"/>
      <c r="AD20" s="77"/>
      <c r="AE20" s="77" t="s">
        <v>8896</v>
      </c>
      <c r="AG20" s="77" t="s">
        <v>1582</v>
      </c>
      <c r="AI20" s="77"/>
      <c r="AJ20" s="77" t="s">
        <v>1589</v>
      </c>
      <c r="AL20" s="77" t="s">
        <v>5878</v>
      </c>
      <c r="AU20" s="77" t="s">
        <v>22</v>
      </c>
      <c r="AV20" s="77"/>
    </row>
    <row r="21">
      <c r="B21" s="424" t="s">
        <v>382</v>
      </c>
      <c r="C21" s="424" t="s">
        <v>8897</v>
      </c>
      <c r="E21" s="424" t="s">
        <v>8898</v>
      </c>
      <c r="M21" s="77" t="s">
        <v>22</v>
      </c>
      <c r="O21" s="77" t="s">
        <v>22</v>
      </c>
      <c r="X21" s="77"/>
      <c r="Y21" s="77"/>
      <c r="AA21" s="77" t="s">
        <v>8897</v>
      </c>
      <c r="AB21" s="77" t="s">
        <v>8897</v>
      </c>
      <c r="AD21" s="77" t="s">
        <v>8897</v>
      </c>
      <c r="AE21" s="77" t="s">
        <v>382</v>
      </c>
      <c r="AG21" s="77" t="s">
        <v>1582</v>
      </c>
      <c r="AI21" s="77"/>
      <c r="AJ21" s="77" t="s">
        <v>1589</v>
      </c>
      <c r="AL21" s="77" t="s">
        <v>5878</v>
      </c>
      <c r="AU21" s="77" t="s">
        <v>22</v>
      </c>
      <c r="AV21" s="77"/>
    </row>
    <row r="22">
      <c r="B22" s="424" t="s">
        <v>3</v>
      </c>
      <c r="C22" s="424" t="s">
        <v>8899</v>
      </c>
      <c r="E22" s="424" t="s">
        <v>8900</v>
      </c>
      <c r="M22" s="77" t="s">
        <v>22</v>
      </c>
      <c r="O22" s="77" t="s">
        <v>22</v>
      </c>
      <c r="X22" s="77"/>
      <c r="Y22" s="77"/>
      <c r="AA22" s="77" t="s">
        <v>8899</v>
      </c>
      <c r="AB22" s="77" t="s">
        <v>8899</v>
      </c>
      <c r="AD22" s="77" t="s">
        <v>8899</v>
      </c>
      <c r="AE22" s="77" t="s">
        <v>3</v>
      </c>
      <c r="AG22" s="77" t="s">
        <v>1582</v>
      </c>
      <c r="AI22" s="77"/>
      <c r="AJ22" s="77" t="s">
        <v>1589</v>
      </c>
      <c r="AL22" s="77" t="s">
        <v>5878</v>
      </c>
      <c r="AU22" s="77" t="s">
        <v>22</v>
      </c>
      <c r="AV22" s="77"/>
    </row>
    <row r="23">
      <c r="B23" s="424" t="s">
        <v>8901</v>
      </c>
      <c r="C23" s="424" t="s">
        <v>8902</v>
      </c>
      <c r="E23" s="424" t="s">
        <v>8900</v>
      </c>
      <c r="M23" s="77" t="s">
        <v>22</v>
      </c>
      <c r="O23" s="77" t="s">
        <v>22</v>
      </c>
      <c r="X23" s="77"/>
      <c r="Y23" s="77"/>
      <c r="AA23" s="77" t="s">
        <v>8902</v>
      </c>
      <c r="AB23" s="77" t="s">
        <v>8902</v>
      </c>
      <c r="AD23" s="77" t="s">
        <v>8902</v>
      </c>
      <c r="AE23" s="77" t="s">
        <v>8901</v>
      </c>
      <c r="AG23" s="77" t="s">
        <v>1582</v>
      </c>
      <c r="AI23" s="77"/>
      <c r="AJ23" s="77" t="s">
        <v>1589</v>
      </c>
      <c r="AL23" s="77" t="s">
        <v>5878</v>
      </c>
      <c r="AU23" s="77" t="s">
        <v>22</v>
      </c>
      <c r="AV23" s="77"/>
    </row>
    <row r="24">
      <c r="B24" s="424" t="s">
        <v>8903</v>
      </c>
      <c r="C24" s="424" t="s">
        <v>8904</v>
      </c>
      <c r="E24" s="424" t="s">
        <v>8900</v>
      </c>
      <c r="M24" s="77" t="s">
        <v>22</v>
      </c>
      <c r="O24" s="77" t="s">
        <v>22</v>
      </c>
      <c r="X24" s="77"/>
      <c r="Y24" s="77"/>
      <c r="AA24" s="77" t="s">
        <v>8904</v>
      </c>
      <c r="AB24" s="77" t="s">
        <v>8904</v>
      </c>
      <c r="AD24" s="77" t="s">
        <v>8904</v>
      </c>
      <c r="AE24" s="77" t="s">
        <v>8903</v>
      </c>
      <c r="AG24" s="77" t="s">
        <v>1582</v>
      </c>
      <c r="AI24" s="77"/>
      <c r="AJ24" s="77" t="s">
        <v>1589</v>
      </c>
      <c r="AL24" s="77" t="s">
        <v>5878</v>
      </c>
      <c r="AU24" s="77" t="s">
        <v>22</v>
      </c>
      <c r="AV24" s="77"/>
    </row>
    <row r="25">
      <c r="B25" s="424" t="s">
        <v>1531</v>
      </c>
      <c r="C25" s="424" t="s">
        <v>8905</v>
      </c>
      <c r="E25" s="424" t="s">
        <v>8900</v>
      </c>
      <c r="M25" s="77" t="s">
        <v>22</v>
      </c>
      <c r="O25" s="77" t="s">
        <v>22</v>
      </c>
      <c r="X25" s="77"/>
      <c r="Y25" s="77"/>
      <c r="AA25" s="77" t="s">
        <v>8905</v>
      </c>
      <c r="AB25" s="77" t="s">
        <v>8905</v>
      </c>
      <c r="AD25" s="77" t="s">
        <v>8905</v>
      </c>
      <c r="AE25" s="77" t="s">
        <v>1531</v>
      </c>
      <c r="AG25" s="77" t="s">
        <v>1582</v>
      </c>
      <c r="AI25" s="77"/>
      <c r="AJ25" s="77" t="s">
        <v>1589</v>
      </c>
      <c r="AL25" s="77" t="s">
        <v>5878</v>
      </c>
      <c r="AU25" s="77" t="s">
        <v>22</v>
      </c>
      <c r="AV25" s="77"/>
    </row>
    <row r="26">
      <c r="A26" s="425"/>
      <c r="B26" s="426" t="s">
        <v>1528</v>
      </c>
      <c r="C26" s="426" t="s">
        <v>8906</v>
      </c>
      <c r="D26" s="425"/>
      <c r="E26" s="424" t="s">
        <v>8900</v>
      </c>
      <c r="F26" s="425"/>
      <c r="G26" s="425"/>
      <c r="H26" s="425"/>
      <c r="I26" s="425"/>
      <c r="J26" s="425"/>
      <c r="K26" s="425"/>
      <c r="L26" s="425"/>
      <c r="M26" s="425" t="s">
        <v>22</v>
      </c>
      <c r="N26" s="425"/>
      <c r="O26" s="425" t="s">
        <v>22</v>
      </c>
      <c r="P26" s="425"/>
      <c r="Q26" s="425"/>
      <c r="R26" s="425"/>
      <c r="S26" s="425"/>
      <c r="T26" s="425"/>
      <c r="U26" s="425"/>
      <c r="V26" s="425"/>
      <c r="W26" s="425"/>
      <c r="X26" s="425"/>
      <c r="Y26" s="425"/>
      <c r="Z26" s="425"/>
      <c r="AA26" s="425" t="s">
        <v>8906</v>
      </c>
      <c r="AB26" s="425" t="s">
        <v>8906</v>
      </c>
      <c r="AC26" s="425"/>
      <c r="AD26" s="425" t="s">
        <v>8906</v>
      </c>
      <c r="AE26" s="425" t="s">
        <v>1528</v>
      </c>
      <c r="AF26" s="425"/>
      <c r="AG26" s="425" t="s">
        <v>1582</v>
      </c>
      <c r="AH26" s="425"/>
      <c r="AI26" s="425"/>
      <c r="AJ26" s="425" t="s">
        <v>1589</v>
      </c>
      <c r="AK26" s="425"/>
      <c r="AL26" s="425" t="s">
        <v>5878</v>
      </c>
      <c r="AM26" s="425"/>
      <c r="AN26" s="425"/>
      <c r="AO26" s="425"/>
      <c r="AP26" s="425"/>
      <c r="AQ26" s="425"/>
      <c r="AR26" s="425"/>
      <c r="AS26" s="425"/>
      <c r="AT26" s="425"/>
      <c r="AU26" s="425" t="s">
        <v>22</v>
      </c>
      <c r="AV26" s="425"/>
      <c r="AW26" s="425"/>
      <c r="AX26" s="425"/>
      <c r="AY26" s="425"/>
      <c r="AZ26" s="425"/>
      <c r="BA26" s="425"/>
      <c r="BB26" s="425"/>
      <c r="BC26" s="425"/>
      <c r="BD26" s="425"/>
      <c r="BE26" s="425"/>
    </row>
    <row r="27">
      <c r="A27" s="366"/>
      <c r="B27" s="366"/>
      <c r="C27" s="366"/>
      <c r="D27" s="366"/>
      <c r="E27" s="366"/>
      <c r="F27" s="366"/>
      <c r="G27" s="366"/>
      <c r="H27" s="366"/>
      <c r="I27" s="366"/>
      <c r="J27" s="366"/>
      <c r="K27" s="366"/>
      <c r="L27" s="366"/>
      <c r="M27" s="366" t="s">
        <v>22</v>
      </c>
      <c r="N27" s="366"/>
      <c r="O27" s="366" t="s">
        <v>22</v>
      </c>
      <c r="P27" s="366"/>
      <c r="Q27" s="366"/>
      <c r="R27" s="366"/>
      <c r="S27" s="366"/>
      <c r="T27" s="366"/>
      <c r="U27" s="360"/>
      <c r="V27" s="360"/>
      <c r="W27" s="360"/>
      <c r="X27" s="360"/>
      <c r="Y27" s="360"/>
      <c r="Z27" s="360"/>
      <c r="AA27" s="360"/>
      <c r="AB27" s="360"/>
      <c r="AC27" s="360"/>
      <c r="AD27" s="360"/>
      <c r="AE27" s="360"/>
      <c r="AF27" s="360"/>
      <c r="AG27" s="360" t="s">
        <v>1582</v>
      </c>
      <c r="AH27" s="360"/>
      <c r="AI27" s="360"/>
      <c r="AJ27" s="360" t="s">
        <v>1589</v>
      </c>
      <c r="AK27" s="360"/>
      <c r="AL27" s="360" t="s">
        <v>5878</v>
      </c>
      <c r="AM27" s="360"/>
      <c r="AN27" s="360"/>
      <c r="AO27" s="360"/>
      <c r="AP27" s="360"/>
      <c r="AQ27" s="360"/>
      <c r="AR27" s="360"/>
      <c r="AS27" s="360"/>
      <c r="AT27" s="360"/>
      <c r="AU27" s="360" t="s">
        <v>22</v>
      </c>
      <c r="AV27" s="360"/>
      <c r="AW27" s="366"/>
      <c r="AX27" s="366"/>
      <c r="AY27" s="366"/>
      <c r="AZ27" s="366"/>
      <c r="BA27" s="366"/>
      <c r="BB27" s="366"/>
      <c r="BC27" s="366"/>
      <c r="BD27" s="366"/>
      <c r="BE27" s="366"/>
    </row>
    <row r="28">
      <c r="A28" s="366"/>
      <c r="B28" s="366"/>
      <c r="C28" s="366"/>
      <c r="D28" s="366"/>
      <c r="E28" s="366"/>
      <c r="F28" s="366"/>
      <c r="G28" s="366"/>
      <c r="H28" s="366"/>
      <c r="I28" s="366"/>
      <c r="J28" s="366"/>
      <c r="K28" s="366"/>
      <c r="L28" s="366"/>
      <c r="M28" s="366" t="s">
        <v>22</v>
      </c>
      <c r="N28" s="366"/>
      <c r="O28" s="366" t="s">
        <v>22</v>
      </c>
      <c r="P28" s="366"/>
      <c r="Q28" s="366"/>
      <c r="R28" s="366"/>
      <c r="S28" s="366"/>
      <c r="T28" s="366"/>
      <c r="U28" s="360"/>
      <c r="V28" s="360"/>
      <c r="W28" s="360"/>
      <c r="X28" s="360"/>
      <c r="Y28" s="360"/>
      <c r="Z28" s="360"/>
      <c r="AA28" s="360"/>
      <c r="AB28" s="360"/>
      <c r="AC28" s="360"/>
      <c r="AD28" s="360"/>
      <c r="AE28" s="360"/>
      <c r="AF28" s="360"/>
      <c r="AG28" s="360" t="s">
        <v>1582</v>
      </c>
      <c r="AH28" s="360"/>
      <c r="AI28" s="360"/>
      <c r="AJ28" s="360" t="s">
        <v>1589</v>
      </c>
      <c r="AK28" s="360"/>
      <c r="AL28" s="360" t="s">
        <v>5878</v>
      </c>
      <c r="AM28" s="360"/>
      <c r="AN28" s="360"/>
      <c r="AO28" s="360"/>
      <c r="AP28" s="360"/>
      <c r="AQ28" s="360"/>
      <c r="AR28" s="360"/>
      <c r="AS28" s="360"/>
      <c r="AT28" s="360"/>
      <c r="AU28" s="360" t="s">
        <v>22</v>
      </c>
      <c r="AV28" s="360"/>
      <c r="AW28" s="366"/>
      <c r="AX28" s="366"/>
      <c r="AY28" s="366"/>
      <c r="AZ28" s="366"/>
      <c r="BA28" s="366"/>
      <c r="BB28" s="366"/>
      <c r="BC28" s="366"/>
      <c r="BD28" s="366"/>
      <c r="BE28" s="366"/>
    </row>
    <row r="29">
      <c r="A29" s="366"/>
      <c r="B29" s="366"/>
      <c r="C29" s="366"/>
      <c r="D29" s="366"/>
      <c r="E29" s="366"/>
      <c r="F29" s="366"/>
      <c r="G29" s="366"/>
      <c r="H29" s="366"/>
      <c r="I29" s="366"/>
      <c r="J29" s="366"/>
      <c r="K29" s="366"/>
      <c r="L29" s="366"/>
      <c r="M29" s="366" t="s">
        <v>22</v>
      </c>
      <c r="N29" s="366"/>
      <c r="O29" s="366" t="s">
        <v>22</v>
      </c>
      <c r="P29" s="366"/>
      <c r="Q29" s="366"/>
      <c r="R29" s="366"/>
      <c r="S29" s="366"/>
      <c r="T29" s="366"/>
      <c r="U29" s="360"/>
      <c r="V29" s="360"/>
      <c r="W29" s="360"/>
      <c r="X29" s="360"/>
      <c r="Y29" s="360"/>
      <c r="Z29" s="360"/>
      <c r="AA29" s="360"/>
      <c r="AB29" s="360"/>
      <c r="AC29" s="360"/>
      <c r="AD29" s="360"/>
      <c r="AE29" s="360"/>
      <c r="AF29" s="360"/>
      <c r="AG29" s="360" t="s">
        <v>1582</v>
      </c>
      <c r="AH29" s="360"/>
      <c r="AI29" s="360"/>
      <c r="AJ29" s="360" t="s">
        <v>1589</v>
      </c>
      <c r="AK29" s="360"/>
      <c r="AL29" s="360" t="s">
        <v>5878</v>
      </c>
      <c r="AM29" s="360"/>
      <c r="AN29" s="360"/>
      <c r="AO29" s="360"/>
      <c r="AP29" s="360"/>
      <c r="AQ29" s="360"/>
      <c r="AR29" s="360"/>
      <c r="AS29" s="360"/>
      <c r="AT29" s="360"/>
      <c r="AU29" s="360" t="s">
        <v>22</v>
      </c>
      <c r="AV29" s="360"/>
      <c r="AW29" s="366"/>
      <c r="AX29" s="366"/>
      <c r="AY29" s="366"/>
      <c r="AZ29" s="366"/>
      <c r="BA29" s="366"/>
      <c r="BB29" s="366"/>
      <c r="BC29" s="366"/>
      <c r="BD29" s="366"/>
      <c r="BE29" s="366"/>
    </row>
    <row r="30">
      <c r="A30" s="366"/>
      <c r="B30" s="366"/>
      <c r="C30" s="366"/>
      <c r="D30" s="366"/>
      <c r="E30" s="366"/>
      <c r="F30" s="366"/>
      <c r="G30" s="366"/>
      <c r="H30" s="366"/>
      <c r="I30" s="366"/>
      <c r="J30" s="366"/>
      <c r="K30" s="366"/>
      <c r="L30" s="366"/>
      <c r="M30" s="366" t="s">
        <v>22</v>
      </c>
      <c r="N30" s="366"/>
      <c r="O30" s="366" t="s">
        <v>22</v>
      </c>
      <c r="P30" s="366"/>
      <c r="Q30" s="366"/>
      <c r="R30" s="366"/>
      <c r="S30" s="366"/>
      <c r="T30" s="366"/>
      <c r="U30" s="360"/>
      <c r="V30" s="360"/>
      <c r="W30" s="360"/>
      <c r="X30" s="360"/>
      <c r="Y30" s="360"/>
      <c r="Z30" s="360"/>
      <c r="AA30" s="360"/>
      <c r="AB30" s="360"/>
      <c r="AC30" s="360"/>
      <c r="AD30" s="360"/>
      <c r="AE30" s="360"/>
      <c r="AF30" s="360"/>
      <c r="AG30" s="360" t="s">
        <v>1582</v>
      </c>
      <c r="AH30" s="360"/>
      <c r="AI30" s="360"/>
      <c r="AJ30" s="360" t="s">
        <v>1589</v>
      </c>
      <c r="AK30" s="360"/>
      <c r="AL30" s="360" t="s">
        <v>5878</v>
      </c>
      <c r="AM30" s="360"/>
      <c r="AN30" s="360"/>
      <c r="AO30" s="360"/>
      <c r="AP30" s="360"/>
      <c r="AQ30" s="360"/>
      <c r="AR30" s="360"/>
      <c r="AS30" s="360"/>
      <c r="AT30" s="360"/>
      <c r="AU30" s="360" t="s">
        <v>22</v>
      </c>
      <c r="AV30" s="360"/>
      <c r="AW30" s="366"/>
      <c r="AX30" s="366"/>
      <c r="AY30" s="366"/>
      <c r="AZ30" s="366"/>
      <c r="BA30" s="366"/>
      <c r="BB30" s="366"/>
      <c r="BC30" s="366"/>
      <c r="BD30" s="366"/>
      <c r="BE30" s="366"/>
    </row>
    <row r="31">
      <c r="A31" s="366"/>
      <c r="B31" s="366"/>
      <c r="C31" s="366"/>
      <c r="D31" s="366"/>
      <c r="E31" s="366"/>
      <c r="F31" s="366"/>
      <c r="G31" s="366"/>
      <c r="H31" s="366"/>
      <c r="I31" s="366"/>
      <c r="J31" s="366"/>
      <c r="K31" s="366"/>
      <c r="L31" s="366"/>
      <c r="M31" s="366" t="s">
        <v>22</v>
      </c>
      <c r="N31" s="366"/>
      <c r="O31" s="366" t="s">
        <v>22</v>
      </c>
      <c r="P31" s="366"/>
      <c r="Q31" s="366"/>
      <c r="R31" s="366"/>
      <c r="S31" s="366"/>
      <c r="T31" s="366"/>
      <c r="U31" s="360"/>
      <c r="V31" s="360"/>
      <c r="W31" s="360"/>
      <c r="X31" s="360"/>
      <c r="Y31" s="360"/>
      <c r="Z31" s="360"/>
      <c r="AA31" s="360"/>
      <c r="AB31" s="360"/>
      <c r="AC31" s="360"/>
      <c r="AD31" s="360"/>
      <c r="AE31" s="360"/>
      <c r="AF31" s="360"/>
      <c r="AG31" s="360" t="s">
        <v>1582</v>
      </c>
      <c r="AH31" s="360"/>
      <c r="AI31" s="360"/>
      <c r="AJ31" s="360" t="s">
        <v>1589</v>
      </c>
      <c r="AK31" s="360"/>
      <c r="AL31" s="360" t="s">
        <v>5878</v>
      </c>
      <c r="AM31" s="360"/>
      <c r="AN31" s="360"/>
      <c r="AO31" s="360"/>
      <c r="AP31" s="360"/>
      <c r="AQ31" s="360"/>
      <c r="AR31" s="360"/>
      <c r="AS31" s="360"/>
      <c r="AT31" s="360"/>
      <c r="AU31" s="360" t="s">
        <v>22</v>
      </c>
      <c r="AV31" s="360"/>
      <c r="AW31" s="366"/>
      <c r="AX31" s="366"/>
      <c r="AY31" s="366"/>
      <c r="AZ31" s="366"/>
      <c r="BA31" s="366"/>
      <c r="BB31" s="366"/>
      <c r="BC31" s="366"/>
      <c r="BD31" s="366"/>
      <c r="BE31" s="366"/>
    </row>
    <row r="32">
      <c r="A32" s="366"/>
      <c r="B32" s="366"/>
      <c r="C32" s="366"/>
      <c r="D32" s="366"/>
      <c r="E32" s="366"/>
      <c r="F32" s="366"/>
      <c r="G32" s="366"/>
      <c r="H32" s="366"/>
      <c r="I32" s="366"/>
      <c r="J32" s="366"/>
      <c r="K32" s="366"/>
      <c r="L32" s="366"/>
      <c r="M32" s="366" t="s">
        <v>22</v>
      </c>
      <c r="N32" s="366"/>
      <c r="O32" s="366" t="s">
        <v>22</v>
      </c>
      <c r="P32" s="366"/>
      <c r="Q32" s="366"/>
      <c r="R32" s="366"/>
      <c r="S32" s="366"/>
      <c r="T32" s="366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0"/>
      <c r="AF32" s="360"/>
      <c r="AG32" s="360" t="s">
        <v>1582</v>
      </c>
      <c r="AH32" s="360"/>
      <c r="AI32" s="360"/>
      <c r="AJ32" s="360" t="s">
        <v>1589</v>
      </c>
      <c r="AK32" s="360"/>
      <c r="AL32" s="360" t="s">
        <v>5878</v>
      </c>
      <c r="AM32" s="360"/>
      <c r="AN32" s="360"/>
      <c r="AO32" s="360"/>
      <c r="AP32" s="360"/>
      <c r="AQ32" s="360"/>
      <c r="AR32" s="360"/>
      <c r="AS32" s="360"/>
      <c r="AT32" s="360"/>
      <c r="AU32" s="360" t="s">
        <v>22</v>
      </c>
      <c r="AV32" s="360"/>
      <c r="AW32" s="366"/>
      <c r="AX32" s="366"/>
      <c r="AY32" s="366"/>
      <c r="AZ32" s="366"/>
      <c r="BA32" s="366"/>
      <c r="BB32" s="366"/>
      <c r="BC32" s="366"/>
      <c r="BD32" s="366"/>
      <c r="BE32" s="366"/>
    </row>
    <row r="33">
      <c r="A33" s="366"/>
      <c r="B33" s="366"/>
      <c r="C33" s="366"/>
      <c r="D33" s="366"/>
      <c r="E33" s="366"/>
      <c r="F33" s="366"/>
      <c r="G33" s="366"/>
      <c r="H33" s="366"/>
      <c r="I33" s="366"/>
      <c r="J33" s="366"/>
      <c r="K33" s="366"/>
      <c r="L33" s="366"/>
      <c r="M33" s="366" t="s">
        <v>22</v>
      </c>
      <c r="N33" s="366"/>
      <c r="O33" s="366" t="s">
        <v>22</v>
      </c>
      <c r="P33" s="366"/>
      <c r="Q33" s="366"/>
      <c r="R33" s="366"/>
      <c r="S33" s="366"/>
      <c r="T33" s="366"/>
      <c r="U33" s="360"/>
      <c r="V33" s="360"/>
      <c r="W33" s="360"/>
      <c r="X33" s="360"/>
      <c r="Y33" s="360"/>
      <c r="Z33" s="360"/>
      <c r="AA33" s="360"/>
      <c r="AB33" s="360"/>
      <c r="AC33" s="360"/>
      <c r="AD33" s="360"/>
      <c r="AE33" s="360"/>
      <c r="AF33" s="360"/>
      <c r="AG33" s="360" t="s">
        <v>1582</v>
      </c>
      <c r="AH33" s="360"/>
      <c r="AI33" s="360"/>
      <c r="AJ33" s="360" t="s">
        <v>1589</v>
      </c>
      <c r="AK33" s="360"/>
      <c r="AL33" s="360" t="s">
        <v>5878</v>
      </c>
      <c r="AM33" s="360"/>
      <c r="AN33" s="360"/>
      <c r="AO33" s="360"/>
      <c r="AP33" s="360"/>
      <c r="AQ33" s="360"/>
      <c r="AR33" s="360"/>
      <c r="AS33" s="360"/>
      <c r="AT33" s="360"/>
      <c r="AU33" s="360" t="s">
        <v>22</v>
      </c>
      <c r="AV33" s="360"/>
      <c r="AW33" s="366"/>
      <c r="AX33" s="366"/>
      <c r="AY33" s="366"/>
      <c r="AZ33" s="366"/>
      <c r="BA33" s="366"/>
      <c r="BB33" s="366"/>
      <c r="BC33" s="366"/>
      <c r="BD33" s="366"/>
      <c r="BE33" s="366"/>
    </row>
    <row r="34">
      <c r="A34" s="366"/>
      <c r="B34" s="366"/>
      <c r="C34" s="366"/>
      <c r="D34" s="366"/>
      <c r="E34" s="366"/>
      <c r="F34" s="366"/>
      <c r="G34" s="366"/>
      <c r="H34" s="366"/>
      <c r="I34" s="366"/>
      <c r="J34" s="366"/>
      <c r="K34" s="366"/>
      <c r="L34" s="366"/>
      <c r="M34" s="366" t="s">
        <v>22</v>
      </c>
      <c r="N34" s="366"/>
      <c r="O34" s="366" t="s">
        <v>22</v>
      </c>
      <c r="P34" s="366"/>
      <c r="Q34" s="366"/>
      <c r="R34" s="366"/>
      <c r="S34" s="366"/>
      <c r="T34" s="366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60"/>
      <c r="AG34" s="360" t="s">
        <v>1582</v>
      </c>
      <c r="AH34" s="360"/>
      <c r="AI34" s="360"/>
      <c r="AJ34" s="360" t="s">
        <v>1589</v>
      </c>
      <c r="AK34" s="360"/>
      <c r="AL34" s="360" t="s">
        <v>5878</v>
      </c>
      <c r="AM34" s="360"/>
      <c r="AN34" s="360"/>
      <c r="AO34" s="360"/>
      <c r="AP34" s="360"/>
      <c r="AQ34" s="360"/>
      <c r="AR34" s="360"/>
      <c r="AS34" s="360"/>
      <c r="AT34" s="360"/>
      <c r="AU34" s="360" t="s">
        <v>22</v>
      </c>
      <c r="AV34" s="360"/>
      <c r="AW34" s="366"/>
      <c r="AX34" s="366"/>
      <c r="AY34" s="366"/>
      <c r="AZ34" s="366"/>
      <c r="BA34" s="366"/>
      <c r="BB34" s="366"/>
      <c r="BC34" s="366"/>
      <c r="BD34" s="366"/>
      <c r="BE34" s="366"/>
    </row>
    <row r="35">
      <c r="A35" s="366"/>
      <c r="B35" s="366"/>
      <c r="C35" s="366"/>
      <c r="D35" s="366"/>
      <c r="E35" s="366"/>
      <c r="F35" s="366"/>
      <c r="G35" s="366"/>
      <c r="H35" s="366"/>
      <c r="I35" s="366"/>
      <c r="J35" s="366"/>
      <c r="K35" s="366"/>
      <c r="L35" s="366"/>
      <c r="M35" s="366" t="s">
        <v>22</v>
      </c>
      <c r="N35" s="366"/>
      <c r="O35" s="366" t="s">
        <v>22</v>
      </c>
      <c r="P35" s="366"/>
      <c r="Q35" s="366"/>
      <c r="R35" s="366"/>
      <c r="S35" s="366"/>
      <c r="T35" s="366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 t="s">
        <v>1582</v>
      </c>
      <c r="AH35" s="360"/>
      <c r="AI35" s="360"/>
      <c r="AJ35" s="360" t="s">
        <v>1589</v>
      </c>
      <c r="AK35" s="360"/>
      <c r="AL35" s="360" t="s">
        <v>5878</v>
      </c>
      <c r="AM35" s="360"/>
      <c r="AN35" s="360"/>
      <c r="AO35" s="360"/>
      <c r="AP35" s="360"/>
      <c r="AQ35" s="360"/>
      <c r="AR35" s="360"/>
      <c r="AS35" s="360"/>
      <c r="AT35" s="360"/>
      <c r="AU35" s="360" t="s">
        <v>22</v>
      </c>
      <c r="AV35" s="360"/>
      <c r="AW35" s="366"/>
      <c r="AX35" s="366"/>
      <c r="AY35" s="366"/>
      <c r="AZ35" s="366"/>
      <c r="BA35" s="366"/>
      <c r="BB35" s="366"/>
      <c r="BC35" s="366"/>
      <c r="BD35" s="366"/>
      <c r="BE35" s="366"/>
    </row>
    <row r="36">
      <c r="A36" s="264"/>
      <c r="B36" s="264"/>
      <c r="C36" s="264"/>
      <c r="D36" s="264"/>
      <c r="E36" s="264"/>
      <c r="F36" s="264"/>
      <c r="G36" s="264"/>
      <c r="H36" s="264"/>
      <c r="I36" s="264"/>
      <c r="J36" s="264"/>
      <c r="K36" s="264"/>
      <c r="L36" s="264"/>
      <c r="M36" s="264" t="s">
        <v>22</v>
      </c>
      <c r="N36" s="264"/>
      <c r="O36" s="264" t="s">
        <v>22</v>
      </c>
      <c r="P36" s="264"/>
      <c r="Q36" s="264"/>
      <c r="R36" s="264"/>
      <c r="S36" s="264"/>
      <c r="T36" s="264"/>
      <c r="U36" s="360"/>
      <c r="V36" s="360"/>
      <c r="W36" s="360"/>
      <c r="X36" s="360"/>
      <c r="Y36" s="360"/>
      <c r="Z36" s="360"/>
      <c r="AA36" s="360"/>
      <c r="AB36" s="360"/>
      <c r="AC36" s="360"/>
      <c r="AD36" s="360"/>
      <c r="AE36" s="360"/>
      <c r="AF36" s="360"/>
      <c r="AG36" s="360" t="s">
        <v>1582</v>
      </c>
      <c r="AH36" s="360"/>
      <c r="AI36" s="360"/>
      <c r="AJ36" s="360" t="s">
        <v>1589</v>
      </c>
      <c r="AK36" s="360"/>
      <c r="AL36" s="360" t="s">
        <v>5878</v>
      </c>
      <c r="AM36" s="360"/>
      <c r="AN36" s="360"/>
      <c r="AO36" s="360"/>
      <c r="AP36" s="360"/>
      <c r="AQ36" s="360"/>
      <c r="AR36" s="360"/>
      <c r="AS36" s="360"/>
      <c r="AT36" s="360"/>
      <c r="AU36" s="360" t="s">
        <v>22</v>
      </c>
      <c r="AV36" s="360"/>
      <c r="AW36" s="264"/>
      <c r="AX36" s="264"/>
      <c r="AY36" s="264"/>
      <c r="AZ36" s="264"/>
      <c r="BA36" s="264"/>
      <c r="BB36" s="264"/>
      <c r="BC36" s="264"/>
      <c r="BD36" s="264"/>
      <c r="BE36" s="264"/>
    </row>
    <row r="37">
      <c r="A37" s="264"/>
      <c r="B37" s="264"/>
      <c r="C37" s="264"/>
      <c r="D37" s="264"/>
      <c r="E37" s="264"/>
      <c r="F37" s="264"/>
      <c r="G37" s="264"/>
      <c r="H37" s="264"/>
      <c r="I37" s="264"/>
      <c r="J37" s="264"/>
      <c r="K37" s="264"/>
      <c r="L37" s="264"/>
      <c r="M37" s="264" t="s">
        <v>22</v>
      </c>
      <c r="N37" s="264"/>
      <c r="O37" s="264" t="s">
        <v>22</v>
      </c>
      <c r="P37" s="264"/>
      <c r="Q37" s="264"/>
      <c r="R37" s="264"/>
      <c r="S37" s="264"/>
      <c r="T37" s="264"/>
      <c r="U37" s="360"/>
      <c r="V37" s="360"/>
      <c r="W37" s="360"/>
      <c r="X37" s="360"/>
      <c r="Y37" s="360"/>
      <c r="Z37" s="360"/>
      <c r="AA37" s="360"/>
      <c r="AB37" s="360"/>
      <c r="AC37" s="360"/>
      <c r="AD37" s="360"/>
      <c r="AE37" s="360"/>
      <c r="AF37" s="360"/>
      <c r="AG37" s="360" t="s">
        <v>1582</v>
      </c>
      <c r="AH37" s="360"/>
      <c r="AI37" s="360"/>
      <c r="AJ37" s="360" t="s">
        <v>1589</v>
      </c>
      <c r="AK37" s="360"/>
      <c r="AL37" s="360" t="s">
        <v>5878</v>
      </c>
      <c r="AM37" s="360"/>
      <c r="AN37" s="360"/>
      <c r="AO37" s="360"/>
      <c r="AP37" s="360"/>
      <c r="AQ37" s="360"/>
      <c r="AR37" s="360"/>
      <c r="AS37" s="360"/>
      <c r="AT37" s="360"/>
      <c r="AU37" s="360" t="s">
        <v>22</v>
      </c>
      <c r="AV37" s="360"/>
      <c r="AW37" s="264"/>
      <c r="AX37" s="264"/>
      <c r="AY37" s="264"/>
      <c r="AZ37" s="264"/>
      <c r="BA37" s="264"/>
      <c r="BB37" s="264"/>
      <c r="BC37" s="264"/>
      <c r="BD37" s="264"/>
      <c r="BE37" s="264"/>
    </row>
    <row r="38">
      <c r="A38" s="264"/>
      <c r="B38" s="264"/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 t="s">
        <v>22</v>
      </c>
      <c r="N38" s="264"/>
      <c r="O38" s="264" t="s">
        <v>22</v>
      </c>
      <c r="P38" s="264"/>
      <c r="Q38" s="264"/>
      <c r="R38" s="264"/>
      <c r="S38" s="264"/>
      <c r="T38" s="264"/>
      <c r="U38" s="360"/>
      <c r="V38" s="360"/>
      <c r="W38" s="360"/>
      <c r="X38" s="360"/>
      <c r="Y38" s="360"/>
      <c r="Z38" s="360"/>
      <c r="AA38" s="360"/>
      <c r="AB38" s="360"/>
      <c r="AC38" s="360"/>
      <c r="AD38" s="360"/>
      <c r="AE38" s="360"/>
      <c r="AF38" s="360"/>
      <c r="AG38" s="360" t="s">
        <v>1582</v>
      </c>
      <c r="AH38" s="360"/>
      <c r="AI38" s="360"/>
      <c r="AJ38" s="360" t="s">
        <v>1589</v>
      </c>
      <c r="AK38" s="360"/>
      <c r="AL38" s="360" t="s">
        <v>5878</v>
      </c>
      <c r="AM38" s="360"/>
      <c r="AN38" s="360"/>
      <c r="AO38" s="360"/>
      <c r="AP38" s="360"/>
      <c r="AQ38" s="360"/>
      <c r="AR38" s="360"/>
      <c r="AS38" s="360"/>
      <c r="AT38" s="360"/>
      <c r="AU38" s="360" t="s">
        <v>22</v>
      </c>
      <c r="AV38" s="360"/>
      <c r="AW38" s="264"/>
      <c r="AX38" s="264"/>
      <c r="AY38" s="264"/>
      <c r="AZ38" s="264"/>
      <c r="BA38" s="264"/>
      <c r="BB38" s="264"/>
      <c r="BC38" s="264"/>
      <c r="BD38" s="264"/>
      <c r="BE38" s="264"/>
    </row>
    <row r="39">
      <c r="A39" s="264"/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 t="s">
        <v>22</v>
      </c>
      <c r="N39" s="264"/>
      <c r="O39" s="264" t="s">
        <v>22</v>
      </c>
      <c r="P39" s="264"/>
      <c r="Q39" s="264"/>
      <c r="R39" s="264"/>
      <c r="S39" s="264"/>
      <c r="T39" s="264"/>
      <c r="U39" s="360"/>
      <c r="V39" s="360"/>
      <c r="W39" s="360"/>
      <c r="X39" s="360"/>
      <c r="Y39" s="360"/>
      <c r="Z39" s="360"/>
      <c r="AA39" s="360"/>
      <c r="AB39" s="360"/>
      <c r="AC39" s="360"/>
      <c r="AD39" s="360"/>
      <c r="AE39" s="360"/>
      <c r="AF39" s="360"/>
      <c r="AG39" s="360" t="s">
        <v>1582</v>
      </c>
      <c r="AH39" s="360"/>
      <c r="AI39" s="360"/>
      <c r="AJ39" s="360" t="s">
        <v>1589</v>
      </c>
      <c r="AK39" s="360"/>
      <c r="AL39" s="360" t="s">
        <v>5878</v>
      </c>
      <c r="AM39" s="360"/>
      <c r="AN39" s="360"/>
      <c r="AO39" s="360"/>
      <c r="AP39" s="360"/>
      <c r="AQ39" s="360"/>
      <c r="AR39" s="360"/>
      <c r="AS39" s="360"/>
      <c r="AT39" s="360"/>
      <c r="AU39" s="360" t="s">
        <v>22</v>
      </c>
      <c r="AV39" s="360"/>
      <c r="AW39" s="264"/>
      <c r="AX39" s="264"/>
      <c r="AY39" s="264"/>
      <c r="AZ39" s="264"/>
      <c r="BA39" s="264"/>
      <c r="BB39" s="264"/>
      <c r="BC39" s="264"/>
      <c r="BD39" s="264"/>
      <c r="BE39" s="264"/>
    </row>
    <row r="40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 t="s">
        <v>22</v>
      </c>
      <c r="N40" s="264"/>
      <c r="O40" s="264" t="s">
        <v>22</v>
      </c>
      <c r="P40" s="264"/>
      <c r="Q40" s="264"/>
      <c r="R40" s="264"/>
      <c r="S40" s="264"/>
      <c r="T40" s="264"/>
      <c r="U40" s="360"/>
      <c r="V40" s="360"/>
      <c r="W40" s="360"/>
      <c r="X40" s="360"/>
      <c r="Y40" s="360"/>
      <c r="Z40" s="360"/>
      <c r="AA40" s="360"/>
      <c r="AB40" s="360"/>
      <c r="AC40" s="360"/>
      <c r="AD40" s="360"/>
      <c r="AE40" s="360"/>
      <c r="AF40" s="360"/>
      <c r="AG40" s="360" t="s">
        <v>1582</v>
      </c>
      <c r="AH40" s="360"/>
      <c r="AI40" s="360"/>
      <c r="AJ40" s="360" t="s">
        <v>1589</v>
      </c>
      <c r="AK40" s="360"/>
      <c r="AL40" s="360" t="s">
        <v>5878</v>
      </c>
      <c r="AM40" s="360"/>
      <c r="AN40" s="360"/>
      <c r="AO40" s="360"/>
      <c r="AP40" s="360"/>
      <c r="AQ40" s="360"/>
      <c r="AR40" s="360"/>
      <c r="AS40" s="360"/>
      <c r="AT40" s="360"/>
      <c r="AU40" s="360" t="s">
        <v>22</v>
      </c>
      <c r="AV40" s="360"/>
      <c r="AW40" s="264"/>
      <c r="AX40" s="264"/>
      <c r="AY40" s="264"/>
      <c r="AZ40" s="264"/>
      <c r="BA40" s="264"/>
      <c r="BB40" s="264"/>
      <c r="BC40" s="264"/>
      <c r="BD40" s="264"/>
      <c r="BE40" s="264"/>
    </row>
    <row r="41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 t="s">
        <v>22</v>
      </c>
      <c r="N41" s="264"/>
      <c r="O41" s="264" t="s">
        <v>22</v>
      </c>
      <c r="P41" s="264"/>
      <c r="Q41" s="264"/>
      <c r="R41" s="264"/>
      <c r="S41" s="264"/>
      <c r="T41" s="264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 t="s">
        <v>1582</v>
      </c>
      <c r="AH41" s="360"/>
      <c r="AI41" s="360"/>
      <c r="AJ41" s="360" t="s">
        <v>1589</v>
      </c>
      <c r="AK41" s="360"/>
      <c r="AL41" s="360" t="s">
        <v>5878</v>
      </c>
      <c r="AM41" s="360"/>
      <c r="AN41" s="360"/>
      <c r="AO41" s="360"/>
      <c r="AP41" s="360"/>
      <c r="AQ41" s="360"/>
      <c r="AR41" s="360"/>
      <c r="AS41" s="360"/>
      <c r="AT41" s="360"/>
      <c r="AU41" s="360" t="s">
        <v>22</v>
      </c>
      <c r="AV41" s="360"/>
      <c r="AW41" s="264"/>
      <c r="AX41" s="264"/>
      <c r="AY41" s="264"/>
      <c r="AZ41" s="264"/>
      <c r="BA41" s="264"/>
      <c r="BB41" s="264"/>
      <c r="BC41" s="264"/>
      <c r="BD41" s="264"/>
      <c r="BE41" s="264"/>
    </row>
    <row r="42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 t="s">
        <v>22</v>
      </c>
      <c r="N42" s="264"/>
      <c r="O42" s="264" t="s">
        <v>22</v>
      </c>
      <c r="P42" s="264"/>
      <c r="Q42" s="264"/>
      <c r="R42" s="264"/>
      <c r="S42" s="264"/>
      <c r="T42" s="264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 t="s">
        <v>1582</v>
      </c>
      <c r="AH42" s="360"/>
      <c r="AI42" s="360"/>
      <c r="AJ42" s="360" t="s">
        <v>1589</v>
      </c>
      <c r="AK42" s="360"/>
      <c r="AL42" s="360" t="s">
        <v>5878</v>
      </c>
      <c r="AM42" s="360"/>
      <c r="AN42" s="360"/>
      <c r="AO42" s="360"/>
      <c r="AP42" s="360"/>
      <c r="AQ42" s="360"/>
      <c r="AR42" s="360"/>
      <c r="AS42" s="360"/>
      <c r="AT42" s="360"/>
      <c r="AU42" s="360" t="s">
        <v>22</v>
      </c>
      <c r="AV42" s="360"/>
      <c r="AW42" s="264"/>
      <c r="AX42" s="264"/>
      <c r="AY42" s="264"/>
      <c r="AZ42" s="264"/>
      <c r="BA42" s="264"/>
      <c r="BB42" s="264"/>
      <c r="BC42" s="264"/>
      <c r="BD42" s="264"/>
      <c r="BE42" s="264"/>
    </row>
    <row r="43">
      <c r="A43" s="264"/>
      <c r="B43" s="264"/>
      <c r="C43" s="264"/>
      <c r="D43" s="264"/>
      <c r="E43" s="264"/>
      <c r="F43" s="264"/>
      <c r="G43" s="264"/>
      <c r="H43" s="264"/>
      <c r="I43" s="264"/>
      <c r="J43" s="264"/>
      <c r="K43" s="264"/>
      <c r="L43" s="264"/>
      <c r="M43" s="264" t="s">
        <v>22</v>
      </c>
      <c r="N43" s="264"/>
      <c r="O43" s="264" t="s">
        <v>22</v>
      </c>
      <c r="P43" s="264"/>
      <c r="Q43" s="264"/>
      <c r="R43" s="264"/>
      <c r="S43" s="264"/>
      <c r="T43" s="264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0" t="s">
        <v>1582</v>
      </c>
      <c r="AH43" s="360"/>
      <c r="AI43" s="360"/>
      <c r="AJ43" s="360" t="s">
        <v>1589</v>
      </c>
      <c r="AK43" s="360"/>
      <c r="AL43" s="360" t="s">
        <v>5878</v>
      </c>
      <c r="AM43" s="360"/>
      <c r="AN43" s="360"/>
      <c r="AO43" s="360"/>
      <c r="AP43" s="360"/>
      <c r="AQ43" s="360"/>
      <c r="AR43" s="360"/>
      <c r="AS43" s="360"/>
      <c r="AT43" s="360"/>
      <c r="AU43" s="360" t="s">
        <v>22</v>
      </c>
      <c r="AV43" s="360"/>
      <c r="AW43" s="264"/>
      <c r="AX43" s="264"/>
      <c r="AY43" s="264"/>
      <c r="AZ43" s="264"/>
      <c r="BA43" s="264"/>
      <c r="BB43" s="264"/>
      <c r="BC43" s="264"/>
      <c r="BD43" s="264"/>
      <c r="BE43" s="264"/>
    </row>
    <row r="44">
      <c r="A44" s="264"/>
      <c r="B44" s="264"/>
      <c r="C44" s="264"/>
      <c r="D44" s="264"/>
      <c r="E44" s="264"/>
      <c r="F44" s="264"/>
      <c r="G44" s="264"/>
      <c r="H44" s="264"/>
      <c r="I44" s="264"/>
      <c r="J44" s="264"/>
      <c r="K44" s="264"/>
      <c r="L44" s="264"/>
      <c r="M44" s="264" t="s">
        <v>22</v>
      </c>
      <c r="N44" s="264"/>
      <c r="O44" s="264" t="s">
        <v>22</v>
      </c>
      <c r="P44" s="264"/>
      <c r="Q44" s="264"/>
      <c r="R44" s="264"/>
      <c r="S44" s="264"/>
      <c r="T44" s="264"/>
      <c r="U44" s="360"/>
      <c r="V44" s="360"/>
      <c r="W44" s="360"/>
      <c r="X44" s="360"/>
      <c r="Y44" s="360"/>
      <c r="Z44" s="360"/>
      <c r="AA44" s="360"/>
      <c r="AB44" s="360"/>
      <c r="AC44" s="360"/>
      <c r="AD44" s="360"/>
      <c r="AE44" s="360"/>
      <c r="AF44" s="360"/>
      <c r="AG44" s="360" t="s">
        <v>1582</v>
      </c>
      <c r="AH44" s="360"/>
      <c r="AI44" s="360"/>
      <c r="AJ44" s="360" t="s">
        <v>1589</v>
      </c>
      <c r="AK44" s="360"/>
      <c r="AL44" s="360" t="s">
        <v>5878</v>
      </c>
      <c r="AM44" s="360"/>
      <c r="AN44" s="360"/>
      <c r="AO44" s="360"/>
      <c r="AP44" s="360"/>
      <c r="AQ44" s="360"/>
      <c r="AR44" s="360"/>
      <c r="AS44" s="360"/>
      <c r="AT44" s="360"/>
      <c r="AU44" s="360" t="s">
        <v>22</v>
      </c>
      <c r="AV44" s="360"/>
      <c r="AW44" s="264"/>
      <c r="AX44" s="264"/>
      <c r="AY44" s="264"/>
      <c r="AZ44" s="264"/>
      <c r="BA44" s="264"/>
      <c r="BB44" s="264"/>
      <c r="BC44" s="264"/>
      <c r="BD44" s="264"/>
      <c r="BE44" s="264"/>
    </row>
    <row r="45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 t="s">
        <v>22</v>
      </c>
      <c r="N45" s="264"/>
      <c r="O45" s="264" t="s">
        <v>22</v>
      </c>
      <c r="P45" s="264"/>
      <c r="Q45" s="264"/>
      <c r="R45" s="264"/>
      <c r="S45" s="264"/>
      <c r="T45" s="264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 t="s">
        <v>1582</v>
      </c>
      <c r="AH45" s="360"/>
      <c r="AI45" s="360"/>
      <c r="AJ45" s="360" t="s">
        <v>1589</v>
      </c>
      <c r="AK45" s="360"/>
      <c r="AL45" s="360" t="s">
        <v>5878</v>
      </c>
      <c r="AM45" s="360"/>
      <c r="AN45" s="360"/>
      <c r="AO45" s="360"/>
      <c r="AP45" s="360"/>
      <c r="AQ45" s="360"/>
      <c r="AR45" s="360"/>
      <c r="AS45" s="360"/>
      <c r="AT45" s="360"/>
      <c r="AU45" s="360" t="s">
        <v>22</v>
      </c>
      <c r="AV45" s="360"/>
      <c r="AW45" s="264"/>
      <c r="AX45" s="264"/>
      <c r="AY45" s="264"/>
      <c r="AZ45" s="264"/>
      <c r="BA45" s="264"/>
      <c r="BB45" s="264"/>
      <c r="BC45" s="264"/>
      <c r="BD45" s="264"/>
      <c r="BE45" s="264"/>
    </row>
    <row r="46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 t="s">
        <v>22</v>
      </c>
      <c r="N46" s="264"/>
      <c r="O46" s="264" t="s">
        <v>22</v>
      </c>
      <c r="P46" s="264"/>
      <c r="Q46" s="264"/>
      <c r="R46" s="264"/>
      <c r="S46" s="264"/>
      <c r="T46" s="264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 t="s">
        <v>1582</v>
      </c>
      <c r="AH46" s="360"/>
      <c r="AI46" s="360"/>
      <c r="AJ46" s="360" t="s">
        <v>1589</v>
      </c>
      <c r="AK46" s="360"/>
      <c r="AL46" s="360" t="s">
        <v>5878</v>
      </c>
      <c r="AM46" s="360"/>
      <c r="AN46" s="360"/>
      <c r="AO46" s="360"/>
      <c r="AP46" s="360"/>
      <c r="AQ46" s="360"/>
      <c r="AR46" s="360"/>
      <c r="AS46" s="360"/>
      <c r="AT46" s="360"/>
      <c r="AU46" s="360" t="s">
        <v>22</v>
      </c>
      <c r="AV46" s="360"/>
      <c r="AW46" s="264"/>
      <c r="AX46" s="264"/>
      <c r="AY46" s="264"/>
      <c r="AZ46" s="264"/>
      <c r="BA46" s="264"/>
      <c r="BB46" s="264"/>
      <c r="BC46" s="264"/>
      <c r="BD46" s="264"/>
      <c r="BE46" s="264"/>
    </row>
    <row r="47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 t="s">
        <v>22</v>
      </c>
      <c r="N47" s="264"/>
      <c r="O47" s="264" t="s">
        <v>22</v>
      </c>
      <c r="P47" s="264"/>
      <c r="Q47" s="264"/>
      <c r="R47" s="264"/>
      <c r="S47" s="264"/>
      <c r="T47" s="264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 t="s">
        <v>1582</v>
      </c>
      <c r="AH47" s="360"/>
      <c r="AI47" s="360"/>
      <c r="AJ47" s="360" t="s">
        <v>1589</v>
      </c>
      <c r="AK47" s="360"/>
      <c r="AL47" s="360" t="s">
        <v>5878</v>
      </c>
      <c r="AM47" s="360"/>
      <c r="AN47" s="360"/>
      <c r="AO47" s="360"/>
      <c r="AP47" s="360"/>
      <c r="AQ47" s="360"/>
      <c r="AR47" s="360"/>
      <c r="AS47" s="360"/>
      <c r="AT47" s="360"/>
      <c r="AU47" s="360" t="s">
        <v>22</v>
      </c>
      <c r="AV47" s="360"/>
      <c r="AW47" s="264"/>
      <c r="AX47" s="264"/>
      <c r="AY47" s="264"/>
      <c r="AZ47" s="264"/>
      <c r="BA47" s="264"/>
      <c r="BB47" s="264"/>
      <c r="BC47" s="264"/>
      <c r="BD47" s="264"/>
      <c r="BE47" s="264"/>
    </row>
    <row r="48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 t="s">
        <v>22</v>
      </c>
      <c r="N48" s="264"/>
      <c r="O48" s="264" t="s">
        <v>22</v>
      </c>
      <c r="P48" s="264"/>
      <c r="Q48" s="264"/>
      <c r="R48" s="264"/>
      <c r="S48" s="264"/>
      <c r="T48" s="264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 t="s">
        <v>1582</v>
      </c>
      <c r="AH48" s="360"/>
      <c r="AI48" s="360"/>
      <c r="AJ48" s="360" t="s">
        <v>1589</v>
      </c>
      <c r="AK48" s="360"/>
      <c r="AL48" s="360" t="s">
        <v>5878</v>
      </c>
      <c r="AM48" s="360"/>
      <c r="AN48" s="360"/>
      <c r="AO48" s="360"/>
      <c r="AP48" s="360"/>
      <c r="AQ48" s="360"/>
      <c r="AR48" s="360"/>
      <c r="AS48" s="360"/>
      <c r="AT48" s="360"/>
      <c r="AU48" s="360" t="s">
        <v>22</v>
      </c>
      <c r="AV48" s="360"/>
      <c r="AW48" s="264"/>
      <c r="AX48" s="264"/>
      <c r="AY48" s="264"/>
      <c r="AZ48" s="264"/>
      <c r="BA48" s="264"/>
      <c r="BB48" s="264"/>
      <c r="BC48" s="264"/>
      <c r="BD48" s="264"/>
      <c r="BE48" s="264"/>
    </row>
    <row r="49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 t="s">
        <v>22</v>
      </c>
      <c r="N49" s="264"/>
      <c r="O49" s="264" t="s">
        <v>22</v>
      </c>
      <c r="P49" s="264"/>
      <c r="Q49" s="264"/>
      <c r="R49" s="264"/>
      <c r="S49" s="264"/>
      <c r="T49" s="264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 t="s">
        <v>1582</v>
      </c>
      <c r="AH49" s="360"/>
      <c r="AI49" s="360"/>
      <c r="AJ49" s="360" t="s">
        <v>1589</v>
      </c>
      <c r="AK49" s="360"/>
      <c r="AL49" s="360" t="s">
        <v>5878</v>
      </c>
      <c r="AM49" s="360"/>
      <c r="AN49" s="360"/>
      <c r="AO49" s="360"/>
      <c r="AP49" s="360"/>
      <c r="AQ49" s="360"/>
      <c r="AR49" s="360"/>
      <c r="AS49" s="360"/>
      <c r="AT49" s="360"/>
      <c r="AU49" s="360" t="s">
        <v>22</v>
      </c>
      <c r="AV49" s="360"/>
      <c r="AW49" s="264"/>
      <c r="AX49" s="264"/>
      <c r="AY49" s="264"/>
      <c r="AZ49" s="264"/>
      <c r="BA49" s="264"/>
      <c r="BB49" s="264"/>
      <c r="BC49" s="264"/>
      <c r="BD49" s="264"/>
      <c r="BE49" s="264"/>
    </row>
    <row r="50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 t="s">
        <v>22</v>
      </c>
      <c r="N50" s="264"/>
      <c r="O50" s="264" t="s">
        <v>22</v>
      </c>
      <c r="P50" s="264"/>
      <c r="Q50" s="264"/>
      <c r="R50" s="264"/>
      <c r="S50" s="264"/>
      <c r="T50" s="264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 t="s">
        <v>1582</v>
      </c>
      <c r="AH50" s="360"/>
      <c r="AI50" s="360"/>
      <c r="AJ50" s="360" t="s">
        <v>1589</v>
      </c>
      <c r="AK50" s="360"/>
      <c r="AL50" s="360" t="s">
        <v>5878</v>
      </c>
      <c r="AM50" s="360"/>
      <c r="AN50" s="360"/>
      <c r="AO50" s="360"/>
      <c r="AP50" s="360"/>
      <c r="AQ50" s="360"/>
      <c r="AR50" s="360"/>
      <c r="AS50" s="360"/>
      <c r="AT50" s="360"/>
      <c r="AU50" s="360" t="s">
        <v>22</v>
      </c>
      <c r="AV50" s="360"/>
      <c r="AW50" s="264"/>
      <c r="AX50" s="264"/>
      <c r="AY50" s="264"/>
      <c r="AZ50" s="264"/>
      <c r="BA50" s="264"/>
      <c r="BB50" s="264"/>
      <c r="BC50" s="264"/>
      <c r="BD50" s="264"/>
      <c r="BE50" s="264"/>
    </row>
    <row r="51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 t="s">
        <v>22</v>
      </c>
      <c r="N51" s="264"/>
      <c r="O51" s="264" t="s">
        <v>22</v>
      </c>
      <c r="P51" s="264"/>
      <c r="Q51" s="264"/>
      <c r="R51" s="264"/>
      <c r="S51" s="264"/>
      <c r="T51" s="264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 t="s">
        <v>1582</v>
      </c>
      <c r="AH51" s="360"/>
      <c r="AI51" s="360"/>
      <c r="AJ51" s="360" t="s">
        <v>1589</v>
      </c>
      <c r="AK51" s="360"/>
      <c r="AL51" s="360" t="s">
        <v>5878</v>
      </c>
      <c r="AM51" s="360"/>
      <c r="AN51" s="360"/>
      <c r="AO51" s="360"/>
      <c r="AP51" s="360"/>
      <c r="AQ51" s="360"/>
      <c r="AR51" s="360"/>
      <c r="AS51" s="360"/>
      <c r="AT51" s="360"/>
      <c r="AU51" s="360" t="s">
        <v>22</v>
      </c>
      <c r="AV51" s="360"/>
      <c r="AW51" s="264"/>
      <c r="AX51" s="264"/>
      <c r="AY51" s="264"/>
      <c r="AZ51" s="264"/>
      <c r="BA51" s="264"/>
      <c r="BB51" s="264"/>
      <c r="BC51" s="264"/>
      <c r="BD51" s="264"/>
      <c r="BE51" s="264"/>
    </row>
    <row r="52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 t="s">
        <v>22</v>
      </c>
      <c r="N52" s="264"/>
      <c r="O52" s="264" t="s">
        <v>22</v>
      </c>
      <c r="P52" s="264"/>
      <c r="Q52" s="264"/>
      <c r="R52" s="264"/>
      <c r="S52" s="264"/>
      <c r="T52" s="264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 t="s">
        <v>1582</v>
      </c>
      <c r="AH52" s="360"/>
      <c r="AI52" s="360"/>
      <c r="AJ52" s="360" t="s">
        <v>1589</v>
      </c>
      <c r="AK52" s="360"/>
      <c r="AL52" s="360" t="s">
        <v>5878</v>
      </c>
      <c r="AM52" s="360"/>
      <c r="AN52" s="360"/>
      <c r="AO52" s="360"/>
      <c r="AP52" s="360"/>
      <c r="AQ52" s="360"/>
      <c r="AR52" s="360"/>
      <c r="AS52" s="360"/>
      <c r="AT52" s="360"/>
      <c r="AU52" s="360" t="s">
        <v>22</v>
      </c>
      <c r="AV52" s="360"/>
      <c r="AW52" s="264"/>
      <c r="AX52" s="264"/>
      <c r="AY52" s="264"/>
      <c r="AZ52" s="264"/>
      <c r="BA52" s="264"/>
      <c r="BB52" s="264"/>
      <c r="BC52" s="264"/>
      <c r="BD52" s="264"/>
      <c r="BE52" s="264"/>
    </row>
    <row r="53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 t="s">
        <v>22</v>
      </c>
      <c r="N53" s="264"/>
      <c r="O53" s="264" t="s">
        <v>22</v>
      </c>
      <c r="P53" s="264"/>
      <c r="Q53" s="264"/>
      <c r="R53" s="264"/>
      <c r="S53" s="264"/>
      <c r="T53" s="264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 t="s">
        <v>1582</v>
      </c>
      <c r="AH53" s="360"/>
      <c r="AI53" s="360"/>
      <c r="AJ53" s="360" t="s">
        <v>1589</v>
      </c>
      <c r="AK53" s="360"/>
      <c r="AL53" s="360" t="s">
        <v>5878</v>
      </c>
      <c r="AM53" s="360"/>
      <c r="AN53" s="360"/>
      <c r="AO53" s="360"/>
      <c r="AP53" s="360"/>
      <c r="AQ53" s="360"/>
      <c r="AR53" s="360"/>
      <c r="AS53" s="360"/>
      <c r="AT53" s="360"/>
      <c r="AU53" s="360" t="s">
        <v>22</v>
      </c>
      <c r="AV53" s="360"/>
      <c r="AW53" s="264"/>
      <c r="AX53" s="264"/>
      <c r="AY53" s="264"/>
      <c r="AZ53" s="264"/>
      <c r="BA53" s="264"/>
      <c r="BB53" s="264"/>
      <c r="BC53" s="264"/>
      <c r="BD53" s="264"/>
      <c r="BE53" s="264"/>
    </row>
    <row r="54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 t="s">
        <v>22</v>
      </c>
      <c r="N54" s="264"/>
      <c r="O54" s="264" t="s">
        <v>22</v>
      </c>
      <c r="P54" s="264"/>
      <c r="Q54" s="264"/>
      <c r="R54" s="264"/>
      <c r="S54" s="264"/>
      <c r="T54" s="264"/>
      <c r="U54" s="360"/>
      <c r="V54" s="360"/>
      <c r="W54" s="360"/>
      <c r="X54" s="360"/>
      <c r="Y54" s="360"/>
      <c r="Z54" s="360"/>
      <c r="AA54" s="360"/>
      <c r="AB54" s="360"/>
      <c r="AC54" s="360"/>
      <c r="AD54" s="360"/>
      <c r="AE54" s="360"/>
      <c r="AF54" s="360"/>
      <c r="AG54" s="360" t="s">
        <v>1582</v>
      </c>
      <c r="AH54" s="360"/>
      <c r="AI54" s="360"/>
      <c r="AJ54" s="360" t="s">
        <v>1589</v>
      </c>
      <c r="AK54" s="360"/>
      <c r="AL54" s="360" t="s">
        <v>5878</v>
      </c>
      <c r="AM54" s="360"/>
      <c r="AN54" s="360"/>
      <c r="AO54" s="360"/>
      <c r="AP54" s="360"/>
      <c r="AQ54" s="360"/>
      <c r="AR54" s="360"/>
      <c r="AS54" s="360"/>
      <c r="AT54" s="360"/>
      <c r="AU54" s="360" t="s">
        <v>22</v>
      </c>
      <c r="AV54" s="360"/>
      <c r="AW54" s="264"/>
      <c r="AX54" s="264"/>
      <c r="AY54" s="264"/>
      <c r="AZ54" s="264"/>
      <c r="BA54" s="264"/>
      <c r="BB54" s="264"/>
      <c r="BC54" s="264"/>
      <c r="BD54" s="264"/>
      <c r="BE54" s="264"/>
    </row>
    <row r="55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 t="s">
        <v>22</v>
      </c>
      <c r="N55" s="264"/>
      <c r="O55" s="264" t="s">
        <v>22</v>
      </c>
      <c r="P55" s="264"/>
      <c r="Q55" s="264"/>
      <c r="R55" s="264"/>
      <c r="S55" s="264"/>
      <c r="T55" s="264"/>
      <c r="U55" s="360"/>
      <c r="V55" s="360"/>
      <c r="W55" s="360"/>
      <c r="X55" s="360"/>
      <c r="Y55" s="360"/>
      <c r="Z55" s="360"/>
      <c r="AA55" s="360"/>
      <c r="AB55" s="360"/>
      <c r="AC55" s="360"/>
      <c r="AD55" s="360"/>
      <c r="AE55" s="360"/>
      <c r="AF55" s="360"/>
      <c r="AG55" s="360" t="s">
        <v>1582</v>
      </c>
      <c r="AH55" s="360"/>
      <c r="AI55" s="360"/>
      <c r="AJ55" s="360" t="s">
        <v>1589</v>
      </c>
      <c r="AK55" s="360"/>
      <c r="AL55" s="360" t="s">
        <v>5878</v>
      </c>
      <c r="AM55" s="360"/>
      <c r="AN55" s="360"/>
      <c r="AO55" s="360"/>
      <c r="AP55" s="360"/>
      <c r="AQ55" s="360"/>
      <c r="AR55" s="360"/>
      <c r="AS55" s="360"/>
      <c r="AT55" s="360"/>
      <c r="AU55" s="360" t="s">
        <v>22</v>
      </c>
      <c r="AV55" s="360"/>
      <c r="AW55" s="264"/>
      <c r="AX55" s="264"/>
      <c r="AY55" s="264"/>
      <c r="AZ55" s="264"/>
      <c r="BA55" s="264"/>
      <c r="BB55" s="264"/>
      <c r="BC55" s="264"/>
      <c r="BD55" s="264"/>
      <c r="BE55" s="264"/>
    </row>
    <row r="56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 t="s">
        <v>22</v>
      </c>
      <c r="N56" s="264"/>
      <c r="O56" s="264" t="s">
        <v>22</v>
      </c>
      <c r="P56" s="264"/>
      <c r="Q56" s="264"/>
      <c r="R56" s="264"/>
      <c r="S56" s="264"/>
      <c r="T56" s="264"/>
      <c r="U56" s="360"/>
      <c r="V56" s="360"/>
      <c r="W56" s="360"/>
      <c r="X56" s="360"/>
      <c r="Y56" s="360"/>
      <c r="Z56" s="360"/>
      <c r="AA56" s="360"/>
      <c r="AB56" s="360"/>
      <c r="AC56" s="360"/>
      <c r="AD56" s="360"/>
      <c r="AE56" s="360"/>
      <c r="AF56" s="360"/>
      <c r="AG56" s="360" t="s">
        <v>1582</v>
      </c>
      <c r="AH56" s="360"/>
      <c r="AI56" s="360"/>
      <c r="AJ56" s="360" t="s">
        <v>1589</v>
      </c>
      <c r="AK56" s="360"/>
      <c r="AL56" s="360" t="s">
        <v>5878</v>
      </c>
      <c r="AM56" s="360"/>
      <c r="AN56" s="360"/>
      <c r="AO56" s="360"/>
      <c r="AP56" s="360"/>
      <c r="AQ56" s="360"/>
      <c r="AR56" s="360"/>
      <c r="AS56" s="360"/>
      <c r="AT56" s="360"/>
      <c r="AU56" s="360" t="s">
        <v>22</v>
      </c>
      <c r="AV56" s="360"/>
      <c r="AW56" s="264"/>
      <c r="AX56" s="264"/>
      <c r="AY56" s="264"/>
      <c r="AZ56" s="264"/>
      <c r="BA56" s="264"/>
      <c r="BB56" s="264"/>
      <c r="BC56" s="264"/>
      <c r="BD56" s="264"/>
      <c r="BE56" s="264"/>
    </row>
    <row r="57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 t="s">
        <v>22</v>
      </c>
      <c r="N57" s="264"/>
      <c r="O57" s="264" t="s">
        <v>22</v>
      </c>
      <c r="P57" s="264"/>
      <c r="Q57" s="264"/>
      <c r="R57" s="264"/>
      <c r="S57" s="264"/>
      <c r="T57" s="264"/>
      <c r="U57" s="360"/>
      <c r="V57" s="360"/>
      <c r="W57" s="360"/>
      <c r="X57" s="360"/>
      <c r="Y57" s="360"/>
      <c r="Z57" s="360"/>
      <c r="AA57" s="360"/>
      <c r="AB57" s="360"/>
      <c r="AC57" s="360"/>
      <c r="AD57" s="360"/>
      <c r="AE57" s="360"/>
      <c r="AF57" s="360"/>
      <c r="AG57" s="360" t="s">
        <v>1582</v>
      </c>
      <c r="AH57" s="360"/>
      <c r="AI57" s="360"/>
      <c r="AJ57" s="360" t="s">
        <v>1589</v>
      </c>
      <c r="AK57" s="360"/>
      <c r="AL57" s="360" t="s">
        <v>5878</v>
      </c>
      <c r="AM57" s="360"/>
      <c r="AN57" s="360"/>
      <c r="AO57" s="360"/>
      <c r="AP57" s="360"/>
      <c r="AQ57" s="360"/>
      <c r="AR57" s="360"/>
      <c r="AS57" s="360"/>
      <c r="AT57" s="360"/>
      <c r="AU57" s="360" t="s">
        <v>22</v>
      </c>
      <c r="AV57" s="360"/>
      <c r="AW57" s="264"/>
      <c r="AX57" s="264"/>
      <c r="AY57" s="264"/>
      <c r="AZ57" s="264"/>
      <c r="BA57" s="264"/>
      <c r="BB57" s="264"/>
      <c r="BC57" s="264"/>
      <c r="BD57" s="264"/>
      <c r="BE57" s="264"/>
    </row>
    <row r="58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 t="s">
        <v>22</v>
      </c>
      <c r="N58" s="264"/>
      <c r="O58" s="264" t="s">
        <v>22</v>
      </c>
      <c r="P58" s="264"/>
      <c r="Q58" s="264"/>
      <c r="R58" s="264"/>
      <c r="S58" s="264"/>
      <c r="T58" s="264"/>
      <c r="U58" s="360"/>
      <c r="V58" s="360"/>
      <c r="W58" s="360"/>
      <c r="X58" s="360"/>
      <c r="Y58" s="360"/>
      <c r="Z58" s="360"/>
      <c r="AA58" s="360"/>
      <c r="AB58" s="360"/>
      <c r="AC58" s="360"/>
      <c r="AD58" s="360"/>
      <c r="AE58" s="360"/>
      <c r="AF58" s="360"/>
      <c r="AG58" s="360" t="s">
        <v>1582</v>
      </c>
      <c r="AH58" s="360"/>
      <c r="AI58" s="360"/>
      <c r="AJ58" s="360" t="s">
        <v>1589</v>
      </c>
      <c r="AK58" s="360"/>
      <c r="AL58" s="360" t="s">
        <v>5878</v>
      </c>
      <c r="AM58" s="360"/>
      <c r="AN58" s="360"/>
      <c r="AO58" s="360"/>
      <c r="AP58" s="360"/>
      <c r="AQ58" s="360"/>
      <c r="AR58" s="360"/>
      <c r="AS58" s="360"/>
      <c r="AT58" s="360"/>
      <c r="AU58" s="360" t="s">
        <v>22</v>
      </c>
      <c r="AV58" s="360"/>
      <c r="AW58" s="264"/>
      <c r="AX58" s="264"/>
      <c r="AY58" s="264"/>
      <c r="AZ58" s="264"/>
      <c r="BA58" s="264"/>
      <c r="BB58" s="264"/>
      <c r="BC58" s="264"/>
      <c r="BD58" s="264"/>
      <c r="BE58" s="264"/>
    </row>
    <row r="59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 t="s">
        <v>22</v>
      </c>
      <c r="N59" s="264"/>
      <c r="O59" s="264" t="s">
        <v>22</v>
      </c>
      <c r="P59" s="264"/>
      <c r="Q59" s="264"/>
      <c r="R59" s="264"/>
      <c r="S59" s="264"/>
      <c r="T59" s="264"/>
      <c r="U59" s="360"/>
      <c r="V59" s="360"/>
      <c r="W59" s="360"/>
      <c r="X59" s="360"/>
      <c r="Y59" s="360"/>
      <c r="Z59" s="360"/>
      <c r="AA59" s="360"/>
      <c r="AB59" s="360"/>
      <c r="AC59" s="360"/>
      <c r="AD59" s="360"/>
      <c r="AE59" s="360"/>
      <c r="AF59" s="360"/>
      <c r="AG59" s="360" t="s">
        <v>1582</v>
      </c>
      <c r="AH59" s="360"/>
      <c r="AI59" s="360"/>
      <c r="AJ59" s="360" t="s">
        <v>1589</v>
      </c>
      <c r="AK59" s="360"/>
      <c r="AL59" s="360" t="s">
        <v>5878</v>
      </c>
      <c r="AM59" s="360"/>
      <c r="AN59" s="360"/>
      <c r="AO59" s="360"/>
      <c r="AP59" s="360"/>
      <c r="AQ59" s="360"/>
      <c r="AR59" s="360"/>
      <c r="AS59" s="360"/>
      <c r="AT59" s="360"/>
      <c r="AU59" s="360" t="s">
        <v>22</v>
      </c>
      <c r="AV59" s="360"/>
      <c r="AW59" s="264"/>
      <c r="AX59" s="264"/>
      <c r="AY59" s="264"/>
      <c r="AZ59" s="264"/>
      <c r="BA59" s="264"/>
      <c r="BB59" s="264"/>
      <c r="BC59" s="264"/>
      <c r="BD59" s="264"/>
      <c r="BE59" s="264"/>
    </row>
    <row r="60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 t="s">
        <v>22</v>
      </c>
      <c r="N60" s="264"/>
      <c r="O60" s="264" t="s">
        <v>22</v>
      </c>
      <c r="P60" s="264"/>
      <c r="Q60" s="264"/>
      <c r="R60" s="264"/>
      <c r="S60" s="264"/>
      <c r="T60" s="264"/>
      <c r="U60" s="360"/>
      <c r="V60" s="360"/>
      <c r="W60" s="360"/>
      <c r="X60" s="360"/>
      <c r="Y60" s="360"/>
      <c r="Z60" s="360"/>
      <c r="AA60" s="360"/>
      <c r="AB60" s="360"/>
      <c r="AC60" s="360"/>
      <c r="AD60" s="360"/>
      <c r="AE60" s="360"/>
      <c r="AF60" s="360"/>
      <c r="AG60" s="360" t="s">
        <v>1582</v>
      </c>
      <c r="AH60" s="360"/>
      <c r="AI60" s="360"/>
      <c r="AJ60" s="360" t="s">
        <v>1589</v>
      </c>
      <c r="AK60" s="360"/>
      <c r="AL60" s="360" t="s">
        <v>5878</v>
      </c>
      <c r="AM60" s="360"/>
      <c r="AN60" s="360"/>
      <c r="AO60" s="360"/>
      <c r="AP60" s="360"/>
      <c r="AQ60" s="360"/>
      <c r="AR60" s="360"/>
      <c r="AS60" s="360"/>
      <c r="AT60" s="360"/>
      <c r="AU60" s="360" t="s">
        <v>22</v>
      </c>
      <c r="AV60" s="360"/>
      <c r="AW60" s="264"/>
      <c r="AX60" s="264"/>
      <c r="AY60" s="264"/>
      <c r="AZ60" s="264"/>
      <c r="BA60" s="264"/>
      <c r="BB60" s="264"/>
      <c r="BC60" s="264"/>
      <c r="BD60" s="264"/>
      <c r="BE60" s="264"/>
    </row>
    <row r="61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 t="s">
        <v>22</v>
      </c>
      <c r="N61" s="264"/>
      <c r="O61" s="264" t="s">
        <v>22</v>
      </c>
      <c r="P61" s="264"/>
      <c r="Q61" s="264"/>
      <c r="R61" s="264"/>
      <c r="S61" s="264"/>
      <c r="T61" s="264"/>
      <c r="U61" s="360"/>
      <c r="V61" s="360"/>
      <c r="W61" s="360"/>
      <c r="X61" s="360"/>
      <c r="Y61" s="360"/>
      <c r="Z61" s="360"/>
      <c r="AA61" s="360"/>
      <c r="AB61" s="360"/>
      <c r="AC61" s="360"/>
      <c r="AD61" s="360"/>
      <c r="AE61" s="360"/>
      <c r="AF61" s="360"/>
      <c r="AG61" s="360" t="s">
        <v>1582</v>
      </c>
      <c r="AH61" s="360"/>
      <c r="AI61" s="360"/>
      <c r="AJ61" s="360" t="s">
        <v>1589</v>
      </c>
      <c r="AK61" s="360"/>
      <c r="AL61" s="360" t="s">
        <v>5878</v>
      </c>
      <c r="AM61" s="360"/>
      <c r="AN61" s="360"/>
      <c r="AO61" s="360"/>
      <c r="AP61" s="360"/>
      <c r="AQ61" s="360"/>
      <c r="AR61" s="360"/>
      <c r="AS61" s="360"/>
      <c r="AT61" s="360"/>
      <c r="AU61" s="360" t="s">
        <v>22</v>
      </c>
      <c r="AV61" s="360"/>
      <c r="AW61" s="264"/>
      <c r="AX61" s="264"/>
      <c r="AY61" s="264"/>
      <c r="AZ61" s="264"/>
      <c r="BA61" s="264"/>
      <c r="BB61" s="264"/>
      <c r="BC61" s="264"/>
      <c r="BD61" s="264"/>
      <c r="BE61" s="264"/>
    </row>
    <row r="62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 t="s">
        <v>22</v>
      </c>
      <c r="N62" s="264"/>
      <c r="O62" s="264" t="s">
        <v>22</v>
      </c>
      <c r="P62" s="264"/>
      <c r="Q62" s="264"/>
      <c r="R62" s="264"/>
      <c r="S62" s="264"/>
      <c r="T62" s="264"/>
      <c r="U62" s="360"/>
      <c r="V62" s="360"/>
      <c r="W62" s="360"/>
      <c r="X62" s="360"/>
      <c r="Y62" s="360"/>
      <c r="Z62" s="360"/>
      <c r="AA62" s="360"/>
      <c r="AB62" s="360"/>
      <c r="AC62" s="360"/>
      <c r="AD62" s="360"/>
      <c r="AE62" s="360"/>
      <c r="AF62" s="360"/>
      <c r="AG62" s="360" t="s">
        <v>1582</v>
      </c>
      <c r="AH62" s="360"/>
      <c r="AI62" s="360"/>
      <c r="AJ62" s="360" t="s">
        <v>1589</v>
      </c>
      <c r="AK62" s="360"/>
      <c r="AL62" s="360" t="s">
        <v>5878</v>
      </c>
      <c r="AM62" s="360"/>
      <c r="AN62" s="360"/>
      <c r="AO62" s="360"/>
      <c r="AP62" s="360"/>
      <c r="AQ62" s="360"/>
      <c r="AR62" s="360"/>
      <c r="AS62" s="360"/>
      <c r="AT62" s="360"/>
      <c r="AU62" s="360" t="s">
        <v>22</v>
      </c>
      <c r="AV62" s="360"/>
      <c r="AW62" s="264"/>
      <c r="AX62" s="264"/>
      <c r="AY62" s="264"/>
      <c r="AZ62" s="264"/>
      <c r="BA62" s="264"/>
      <c r="BB62" s="264"/>
      <c r="BC62" s="264"/>
      <c r="BD62" s="264"/>
      <c r="BE62" s="264"/>
    </row>
    <row r="63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 t="s">
        <v>22</v>
      </c>
      <c r="N63" s="264"/>
      <c r="O63" s="264" t="s">
        <v>22</v>
      </c>
      <c r="P63" s="264"/>
      <c r="Q63" s="264"/>
      <c r="R63" s="264"/>
      <c r="S63" s="264"/>
      <c r="T63" s="264"/>
      <c r="U63" s="360"/>
      <c r="V63" s="360"/>
      <c r="W63" s="360"/>
      <c r="X63" s="360"/>
      <c r="Y63" s="360"/>
      <c r="Z63" s="360"/>
      <c r="AA63" s="360"/>
      <c r="AB63" s="360"/>
      <c r="AC63" s="360"/>
      <c r="AD63" s="360"/>
      <c r="AE63" s="360"/>
      <c r="AF63" s="360"/>
      <c r="AG63" s="360" t="s">
        <v>1582</v>
      </c>
      <c r="AH63" s="360"/>
      <c r="AI63" s="360"/>
      <c r="AJ63" s="360" t="s">
        <v>1589</v>
      </c>
      <c r="AK63" s="360"/>
      <c r="AL63" s="360" t="s">
        <v>5878</v>
      </c>
      <c r="AM63" s="360"/>
      <c r="AN63" s="360"/>
      <c r="AO63" s="360"/>
      <c r="AP63" s="360"/>
      <c r="AQ63" s="360"/>
      <c r="AR63" s="360"/>
      <c r="AS63" s="360"/>
      <c r="AT63" s="360"/>
      <c r="AU63" s="360" t="s">
        <v>22</v>
      </c>
      <c r="AV63" s="360"/>
      <c r="AW63" s="264"/>
      <c r="AX63" s="264"/>
      <c r="AY63" s="264"/>
      <c r="AZ63" s="264"/>
      <c r="BA63" s="264"/>
      <c r="BB63" s="264"/>
      <c r="BC63" s="264"/>
      <c r="BD63" s="264"/>
      <c r="BE63" s="264"/>
    </row>
    <row r="64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 t="s">
        <v>22</v>
      </c>
      <c r="N64" s="264"/>
      <c r="O64" s="264" t="s">
        <v>22</v>
      </c>
      <c r="P64" s="264"/>
      <c r="Q64" s="264"/>
      <c r="R64" s="264"/>
      <c r="S64" s="264"/>
      <c r="T64" s="264"/>
      <c r="U64" s="360"/>
      <c r="V64" s="360"/>
      <c r="W64" s="360"/>
      <c r="X64" s="360"/>
      <c r="Y64" s="360"/>
      <c r="Z64" s="360"/>
      <c r="AA64" s="360"/>
      <c r="AB64" s="360"/>
      <c r="AC64" s="360"/>
      <c r="AD64" s="360"/>
      <c r="AE64" s="360"/>
      <c r="AF64" s="360"/>
      <c r="AG64" s="360" t="s">
        <v>1582</v>
      </c>
      <c r="AH64" s="360"/>
      <c r="AI64" s="360"/>
      <c r="AJ64" s="360" t="s">
        <v>1589</v>
      </c>
      <c r="AK64" s="360"/>
      <c r="AL64" s="360" t="s">
        <v>5878</v>
      </c>
      <c r="AM64" s="360"/>
      <c r="AN64" s="360"/>
      <c r="AO64" s="360"/>
      <c r="AP64" s="360"/>
      <c r="AQ64" s="360"/>
      <c r="AR64" s="360"/>
      <c r="AS64" s="360"/>
      <c r="AT64" s="360"/>
      <c r="AU64" s="360" t="s">
        <v>22</v>
      </c>
      <c r="AV64" s="360"/>
      <c r="AW64" s="264"/>
      <c r="AX64" s="264"/>
      <c r="AY64" s="264"/>
      <c r="AZ64" s="264"/>
      <c r="BA64" s="264"/>
      <c r="BB64" s="264"/>
      <c r="BC64" s="264"/>
      <c r="BD64" s="264"/>
      <c r="BE64" s="264"/>
    </row>
    <row r="65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 t="s">
        <v>22</v>
      </c>
      <c r="N65" s="264"/>
      <c r="O65" s="264" t="s">
        <v>22</v>
      </c>
      <c r="P65" s="264"/>
      <c r="Q65" s="264"/>
      <c r="R65" s="264"/>
      <c r="S65" s="264"/>
      <c r="T65" s="264"/>
      <c r="U65" s="360"/>
      <c r="V65" s="360"/>
      <c r="W65" s="360"/>
      <c r="X65" s="360"/>
      <c r="Y65" s="360"/>
      <c r="Z65" s="360"/>
      <c r="AA65" s="360"/>
      <c r="AB65" s="360"/>
      <c r="AC65" s="360"/>
      <c r="AD65" s="360"/>
      <c r="AE65" s="360"/>
      <c r="AF65" s="360"/>
      <c r="AG65" s="360" t="s">
        <v>1582</v>
      </c>
      <c r="AH65" s="360"/>
      <c r="AI65" s="360"/>
      <c r="AJ65" s="360" t="s">
        <v>1589</v>
      </c>
      <c r="AK65" s="360"/>
      <c r="AL65" s="360" t="s">
        <v>5878</v>
      </c>
      <c r="AM65" s="360"/>
      <c r="AN65" s="360"/>
      <c r="AO65" s="360"/>
      <c r="AP65" s="360"/>
      <c r="AQ65" s="360"/>
      <c r="AR65" s="360"/>
      <c r="AS65" s="360"/>
      <c r="AT65" s="360"/>
      <c r="AU65" s="360" t="s">
        <v>22</v>
      </c>
      <c r="AV65" s="360"/>
      <c r="AW65" s="264"/>
      <c r="AX65" s="264"/>
      <c r="AY65" s="264"/>
      <c r="AZ65" s="264"/>
      <c r="BA65" s="264"/>
      <c r="BB65" s="264"/>
      <c r="BC65" s="264"/>
      <c r="BD65" s="264"/>
      <c r="BE65" s="264"/>
    </row>
    <row r="66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 t="s">
        <v>22</v>
      </c>
      <c r="N66" s="264"/>
      <c r="O66" s="264" t="s">
        <v>22</v>
      </c>
      <c r="P66" s="264"/>
      <c r="Q66" s="264"/>
      <c r="R66" s="264"/>
      <c r="S66" s="264"/>
      <c r="T66" s="264"/>
      <c r="U66" s="360"/>
      <c r="V66" s="360"/>
      <c r="W66" s="360"/>
      <c r="X66" s="360"/>
      <c r="Y66" s="360"/>
      <c r="Z66" s="360"/>
      <c r="AA66" s="360"/>
      <c r="AB66" s="360"/>
      <c r="AC66" s="360"/>
      <c r="AD66" s="360"/>
      <c r="AE66" s="360"/>
      <c r="AF66" s="360"/>
      <c r="AG66" s="360" t="s">
        <v>1582</v>
      </c>
      <c r="AH66" s="360"/>
      <c r="AI66" s="360"/>
      <c r="AJ66" s="360" t="s">
        <v>1589</v>
      </c>
      <c r="AK66" s="360"/>
      <c r="AL66" s="360" t="s">
        <v>5878</v>
      </c>
      <c r="AM66" s="360"/>
      <c r="AN66" s="360"/>
      <c r="AO66" s="360"/>
      <c r="AP66" s="360"/>
      <c r="AQ66" s="360"/>
      <c r="AR66" s="360"/>
      <c r="AS66" s="360"/>
      <c r="AT66" s="360"/>
      <c r="AU66" s="360" t="s">
        <v>22</v>
      </c>
      <c r="AV66" s="360"/>
      <c r="AW66" s="264"/>
      <c r="AX66" s="264"/>
      <c r="AY66" s="264"/>
      <c r="AZ66" s="264"/>
      <c r="BA66" s="264"/>
      <c r="BB66" s="264"/>
      <c r="BC66" s="264"/>
      <c r="BD66" s="264"/>
      <c r="BE66" s="264"/>
    </row>
    <row r="67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 t="s">
        <v>22</v>
      </c>
      <c r="N67" s="264"/>
      <c r="O67" s="264" t="s">
        <v>22</v>
      </c>
      <c r="P67" s="264"/>
      <c r="Q67" s="264"/>
      <c r="R67" s="264"/>
      <c r="S67" s="264"/>
      <c r="T67" s="264"/>
      <c r="U67" s="360"/>
      <c r="V67" s="360"/>
      <c r="W67" s="360"/>
      <c r="X67" s="360"/>
      <c r="Y67" s="360"/>
      <c r="Z67" s="360"/>
      <c r="AA67" s="360"/>
      <c r="AB67" s="360"/>
      <c r="AC67" s="360"/>
      <c r="AD67" s="360"/>
      <c r="AE67" s="360"/>
      <c r="AF67" s="360"/>
      <c r="AG67" s="360" t="s">
        <v>1582</v>
      </c>
      <c r="AH67" s="360"/>
      <c r="AI67" s="360"/>
      <c r="AJ67" s="360" t="s">
        <v>1589</v>
      </c>
      <c r="AK67" s="360"/>
      <c r="AL67" s="360" t="s">
        <v>5878</v>
      </c>
      <c r="AM67" s="360"/>
      <c r="AN67" s="360"/>
      <c r="AO67" s="360"/>
      <c r="AP67" s="360"/>
      <c r="AQ67" s="360"/>
      <c r="AR67" s="360"/>
      <c r="AS67" s="360"/>
      <c r="AT67" s="360"/>
      <c r="AU67" s="360" t="s">
        <v>22</v>
      </c>
      <c r="AV67" s="360"/>
      <c r="AW67" s="264"/>
      <c r="AX67" s="264"/>
      <c r="AY67" s="264"/>
      <c r="AZ67" s="264"/>
      <c r="BA67" s="264"/>
      <c r="BB67" s="264"/>
      <c r="BC67" s="264"/>
      <c r="BD67" s="264"/>
      <c r="BE67" s="264"/>
    </row>
    <row r="68">
      <c r="A68" s="264"/>
      <c r="B68" s="264"/>
      <c r="C68" s="264"/>
      <c r="D68" s="264"/>
      <c r="E68" s="264"/>
      <c r="F68" s="264"/>
      <c r="G68" s="264"/>
      <c r="H68" s="264"/>
      <c r="I68" s="264"/>
      <c r="J68" s="264"/>
      <c r="K68" s="264"/>
      <c r="L68" s="264"/>
      <c r="M68" s="264" t="s">
        <v>22</v>
      </c>
      <c r="N68" s="264"/>
      <c r="O68" s="264" t="s">
        <v>22</v>
      </c>
      <c r="P68" s="264"/>
      <c r="Q68" s="264"/>
      <c r="R68" s="264"/>
      <c r="S68" s="264"/>
      <c r="T68" s="264"/>
      <c r="U68" s="360"/>
      <c r="V68" s="360"/>
      <c r="W68" s="360"/>
      <c r="X68" s="360"/>
      <c r="Y68" s="360"/>
      <c r="Z68" s="360"/>
      <c r="AA68" s="360"/>
      <c r="AB68" s="360"/>
      <c r="AC68" s="360"/>
      <c r="AD68" s="360"/>
      <c r="AE68" s="360"/>
      <c r="AF68" s="360"/>
      <c r="AG68" s="360" t="s">
        <v>1582</v>
      </c>
      <c r="AH68" s="360"/>
      <c r="AI68" s="360"/>
      <c r="AJ68" s="360" t="s">
        <v>1589</v>
      </c>
      <c r="AK68" s="360"/>
      <c r="AL68" s="360" t="s">
        <v>5878</v>
      </c>
      <c r="AM68" s="360"/>
      <c r="AN68" s="360"/>
      <c r="AO68" s="360"/>
      <c r="AP68" s="360"/>
      <c r="AQ68" s="360"/>
      <c r="AR68" s="360"/>
      <c r="AS68" s="360"/>
      <c r="AT68" s="360"/>
      <c r="AU68" s="360" t="s">
        <v>22</v>
      </c>
      <c r="AV68" s="360"/>
      <c r="AW68" s="264"/>
      <c r="AX68" s="264"/>
      <c r="AY68" s="264"/>
      <c r="AZ68" s="264"/>
      <c r="BA68" s="264"/>
      <c r="BB68" s="264"/>
      <c r="BC68" s="264"/>
      <c r="BD68" s="264"/>
      <c r="BE68" s="264"/>
    </row>
    <row r="69">
      <c r="A69" s="264"/>
      <c r="B69" s="264"/>
      <c r="C69" s="264"/>
      <c r="D69" s="264"/>
      <c r="E69" s="264"/>
      <c r="F69" s="264"/>
      <c r="G69" s="264"/>
      <c r="H69" s="264"/>
      <c r="I69" s="264"/>
      <c r="J69" s="264"/>
      <c r="K69" s="264"/>
      <c r="L69" s="264"/>
      <c r="M69" s="264" t="s">
        <v>22</v>
      </c>
      <c r="N69" s="264"/>
      <c r="O69" s="264" t="s">
        <v>22</v>
      </c>
      <c r="P69" s="264"/>
      <c r="Q69" s="264"/>
      <c r="R69" s="264"/>
      <c r="S69" s="264"/>
      <c r="T69" s="264"/>
      <c r="U69" s="360"/>
      <c r="V69" s="360"/>
      <c r="W69" s="360"/>
      <c r="X69" s="360"/>
      <c r="Y69" s="360"/>
      <c r="Z69" s="360"/>
      <c r="AA69" s="360"/>
      <c r="AB69" s="360"/>
      <c r="AC69" s="360"/>
      <c r="AD69" s="360"/>
      <c r="AE69" s="360"/>
      <c r="AF69" s="360"/>
      <c r="AG69" s="360" t="s">
        <v>1582</v>
      </c>
      <c r="AH69" s="360"/>
      <c r="AI69" s="360"/>
      <c r="AJ69" s="360" t="s">
        <v>1589</v>
      </c>
      <c r="AK69" s="360"/>
      <c r="AL69" s="360" t="s">
        <v>5878</v>
      </c>
      <c r="AM69" s="360"/>
      <c r="AN69" s="360"/>
      <c r="AO69" s="360"/>
      <c r="AP69" s="360"/>
      <c r="AQ69" s="360"/>
      <c r="AR69" s="360"/>
      <c r="AS69" s="360"/>
      <c r="AT69" s="360"/>
      <c r="AU69" s="360" t="s">
        <v>22</v>
      </c>
      <c r="AV69" s="360"/>
      <c r="AW69" s="264"/>
      <c r="AX69" s="264"/>
      <c r="AY69" s="264"/>
      <c r="AZ69" s="264"/>
      <c r="BA69" s="264"/>
      <c r="BB69" s="264"/>
      <c r="BC69" s="264"/>
      <c r="BD69" s="264"/>
      <c r="BE69" s="264"/>
    </row>
    <row r="70">
      <c r="A70" s="264"/>
      <c r="B70" s="264"/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 t="s">
        <v>22</v>
      </c>
      <c r="N70" s="264"/>
      <c r="O70" s="264" t="s">
        <v>22</v>
      </c>
      <c r="P70" s="264"/>
      <c r="Q70" s="264"/>
      <c r="R70" s="264"/>
      <c r="S70" s="264"/>
      <c r="T70" s="264"/>
      <c r="U70" s="360"/>
      <c r="V70" s="360"/>
      <c r="W70" s="360"/>
      <c r="X70" s="360"/>
      <c r="Y70" s="360"/>
      <c r="Z70" s="360"/>
      <c r="AA70" s="360"/>
      <c r="AB70" s="360"/>
      <c r="AC70" s="360"/>
      <c r="AD70" s="360"/>
      <c r="AE70" s="360"/>
      <c r="AF70" s="360"/>
      <c r="AG70" s="360" t="s">
        <v>1582</v>
      </c>
      <c r="AH70" s="360"/>
      <c r="AI70" s="360"/>
      <c r="AJ70" s="360" t="s">
        <v>1589</v>
      </c>
      <c r="AK70" s="360"/>
      <c r="AL70" s="360" t="s">
        <v>5878</v>
      </c>
      <c r="AM70" s="360"/>
      <c r="AN70" s="360"/>
      <c r="AO70" s="360"/>
      <c r="AP70" s="360"/>
      <c r="AQ70" s="360"/>
      <c r="AR70" s="360"/>
      <c r="AS70" s="360"/>
      <c r="AT70" s="360"/>
      <c r="AU70" s="360" t="s">
        <v>22</v>
      </c>
      <c r="AV70" s="360"/>
      <c r="AW70" s="264"/>
      <c r="AX70" s="264"/>
      <c r="AY70" s="264"/>
      <c r="AZ70" s="264"/>
      <c r="BA70" s="264"/>
      <c r="BB70" s="264"/>
      <c r="BC70" s="264"/>
      <c r="BD70" s="264"/>
      <c r="BE70" s="264"/>
    </row>
    <row r="71">
      <c r="A71" s="264"/>
      <c r="B71" s="264"/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 t="s">
        <v>22</v>
      </c>
      <c r="N71" s="264"/>
      <c r="O71" s="264" t="s">
        <v>22</v>
      </c>
      <c r="P71" s="264"/>
      <c r="Q71" s="264"/>
      <c r="R71" s="264"/>
      <c r="S71" s="264"/>
      <c r="T71" s="264"/>
      <c r="U71" s="360"/>
      <c r="V71" s="360"/>
      <c r="W71" s="360"/>
      <c r="X71" s="360"/>
      <c r="Y71" s="360"/>
      <c r="Z71" s="360"/>
      <c r="AA71" s="360"/>
      <c r="AB71" s="360"/>
      <c r="AC71" s="360"/>
      <c r="AD71" s="360"/>
      <c r="AE71" s="360"/>
      <c r="AF71" s="360"/>
      <c r="AG71" s="360" t="s">
        <v>1582</v>
      </c>
      <c r="AH71" s="360"/>
      <c r="AI71" s="360"/>
      <c r="AJ71" s="360" t="s">
        <v>1589</v>
      </c>
      <c r="AK71" s="360"/>
      <c r="AL71" s="360" t="s">
        <v>5878</v>
      </c>
      <c r="AM71" s="360"/>
      <c r="AN71" s="360"/>
      <c r="AO71" s="360"/>
      <c r="AP71" s="360"/>
      <c r="AQ71" s="360"/>
      <c r="AR71" s="360"/>
      <c r="AS71" s="360"/>
      <c r="AT71" s="360"/>
      <c r="AU71" s="360" t="s">
        <v>22</v>
      </c>
      <c r="AV71" s="360"/>
      <c r="AW71" s="264"/>
      <c r="AX71" s="264"/>
      <c r="AY71" s="264"/>
      <c r="AZ71" s="264"/>
      <c r="BA71" s="264"/>
      <c r="BB71" s="264"/>
      <c r="BC71" s="264"/>
      <c r="BD71" s="264"/>
      <c r="BE71" s="264"/>
    </row>
    <row r="72">
      <c r="A72" s="264"/>
      <c r="B72" s="264"/>
      <c r="C72" s="264"/>
      <c r="D72" s="264"/>
      <c r="E72" s="264"/>
      <c r="F72" s="264"/>
      <c r="G72" s="264"/>
      <c r="H72" s="264"/>
      <c r="I72" s="264"/>
      <c r="J72" s="264"/>
      <c r="K72" s="264"/>
      <c r="L72" s="264"/>
      <c r="M72" s="264" t="s">
        <v>22</v>
      </c>
      <c r="N72" s="264"/>
      <c r="O72" s="264" t="s">
        <v>22</v>
      </c>
      <c r="P72" s="264"/>
      <c r="Q72" s="264"/>
      <c r="R72" s="264"/>
      <c r="S72" s="264"/>
      <c r="T72" s="264"/>
      <c r="U72" s="360"/>
      <c r="V72" s="360"/>
      <c r="W72" s="360"/>
      <c r="X72" s="360"/>
      <c r="Y72" s="360"/>
      <c r="Z72" s="360"/>
      <c r="AA72" s="360"/>
      <c r="AB72" s="360"/>
      <c r="AC72" s="360"/>
      <c r="AD72" s="360"/>
      <c r="AE72" s="360"/>
      <c r="AF72" s="360"/>
      <c r="AG72" s="360" t="s">
        <v>1582</v>
      </c>
      <c r="AH72" s="360"/>
      <c r="AI72" s="360"/>
      <c r="AJ72" s="360" t="s">
        <v>1589</v>
      </c>
      <c r="AK72" s="360"/>
      <c r="AL72" s="360" t="s">
        <v>5878</v>
      </c>
      <c r="AM72" s="360"/>
      <c r="AN72" s="360"/>
      <c r="AO72" s="360"/>
      <c r="AP72" s="360"/>
      <c r="AQ72" s="360"/>
      <c r="AR72" s="360"/>
      <c r="AS72" s="360"/>
      <c r="AT72" s="360"/>
      <c r="AU72" s="360" t="s">
        <v>22</v>
      </c>
      <c r="AV72" s="360"/>
      <c r="AW72" s="264"/>
      <c r="AX72" s="264"/>
      <c r="AY72" s="264"/>
      <c r="AZ72" s="264"/>
      <c r="BA72" s="264"/>
      <c r="BB72" s="264"/>
      <c r="BC72" s="264"/>
      <c r="BD72" s="264"/>
      <c r="BE72" s="264"/>
    </row>
    <row r="73">
      <c r="A73" s="264"/>
      <c r="B73" s="264"/>
      <c r="C73" s="264"/>
      <c r="D73" s="264"/>
      <c r="E73" s="264"/>
      <c r="F73" s="264"/>
      <c r="G73" s="264"/>
      <c r="H73" s="264"/>
      <c r="I73" s="264"/>
      <c r="J73" s="264"/>
      <c r="K73" s="264"/>
      <c r="L73" s="264"/>
      <c r="M73" s="264" t="s">
        <v>22</v>
      </c>
      <c r="N73" s="264"/>
      <c r="O73" s="264" t="s">
        <v>22</v>
      </c>
      <c r="P73" s="264"/>
      <c r="Q73" s="264"/>
      <c r="R73" s="264"/>
      <c r="S73" s="264"/>
      <c r="T73" s="264"/>
      <c r="U73" s="360"/>
      <c r="V73" s="360"/>
      <c r="W73" s="360"/>
      <c r="X73" s="360"/>
      <c r="Y73" s="360"/>
      <c r="Z73" s="360"/>
      <c r="AA73" s="360"/>
      <c r="AB73" s="360"/>
      <c r="AC73" s="360"/>
      <c r="AD73" s="360"/>
      <c r="AE73" s="360"/>
      <c r="AF73" s="360"/>
      <c r="AG73" s="360" t="s">
        <v>1582</v>
      </c>
      <c r="AH73" s="360"/>
      <c r="AI73" s="360"/>
      <c r="AJ73" s="360" t="s">
        <v>1589</v>
      </c>
      <c r="AK73" s="360"/>
      <c r="AL73" s="360" t="s">
        <v>5878</v>
      </c>
      <c r="AM73" s="360"/>
      <c r="AN73" s="360"/>
      <c r="AO73" s="360"/>
      <c r="AP73" s="360"/>
      <c r="AQ73" s="360"/>
      <c r="AR73" s="360"/>
      <c r="AS73" s="360"/>
      <c r="AT73" s="360"/>
      <c r="AU73" s="360" t="s">
        <v>22</v>
      </c>
      <c r="AV73" s="360"/>
      <c r="AW73" s="264"/>
      <c r="AX73" s="264"/>
      <c r="AY73" s="264"/>
      <c r="AZ73" s="264"/>
      <c r="BA73" s="264"/>
      <c r="BB73" s="264"/>
      <c r="BC73" s="264"/>
      <c r="BD73" s="264"/>
      <c r="BE73" s="264"/>
    </row>
    <row r="74">
      <c r="A74" s="264"/>
      <c r="B74" s="264"/>
      <c r="C74" s="264"/>
      <c r="D74" s="264"/>
      <c r="E74" s="264"/>
      <c r="F74" s="264"/>
      <c r="G74" s="264"/>
      <c r="H74" s="264"/>
      <c r="I74" s="264"/>
      <c r="J74" s="264"/>
      <c r="K74" s="264"/>
      <c r="L74" s="264"/>
      <c r="M74" s="264" t="s">
        <v>22</v>
      </c>
      <c r="N74" s="264"/>
      <c r="O74" s="264" t="s">
        <v>22</v>
      </c>
      <c r="P74" s="264"/>
      <c r="Q74" s="264"/>
      <c r="R74" s="264"/>
      <c r="S74" s="264"/>
      <c r="T74" s="264"/>
      <c r="U74" s="360"/>
      <c r="V74" s="360"/>
      <c r="W74" s="360"/>
      <c r="X74" s="360"/>
      <c r="Y74" s="360"/>
      <c r="Z74" s="360"/>
      <c r="AA74" s="360"/>
      <c r="AB74" s="360"/>
      <c r="AC74" s="360"/>
      <c r="AD74" s="360"/>
      <c r="AE74" s="360"/>
      <c r="AF74" s="360"/>
      <c r="AG74" s="360" t="s">
        <v>1582</v>
      </c>
      <c r="AH74" s="360"/>
      <c r="AI74" s="360"/>
      <c r="AJ74" s="360" t="s">
        <v>1589</v>
      </c>
      <c r="AK74" s="360"/>
      <c r="AL74" s="360" t="s">
        <v>5878</v>
      </c>
      <c r="AM74" s="360"/>
      <c r="AN74" s="360"/>
      <c r="AO74" s="360"/>
      <c r="AP74" s="360"/>
      <c r="AQ74" s="360"/>
      <c r="AR74" s="360"/>
      <c r="AS74" s="360"/>
      <c r="AT74" s="360"/>
      <c r="AU74" s="360" t="s">
        <v>22</v>
      </c>
      <c r="AV74" s="360"/>
      <c r="AW74" s="264"/>
      <c r="AX74" s="264"/>
      <c r="AY74" s="264"/>
      <c r="AZ74" s="264"/>
      <c r="BA74" s="264"/>
      <c r="BB74" s="264"/>
      <c r="BC74" s="264"/>
      <c r="BD74" s="264"/>
      <c r="BE74" s="264"/>
    </row>
    <row r="75">
      <c r="A75" s="264"/>
      <c r="B75" s="264"/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 t="s">
        <v>22</v>
      </c>
      <c r="N75" s="264"/>
      <c r="O75" s="264" t="s">
        <v>22</v>
      </c>
      <c r="P75" s="264"/>
      <c r="Q75" s="264"/>
      <c r="R75" s="264"/>
      <c r="S75" s="264"/>
      <c r="T75" s="264"/>
      <c r="U75" s="360"/>
      <c r="V75" s="360"/>
      <c r="W75" s="360"/>
      <c r="X75" s="360"/>
      <c r="Y75" s="360"/>
      <c r="Z75" s="360"/>
      <c r="AA75" s="360"/>
      <c r="AB75" s="360"/>
      <c r="AC75" s="360"/>
      <c r="AD75" s="360"/>
      <c r="AE75" s="360"/>
      <c r="AF75" s="360"/>
      <c r="AG75" s="360" t="s">
        <v>1582</v>
      </c>
      <c r="AH75" s="360"/>
      <c r="AI75" s="360"/>
      <c r="AJ75" s="360" t="s">
        <v>1589</v>
      </c>
      <c r="AK75" s="360"/>
      <c r="AL75" s="360" t="s">
        <v>5878</v>
      </c>
      <c r="AM75" s="360"/>
      <c r="AN75" s="360"/>
      <c r="AO75" s="360"/>
      <c r="AP75" s="360"/>
      <c r="AQ75" s="360"/>
      <c r="AR75" s="360"/>
      <c r="AS75" s="360"/>
      <c r="AT75" s="360"/>
      <c r="AU75" s="360" t="s">
        <v>22</v>
      </c>
      <c r="AV75" s="360"/>
      <c r="AW75" s="264"/>
      <c r="AX75" s="264"/>
      <c r="AY75" s="264"/>
      <c r="AZ75" s="264"/>
      <c r="BA75" s="264"/>
      <c r="BB75" s="264"/>
      <c r="BC75" s="264"/>
      <c r="BD75" s="264"/>
      <c r="BE75" s="264"/>
    </row>
    <row r="76">
      <c r="A76" s="264"/>
      <c r="B76" s="264"/>
      <c r="C76" s="264"/>
      <c r="D76" s="264"/>
      <c r="E76" s="264"/>
      <c r="F76" s="264"/>
      <c r="G76" s="264"/>
      <c r="H76" s="264"/>
      <c r="I76" s="264"/>
      <c r="J76" s="264"/>
      <c r="K76" s="264"/>
      <c r="L76" s="264"/>
      <c r="M76" s="264" t="s">
        <v>22</v>
      </c>
      <c r="N76" s="264"/>
      <c r="O76" s="264" t="s">
        <v>22</v>
      </c>
      <c r="P76" s="264"/>
      <c r="Q76" s="264"/>
      <c r="R76" s="264"/>
      <c r="S76" s="264"/>
      <c r="T76" s="264"/>
      <c r="U76" s="360"/>
      <c r="V76" s="360"/>
      <c r="W76" s="360"/>
      <c r="X76" s="360"/>
      <c r="Y76" s="360"/>
      <c r="Z76" s="360"/>
      <c r="AA76" s="360"/>
      <c r="AB76" s="360"/>
      <c r="AC76" s="360"/>
      <c r="AD76" s="360"/>
      <c r="AE76" s="360"/>
      <c r="AF76" s="360"/>
      <c r="AG76" s="360" t="s">
        <v>1582</v>
      </c>
      <c r="AH76" s="360"/>
      <c r="AI76" s="360"/>
      <c r="AJ76" s="360" t="s">
        <v>1589</v>
      </c>
      <c r="AK76" s="360"/>
      <c r="AL76" s="360" t="s">
        <v>5878</v>
      </c>
      <c r="AM76" s="360"/>
      <c r="AN76" s="360"/>
      <c r="AO76" s="360"/>
      <c r="AP76" s="360"/>
      <c r="AQ76" s="360"/>
      <c r="AR76" s="360"/>
      <c r="AS76" s="360"/>
      <c r="AT76" s="360"/>
      <c r="AU76" s="360" t="s">
        <v>22</v>
      </c>
      <c r="AV76" s="360"/>
      <c r="AW76" s="264"/>
      <c r="AX76" s="264"/>
      <c r="AY76" s="264"/>
      <c r="AZ76" s="264"/>
      <c r="BA76" s="264"/>
      <c r="BB76" s="264"/>
      <c r="BC76" s="264"/>
      <c r="BD76" s="264"/>
      <c r="BE76" s="264"/>
    </row>
    <row r="77">
      <c r="A77" s="264"/>
      <c r="B77" s="264"/>
      <c r="C77" s="264"/>
      <c r="D77" s="264"/>
      <c r="E77" s="264"/>
      <c r="F77" s="264"/>
      <c r="G77" s="264"/>
      <c r="H77" s="264"/>
      <c r="I77" s="264"/>
      <c r="J77" s="264"/>
      <c r="K77" s="264"/>
      <c r="L77" s="264"/>
      <c r="M77" s="264" t="s">
        <v>22</v>
      </c>
      <c r="N77" s="264"/>
      <c r="O77" s="264" t="s">
        <v>22</v>
      </c>
      <c r="P77" s="264"/>
      <c r="Q77" s="264"/>
      <c r="R77" s="264"/>
      <c r="S77" s="264"/>
      <c r="T77" s="264"/>
      <c r="U77" s="360"/>
      <c r="V77" s="360"/>
      <c r="W77" s="360"/>
      <c r="X77" s="360"/>
      <c r="Y77" s="360"/>
      <c r="Z77" s="360"/>
      <c r="AA77" s="360"/>
      <c r="AB77" s="360"/>
      <c r="AC77" s="360"/>
      <c r="AD77" s="360"/>
      <c r="AE77" s="360"/>
      <c r="AF77" s="360"/>
      <c r="AG77" s="360" t="s">
        <v>1582</v>
      </c>
      <c r="AH77" s="360"/>
      <c r="AI77" s="360"/>
      <c r="AJ77" s="360" t="s">
        <v>1589</v>
      </c>
      <c r="AK77" s="360"/>
      <c r="AL77" s="360" t="s">
        <v>5878</v>
      </c>
      <c r="AM77" s="360"/>
      <c r="AN77" s="360"/>
      <c r="AO77" s="360"/>
      <c r="AP77" s="360"/>
      <c r="AQ77" s="360"/>
      <c r="AR77" s="360"/>
      <c r="AS77" s="360"/>
      <c r="AT77" s="360"/>
      <c r="AU77" s="360" t="s">
        <v>22</v>
      </c>
      <c r="AV77" s="360"/>
      <c r="AW77" s="264"/>
      <c r="AX77" s="264"/>
      <c r="AY77" s="264"/>
      <c r="AZ77" s="264"/>
      <c r="BA77" s="264"/>
      <c r="BB77" s="264"/>
      <c r="BC77" s="264"/>
      <c r="BD77" s="264"/>
      <c r="BE77" s="264"/>
    </row>
    <row r="78">
      <c r="A78" s="264"/>
      <c r="B78" s="264"/>
      <c r="C78" s="264"/>
      <c r="D78" s="264"/>
      <c r="E78" s="264"/>
      <c r="F78" s="264"/>
      <c r="G78" s="264"/>
      <c r="H78" s="264"/>
      <c r="I78" s="264"/>
      <c r="J78" s="264"/>
      <c r="K78" s="264"/>
      <c r="L78" s="264"/>
      <c r="M78" s="264" t="s">
        <v>22</v>
      </c>
      <c r="N78" s="264"/>
      <c r="O78" s="264" t="s">
        <v>22</v>
      </c>
      <c r="P78" s="264"/>
      <c r="Q78" s="264"/>
      <c r="R78" s="264"/>
      <c r="S78" s="264"/>
      <c r="T78" s="264"/>
      <c r="U78" s="360"/>
      <c r="V78" s="360"/>
      <c r="W78" s="360"/>
      <c r="X78" s="360"/>
      <c r="Y78" s="360"/>
      <c r="Z78" s="360"/>
      <c r="AA78" s="360"/>
      <c r="AB78" s="360"/>
      <c r="AC78" s="360"/>
      <c r="AD78" s="360"/>
      <c r="AE78" s="360"/>
      <c r="AF78" s="360"/>
      <c r="AG78" s="360" t="s">
        <v>1582</v>
      </c>
      <c r="AH78" s="360"/>
      <c r="AI78" s="360"/>
      <c r="AJ78" s="360" t="s">
        <v>1589</v>
      </c>
      <c r="AK78" s="360"/>
      <c r="AL78" s="360" t="s">
        <v>5878</v>
      </c>
      <c r="AM78" s="360"/>
      <c r="AN78" s="360"/>
      <c r="AO78" s="360"/>
      <c r="AP78" s="360"/>
      <c r="AQ78" s="360"/>
      <c r="AR78" s="360"/>
      <c r="AS78" s="360"/>
      <c r="AT78" s="360"/>
      <c r="AU78" s="360" t="s">
        <v>22</v>
      </c>
      <c r="AV78" s="360"/>
      <c r="AW78" s="264"/>
      <c r="AX78" s="264"/>
      <c r="AY78" s="264"/>
      <c r="AZ78" s="264"/>
      <c r="BA78" s="264"/>
      <c r="BB78" s="264"/>
      <c r="BC78" s="264"/>
      <c r="BD78" s="264"/>
      <c r="BE78" s="264"/>
    </row>
    <row r="79">
      <c r="A79" s="264"/>
      <c r="B79" s="264"/>
      <c r="C79" s="264"/>
      <c r="D79" s="264"/>
      <c r="E79" s="264"/>
      <c r="F79" s="264"/>
      <c r="G79" s="264"/>
      <c r="H79" s="264"/>
      <c r="I79" s="264"/>
      <c r="J79" s="264"/>
      <c r="K79" s="264"/>
      <c r="L79" s="264"/>
      <c r="M79" s="264" t="s">
        <v>22</v>
      </c>
      <c r="N79" s="264"/>
      <c r="O79" s="264" t="s">
        <v>22</v>
      </c>
      <c r="P79" s="264"/>
      <c r="Q79" s="264"/>
      <c r="R79" s="264"/>
      <c r="S79" s="264"/>
      <c r="T79" s="264"/>
      <c r="U79" s="360"/>
      <c r="V79" s="360"/>
      <c r="W79" s="360"/>
      <c r="X79" s="360"/>
      <c r="Y79" s="360"/>
      <c r="Z79" s="360"/>
      <c r="AA79" s="360"/>
      <c r="AB79" s="360"/>
      <c r="AC79" s="360"/>
      <c r="AD79" s="360"/>
      <c r="AE79" s="360"/>
      <c r="AF79" s="360"/>
      <c r="AG79" s="360" t="s">
        <v>1582</v>
      </c>
      <c r="AH79" s="360"/>
      <c r="AI79" s="360"/>
      <c r="AJ79" s="360" t="s">
        <v>1589</v>
      </c>
      <c r="AK79" s="360"/>
      <c r="AL79" s="360" t="s">
        <v>5878</v>
      </c>
      <c r="AM79" s="360"/>
      <c r="AN79" s="360"/>
      <c r="AO79" s="360"/>
      <c r="AP79" s="360"/>
      <c r="AQ79" s="360"/>
      <c r="AR79" s="360"/>
      <c r="AS79" s="360"/>
      <c r="AT79" s="360"/>
      <c r="AU79" s="360" t="s">
        <v>22</v>
      </c>
      <c r="AV79" s="360"/>
      <c r="AW79" s="264"/>
      <c r="AX79" s="264"/>
      <c r="AY79" s="264"/>
      <c r="AZ79" s="264"/>
      <c r="BA79" s="264"/>
      <c r="BB79" s="264"/>
      <c r="BC79" s="264"/>
      <c r="BD79" s="264"/>
      <c r="BE79" s="264"/>
    </row>
    <row r="80">
      <c r="A80" s="264"/>
      <c r="B80" s="264"/>
      <c r="C80" s="264"/>
      <c r="D80" s="264"/>
      <c r="E80" s="264"/>
      <c r="F80" s="264"/>
      <c r="G80" s="264"/>
      <c r="H80" s="264"/>
      <c r="I80" s="264"/>
      <c r="J80" s="264"/>
      <c r="K80" s="264"/>
      <c r="L80" s="264"/>
      <c r="M80" s="264" t="s">
        <v>22</v>
      </c>
      <c r="N80" s="264"/>
      <c r="O80" s="264" t="s">
        <v>22</v>
      </c>
      <c r="P80" s="264"/>
      <c r="Q80" s="264"/>
      <c r="R80" s="264"/>
      <c r="S80" s="264"/>
      <c r="T80" s="264"/>
      <c r="U80" s="360"/>
      <c r="V80" s="360"/>
      <c r="W80" s="360"/>
      <c r="X80" s="360"/>
      <c r="Y80" s="360"/>
      <c r="Z80" s="360"/>
      <c r="AA80" s="360"/>
      <c r="AB80" s="360"/>
      <c r="AC80" s="360"/>
      <c r="AD80" s="360"/>
      <c r="AE80" s="360"/>
      <c r="AF80" s="360"/>
      <c r="AG80" s="360" t="s">
        <v>1582</v>
      </c>
      <c r="AH80" s="360"/>
      <c r="AI80" s="360"/>
      <c r="AJ80" s="360" t="s">
        <v>1589</v>
      </c>
      <c r="AK80" s="360"/>
      <c r="AL80" s="360" t="s">
        <v>5878</v>
      </c>
      <c r="AM80" s="360"/>
      <c r="AN80" s="360"/>
      <c r="AO80" s="360"/>
      <c r="AP80" s="360"/>
      <c r="AQ80" s="360"/>
      <c r="AR80" s="360"/>
      <c r="AS80" s="360"/>
      <c r="AT80" s="360"/>
      <c r="AU80" s="360" t="s">
        <v>22</v>
      </c>
      <c r="AV80" s="360"/>
      <c r="AW80" s="264"/>
      <c r="AX80" s="264"/>
      <c r="AY80" s="264"/>
      <c r="AZ80" s="264"/>
      <c r="BA80" s="264"/>
      <c r="BB80" s="264"/>
      <c r="BC80" s="264"/>
      <c r="BD80" s="264"/>
      <c r="BE80" s="264"/>
    </row>
    <row r="81">
      <c r="A81" s="264"/>
      <c r="B81" s="264"/>
      <c r="C81" s="264"/>
      <c r="D81" s="264"/>
      <c r="E81" s="264"/>
      <c r="F81" s="264"/>
      <c r="G81" s="264"/>
      <c r="H81" s="264"/>
      <c r="I81" s="264"/>
      <c r="J81" s="264"/>
      <c r="K81" s="264"/>
      <c r="L81" s="264"/>
      <c r="M81" s="264" t="s">
        <v>22</v>
      </c>
      <c r="N81" s="264"/>
      <c r="O81" s="264" t="s">
        <v>22</v>
      </c>
      <c r="P81" s="264"/>
      <c r="Q81" s="264"/>
      <c r="R81" s="264"/>
      <c r="S81" s="264"/>
      <c r="T81" s="264"/>
      <c r="U81" s="360"/>
      <c r="V81" s="360"/>
      <c r="W81" s="360"/>
      <c r="X81" s="360"/>
      <c r="Y81" s="360"/>
      <c r="Z81" s="360"/>
      <c r="AA81" s="360"/>
      <c r="AB81" s="360"/>
      <c r="AC81" s="360"/>
      <c r="AD81" s="360"/>
      <c r="AE81" s="360"/>
      <c r="AF81" s="360"/>
      <c r="AG81" s="360" t="s">
        <v>1582</v>
      </c>
      <c r="AH81" s="360"/>
      <c r="AI81" s="360"/>
      <c r="AJ81" s="360" t="s">
        <v>1589</v>
      </c>
      <c r="AK81" s="360"/>
      <c r="AL81" s="360" t="s">
        <v>5878</v>
      </c>
      <c r="AM81" s="360"/>
      <c r="AN81" s="360"/>
      <c r="AO81" s="360"/>
      <c r="AP81" s="360"/>
      <c r="AQ81" s="360"/>
      <c r="AR81" s="360"/>
      <c r="AS81" s="360"/>
      <c r="AT81" s="360"/>
      <c r="AU81" s="360" t="s">
        <v>22</v>
      </c>
      <c r="AV81" s="360"/>
      <c r="AW81" s="264"/>
      <c r="AX81" s="264"/>
      <c r="AY81" s="264"/>
      <c r="AZ81" s="264"/>
      <c r="BA81" s="264"/>
      <c r="BB81" s="264"/>
      <c r="BC81" s="264"/>
      <c r="BD81" s="264"/>
      <c r="BE81" s="264"/>
    </row>
    <row r="82">
      <c r="A82" s="264"/>
      <c r="B82" s="264"/>
      <c r="C82" s="264"/>
      <c r="D82" s="264"/>
      <c r="E82" s="264"/>
      <c r="F82" s="264"/>
      <c r="G82" s="264"/>
      <c r="H82" s="264"/>
      <c r="I82" s="264"/>
      <c r="J82" s="264"/>
      <c r="K82" s="264"/>
      <c r="L82" s="264"/>
      <c r="M82" s="264" t="s">
        <v>22</v>
      </c>
      <c r="N82" s="264"/>
      <c r="O82" s="264" t="s">
        <v>22</v>
      </c>
      <c r="P82" s="264"/>
      <c r="Q82" s="264"/>
      <c r="R82" s="264"/>
      <c r="S82" s="264"/>
      <c r="T82" s="264"/>
      <c r="U82" s="360"/>
      <c r="V82" s="360"/>
      <c r="W82" s="360"/>
      <c r="X82" s="360"/>
      <c r="Y82" s="360"/>
      <c r="Z82" s="360"/>
      <c r="AA82" s="360"/>
      <c r="AB82" s="360"/>
      <c r="AC82" s="360"/>
      <c r="AD82" s="360"/>
      <c r="AE82" s="360"/>
      <c r="AF82" s="360"/>
      <c r="AG82" s="360" t="s">
        <v>1582</v>
      </c>
      <c r="AH82" s="360"/>
      <c r="AI82" s="360"/>
      <c r="AJ82" s="360" t="s">
        <v>1589</v>
      </c>
      <c r="AK82" s="360"/>
      <c r="AL82" s="360" t="s">
        <v>5878</v>
      </c>
      <c r="AM82" s="360"/>
      <c r="AN82" s="360"/>
      <c r="AO82" s="360"/>
      <c r="AP82" s="360"/>
      <c r="AQ82" s="360"/>
      <c r="AR82" s="360"/>
      <c r="AS82" s="360"/>
      <c r="AT82" s="360"/>
      <c r="AU82" s="360" t="s">
        <v>22</v>
      </c>
      <c r="AV82" s="360"/>
      <c r="AW82" s="264"/>
      <c r="AX82" s="264"/>
      <c r="AY82" s="264"/>
      <c r="AZ82" s="264"/>
      <c r="BA82" s="264"/>
      <c r="BB82" s="264"/>
      <c r="BC82" s="264"/>
      <c r="BD82" s="264"/>
      <c r="BE82" s="264"/>
    </row>
    <row r="83">
      <c r="A83" s="264"/>
      <c r="B83" s="264"/>
      <c r="C83" s="264"/>
      <c r="D83" s="264"/>
      <c r="E83" s="264"/>
      <c r="F83" s="264"/>
      <c r="G83" s="264"/>
      <c r="H83" s="264"/>
      <c r="I83" s="264"/>
      <c r="J83" s="264"/>
      <c r="K83" s="264"/>
      <c r="L83" s="264"/>
      <c r="M83" s="264" t="s">
        <v>22</v>
      </c>
      <c r="N83" s="264"/>
      <c r="O83" s="264" t="s">
        <v>22</v>
      </c>
      <c r="P83" s="264"/>
      <c r="Q83" s="264"/>
      <c r="R83" s="264"/>
      <c r="S83" s="264"/>
      <c r="T83" s="264"/>
      <c r="U83" s="360"/>
      <c r="V83" s="360"/>
      <c r="W83" s="360"/>
      <c r="X83" s="360"/>
      <c r="Y83" s="360"/>
      <c r="Z83" s="360"/>
      <c r="AA83" s="360"/>
      <c r="AB83" s="360"/>
      <c r="AC83" s="360"/>
      <c r="AD83" s="360"/>
      <c r="AE83" s="360"/>
      <c r="AF83" s="360"/>
      <c r="AG83" s="360" t="s">
        <v>1582</v>
      </c>
      <c r="AH83" s="360"/>
      <c r="AI83" s="360"/>
      <c r="AJ83" s="360" t="s">
        <v>1589</v>
      </c>
      <c r="AK83" s="360"/>
      <c r="AL83" s="360" t="s">
        <v>5878</v>
      </c>
      <c r="AM83" s="360"/>
      <c r="AN83" s="360"/>
      <c r="AO83" s="360"/>
      <c r="AP83" s="360"/>
      <c r="AQ83" s="360"/>
      <c r="AR83" s="360"/>
      <c r="AS83" s="360"/>
      <c r="AT83" s="360"/>
      <c r="AU83" s="360" t="s">
        <v>22</v>
      </c>
      <c r="AV83" s="360"/>
      <c r="AW83" s="264"/>
      <c r="AX83" s="264"/>
      <c r="AY83" s="264"/>
      <c r="AZ83" s="264"/>
      <c r="BA83" s="264"/>
      <c r="BB83" s="264"/>
      <c r="BC83" s="264"/>
      <c r="BD83" s="264"/>
      <c r="BE83" s="264"/>
    </row>
    <row r="84">
      <c r="A84" s="264"/>
      <c r="B84" s="264"/>
      <c r="C84" s="264"/>
      <c r="D84" s="264"/>
      <c r="E84" s="264"/>
      <c r="F84" s="264"/>
      <c r="G84" s="264"/>
      <c r="H84" s="264"/>
      <c r="I84" s="264"/>
      <c r="J84" s="264"/>
      <c r="K84" s="264"/>
      <c r="L84" s="264"/>
      <c r="M84" s="264" t="s">
        <v>22</v>
      </c>
      <c r="N84" s="264"/>
      <c r="O84" s="264" t="s">
        <v>22</v>
      </c>
      <c r="P84" s="264"/>
      <c r="Q84" s="264"/>
      <c r="R84" s="264"/>
      <c r="S84" s="264"/>
      <c r="T84" s="264"/>
      <c r="U84" s="360"/>
      <c r="V84" s="360"/>
      <c r="W84" s="360"/>
      <c r="X84" s="360"/>
      <c r="Y84" s="360"/>
      <c r="Z84" s="360"/>
      <c r="AA84" s="360"/>
      <c r="AB84" s="360"/>
      <c r="AC84" s="360"/>
      <c r="AD84" s="360"/>
      <c r="AE84" s="360"/>
      <c r="AF84" s="360"/>
      <c r="AG84" s="360" t="s">
        <v>1582</v>
      </c>
      <c r="AH84" s="360"/>
      <c r="AI84" s="360"/>
      <c r="AJ84" s="360" t="s">
        <v>1589</v>
      </c>
      <c r="AK84" s="360"/>
      <c r="AL84" s="360" t="s">
        <v>5878</v>
      </c>
      <c r="AM84" s="360"/>
      <c r="AN84" s="360"/>
      <c r="AO84" s="360"/>
      <c r="AP84" s="360"/>
      <c r="AQ84" s="360"/>
      <c r="AR84" s="360"/>
      <c r="AS84" s="360"/>
      <c r="AT84" s="360"/>
      <c r="AU84" s="360" t="s">
        <v>22</v>
      </c>
      <c r="AV84" s="360"/>
      <c r="AW84" s="264"/>
      <c r="AX84" s="264"/>
      <c r="AY84" s="264"/>
      <c r="AZ84" s="264"/>
      <c r="BA84" s="264"/>
      <c r="BB84" s="264"/>
      <c r="BC84" s="264"/>
      <c r="BD84" s="264"/>
      <c r="BE84" s="264"/>
    </row>
    <row r="85">
      <c r="A85" s="264"/>
      <c r="B85" s="264"/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 t="s">
        <v>22</v>
      </c>
      <c r="N85" s="264"/>
      <c r="O85" s="264" t="s">
        <v>22</v>
      </c>
      <c r="P85" s="264"/>
      <c r="Q85" s="264"/>
      <c r="R85" s="264"/>
      <c r="S85" s="264"/>
      <c r="T85" s="264"/>
      <c r="U85" s="360"/>
      <c r="V85" s="360"/>
      <c r="W85" s="360"/>
      <c r="X85" s="360"/>
      <c r="Y85" s="360"/>
      <c r="Z85" s="360"/>
      <c r="AA85" s="360"/>
      <c r="AB85" s="360"/>
      <c r="AC85" s="360"/>
      <c r="AD85" s="360"/>
      <c r="AE85" s="360"/>
      <c r="AF85" s="360"/>
      <c r="AG85" s="360" t="s">
        <v>1582</v>
      </c>
      <c r="AH85" s="360"/>
      <c r="AI85" s="360"/>
      <c r="AJ85" s="360" t="s">
        <v>1589</v>
      </c>
      <c r="AK85" s="360"/>
      <c r="AL85" s="360" t="s">
        <v>5878</v>
      </c>
      <c r="AM85" s="360"/>
      <c r="AN85" s="360"/>
      <c r="AO85" s="360"/>
      <c r="AP85" s="360"/>
      <c r="AQ85" s="360"/>
      <c r="AR85" s="360"/>
      <c r="AS85" s="360"/>
      <c r="AT85" s="360"/>
      <c r="AU85" s="360" t="s">
        <v>22</v>
      </c>
      <c r="AV85" s="360"/>
      <c r="AW85" s="264"/>
      <c r="AX85" s="264"/>
      <c r="AY85" s="264"/>
      <c r="AZ85" s="264"/>
      <c r="BA85" s="264"/>
      <c r="BB85" s="264"/>
      <c r="BC85" s="264"/>
      <c r="BD85" s="264"/>
      <c r="BE85" s="264"/>
    </row>
    <row r="86">
      <c r="A86" s="264"/>
      <c r="B86" s="264"/>
      <c r="C86" s="264"/>
      <c r="D86" s="264"/>
      <c r="E86" s="264"/>
      <c r="F86" s="264"/>
      <c r="G86" s="264"/>
      <c r="H86" s="264"/>
      <c r="I86" s="264"/>
      <c r="J86" s="264"/>
      <c r="K86" s="264"/>
      <c r="L86" s="264"/>
      <c r="M86" s="264" t="s">
        <v>22</v>
      </c>
      <c r="N86" s="264"/>
      <c r="O86" s="264" t="s">
        <v>22</v>
      </c>
      <c r="P86" s="264"/>
      <c r="Q86" s="264"/>
      <c r="R86" s="264"/>
      <c r="S86" s="264"/>
      <c r="T86" s="264"/>
      <c r="U86" s="360"/>
      <c r="V86" s="360"/>
      <c r="W86" s="360"/>
      <c r="X86" s="360"/>
      <c r="Y86" s="360"/>
      <c r="Z86" s="360"/>
      <c r="AA86" s="360"/>
      <c r="AB86" s="360"/>
      <c r="AC86" s="360"/>
      <c r="AD86" s="360"/>
      <c r="AE86" s="360"/>
      <c r="AF86" s="360"/>
      <c r="AG86" s="360" t="s">
        <v>1582</v>
      </c>
      <c r="AH86" s="360"/>
      <c r="AI86" s="360"/>
      <c r="AJ86" s="360" t="s">
        <v>1589</v>
      </c>
      <c r="AK86" s="360"/>
      <c r="AL86" s="360" t="s">
        <v>5878</v>
      </c>
      <c r="AM86" s="360"/>
      <c r="AN86" s="360"/>
      <c r="AO86" s="360"/>
      <c r="AP86" s="360"/>
      <c r="AQ86" s="360"/>
      <c r="AR86" s="360"/>
      <c r="AS86" s="360"/>
      <c r="AT86" s="360"/>
      <c r="AU86" s="360" t="s">
        <v>22</v>
      </c>
      <c r="AV86" s="360"/>
      <c r="AW86" s="264"/>
      <c r="AX86" s="264"/>
      <c r="AY86" s="264"/>
      <c r="AZ86" s="264"/>
      <c r="BA86" s="264"/>
      <c r="BB86" s="264"/>
      <c r="BC86" s="264"/>
      <c r="BD86" s="264"/>
      <c r="BE86" s="264"/>
    </row>
    <row r="87">
      <c r="A87" s="264"/>
      <c r="B87" s="264"/>
      <c r="C87" s="264"/>
      <c r="D87" s="264"/>
      <c r="E87" s="264"/>
      <c r="F87" s="264"/>
      <c r="G87" s="264"/>
      <c r="H87" s="264"/>
      <c r="I87" s="264"/>
      <c r="J87" s="264"/>
      <c r="K87" s="264"/>
      <c r="L87" s="264"/>
      <c r="M87" s="264" t="s">
        <v>22</v>
      </c>
      <c r="N87" s="264"/>
      <c r="O87" s="264" t="s">
        <v>22</v>
      </c>
      <c r="P87" s="264"/>
      <c r="Q87" s="264"/>
      <c r="R87" s="264"/>
      <c r="S87" s="264"/>
      <c r="T87" s="264"/>
      <c r="U87" s="360"/>
      <c r="V87" s="360"/>
      <c r="W87" s="360"/>
      <c r="X87" s="360"/>
      <c r="Y87" s="360"/>
      <c r="Z87" s="360"/>
      <c r="AA87" s="360"/>
      <c r="AB87" s="360"/>
      <c r="AC87" s="360"/>
      <c r="AD87" s="360"/>
      <c r="AE87" s="360"/>
      <c r="AF87" s="360"/>
      <c r="AG87" s="360" t="s">
        <v>1582</v>
      </c>
      <c r="AH87" s="360"/>
      <c r="AI87" s="360"/>
      <c r="AJ87" s="360" t="s">
        <v>1589</v>
      </c>
      <c r="AK87" s="360"/>
      <c r="AL87" s="360" t="s">
        <v>5878</v>
      </c>
      <c r="AM87" s="360"/>
      <c r="AN87" s="360"/>
      <c r="AO87" s="360"/>
      <c r="AP87" s="360"/>
      <c r="AQ87" s="360"/>
      <c r="AR87" s="360"/>
      <c r="AS87" s="360"/>
      <c r="AT87" s="360"/>
      <c r="AU87" s="360" t="s">
        <v>22</v>
      </c>
      <c r="AV87" s="360"/>
      <c r="AW87" s="264"/>
      <c r="AX87" s="264"/>
      <c r="AY87" s="264"/>
      <c r="AZ87" s="264"/>
      <c r="BA87" s="264"/>
      <c r="BB87" s="264"/>
      <c r="BC87" s="264"/>
      <c r="BD87" s="264"/>
      <c r="BE87" s="264"/>
    </row>
    <row r="88">
      <c r="A88" s="264"/>
      <c r="B88" s="264"/>
      <c r="C88" s="264"/>
      <c r="D88" s="264"/>
      <c r="E88" s="264"/>
      <c r="F88" s="264"/>
      <c r="G88" s="264"/>
      <c r="H88" s="264"/>
      <c r="I88" s="264"/>
      <c r="J88" s="264"/>
      <c r="K88" s="264"/>
      <c r="L88" s="264"/>
      <c r="M88" s="264" t="s">
        <v>22</v>
      </c>
      <c r="N88" s="264"/>
      <c r="O88" s="264" t="s">
        <v>22</v>
      </c>
      <c r="P88" s="264"/>
      <c r="Q88" s="264"/>
      <c r="R88" s="264"/>
      <c r="S88" s="264"/>
      <c r="T88" s="264"/>
      <c r="U88" s="360"/>
      <c r="V88" s="360"/>
      <c r="W88" s="360"/>
      <c r="X88" s="360"/>
      <c r="Y88" s="360"/>
      <c r="Z88" s="360"/>
      <c r="AA88" s="360"/>
      <c r="AB88" s="360"/>
      <c r="AC88" s="360"/>
      <c r="AD88" s="360"/>
      <c r="AE88" s="360"/>
      <c r="AF88" s="360"/>
      <c r="AG88" s="360" t="s">
        <v>1582</v>
      </c>
      <c r="AH88" s="360"/>
      <c r="AI88" s="360"/>
      <c r="AJ88" s="360" t="s">
        <v>1589</v>
      </c>
      <c r="AK88" s="360"/>
      <c r="AL88" s="360" t="s">
        <v>5878</v>
      </c>
      <c r="AM88" s="360"/>
      <c r="AN88" s="360"/>
      <c r="AO88" s="360"/>
      <c r="AP88" s="360"/>
      <c r="AQ88" s="360"/>
      <c r="AR88" s="360"/>
      <c r="AS88" s="360"/>
      <c r="AT88" s="360"/>
      <c r="AU88" s="360" t="s">
        <v>22</v>
      </c>
      <c r="AV88" s="360"/>
      <c r="AW88" s="264"/>
      <c r="AX88" s="264"/>
      <c r="AY88" s="264"/>
      <c r="AZ88" s="264"/>
      <c r="BA88" s="264"/>
      <c r="BB88" s="264"/>
      <c r="BC88" s="264"/>
      <c r="BD88" s="264"/>
      <c r="BE88" s="264"/>
    </row>
    <row r="89">
      <c r="A89" s="264"/>
      <c r="B89" s="264"/>
      <c r="C89" s="264"/>
      <c r="D89" s="264"/>
      <c r="E89" s="264"/>
      <c r="F89" s="264"/>
      <c r="G89" s="264"/>
      <c r="H89" s="264"/>
      <c r="I89" s="264"/>
      <c r="J89" s="264"/>
      <c r="K89" s="264"/>
      <c r="L89" s="264"/>
      <c r="M89" s="264" t="s">
        <v>22</v>
      </c>
      <c r="N89" s="264"/>
      <c r="O89" s="264" t="s">
        <v>22</v>
      </c>
      <c r="P89" s="264"/>
      <c r="Q89" s="264"/>
      <c r="R89" s="264"/>
      <c r="S89" s="264"/>
      <c r="T89" s="264"/>
      <c r="U89" s="360"/>
      <c r="V89" s="360"/>
      <c r="W89" s="360"/>
      <c r="X89" s="360"/>
      <c r="Y89" s="360"/>
      <c r="Z89" s="360"/>
      <c r="AA89" s="360"/>
      <c r="AB89" s="360"/>
      <c r="AC89" s="360"/>
      <c r="AD89" s="360"/>
      <c r="AE89" s="360"/>
      <c r="AF89" s="360"/>
      <c r="AG89" s="360" t="s">
        <v>1582</v>
      </c>
      <c r="AH89" s="360"/>
      <c r="AI89" s="360"/>
      <c r="AJ89" s="360" t="s">
        <v>1589</v>
      </c>
      <c r="AK89" s="360"/>
      <c r="AL89" s="360" t="s">
        <v>5878</v>
      </c>
      <c r="AM89" s="360"/>
      <c r="AN89" s="360"/>
      <c r="AO89" s="360"/>
      <c r="AP89" s="360"/>
      <c r="AQ89" s="360"/>
      <c r="AR89" s="360"/>
      <c r="AS89" s="360"/>
      <c r="AT89" s="360"/>
      <c r="AU89" s="360" t="s">
        <v>22</v>
      </c>
      <c r="AV89" s="360"/>
      <c r="AW89" s="264"/>
      <c r="AX89" s="264"/>
      <c r="AY89" s="264"/>
      <c r="AZ89" s="264"/>
      <c r="BA89" s="264"/>
      <c r="BB89" s="264"/>
      <c r="BC89" s="264"/>
      <c r="BD89" s="264"/>
      <c r="BE89" s="264"/>
    </row>
    <row r="90">
      <c r="A90" s="264"/>
      <c r="B90" s="264"/>
      <c r="C90" s="264"/>
      <c r="D90" s="264"/>
      <c r="E90" s="264"/>
      <c r="F90" s="264"/>
      <c r="G90" s="264"/>
      <c r="H90" s="264"/>
      <c r="I90" s="264"/>
      <c r="J90" s="264"/>
      <c r="K90" s="264"/>
      <c r="L90" s="264"/>
      <c r="M90" s="264" t="s">
        <v>22</v>
      </c>
      <c r="N90" s="264"/>
      <c r="O90" s="264" t="s">
        <v>22</v>
      </c>
      <c r="P90" s="264"/>
      <c r="Q90" s="264"/>
      <c r="R90" s="264"/>
      <c r="S90" s="264"/>
      <c r="T90" s="264"/>
      <c r="U90" s="360"/>
      <c r="V90" s="360"/>
      <c r="W90" s="360"/>
      <c r="X90" s="360"/>
      <c r="Y90" s="360"/>
      <c r="Z90" s="360"/>
      <c r="AA90" s="360"/>
      <c r="AB90" s="360"/>
      <c r="AC90" s="360"/>
      <c r="AD90" s="360"/>
      <c r="AE90" s="360"/>
      <c r="AF90" s="360"/>
      <c r="AG90" s="360" t="s">
        <v>1582</v>
      </c>
      <c r="AH90" s="360"/>
      <c r="AI90" s="360"/>
      <c r="AJ90" s="360" t="s">
        <v>1589</v>
      </c>
      <c r="AK90" s="360"/>
      <c r="AL90" s="360" t="s">
        <v>5878</v>
      </c>
      <c r="AM90" s="360"/>
      <c r="AN90" s="360"/>
      <c r="AO90" s="360"/>
      <c r="AP90" s="360"/>
      <c r="AQ90" s="360"/>
      <c r="AR90" s="360"/>
      <c r="AS90" s="360"/>
      <c r="AT90" s="360"/>
      <c r="AU90" s="360" t="s">
        <v>22</v>
      </c>
      <c r="AV90" s="360"/>
      <c r="AW90" s="264"/>
      <c r="AX90" s="264"/>
      <c r="AY90" s="264"/>
      <c r="AZ90" s="264"/>
      <c r="BA90" s="264"/>
      <c r="BB90" s="264"/>
      <c r="BC90" s="264"/>
      <c r="BD90" s="264"/>
      <c r="BE90" s="264"/>
    </row>
    <row r="91">
      <c r="A91" s="264"/>
      <c r="B91" s="264"/>
      <c r="C91" s="264"/>
      <c r="D91" s="264"/>
      <c r="E91" s="264"/>
      <c r="F91" s="264"/>
      <c r="G91" s="264"/>
      <c r="H91" s="264"/>
      <c r="I91" s="264"/>
      <c r="J91" s="264"/>
      <c r="K91" s="264"/>
      <c r="L91" s="264"/>
      <c r="M91" s="264" t="s">
        <v>22</v>
      </c>
      <c r="N91" s="264"/>
      <c r="O91" s="264" t="s">
        <v>22</v>
      </c>
      <c r="P91" s="264"/>
      <c r="Q91" s="264"/>
      <c r="R91" s="264"/>
      <c r="S91" s="264"/>
      <c r="T91" s="264"/>
      <c r="U91" s="360"/>
      <c r="V91" s="360"/>
      <c r="W91" s="360"/>
      <c r="X91" s="360"/>
      <c r="Y91" s="360"/>
      <c r="Z91" s="360"/>
      <c r="AA91" s="360"/>
      <c r="AB91" s="360"/>
      <c r="AC91" s="360"/>
      <c r="AD91" s="360"/>
      <c r="AE91" s="360"/>
      <c r="AF91" s="360"/>
      <c r="AG91" s="360" t="s">
        <v>1582</v>
      </c>
      <c r="AH91" s="360"/>
      <c r="AI91" s="360"/>
      <c r="AJ91" s="360" t="s">
        <v>1589</v>
      </c>
      <c r="AK91" s="360"/>
      <c r="AL91" s="360" t="s">
        <v>5878</v>
      </c>
      <c r="AM91" s="360"/>
      <c r="AN91" s="360"/>
      <c r="AO91" s="360"/>
      <c r="AP91" s="360"/>
      <c r="AQ91" s="360"/>
      <c r="AR91" s="360"/>
      <c r="AS91" s="360"/>
      <c r="AT91" s="360"/>
      <c r="AU91" s="360" t="s">
        <v>22</v>
      </c>
      <c r="AV91" s="360"/>
      <c r="AW91" s="264"/>
      <c r="AX91" s="264"/>
      <c r="AY91" s="264"/>
      <c r="AZ91" s="264"/>
      <c r="BA91" s="264"/>
      <c r="BB91" s="264"/>
      <c r="BC91" s="264"/>
      <c r="BD91" s="264"/>
      <c r="BE91" s="264"/>
    </row>
    <row r="92">
      <c r="A92" s="264"/>
      <c r="B92" s="264"/>
      <c r="C92" s="264"/>
      <c r="D92" s="264"/>
      <c r="E92" s="264"/>
      <c r="F92" s="264"/>
      <c r="G92" s="264"/>
      <c r="H92" s="264"/>
      <c r="I92" s="264"/>
      <c r="J92" s="264"/>
      <c r="K92" s="264"/>
      <c r="L92" s="264"/>
      <c r="M92" s="264" t="s">
        <v>22</v>
      </c>
      <c r="N92" s="264"/>
      <c r="O92" s="264" t="s">
        <v>22</v>
      </c>
      <c r="P92" s="264"/>
      <c r="Q92" s="264"/>
      <c r="R92" s="264"/>
      <c r="S92" s="264"/>
      <c r="T92" s="264"/>
      <c r="U92" s="360"/>
      <c r="V92" s="360"/>
      <c r="W92" s="360"/>
      <c r="X92" s="360"/>
      <c r="Y92" s="360"/>
      <c r="Z92" s="360"/>
      <c r="AA92" s="360"/>
      <c r="AB92" s="360"/>
      <c r="AC92" s="360"/>
      <c r="AD92" s="360"/>
      <c r="AE92" s="360"/>
      <c r="AF92" s="360"/>
      <c r="AG92" s="360" t="s">
        <v>1582</v>
      </c>
      <c r="AH92" s="360"/>
      <c r="AI92" s="360"/>
      <c r="AJ92" s="360" t="s">
        <v>1589</v>
      </c>
      <c r="AK92" s="360"/>
      <c r="AL92" s="360" t="s">
        <v>5878</v>
      </c>
      <c r="AM92" s="360"/>
      <c r="AN92" s="360"/>
      <c r="AO92" s="360"/>
      <c r="AP92" s="360"/>
      <c r="AQ92" s="360"/>
      <c r="AR92" s="360"/>
      <c r="AS92" s="360"/>
      <c r="AT92" s="360"/>
      <c r="AU92" s="360" t="s">
        <v>22</v>
      </c>
      <c r="AV92" s="360"/>
      <c r="AW92" s="264"/>
      <c r="AX92" s="264"/>
      <c r="AY92" s="264"/>
      <c r="AZ92" s="264"/>
      <c r="BA92" s="264"/>
      <c r="BB92" s="264"/>
      <c r="BC92" s="264"/>
      <c r="BD92" s="264"/>
      <c r="BE92" s="264"/>
    </row>
    <row r="93">
      <c r="A93" s="264"/>
      <c r="B93" s="264"/>
      <c r="C93" s="264"/>
      <c r="D93" s="264"/>
      <c r="E93" s="264"/>
      <c r="F93" s="264"/>
      <c r="G93" s="264"/>
      <c r="H93" s="264"/>
      <c r="I93" s="264"/>
      <c r="J93" s="264"/>
      <c r="K93" s="264"/>
      <c r="L93" s="264"/>
      <c r="M93" s="264" t="s">
        <v>22</v>
      </c>
      <c r="N93" s="264"/>
      <c r="O93" s="264" t="s">
        <v>22</v>
      </c>
      <c r="P93" s="264"/>
      <c r="Q93" s="264"/>
      <c r="R93" s="264"/>
      <c r="S93" s="264"/>
      <c r="T93" s="264"/>
      <c r="U93" s="360"/>
      <c r="V93" s="360"/>
      <c r="W93" s="360"/>
      <c r="X93" s="360"/>
      <c r="Y93" s="360"/>
      <c r="Z93" s="360"/>
      <c r="AA93" s="360"/>
      <c r="AB93" s="360"/>
      <c r="AC93" s="360"/>
      <c r="AD93" s="360"/>
      <c r="AE93" s="360"/>
      <c r="AF93" s="360"/>
      <c r="AG93" s="360" t="s">
        <v>1582</v>
      </c>
      <c r="AH93" s="360"/>
      <c r="AI93" s="360"/>
      <c r="AJ93" s="360" t="s">
        <v>1589</v>
      </c>
      <c r="AK93" s="360"/>
      <c r="AL93" s="360" t="s">
        <v>5878</v>
      </c>
      <c r="AM93" s="360"/>
      <c r="AN93" s="360"/>
      <c r="AO93" s="360"/>
      <c r="AP93" s="360"/>
      <c r="AQ93" s="360"/>
      <c r="AR93" s="360"/>
      <c r="AS93" s="360"/>
      <c r="AT93" s="360"/>
      <c r="AU93" s="360" t="s">
        <v>22</v>
      </c>
      <c r="AV93" s="360"/>
      <c r="AW93" s="264"/>
      <c r="AX93" s="264"/>
      <c r="AY93" s="264"/>
      <c r="AZ93" s="264"/>
      <c r="BA93" s="264"/>
      <c r="BB93" s="264"/>
      <c r="BC93" s="264"/>
      <c r="BD93" s="264"/>
      <c r="BE93" s="264"/>
    </row>
    <row r="94">
      <c r="A94" s="264"/>
      <c r="B94" s="264"/>
      <c r="C94" s="264"/>
      <c r="D94" s="264"/>
      <c r="E94" s="264"/>
      <c r="F94" s="264"/>
      <c r="G94" s="264"/>
      <c r="H94" s="264"/>
      <c r="I94" s="264"/>
      <c r="J94" s="264"/>
      <c r="K94" s="264"/>
      <c r="L94" s="264"/>
      <c r="M94" s="264" t="s">
        <v>22</v>
      </c>
      <c r="N94" s="264"/>
      <c r="O94" s="264" t="s">
        <v>22</v>
      </c>
      <c r="P94" s="264"/>
      <c r="Q94" s="264"/>
      <c r="R94" s="264"/>
      <c r="S94" s="264"/>
      <c r="T94" s="264"/>
      <c r="U94" s="360"/>
      <c r="V94" s="360"/>
      <c r="W94" s="360"/>
      <c r="X94" s="360"/>
      <c r="Y94" s="360"/>
      <c r="Z94" s="360"/>
      <c r="AA94" s="360"/>
      <c r="AB94" s="360"/>
      <c r="AC94" s="360"/>
      <c r="AD94" s="360"/>
      <c r="AE94" s="360"/>
      <c r="AF94" s="360"/>
      <c r="AG94" s="360" t="s">
        <v>1582</v>
      </c>
      <c r="AH94" s="360"/>
      <c r="AI94" s="360"/>
      <c r="AJ94" s="360" t="s">
        <v>1589</v>
      </c>
      <c r="AK94" s="360"/>
      <c r="AL94" s="360" t="s">
        <v>5878</v>
      </c>
      <c r="AM94" s="360"/>
      <c r="AN94" s="360"/>
      <c r="AO94" s="360"/>
      <c r="AP94" s="360"/>
      <c r="AQ94" s="360"/>
      <c r="AR94" s="360"/>
      <c r="AS94" s="360"/>
      <c r="AT94" s="360"/>
      <c r="AU94" s="360" t="s">
        <v>22</v>
      </c>
      <c r="AV94" s="360"/>
      <c r="AW94" s="264"/>
      <c r="AX94" s="264"/>
      <c r="AY94" s="264"/>
      <c r="AZ94" s="264"/>
      <c r="BA94" s="264"/>
      <c r="BB94" s="264"/>
      <c r="BC94" s="264"/>
      <c r="BD94" s="264"/>
      <c r="BE94" s="264"/>
    </row>
    <row r="9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  <c r="M95" s="264" t="s">
        <v>22</v>
      </c>
      <c r="N95" s="264"/>
      <c r="O95" s="264" t="s">
        <v>22</v>
      </c>
      <c r="P95" s="264"/>
      <c r="Q95" s="264"/>
      <c r="R95" s="264"/>
      <c r="S95" s="264"/>
      <c r="T95" s="264"/>
      <c r="U95" s="360"/>
      <c r="V95" s="360"/>
      <c r="W95" s="360"/>
      <c r="X95" s="360"/>
      <c r="Y95" s="360"/>
      <c r="Z95" s="360"/>
      <c r="AA95" s="360"/>
      <c r="AB95" s="360"/>
      <c r="AC95" s="360"/>
      <c r="AD95" s="360"/>
      <c r="AE95" s="360"/>
      <c r="AF95" s="360"/>
      <c r="AG95" s="360" t="s">
        <v>1582</v>
      </c>
      <c r="AH95" s="360"/>
      <c r="AI95" s="360"/>
      <c r="AJ95" s="360" t="s">
        <v>1589</v>
      </c>
      <c r="AK95" s="360"/>
      <c r="AL95" s="360" t="s">
        <v>5878</v>
      </c>
      <c r="AM95" s="360"/>
      <c r="AN95" s="360"/>
      <c r="AO95" s="360"/>
      <c r="AP95" s="360"/>
      <c r="AQ95" s="360"/>
      <c r="AR95" s="360"/>
      <c r="AS95" s="360"/>
      <c r="AT95" s="360"/>
      <c r="AU95" s="360" t="s">
        <v>22</v>
      </c>
      <c r="AV95" s="360"/>
      <c r="AW95" s="264"/>
      <c r="AX95" s="264"/>
      <c r="AY95" s="264"/>
      <c r="AZ95" s="264"/>
      <c r="BA95" s="264"/>
      <c r="BB95" s="264"/>
      <c r="BC95" s="264"/>
      <c r="BD95" s="264"/>
      <c r="BE95" s="264"/>
    </row>
    <row r="96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  <c r="M96" s="264" t="s">
        <v>22</v>
      </c>
      <c r="N96" s="264"/>
      <c r="O96" s="264" t="s">
        <v>22</v>
      </c>
      <c r="P96" s="264"/>
      <c r="Q96" s="264"/>
      <c r="R96" s="264"/>
      <c r="S96" s="264"/>
      <c r="T96" s="264"/>
      <c r="U96" s="360"/>
      <c r="V96" s="360"/>
      <c r="W96" s="360"/>
      <c r="X96" s="360"/>
      <c r="Y96" s="360"/>
      <c r="Z96" s="360"/>
      <c r="AA96" s="360"/>
      <c r="AB96" s="360"/>
      <c r="AC96" s="360"/>
      <c r="AD96" s="360"/>
      <c r="AE96" s="360"/>
      <c r="AF96" s="360"/>
      <c r="AG96" s="360" t="s">
        <v>1582</v>
      </c>
      <c r="AH96" s="360"/>
      <c r="AI96" s="360"/>
      <c r="AJ96" s="360" t="s">
        <v>1589</v>
      </c>
      <c r="AK96" s="360"/>
      <c r="AL96" s="360" t="s">
        <v>5878</v>
      </c>
      <c r="AM96" s="360"/>
      <c r="AN96" s="360"/>
      <c r="AO96" s="360"/>
      <c r="AP96" s="360"/>
      <c r="AQ96" s="360"/>
      <c r="AR96" s="360"/>
      <c r="AS96" s="360"/>
      <c r="AT96" s="360"/>
      <c r="AU96" s="360" t="s">
        <v>22</v>
      </c>
      <c r="AV96" s="360"/>
      <c r="AW96" s="264"/>
      <c r="AX96" s="264"/>
      <c r="AY96" s="264"/>
      <c r="AZ96" s="264"/>
      <c r="BA96" s="264"/>
      <c r="BB96" s="264"/>
      <c r="BC96" s="264"/>
      <c r="BD96" s="264"/>
      <c r="BE96" s="264"/>
    </row>
    <row r="97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  <c r="M97" s="264" t="s">
        <v>22</v>
      </c>
      <c r="N97" s="264"/>
      <c r="O97" s="264" t="s">
        <v>22</v>
      </c>
      <c r="P97" s="264"/>
      <c r="Q97" s="264"/>
      <c r="R97" s="264"/>
      <c r="S97" s="264"/>
      <c r="T97" s="264"/>
      <c r="U97" s="360"/>
      <c r="V97" s="360"/>
      <c r="W97" s="360"/>
      <c r="X97" s="360"/>
      <c r="Y97" s="360"/>
      <c r="Z97" s="360"/>
      <c r="AA97" s="360"/>
      <c r="AB97" s="360"/>
      <c r="AC97" s="360"/>
      <c r="AD97" s="360"/>
      <c r="AE97" s="360"/>
      <c r="AF97" s="360"/>
      <c r="AG97" s="360" t="s">
        <v>1582</v>
      </c>
      <c r="AH97" s="360"/>
      <c r="AI97" s="360"/>
      <c r="AJ97" s="360" t="s">
        <v>1589</v>
      </c>
      <c r="AK97" s="360"/>
      <c r="AL97" s="360" t="s">
        <v>5878</v>
      </c>
      <c r="AM97" s="360"/>
      <c r="AN97" s="360"/>
      <c r="AO97" s="360"/>
      <c r="AP97" s="360"/>
      <c r="AQ97" s="360"/>
      <c r="AR97" s="360"/>
      <c r="AS97" s="360"/>
      <c r="AT97" s="360"/>
      <c r="AU97" s="360" t="s">
        <v>22</v>
      </c>
      <c r="AV97" s="360"/>
      <c r="AW97" s="264"/>
      <c r="AX97" s="264"/>
      <c r="AY97" s="264"/>
      <c r="AZ97" s="264"/>
      <c r="BA97" s="264"/>
      <c r="BB97" s="264"/>
      <c r="BC97" s="264"/>
      <c r="BD97" s="264"/>
      <c r="BE97" s="264"/>
    </row>
    <row r="98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  <c r="M98" s="264" t="s">
        <v>22</v>
      </c>
      <c r="N98" s="264"/>
      <c r="O98" s="264" t="s">
        <v>22</v>
      </c>
      <c r="P98" s="264"/>
      <c r="Q98" s="264"/>
      <c r="R98" s="264"/>
      <c r="S98" s="264"/>
      <c r="T98" s="264"/>
      <c r="U98" s="360"/>
      <c r="V98" s="360"/>
      <c r="W98" s="360"/>
      <c r="X98" s="360"/>
      <c r="Y98" s="360"/>
      <c r="Z98" s="360"/>
      <c r="AA98" s="360"/>
      <c r="AB98" s="360"/>
      <c r="AC98" s="360"/>
      <c r="AD98" s="360"/>
      <c r="AE98" s="360"/>
      <c r="AF98" s="360"/>
      <c r="AG98" s="360" t="s">
        <v>1582</v>
      </c>
      <c r="AH98" s="360"/>
      <c r="AI98" s="360"/>
      <c r="AJ98" s="360" t="s">
        <v>1589</v>
      </c>
      <c r="AK98" s="360"/>
      <c r="AL98" s="360" t="s">
        <v>5878</v>
      </c>
      <c r="AM98" s="360"/>
      <c r="AN98" s="360"/>
      <c r="AO98" s="360"/>
      <c r="AP98" s="360"/>
      <c r="AQ98" s="360"/>
      <c r="AR98" s="360"/>
      <c r="AS98" s="360"/>
      <c r="AT98" s="360"/>
      <c r="AU98" s="360" t="s">
        <v>22</v>
      </c>
      <c r="AV98" s="360"/>
      <c r="AW98" s="264"/>
      <c r="AX98" s="264"/>
      <c r="AY98" s="264"/>
      <c r="AZ98" s="264"/>
      <c r="BA98" s="264"/>
      <c r="BB98" s="264"/>
      <c r="BC98" s="264"/>
      <c r="BD98" s="264"/>
      <c r="BE98" s="264"/>
    </row>
    <row r="99">
      <c r="A99" s="264"/>
      <c r="B99" s="264"/>
      <c r="C99" s="264"/>
      <c r="D99" s="264"/>
      <c r="E99" s="264"/>
      <c r="F99" s="264"/>
      <c r="G99" s="264"/>
      <c r="H99" s="264"/>
      <c r="I99" s="264"/>
      <c r="J99" s="264"/>
      <c r="K99" s="264"/>
      <c r="L99" s="264"/>
      <c r="M99" s="264" t="s">
        <v>22</v>
      </c>
      <c r="N99" s="264"/>
      <c r="O99" s="264" t="s">
        <v>22</v>
      </c>
      <c r="P99" s="264"/>
      <c r="Q99" s="264"/>
      <c r="R99" s="264"/>
      <c r="S99" s="264"/>
      <c r="T99" s="264"/>
      <c r="U99" s="360"/>
      <c r="V99" s="360"/>
      <c r="W99" s="360"/>
      <c r="X99" s="360"/>
      <c r="Y99" s="360"/>
      <c r="Z99" s="360"/>
      <c r="AA99" s="360"/>
      <c r="AB99" s="360"/>
      <c r="AC99" s="360"/>
      <c r="AD99" s="360"/>
      <c r="AE99" s="360"/>
      <c r="AF99" s="360"/>
      <c r="AG99" s="360" t="s">
        <v>1582</v>
      </c>
      <c r="AH99" s="360"/>
      <c r="AI99" s="360"/>
      <c r="AJ99" s="360" t="s">
        <v>1589</v>
      </c>
      <c r="AK99" s="360"/>
      <c r="AL99" s="360" t="s">
        <v>5878</v>
      </c>
      <c r="AM99" s="360"/>
      <c r="AN99" s="360"/>
      <c r="AO99" s="360"/>
      <c r="AP99" s="360"/>
      <c r="AQ99" s="360"/>
      <c r="AR99" s="360"/>
      <c r="AS99" s="360"/>
      <c r="AT99" s="360"/>
      <c r="AU99" s="360" t="s">
        <v>22</v>
      </c>
      <c r="AV99" s="360"/>
      <c r="AW99" s="264"/>
      <c r="AX99" s="264"/>
      <c r="AY99" s="264"/>
      <c r="AZ99" s="264"/>
      <c r="BA99" s="264"/>
      <c r="BB99" s="264"/>
      <c r="BC99" s="264"/>
      <c r="BD99" s="264"/>
      <c r="BE99" s="264"/>
    </row>
    <row r="100">
      <c r="A100" s="264"/>
      <c r="B100" s="264"/>
      <c r="C100" s="264"/>
      <c r="D100" s="264"/>
      <c r="E100" s="264"/>
      <c r="F100" s="264"/>
      <c r="G100" s="264"/>
      <c r="H100" s="264"/>
      <c r="I100" s="264"/>
      <c r="J100" s="264"/>
      <c r="K100" s="264"/>
      <c r="L100" s="264"/>
      <c r="M100" s="264" t="s">
        <v>22</v>
      </c>
      <c r="N100" s="264"/>
      <c r="O100" s="264" t="s">
        <v>22</v>
      </c>
      <c r="P100" s="264"/>
      <c r="Q100" s="264"/>
      <c r="R100" s="264"/>
      <c r="S100" s="264"/>
      <c r="T100" s="264"/>
      <c r="U100" s="360"/>
      <c r="V100" s="360"/>
      <c r="W100" s="360"/>
      <c r="X100" s="360"/>
      <c r="Y100" s="360"/>
      <c r="Z100" s="360"/>
      <c r="AA100" s="360"/>
      <c r="AB100" s="360"/>
      <c r="AC100" s="360"/>
      <c r="AD100" s="360"/>
      <c r="AE100" s="360"/>
      <c r="AF100" s="360"/>
      <c r="AG100" s="360" t="s">
        <v>1582</v>
      </c>
      <c r="AH100" s="360"/>
      <c r="AI100" s="360"/>
      <c r="AJ100" s="360" t="s">
        <v>1589</v>
      </c>
      <c r="AK100" s="360"/>
      <c r="AL100" s="360" t="s">
        <v>5878</v>
      </c>
      <c r="AM100" s="360"/>
      <c r="AN100" s="360"/>
      <c r="AO100" s="360"/>
      <c r="AP100" s="360"/>
      <c r="AQ100" s="360"/>
      <c r="AR100" s="360"/>
      <c r="AS100" s="360"/>
      <c r="AT100" s="360"/>
      <c r="AU100" s="360" t="s">
        <v>22</v>
      </c>
      <c r="AV100" s="360"/>
      <c r="AW100" s="264"/>
      <c r="AX100" s="264"/>
      <c r="AY100" s="264"/>
      <c r="AZ100" s="264"/>
      <c r="BA100" s="264"/>
      <c r="BB100" s="264"/>
      <c r="BC100" s="264"/>
      <c r="BD100" s="264"/>
      <c r="BE100" s="264"/>
    </row>
    <row r="101">
      <c r="A101" s="264"/>
      <c r="B101" s="264"/>
      <c r="C101" s="264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 t="s">
        <v>22</v>
      </c>
      <c r="N101" s="264"/>
      <c r="O101" s="264" t="s">
        <v>22</v>
      </c>
      <c r="P101" s="264"/>
      <c r="Q101" s="264"/>
      <c r="R101" s="264"/>
      <c r="S101" s="264"/>
      <c r="T101" s="264"/>
      <c r="U101" s="360"/>
      <c r="V101" s="360"/>
      <c r="W101" s="360"/>
      <c r="X101" s="360"/>
      <c r="Y101" s="360"/>
      <c r="Z101" s="360"/>
      <c r="AA101" s="360"/>
      <c r="AB101" s="360"/>
      <c r="AC101" s="360"/>
      <c r="AD101" s="360"/>
      <c r="AE101" s="360"/>
      <c r="AF101" s="360"/>
      <c r="AG101" s="360" t="s">
        <v>1582</v>
      </c>
      <c r="AH101" s="360"/>
      <c r="AI101" s="360"/>
      <c r="AJ101" s="360" t="s">
        <v>1589</v>
      </c>
      <c r="AK101" s="360"/>
      <c r="AL101" s="360" t="s">
        <v>5878</v>
      </c>
      <c r="AM101" s="360"/>
      <c r="AN101" s="360"/>
      <c r="AO101" s="360"/>
      <c r="AP101" s="360"/>
      <c r="AQ101" s="360"/>
      <c r="AR101" s="360"/>
      <c r="AS101" s="360"/>
      <c r="AT101" s="360"/>
      <c r="AU101" s="360" t="s">
        <v>22</v>
      </c>
      <c r="AV101" s="360"/>
      <c r="AW101" s="264"/>
      <c r="AX101" s="264"/>
      <c r="AY101" s="264"/>
      <c r="AZ101" s="264"/>
      <c r="BA101" s="264"/>
      <c r="BB101" s="264"/>
      <c r="BC101" s="264"/>
      <c r="BD101" s="264"/>
      <c r="BE101" s="264"/>
    </row>
    <row r="102">
      <c r="A102" s="264"/>
      <c r="B102" s="264"/>
      <c r="C102" s="264"/>
      <c r="D102" s="264"/>
      <c r="E102" s="264"/>
      <c r="F102" s="264"/>
      <c r="G102" s="264"/>
      <c r="H102" s="264"/>
      <c r="I102" s="264"/>
      <c r="J102" s="264"/>
      <c r="K102" s="264"/>
      <c r="L102" s="264"/>
      <c r="M102" s="264" t="s">
        <v>22</v>
      </c>
      <c r="N102" s="264"/>
      <c r="O102" s="264" t="s">
        <v>22</v>
      </c>
      <c r="P102" s="264"/>
      <c r="Q102" s="264"/>
      <c r="R102" s="264"/>
      <c r="S102" s="264"/>
      <c r="T102" s="264"/>
      <c r="U102" s="360"/>
      <c r="V102" s="360"/>
      <c r="W102" s="360"/>
      <c r="X102" s="360"/>
      <c r="Y102" s="360"/>
      <c r="Z102" s="360"/>
      <c r="AA102" s="360"/>
      <c r="AB102" s="360"/>
      <c r="AC102" s="360"/>
      <c r="AD102" s="360"/>
      <c r="AE102" s="360"/>
      <c r="AF102" s="360"/>
      <c r="AG102" s="360" t="s">
        <v>1582</v>
      </c>
      <c r="AH102" s="360"/>
      <c r="AI102" s="360"/>
      <c r="AJ102" s="360" t="s">
        <v>1589</v>
      </c>
      <c r="AK102" s="360"/>
      <c r="AL102" s="360" t="s">
        <v>5878</v>
      </c>
      <c r="AM102" s="360"/>
      <c r="AN102" s="360"/>
      <c r="AO102" s="360"/>
      <c r="AP102" s="360"/>
      <c r="AQ102" s="360"/>
      <c r="AR102" s="360"/>
      <c r="AS102" s="360"/>
      <c r="AT102" s="360"/>
      <c r="AU102" s="360" t="s">
        <v>22</v>
      </c>
      <c r="AV102" s="360"/>
      <c r="AW102" s="264"/>
      <c r="AX102" s="264"/>
      <c r="AY102" s="264"/>
      <c r="AZ102" s="264"/>
      <c r="BA102" s="264"/>
      <c r="BB102" s="264"/>
      <c r="BC102" s="264"/>
      <c r="BD102" s="264"/>
      <c r="BE102" s="264"/>
    </row>
    <row r="103">
      <c r="A103" s="264"/>
      <c r="B103" s="264"/>
      <c r="C103" s="264"/>
      <c r="D103" s="264"/>
      <c r="E103" s="264"/>
      <c r="F103" s="264"/>
      <c r="G103" s="264"/>
      <c r="H103" s="264"/>
      <c r="I103" s="264"/>
      <c r="J103" s="264"/>
      <c r="K103" s="264"/>
      <c r="L103" s="264"/>
      <c r="M103" s="264" t="s">
        <v>22</v>
      </c>
      <c r="N103" s="264"/>
      <c r="O103" s="264" t="s">
        <v>22</v>
      </c>
      <c r="P103" s="264"/>
      <c r="Q103" s="264"/>
      <c r="R103" s="264"/>
      <c r="S103" s="264"/>
      <c r="T103" s="264"/>
      <c r="U103" s="360"/>
      <c r="V103" s="360"/>
      <c r="W103" s="360"/>
      <c r="X103" s="360"/>
      <c r="Y103" s="360"/>
      <c r="Z103" s="360"/>
      <c r="AA103" s="360"/>
      <c r="AB103" s="360"/>
      <c r="AC103" s="360"/>
      <c r="AD103" s="360"/>
      <c r="AE103" s="360"/>
      <c r="AF103" s="360"/>
      <c r="AG103" s="360" t="s">
        <v>1582</v>
      </c>
      <c r="AH103" s="360"/>
      <c r="AI103" s="360"/>
      <c r="AJ103" s="360" t="s">
        <v>1589</v>
      </c>
      <c r="AK103" s="360"/>
      <c r="AL103" s="360" t="s">
        <v>5878</v>
      </c>
      <c r="AM103" s="360"/>
      <c r="AN103" s="360"/>
      <c r="AO103" s="360"/>
      <c r="AP103" s="360"/>
      <c r="AQ103" s="360"/>
      <c r="AR103" s="360"/>
      <c r="AS103" s="360"/>
      <c r="AT103" s="360"/>
      <c r="AU103" s="360" t="s">
        <v>22</v>
      </c>
      <c r="AV103" s="360"/>
      <c r="AW103" s="264"/>
      <c r="AX103" s="264"/>
      <c r="AY103" s="264"/>
      <c r="AZ103" s="264"/>
      <c r="BA103" s="264"/>
      <c r="BB103" s="264"/>
      <c r="BC103" s="264"/>
      <c r="BD103" s="264"/>
      <c r="BE103" s="264"/>
    </row>
    <row r="104">
      <c r="A104" s="264"/>
      <c r="B104" s="264"/>
      <c r="C104" s="264"/>
      <c r="D104" s="264"/>
      <c r="E104" s="264"/>
      <c r="F104" s="264"/>
      <c r="G104" s="264"/>
      <c r="H104" s="264"/>
      <c r="I104" s="264"/>
      <c r="J104" s="264"/>
      <c r="K104" s="264"/>
      <c r="L104" s="264"/>
      <c r="M104" s="264" t="s">
        <v>22</v>
      </c>
      <c r="N104" s="264"/>
      <c r="O104" s="264" t="s">
        <v>22</v>
      </c>
      <c r="P104" s="264"/>
      <c r="Q104" s="264"/>
      <c r="R104" s="264"/>
      <c r="S104" s="264"/>
      <c r="T104" s="264"/>
      <c r="U104" s="360"/>
      <c r="V104" s="360"/>
      <c r="W104" s="360"/>
      <c r="X104" s="360"/>
      <c r="Y104" s="360"/>
      <c r="Z104" s="360"/>
      <c r="AA104" s="360"/>
      <c r="AB104" s="360"/>
      <c r="AC104" s="360"/>
      <c r="AD104" s="360"/>
      <c r="AE104" s="360"/>
      <c r="AF104" s="360"/>
      <c r="AG104" s="360" t="s">
        <v>1582</v>
      </c>
      <c r="AH104" s="360"/>
      <c r="AI104" s="360"/>
      <c r="AJ104" s="360" t="s">
        <v>1589</v>
      </c>
      <c r="AK104" s="360"/>
      <c r="AL104" s="360" t="s">
        <v>5878</v>
      </c>
      <c r="AM104" s="360"/>
      <c r="AN104" s="360"/>
      <c r="AO104" s="360"/>
      <c r="AP104" s="360"/>
      <c r="AQ104" s="360"/>
      <c r="AR104" s="360"/>
      <c r="AS104" s="360"/>
      <c r="AT104" s="360"/>
      <c r="AU104" s="360" t="s">
        <v>22</v>
      </c>
      <c r="AV104" s="360"/>
      <c r="AW104" s="264"/>
      <c r="AX104" s="264"/>
      <c r="AY104" s="264"/>
      <c r="AZ104" s="264"/>
      <c r="BA104" s="264"/>
      <c r="BB104" s="264"/>
      <c r="BC104" s="264"/>
      <c r="BD104" s="264"/>
      <c r="BE104" s="264"/>
    </row>
    <row r="105">
      <c r="A105" s="264"/>
      <c r="B105" s="264"/>
      <c r="C105" s="264"/>
      <c r="D105" s="264"/>
      <c r="E105" s="264"/>
      <c r="F105" s="264"/>
      <c r="G105" s="264"/>
      <c r="H105" s="264"/>
      <c r="I105" s="264"/>
      <c r="J105" s="264"/>
      <c r="K105" s="264"/>
      <c r="L105" s="264"/>
      <c r="M105" s="264" t="s">
        <v>22</v>
      </c>
      <c r="N105" s="264"/>
      <c r="O105" s="264" t="s">
        <v>22</v>
      </c>
      <c r="P105" s="264"/>
      <c r="Q105" s="264"/>
      <c r="R105" s="264"/>
      <c r="S105" s="264"/>
      <c r="T105" s="264"/>
      <c r="U105" s="360"/>
      <c r="V105" s="360"/>
      <c r="W105" s="360"/>
      <c r="X105" s="360"/>
      <c r="Y105" s="360"/>
      <c r="Z105" s="360"/>
      <c r="AA105" s="360"/>
      <c r="AB105" s="360"/>
      <c r="AC105" s="360"/>
      <c r="AD105" s="360"/>
      <c r="AE105" s="360"/>
      <c r="AF105" s="360"/>
      <c r="AG105" s="360" t="s">
        <v>1582</v>
      </c>
      <c r="AH105" s="360"/>
      <c r="AI105" s="360"/>
      <c r="AJ105" s="360" t="s">
        <v>1589</v>
      </c>
      <c r="AK105" s="360"/>
      <c r="AL105" s="360" t="s">
        <v>5878</v>
      </c>
      <c r="AM105" s="360"/>
      <c r="AN105" s="360"/>
      <c r="AO105" s="360"/>
      <c r="AP105" s="360"/>
      <c r="AQ105" s="360"/>
      <c r="AR105" s="360"/>
      <c r="AS105" s="360"/>
      <c r="AT105" s="360"/>
      <c r="AU105" s="360" t="s">
        <v>22</v>
      </c>
      <c r="AV105" s="360"/>
      <c r="AW105" s="264"/>
      <c r="AX105" s="264"/>
      <c r="AY105" s="264"/>
      <c r="AZ105" s="264"/>
      <c r="BA105" s="264"/>
      <c r="BB105" s="264"/>
      <c r="BC105" s="264"/>
      <c r="BD105" s="264"/>
      <c r="BE105" s="264"/>
    </row>
    <row r="106">
      <c r="A106" s="264"/>
      <c r="B106" s="264"/>
      <c r="C106" s="264"/>
      <c r="D106" s="264"/>
      <c r="E106" s="264"/>
      <c r="F106" s="264"/>
      <c r="G106" s="264"/>
      <c r="H106" s="264"/>
      <c r="I106" s="264"/>
      <c r="J106" s="264"/>
      <c r="K106" s="264"/>
      <c r="L106" s="264"/>
      <c r="M106" s="264" t="s">
        <v>22</v>
      </c>
      <c r="N106" s="264"/>
      <c r="O106" s="264" t="s">
        <v>22</v>
      </c>
      <c r="P106" s="264"/>
      <c r="Q106" s="264"/>
      <c r="R106" s="264"/>
      <c r="S106" s="264"/>
      <c r="T106" s="264"/>
      <c r="U106" s="360"/>
      <c r="V106" s="360"/>
      <c r="W106" s="360"/>
      <c r="X106" s="360"/>
      <c r="Y106" s="360"/>
      <c r="Z106" s="360"/>
      <c r="AA106" s="360"/>
      <c r="AB106" s="360"/>
      <c r="AC106" s="360"/>
      <c r="AD106" s="360"/>
      <c r="AE106" s="360"/>
      <c r="AF106" s="360"/>
      <c r="AG106" s="360" t="s">
        <v>1582</v>
      </c>
      <c r="AH106" s="360"/>
      <c r="AI106" s="360"/>
      <c r="AJ106" s="360" t="s">
        <v>1589</v>
      </c>
      <c r="AK106" s="360"/>
      <c r="AL106" s="360" t="s">
        <v>5878</v>
      </c>
      <c r="AM106" s="360"/>
      <c r="AN106" s="360"/>
      <c r="AO106" s="360"/>
      <c r="AP106" s="360"/>
      <c r="AQ106" s="360"/>
      <c r="AR106" s="360"/>
      <c r="AS106" s="360"/>
      <c r="AT106" s="360"/>
      <c r="AU106" s="360" t="s">
        <v>22</v>
      </c>
      <c r="AV106" s="360"/>
      <c r="AW106" s="264"/>
      <c r="AX106" s="264"/>
      <c r="AY106" s="264"/>
      <c r="AZ106" s="264"/>
      <c r="BA106" s="264"/>
      <c r="BB106" s="264"/>
      <c r="BC106" s="264"/>
      <c r="BD106" s="264"/>
      <c r="BE106" s="264"/>
    </row>
    <row r="107">
      <c r="A107" s="264"/>
      <c r="B107" s="264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 t="s">
        <v>22</v>
      </c>
      <c r="N107" s="264"/>
      <c r="O107" s="264" t="s">
        <v>22</v>
      </c>
      <c r="P107" s="264"/>
      <c r="Q107" s="264"/>
      <c r="R107" s="264"/>
      <c r="S107" s="264"/>
      <c r="T107" s="264"/>
      <c r="U107" s="360"/>
      <c r="V107" s="360"/>
      <c r="W107" s="360"/>
      <c r="X107" s="360"/>
      <c r="Y107" s="360"/>
      <c r="Z107" s="360"/>
      <c r="AA107" s="360"/>
      <c r="AB107" s="360"/>
      <c r="AC107" s="360"/>
      <c r="AD107" s="360"/>
      <c r="AE107" s="360"/>
      <c r="AF107" s="360"/>
      <c r="AG107" s="360" t="s">
        <v>1582</v>
      </c>
      <c r="AH107" s="360"/>
      <c r="AI107" s="360"/>
      <c r="AJ107" s="360" t="s">
        <v>1589</v>
      </c>
      <c r="AK107" s="360"/>
      <c r="AL107" s="360" t="s">
        <v>5878</v>
      </c>
      <c r="AM107" s="360"/>
      <c r="AN107" s="360"/>
      <c r="AO107" s="360"/>
      <c r="AP107" s="360"/>
      <c r="AQ107" s="360"/>
      <c r="AR107" s="360"/>
      <c r="AS107" s="360"/>
      <c r="AT107" s="360"/>
      <c r="AU107" s="360" t="s">
        <v>22</v>
      </c>
      <c r="AV107" s="360"/>
      <c r="AW107" s="264"/>
      <c r="AX107" s="264"/>
      <c r="AY107" s="264"/>
      <c r="AZ107" s="264"/>
      <c r="BA107" s="264"/>
      <c r="BB107" s="264"/>
      <c r="BC107" s="264"/>
      <c r="BD107" s="264"/>
      <c r="BE107" s="264"/>
    </row>
    <row r="108">
      <c r="A108" s="264"/>
      <c r="B108" s="264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 t="s">
        <v>22</v>
      </c>
      <c r="N108" s="264"/>
      <c r="O108" s="264" t="s">
        <v>22</v>
      </c>
      <c r="P108" s="264"/>
      <c r="Q108" s="264"/>
      <c r="R108" s="264"/>
      <c r="S108" s="264"/>
      <c r="T108" s="264"/>
      <c r="U108" s="360"/>
      <c r="V108" s="360"/>
      <c r="W108" s="360"/>
      <c r="X108" s="360"/>
      <c r="Y108" s="360"/>
      <c r="Z108" s="360"/>
      <c r="AA108" s="360"/>
      <c r="AB108" s="360"/>
      <c r="AC108" s="360"/>
      <c r="AD108" s="360"/>
      <c r="AE108" s="360"/>
      <c r="AF108" s="360"/>
      <c r="AG108" s="360" t="s">
        <v>1582</v>
      </c>
      <c r="AH108" s="360"/>
      <c r="AI108" s="360"/>
      <c r="AJ108" s="360" t="s">
        <v>1589</v>
      </c>
      <c r="AK108" s="360"/>
      <c r="AL108" s="360" t="s">
        <v>5878</v>
      </c>
      <c r="AM108" s="360"/>
      <c r="AN108" s="360"/>
      <c r="AO108" s="360"/>
      <c r="AP108" s="360"/>
      <c r="AQ108" s="360"/>
      <c r="AR108" s="360"/>
      <c r="AS108" s="360"/>
      <c r="AT108" s="360"/>
      <c r="AU108" s="360" t="s">
        <v>22</v>
      </c>
      <c r="AV108" s="360"/>
      <c r="AW108" s="264"/>
      <c r="AX108" s="264"/>
      <c r="AY108" s="264"/>
      <c r="AZ108" s="264"/>
      <c r="BA108" s="264"/>
      <c r="BB108" s="264"/>
      <c r="BC108" s="264"/>
      <c r="BD108" s="264"/>
      <c r="BE108" s="264"/>
    </row>
    <row r="109">
      <c r="A109" s="264"/>
      <c r="B109" s="264"/>
      <c r="C109" s="264"/>
      <c r="D109" s="264"/>
      <c r="E109" s="264"/>
      <c r="F109" s="264"/>
      <c r="G109" s="264"/>
      <c r="H109" s="264"/>
      <c r="I109" s="264"/>
      <c r="J109" s="264"/>
      <c r="K109" s="264"/>
      <c r="L109" s="264"/>
      <c r="M109" s="264" t="s">
        <v>22</v>
      </c>
      <c r="N109" s="264"/>
      <c r="O109" s="264" t="s">
        <v>22</v>
      </c>
      <c r="P109" s="264"/>
      <c r="Q109" s="264"/>
      <c r="R109" s="264"/>
      <c r="S109" s="264"/>
      <c r="T109" s="264"/>
      <c r="U109" s="360"/>
      <c r="V109" s="360"/>
      <c r="W109" s="360"/>
      <c r="X109" s="360"/>
      <c r="Y109" s="360"/>
      <c r="Z109" s="360"/>
      <c r="AA109" s="360"/>
      <c r="AB109" s="360"/>
      <c r="AC109" s="360"/>
      <c r="AD109" s="360"/>
      <c r="AE109" s="360"/>
      <c r="AF109" s="360"/>
      <c r="AG109" s="360" t="s">
        <v>1582</v>
      </c>
      <c r="AH109" s="360"/>
      <c r="AI109" s="360"/>
      <c r="AJ109" s="360" t="s">
        <v>1589</v>
      </c>
      <c r="AK109" s="360"/>
      <c r="AL109" s="360" t="s">
        <v>5878</v>
      </c>
      <c r="AM109" s="360"/>
      <c r="AN109" s="360"/>
      <c r="AO109" s="360"/>
      <c r="AP109" s="360"/>
      <c r="AQ109" s="360"/>
      <c r="AR109" s="360"/>
      <c r="AS109" s="360"/>
      <c r="AT109" s="360"/>
      <c r="AU109" s="360" t="s">
        <v>22</v>
      </c>
      <c r="AV109" s="360"/>
      <c r="AW109" s="264"/>
      <c r="AX109" s="264"/>
      <c r="AY109" s="264"/>
      <c r="AZ109" s="264"/>
      <c r="BA109" s="264"/>
      <c r="BB109" s="264"/>
      <c r="BC109" s="264"/>
      <c r="BD109" s="264"/>
      <c r="BE109" s="264"/>
    </row>
    <row r="110">
      <c r="A110" s="264"/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 t="s">
        <v>22</v>
      </c>
      <c r="N110" s="264"/>
      <c r="O110" s="264" t="s">
        <v>22</v>
      </c>
      <c r="P110" s="264"/>
      <c r="Q110" s="264"/>
      <c r="R110" s="264"/>
      <c r="S110" s="264"/>
      <c r="T110" s="264"/>
      <c r="U110" s="360"/>
      <c r="V110" s="360"/>
      <c r="W110" s="360"/>
      <c r="X110" s="360"/>
      <c r="Y110" s="360"/>
      <c r="Z110" s="360"/>
      <c r="AA110" s="360"/>
      <c r="AB110" s="360"/>
      <c r="AC110" s="360"/>
      <c r="AD110" s="360"/>
      <c r="AE110" s="360"/>
      <c r="AF110" s="360"/>
      <c r="AG110" s="360" t="s">
        <v>1582</v>
      </c>
      <c r="AH110" s="360"/>
      <c r="AI110" s="360"/>
      <c r="AJ110" s="360" t="s">
        <v>1589</v>
      </c>
      <c r="AK110" s="360"/>
      <c r="AL110" s="360" t="s">
        <v>5878</v>
      </c>
      <c r="AM110" s="360"/>
      <c r="AN110" s="360"/>
      <c r="AO110" s="360"/>
      <c r="AP110" s="360"/>
      <c r="AQ110" s="360"/>
      <c r="AR110" s="360"/>
      <c r="AS110" s="360"/>
      <c r="AT110" s="360"/>
      <c r="AU110" s="360" t="s">
        <v>22</v>
      </c>
      <c r="AV110" s="360"/>
      <c r="AW110" s="264"/>
      <c r="AX110" s="264"/>
      <c r="AY110" s="264"/>
      <c r="AZ110" s="264"/>
      <c r="BA110" s="264"/>
      <c r="BB110" s="264"/>
      <c r="BC110" s="264"/>
      <c r="BD110" s="264"/>
      <c r="BE110" s="264"/>
    </row>
    <row r="111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 t="s">
        <v>22</v>
      </c>
      <c r="N111" s="264"/>
      <c r="O111" s="264" t="s">
        <v>22</v>
      </c>
      <c r="P111" s="264"/>
      <c r="Q111" s="264"/>
      <c r="R111" s="264"/>
      <c r="S111" s="264"/>
      <c r="T111" s="264"/>
      <c r="U111" s="360"/>
      <c r="V111" s="360"/>
      <c r="W111" s="360"/>
      <c r="X111" s="360"/>
      <c r="Y111" s="360"/>
      <c r="Z111" s="360"/>
      <c r="AA111" s="360"/>
      <c r="AB111" s="360"/>
      <c r="AC111" s="360"/>
      <c r="AD111" s="360"/>
      <c r="AE111" s="360"/>
      <c r="AF111" s="360"/>
      <c r="AG111" s="360" t="s">
        <v>1582</v>
      </c>
      <c r="AH111" s="360"/>
      <c r="AI111" s="360"/>
      <c r="AJ111" s="360" t="s">
        <v>1589</v>
      </c>
      <c r="AK111" s="360"/>
      <c r="AL111" s="360" t="s">
        <v>5878</v>
      </c>
      <c r="AM111" s="360"/>
      <c r="AN111" s="360"/>
      <c r="AO111" s="360"/>
      <c r="AP111" s="360"/>
      <c r="AQ111" s="360"/>
      <c r="AR111" s="360"/>
      <c r="AS111" s="360"/>
      <c r="AT111" s="360"/>
      <c r="AU111" s="360" t="s">
        <v>22</v>
      </c>
      <c r="AV111" s="360"/>
      <c r="AW111" s="264"/>
      <c r="AX111" s="264"/>
      <c r="AY111" s="264"/>
      <c r="AZ111" s="264"/>
      <c r="BA111" s="264"/>
      <c r="BB111" s="264"/>
      <c r="BC111" s="264"/>
      <c r="BD111" s="264"/>
      <c r="BE111" s="264"/>
    </row>
    <row r="112">
      <c r="A112" s="264"/>
      <c r="B112" s="264"/>
      <c r="C112" s="264"/>
      <c r="D112" s="264"/>
      <c r="E112" s="264"/>
      <c r="F112" s="264"/>
      <c r="G112" s="264"/>
      <c r="H112" s="264"/>
      <c r="I112" s="264"/>
      <c r="J112" s="264"/>
      <c r="K112" s="264"/>
      <c r="L112" s="264"/>
      <c r="M112" s="264" t="s">
        <v>22</v>
      </c>
      <c r="N112" s="264"/>
      <c r="O112" s="264" t="s">
        <v>22</v>
      </c>
      <c r="P112" s="264"/>
      <c r="Q112" s="264"/>
      <c r="R112" s="264"/>
      <c r="S112" s="264"/>
      <c r="T112" s="264"/>
      <c r="U112" s="360"/>
      <c r="V112" s="360"/>
      <c r="W112" s="360"/>
      <c r="X112" s="360"/>
      <c r="Y112" s="360"/>
      <c r="Z112" s="360"/>
      <c r="AA112" s="360"/>
      <c r="AB112" s="360"/>
      <c r="AC112" s="360"/>
      <c r="AD112" s="360"/>
      <c r="AE112" s="360"/>
      <c r="AF112" s="360"/>
      <c r="AG112" s="360" t="s">
        <v>1582</v>
      </c>
      <c r="AH112" s="360"/>
      <c r="AI112" s="360"/>
      <c r="AJ112" s="360" t="s">
        <v>1589</v>
      </c>
      <c r="AK112" s="360"/>
      <c r="AL112" s="360" t="s">
        <v>5878</v>
      </c>
      <c r="AM112" s="360"/>
      <c r="AN112" s="360"/>
      <c r="AO112" s="360"/>
      <c r="AP112" s="360"/>
      <c r="AQ112" s="360"/>
      <c r="AR112" s="360"/>
      <c r="AS112" s="360"/>
      <c r="AT112" s="360"/>
      <c r="AU112" s="360" t="s">
        <v>22</v>
      </c>
      <c r="AV112" s="360"/>
      <c r="AW112" s="264"/>
      <c r="AX112" s="264"/>
      <c r="AY112" s="264"/>
      <c r="AZ112" s="264"/>
      <c r="BA112" s="264"/>
      <c r="BB112" s="264"/>
      <c r="BC112" s="264"/>
      <c r="BD112" s="264"/>
      <c r="BE112" s="264"/>
    </row>
    <row r="113">
      <c r="A113" s="264"/>
      <c r="B113" s="264"/>
      <c r="C113" s="264"/>
      <c r="D113" s="264"/>
      <c r="E113" s="264"/>
      <c r="F113" s="264"/>
      <c r="G113" s="264"/>
      <c r="H113" s="264"/>
      <c r="I113" s="264"/>
      <c r="J113" s="264"/>
      <c r="K113" s="264"/>
      <c r="L113" s="264"/>
      <c r="M113" s="264" t="s">
        <v>22</v>
      </c>
      <c r="N113" s="264"/>
      <c r="O113" s="264" t="s">
        <v>22</v>
      </c>
      <c r="P113" s="264"/>
      <c r="Q113" s="264"/>
      <c r="R113" s="264"/>
      <c r="S113" s="264"/>
      <c r="T113" s="264"/>
      <c r="U113" s="360"/>
      <c r="V113" s="360"/>
      <c r="W113" s="360"/>
      <c r="X113" s="360"/>
      <c r="Y113" s="360"/>
      <c r="Z113" s="360"/>
      <c r="AA113" s="360"/>
      <c r="AB113" s="360"/>
      <c r="AC113" s="360"/>
      <c r="AD113" s="360"/>
      <c r="AE113" s="360"/>
      <c r="AF113" s="360"/>
      <c r="AG113" s="360" t="s">
        <v>1582</v>
      </c>
      <c r="AH113" s="360"/>
      <c r="AI113" s="360"/>
      <c r="AJ113" s="360" t="s">
        <v>1589</v>
      </c>
      <c r="AK113" s="360"/>
      <c r="AL113" s="360" t="s">
        <v>5878</v>
      </c>
      <c r="AM113" s="360"/>
      <c r="AN113" s="360"/>
      <c r="AO113" s="360"/>
      <c r="AP113" s="360"/>
      <c r="AQ113" s="360"/>
      <c r="AR113" s="360"/>
      <c r="AS113" s="360"/>
      <c r="AT113" s="360"/>
      <c r="AU113" s="360" t="s">
        <v>22</v>
      </c>
      <c r="AV113" s="360"/>
      <c r="AW113" s="264"/>
      <c r="AX113" s="264"/>
      <c r="AY113" s="264"/>
      <c r="AZ113" s="264"/>
      <c r="BA113" s="264"/>
      <c r="BB113" s="264"/>
      <c r="BC113" s="264"/>
      <c r="BD113" s="264"/>
      <c r="BE113" s="264"/>
    </row>
    <row r="114">
      <c r="A114" s="264"/>
      <c r="B114" s="264"/>
      <c r="C114" s="264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 t="s">
        <v>22</v>
      </c>
      <c r="N114" s="264"/>
      <c r="O114" s="264" t="s">
        <v>22</v>
      </c>
      <c r="P114" s="264"/>
      <c r="Q114" s="264"/>
      <c r="R114" s="264"/>
      <c r="S114" s="264"/>
      <c r="T114" s="264"/>
      <c r="U114" s="360"/>
      <c r="V114" s="360"/>
      <c r="W114" s="360"/>
      <c r="X114" s="360"/>
      <c r="Y114" s="360"/>
      <c r="Z114" s="360"/>
      <c r="AA114" s="360"/>
      <c r="AB114" s="360"/>
      <c r="AC114" s="360"/>
      <c r="AD114" s="360"/>
      <c r="AE114" s="360"/>
      <c r="AF114" s="360"/>
      <c r="AG114" s="360" t="s">
        <v>1582</v>
      </c>
      <c r="AH114" s="360"/>
      <c r="AI114" s="360"/>
      <c r="AJ114" s="360" t="s">
        <v>1589</v>
      </c>
      <c r="AK114" s="360"/>
      <c r="AL114" s="360" t="s">
        <v>5878</v>
      </c>
      <c r="AM114" s="360"/>
      <c r="AN114" s="360"/>
      <c r="AO114" s="360"/>
      <c r="AP114" s="360"/>
      <c r="AQ114" s="360"/>
      <c r="AR114" s="360"/>
      <c r="AS114" s="360"/>
      <c r="AT114" s="360"/>
      <c r="AU114" s="360" t="s">
        <v>22</v>
      </c>
      <c r="AV114" s="360"/>
      <c r="AW114" s="264"/>
      <c r="AX114" s="264"/>
      <c r="AY114" s="264"/>
      <c r="AZ114" s="264"/>
      <c r="BA114" s="264"/>
      <c r="BB114" s="264"/>
      <c r="BC114" s="264"/>
      <c r="BD114" s="264"/>
      <c r="BE114" s="264"/>
    </row>
    <row r="115">
      <c r="A115" s="264"/>
      <c r="B115" s="264"/>
      <c r="C115" s="264"/>
      <c r="D115" s="264"/>
      <c r="E115" s="264"/>
      <c r="F115" s="264"/>
      <c r="G115" s="264"/>
      <c r="H115" s="264"/>
      <c r="I115" s="264"/>
      <c r="J115" s="264"/>
      <c r="K115" s="264"/>
      <c r="L115" s="264"/>
      <c r="M115" s="264" t="s">
        <v>22</v>
      </c>
      <c r="N115" s="264"/>
      <c r="O115" s="264" t="s">
        <v>22</v>
      </c>
      <c r="P115" s="264"/>
      <c r="Q115" s="264"/>
      <c r="R115" s="264"/>
      <c r="S115" s="264"/>
      <c r="T115" s="264"/>
      <c r="U115" s="360"/>
      <c r="V115" s="360"/>
      <c r="W115" s="360"/>
      <c r="X115" s="360"/>
      <c r="Y115" s="360"/>
      <c r="Z115" s="360"/>
      <c r="AA115" s="360"/>
      <c r="AB115" s="360"/>
      <c r="AC115" s="360"/>
      <c r="AD115" s="360"/>
      <c r="AE115" s="360"/>
      <c r="AF115" s="360"/>
      <c r="AG115" s="360" t="s">
        <v>1582</v>
      </c>
      <c r="AH115" s="360"/>
      <c r="AI115" s="360"/>
      <c r="AJ115" s="360" t="s">
        <v>1589</v>
      </c>
      <c r="AK115" s="360"/>
      <c r="AL115" s="360" t="s">
        <v>5878</v>
      </c>
      <c r="AM115" s="360"/>
      <c r="AN115" s="360"/>
      <c r="AO115" s="360"/>
      <c r="AP115" s="360"/>
      <c r="AQ115" s="360"/>
      <c r="AR115" s="360"/>
      <c r="AS115" s="360"/>
      <c r="AT115" s="360"/>
      <c r="AU115" s="360" t="s">
        <v>22</v>
      </c>
      <c r="AV115" s="360"/>
      <c r="AW115" s="264"/>
      <c r="AX115" s="264"/>
      <c r="AY115" s="264"/>
      <c r="AZ115" s="264"/>
      <c r="BA115" s="264"/>
      <c r="BB115" s="264"/>
      <c r="BC115" s="264"/>
      <c r="BD115" s="264"/>
      <c r="BE115" s="264"/>
    </row>
    <row r="116">
      <c r="A116" s="264"/>
      <c r="B116" s="264"/>
      <c r="C116" s="264"/>
      <c r="D116" s="264"/>
      <c r="E116" s="264"/>
      <c r="F116" s="264"/>
      <c r="G116" s="264"/>
      <c r="H116" s="264"/>
      <c r="I116" s="264"/>
      <c r="J116" s="264"/>
      <c r="K116" s="264"/>
      <c r="L116" s="264"/>
      <c r="M116" s="264" t="s">
        <v>22</v>
      </c>
      <c r="N116" s="264"/>
      <c r="O116" s="264" t="s">
        <v>22</v>
      </c>
      <c r="P116" s="264"/>
      <c r="Q116" s="264"/>
      <c r="R116" s="264"/>
      <c r="S116" s="264"/>
      <c r="T116" s="264"/>
      <c r="U116" s="360"/>
      <c r="V116" s="360"/>
      <c r="W116" s="360"/>
      <c r="X116" s="360"/>
      <c r="Y116" s="360"/>
      <c r="Z116" s="360"/>
      <c r="AA116" s="360"/>
      <c r="AB116" s="360"/>
      <c r="AC116" s="360"/>
      <c r="AD116" s="360"/>
      <c r="AE116" s="360"/>
      <c r="AF116" s="360"/>
      <c r="AG116" s="360" t="s">
        <v>1582</v>
      </c>
      <c r="AH116" s="360"/>
      <c r="AI116" s="360"/>
      <c r="AJ116" s="360" t="s">
        <v>1589</v>
      </c>
      <c r="AK116" s="360"/>
      <c r="AL116" s="360" t="s">
        <v>5878</v>
      </c>
      <c r="AM116" s="360"/>
      <c r="AN116" s="360"/>
      <c r="AO116" s="360"/>
      <c r="AP116" s="360"/>
      <c r="AQ116" s="360"/>
      <c r="AR116" s="360"/>
      <c r="AS116" s="360"/>
      <c r="AT116" s="360"/>
      <c r="AU116" s="360" t="s">
        <v>22</v>
      </c>
      <c r="AV116" s="360"/>
      <c r="AW116" s="264"/>
      <c r="AX116" s="264"/>
      <c r="AY116" s="264"/>
      <c r="AZ116" s="264"/>
      <c r="BA116" s="264"/>
      <c r="BB116" s="264"/>
      <c r="BC116" s="264"/>
      <c r="BD116" s="264"/>
      <c r="BE116" s="264"/>
    </row>
    <row r="117">
      <c r="A117" s="264"/>
      <c r="B117" s="264"/>
      <c r="C117" s="264"/>
      <c r="D117" s="264"/>
      <c r="E117" s="264"/>
      <c r="F117" s="264"/>
      <c r="G117" s="264"/>
      <c r="H117" s="264"/>
      <c r="I117" s="264"/>
      <c r="J117" s="264"/>
      <c r="K117" s="264"/>
      <c r="L117" s="264"/>
      <c r="M117" s="264" t="s">
        <v>22</v>
      </c>
      <c r="N117" s="264"/>
      <c r="O117" s="264" t="s">
        <v>22</v>
      </c>
      <c r="P117" s="264"/>
      <c r="Q117" s="264"/>
      <c r="R117" s="264"/>
      <c r="S117" s="264"/>
      <c r="T117" s="264"/>
      <c r="U117" s="360"/>
      <c r="V117" s="360"/>
      <c r="W117" s="360"/>
      <c r="X117" s="360"/>
      <c r="Y117" s="360"/>
      <c r="Z117" s="360"/>
      <c r="AA117" s="360"/>
      <c r="AB117" s="360"/>
      <c r="AC117" s="360"/>
      <c r="AD117" s="360"/>
      <c r="AE117" s="360"/>
      <c r="AF117" s="360"/>
      <c r="AG117" s="360" t="s">
        <v>1582</v>
      </c>
      <c r="AH117" s="360"/>
      <c r="AI117" s="360"/>
      <c r="AJ117" s="360" t="s">
        <v>1589</v>
      </c>
      <c r="AK117" s="360"/>
      <c r="AL117" s="360" t="s">
        <v>5878</v>
      </c>
      <c r="AM117" s="360"/>
      <c r="AN117" s="360"/>
      <c r="AO117" s="360"/>
      <c r="AP117" s="360"/>
      <c r="AQ117" s="360"/>
      <c r="AR117" s="360"/>
      <c r="AS117" s="360"/>
      <c r="AT117" s="360"/>
      <c r="AU117" s="360" t="s">
        <v>22</v>
      </c>
      <c r="AV117" s="360"/>
      <c r="AW117" s="264"/>
      <c r="AX117" s="264"/>
      <c r="AY117" s="264"/>
      <c r="AZ117" s="264"/>
      <c r="BA117" s="264"/>
      <c r="BB117" s="264"/>
      <c r="BC117" s="264"/>
      <c r="BD117" s="264"/>
      <c r="BE117" s="264"/>
    </row>
    <row r="118">
      <c r="A118" s="264"/>
      <c r="B118" s="264"/>
      <c r="C118" s="264"/>
      <c r="D118" s="264"/>
      <c r="E118" s="264"/>
      <c r="F118" s="264"/>
      <c r="G118" s="264"/>
      <c r="H118" s="264"/>
      <c r="I118" s="264"/>
      <c r="J118" s="264"/>
      <c r="K118" s="264"/>
      <c r="L118" s="264"/>
      <c r="M118" s="264" t="s">
        <v>22</v>
      </c>
      <c r="N118" s="264"/>
      <c r="O118" s="264" t="s">
        <v>22</v>
      </c>
      <c r="P118" s="264"/>
      <c r="Q118" s="264"/>
      <c r="R118" s="264"/>
      <c r="S118" s="264"/>
      <c r="T118" s="264"/>
      <c r="U118" s="360"/>
      <c r="V118" s="360"/>
      <c r="W118" s="360"/>
      <c r="X118" s="360"/>
      <c r="Y118" s="360"/>
      <c r="Z118" s="360"/>
      <c r="AA118" s="360"/>
      <c r="AB118" s="360"/>
      <c r="AC118" s="360"/>
      <c r="AD118" s="360"/>
      <c r="AE118" s="360"/>
      <c r="AF118" s="360"/>
      <c r="AG118" s="360" t="s">
        <v>1582</v>
      </c>
      <c r="AH118" s="360"/>
      <c r="AI118" s="360"/>
      <c r="AJ118" s="360" t="s">
        <v>1589</v>
      </c>
      <c r="AK118" s="360"/>
      <c r="AL118" s="360" t="s">
        <v>5878</v>
      </c>
      <c r="AM118" s="360"/>
      <c r="AN118" s="360"/>
      <c r="AO118" s="360"/>
      <c r="AP118" s="360"/>
      <c r="AQ118" s="360"/>
      <c r="AR118" s="360"/>
      <c r="AS118" s="360"/>
      <c r="AT118" s="360"/>
      <c r="AU118" s="360" t="s">
        <v>22</v>
      </c>
      <c r="AV118" s="360"/>
      <c r="AW118" s="264"/>
      <c r="AX118" s="264"/>
      <c r="AY118" s="264"/>
      <c r="AZ118" s="264"/>
      <c r="BA118" s="264"/>
      <c r="BB118" s="264"/>
      <c r="BC118" s="264"/>
      <c r="BD118" s="264"/>
      <c r="BE118" s="264"/>
    </row>
    <row r="119">
      <c r="A119" s="264"/>
      <c r="B119" s="264"/>
      <c r="C119" s="264"/>
      <c r="D119" s="264"/>
      <c r="E119" s="264"/>
      <c r="F119" s="264"/>
      <c r="G119" s="264"/>
      <c r="H119" s="264"/>
      <c r="I119" s="264"/>
      <c r="J119" s="264"/>
      <c r="K119" s="264"/>
      <c r="L119" s="264"/>
      <c r="M119" s="264" t="s">
        <v>22</v>
      </c>
      <c r="N119" s="264"/>
      <c r="O119" s="264" t="s">
        <v>22</v>
      </c>
      <c r="P119" s="264"/>
      <c r="Q119" s="264"/>
      <c r="R119" s="264"/>
      <c r="S119" s="264"/>
      <c r="T119" s="264"/>
      <c r="U119" s="360"/>
      <c r="V119" s="360"/>
      <c r="W119" s="360"/>
      <c r="X119" s="360"/>
      <c r="Y119" s="360"/>
      <c r="Z119" s="360"/>
      <c r="AA119" s="360"/>
      <c r="AB119" s="360"/>
      <c r="AC119" s="360"/>
      <c r="AD119" s="360"/>
      <c r="AE119" s="360"/>
      <c r="AF119" s="360"/>
      <c r="AG119" s="360" t="s">
        <v>1582</v>
      </c>
      <c r="AH119" s="360"/>
      <c r="AI119" s="360"/>
      <c r="AJ119" s="360" t="s">
        <v>1589</v>
      </c>
      <c r="AK119" s="360"/>
      <c r="AL119" s="360" t="s">
        <v>5878</v>
      </c>
      <c r="AM119" s="360"/>
      <c r="AN119" s="360"/>
      <c r="AO119" s="360"/>
      <c r="AP119" s="360"/>
      <c r="AQ119" s="360"/>
      <c r="AR119" s="360"/>
      <c r="AS119" s="360"/>
      <c r="AT119" s="360"/>
      <c r="AU119" s="360" t="s">
        <v>22</v>
      </c>
      <c r="AV119" s="360"/>
      <c r="AW119" s="264"/>
      <c r="AX119" s="264"/>
      <c r="AY119" s="264"/>
      <c r="AZ119" s="264"/>
      <c r="BA119" s="264"/>
      <c r="BB119" s="264"/>
      <c r="BC119" s="264"/>
      <c r="BD119" s="264"/>
      <c r="BE119" s="264"/>
    </row>
    <row r="120">
      <c r="A120" s="264"/>
      <c r="B120" s="264"/>
      <c r="C120" s="264"/>
      <c r="D120" s="264"/>
      <c r="E120" s="264"/>
      <c r="F120" s="264"/>
      <c r="G120" s="264"/>
      <c r="H120" s="264"/>
      <c r="I120" s="264"/>
      <c r="J120" s="264"/>
      <c r="K120" s="264"/>
      <c r="L120" s="264"/>
      <c r="M120" s="264" t="s">
        <v>22</v>
      </c>
      <c r="N120" s="264"/>
      <c r="O120" s="264" t="s">
        <v>22</v>
      </c>
      <c r="P120" s="264"/>
      <c r="Q120" s="264"/>
      <c r="R120" s="264"/>
      <c r="S120" s="264"/>
      <c r="T120" s="264"/>
      <c r="U120" s="360"/>
      <c r="V120" s="360"/>
      <c r="W120" s="360"/>
      <c r="X120" s="360"/>
      <c r="Y120" s="360"/>
      <c r="Z120" s="360"/>
      <c r="AA120" s="360"/>
      <c r="AB120" s="360"/>
      <c r="AC120" s="360"/>
      <c r="AD120" s="360"/>
      <c r="AE120" s="360"/>
      <c r="AF120" s="360"/>
      <c r="AG120" s="360" t="s">
        <v>1582</v>
      </c>
      <c r="AH120" s="360"/>
      <c r="AI120" s="360"/>
      <c r="AJ120" s="360" t="s">
        <v>1589</v>
      </c>
      <c r="AK120" s="360"/>
      <c r="AL120" s="360" t="s">
        <v>5878</v>
      </c>
      <c r="AM120" s="360"/>
      <c r="AN120" s="360"/>
      <c r="AO120" s="360"/>
      <c r="AP120" s="360"/>
      <c r="AQ120" s="360"/>
      <c r="AR120" s="360"/>
      <c r="AS120" s="360"/>
      <c r="AT120" s="360"/>
      <c r="AU120" s="360" t="s">
        <v>22</v>
      </c>
      <c r="AV120" s="360"/>
      <c r="AW120" s="264"/>
      <c r="AX120" s="264"/>
      <c r="AY120" s="264"/>
      <c r="AZ120" s="264"/>
      <c r="BA120" s="264"/>
      <c r="BB120" s="264"/>
      <c r="BC120" s="264"/>
      <c r="BD120" s="264"/>
      <c r="BE120" s="264"/>
    </row>
    <row r="121">
      <c r="A121" s="264"/>
      <c r="B121" s="264"/>
      <c r="C121" s="264"/>
      <c r="D121" s="264"/>
      <c r="E121" s="264"/>
      <c r="F121" s="264"/>
      <c r="G121" s="264"/>
      <c r="H121" s="264"/>
      <c r="I121" s="264"/>
      <c r="J121" s="264"/>
      <c r="K121" s="264"/>
      <c r="L121" s="264"/>
      <c r="M121" s="264" t="s">
        <v>22</v>
      </c>
      <c r="N121" s="264"/>
      <c r="O121" s="264" t="s">
        <v>22</v>
      </c>
      <c r="P121" s="264"/>
      <c r="Q121" s="264"/>
      <c r="R121" s="264"/>
      <c r="S121" s="264"/>
      <c r="T121" s="264"/>
      <c r="U121" s="360"/>
      <c r="V121" s="360"/>
      <c r="W121" s="360"/>
      <c r="X121" s="360"/>
      <c r="Y121" s="360"/>
      <c r="Z121" s="360"/>
      <c r="AA121" s="360"/>
      <c r="AB121" s="360"/>
      <c r="AC121" s="360"/>
      <c r="AD121" s="360"/>
      <c r="AE121" s="360"/>
      <c r="AF121" s="360"/>
      <c r="AG121" s="360" t="s">
        <v>1582</v>
      </c>
      <c r="AH121" s="360"/>
      <c r="AI121" s="360"/>
      <c r="AJ121" s="360" t="s">
        <v>1589</v>
      </c>
      <c r="AK121" s="360"/>
      <c r="AL121" s="360" t="s">
        <v>5878</v>
      </c>
      <c r="AM121" s="360"/>
      <c r="AN121" s="360"/>
      <c r="AO121" s="360"/>
      <c r="AP121" s="360"/>
      <c r="AQ121" s="360"/>
      <c r="AR121" s="360"/>
      <c r="AS121" s="360"/>
      <c r="AT121" s="360"/>
      <c r="AU121" s="360" t="s">
        <v>22</v>
      </c>
      <c r="AV121" s="360"/>
      <c r="AW121" s="264"/>
      <c r="AX121" s="264"/>
      <c r="AY121" s="264"/>
      <c r="AZ121" s="264"/>
      <c r="BA121" s="264"/>
      <c r="BB121" s="264"/>
      <c r="BC121" s="264"/>
      <c r="BD121" s="264"/>
      <c r="BE121" s="264"/>
    </row>
    <row r="122">
      <c r="A122" s="264"/>
      <c r="B122" s="264"/>
      <c r="C122" s="264"/>
      <c r="D122" s="264"/>
      <c r="E122" s="264"/>
      <c r="F122" s="264"/>
      <c r="G122" s="264"/>
      <c r="H122" s="264"/>
      <c r="I122" s="264"/>
      <c r="J122" s="264"/>
      <c r="K122" s="264"/>
      <c r="L122" s="264"/>
      <c r="M122" s="264" t="s">
        <v>22</v>
      </c>
      <c r="N122" s="264"/>
      <c r="O122" s="264" t="s">
        <v>22</v>
      </c>
      <c r="P122" s="264"/>
      <c r="Q122" s="264"/>
      <c r="R122" s="264"/>
      <c r="S122" s="264"/>
      <c r="T122" s="264"/>
      <c r="U122" s="360"/>
      <c r="V122" s="360"/>
      <c r="W122" s="360"/>
      <c r="X122" s="360"/>
      <c r="Y122" s="360"/>
      <c r="Z122" s="360"/>
      <c r="AA122" s="360"/>
      <c r="AB122" s="360"/>
      <c r="AC122" s="360"/>
      <c r="AD122" s="360"/>
      <c r="AE122" s="360"/>
      <c r="AF122" s="360"/>
      <c r="AG122" s="360" t="s">
        <v>1582</v>
      </c>
      <c r="AH122" s="360"/>
      <c r="AI122" s="360"/>
      <c r="AJ122" s="360" t="s">
        <v>1589</v>
      </c>
      <c r="AK122" s="360"/>
      <c r="AL122" s="360" t="s">
        <v>5878</v>
      </c>
      <c r="AM122" s="360"/>
      <c r="AN122" s="360"/>
      <c r="AO122" s="360"/>
      <c r="AP122" s="360"/>
      <c r="AQ122" s="360"/>
      <c r="AR122" s="360"/>
      <c r="AS122" s="360"/>
      <c r="AT122" s="360"/>
      <c r="AU122" s="360" t="s">
        <v>22</v>
      </c>
      <c r="AV122" s="360"/>
      <c r="AW122" s="264"/>
      <c r="AX122" s="264"/>
      <c r="AY122" s="264"/>
      <c r="AZ122" s="264"/>
      <c r="BA122" s="264"/>
      <c r="BB122" s="264"/>
      <c r="BC122" s="264"/>
      <c r="BD122" s="264"/>
      <c r="BE122" s="264"/>
    </row>
    <row r="123">
      <c r="A123" s="264"/>
      <c r="B123" s="264"/>
      <c r="C123" s="264"/>
      <c r="D123" s="264"/>
      <c r="E123" s="264"/>
      <c r="F123" s="264"/>
      <c r="G123" s="264"/>
      <c r="H123" s="264"/>
      <c r="I123" s="264"/>
      <c r="J123" s="264"/>
      <c r="K123" s="264"/>
      <c r="L123" s="264"/>
      <c r="M123" s="264" t="s">
        <v>22</v>
      </c>
      <c r="N123" s="264"/>
      <c r="O123" s="264" t="s">
        <v>22</v>
      </c>
      <c r="P123" s="264"/>
      <c r="Q123" s="264"/>
      <c r="R123" s="264"/>
      <c r="S123" s="264"/>
      <c r="T123" s="264"/>
      <c r="U123" s="360"/>
      <c r="V123" s="360"/>
      <c r="W123" s="360"/>
      <c r="X123" s="360"/>
      <c r="Y123" s="360"/>
      <c r="Z123" s="360"/>
      <c r="AA123" s="360"/>
      <c r="AB123" s="360"/>
      <c r="AC123" s="360"/>
      <c r="AD123" s="360"/>
      <c r="AE123" s="360"/>
      <c r="AF123" s="360"/>
      <c r="AG123" s="360" t="s">
        <v>1582</v>
      </c>
      <c r="AH123" s="360"/>
      <c r="AI123" s="360"/>
      <c r="AJ123" s="360" t="s">
        <v>1589</v>
      </c>
      <c r="AK123" s="360"/>
      <c r="AL123" s="360" t="s">
        <v>5878</v>
      </c>
      <c r="AM123" s="360"/>
      <c r="AN123" s="360"/>
      <c r="AO123" s="360"/>
      <c r="AP123" s="360"/>
      <c r="AQ123" s="360"/>
      <c r="AR123" s="360"/>
      <c r="AS123" s="360"/>
      <c r="AT123" s="360"/>
      <c r="AU123" s="360" t="s">
        <v>22</v>
      </c>
      <c r="AV123" s="360"/>
      <c r="AW123" s="264"/>
      <c r="AX123" s="264"/>
      <c r="AY123" s="264"/>
      <c r="AZ123" s="264"/>
      <c r="BA123" s="264"/>
      <c r="BB123" s="264"/>
      <c r="BC123" s="264"/>
      <c r="BD123" s="264"/>
      <c r="BE123" s="264"/>
    </row>
    <row r="124">
      <c r="A124" s="264"/>
      <c r="B124" s="264"/>
      <c r="C124" s="264"/>
      <c r="D124" s="264"/>
      <c r="E124" s="264"/>
      <c r="F124" s="264"/>
      <c r="G124" s="264"/>
      <c r="H124" s="264"/>
      <c r="I124" s="264"/>
      <c r="J124" s="264"/>
      <c r="K124" s="264"/>
      <c r="L124" s="264"/>
      <c r="M124" s="264" t="s">
        <v>22</v>
      </c>
      <c r="N124" s="264"/>
      <c r="O124" s="264" t="s">
        <v>22</v>
      </c>
      <c r="P124" s="264"/>
      <c r="Q124" s="264"/>
      <c r="R124" s="264"/>
      <c r="S124" s="264"/>
      <c r="T124" s="264"/>
      <c r="U124" s="360"/>
      <c r="V124" s="360"/>
      <c r="W124" s="360"/>
      <c r="X124" s="360"/>
      <c r="Y124" s="360"/>
      <c r="Z124" s="360"/>
      <c r="AA124" s="360"/>
      <c r="AB124" s="360"/>
      <c r="AC124" s="360"/>
      <c r="AD124" s="360"/>
      <c r="AE124" s="360"/>
      <c r="AF124" s="360"/>
      <c r="AG124" s="360" t="s">
        <v>1582</v>
      </c>
      <c r="AH124" s="360"/>
      <c r="AI124" s="360"/>
      <c r="AJ124" s="360" t="s">
        <v>1589</v>
      </c>
      <c r="AK124" s="360"/>
      <c r="AL124" s="360" t="s">
        <v>5878</v>
      </c>
      <c r="AM124" s="360"/>
      <c r="AN124" s="360"/>
      <c r="AO124" s="360"/>
      <c r="AP124" s="360"/>
      <c r="AQ124" s="360"/>
      <c r="AR124" s="360"/>
      <c r="AS124" s="360"/>
      <c r="AT124" s="360"/>
      <c r="AU124" s="360" t="s">
        <v>22</v>
      </c>
      <c r="AV124" s="360"/>
      <c r="AW124" s="264"/>
      <c r="AX124" s="264"/>
      <c r="AY124" s="264"/>
      <c r="AZ124" s="264"/>
      <c r="BA124" s="264"/>
      <c r="BB124" s="264"/>
      <c r="BC124" s="264"/>
      <c r="BD124" s="264"/>
      <c r="BE124" s="264"/>
    </row>
    <row r="125">
      <c r="A125" s="264"/>
      <c r="B125" s="264"/>
      <c r="C125" s="264"/>
      <c r="D125" s="264"/>
      <c r="E125" s="264"/>
      <c r="F125" s="264"/>
      <c r="G125" s="264"/>
      <c r="H125" s="264"/>
      <c r="I125" s="264"/>
      <c r="J125" s="264"/>
      <c r="K125" s="264"/>
      <c r="L125" s="264"/>
      <c r="M125" s="264" t="s">
        <v>22</v>
      </c>
      <c r="N125" s="264"/>
      <c r="O125" s="264" t="s">
        <v>22</v>
      </c>
      <c r="P125" s="264"/>
      <c r="Q125" s="264"/>
      <c r="R125" s="264"/>
      <c r="S125" s="264"/>
      <c r="T125" s="264"/>
      <c r="U125" s="360"/>
      <c r="V125" s="360"/>
      <c r="W125" s="360"/>
      <c r="X125" s="360"/>
      <c r="Y125" s="360"/>
      <c r="Z125" s="360"/>
      <c r="AA125" s="360"/>
      <c r="AB125" s="360"/>
      <c r="AC125" s="360"/>
      <c r="AD125" s="360"/>
      <c r="AE125" s="360"/>
      <c r="AF125" s="360"/>
      <c r="AG125" s="360" t="s">
        <v>1582</v>
      </c>
      <c r="AH125" s="360"/>
      <c r="AI125" s="360"/>
      <c r="AJ125" s="360" t="s">
        <v>1589</v>
      </c>
      <c r="AK125" s="360"/>
      <c r="AL125" s="360" t="s">
        <v>5878</v>
      </c>
      <c r="AM125" s="360"/>
      <c r="AN125" s="360"/>
      <c r="AO125" s="360"/>
      <c r="AP125" s="360"/>
      <c r="AQ125" s="360"/>
      <c r="AR125" s="360"/>
      <c r="AS125" s="360"/>
      <c r="AT125" s="360"/>
      <c r="AU125" s="360" t="s">
        <v>22</v>
      </c>
      <c r="AV125" s="360"/>
      <c r="AW125" s="264"/>
      <c r="AX125" s="264"/>
      <c r="AY125" s="264"/>
      <c r="AZ125" s="264"/>
      <c r="BA125" s="264"/>
      <c r="BB125" s="264"/>
      <c r="BC125" s="264"/>
      <c r="BD125" s="264"/>
      <c r="BE125" s="264"/>
    </row>
    <row r="126">
      <c r="A126" s="264"/>
      <c r="B126" s="264"/>
      <c r="C126" s="264"/>
      <c r="D126" s="264"/>
      <c r="E126" s="264"/>
      <c r="F126" s="264"/>
      <c r="G126" s="264"/>
      <c r="H126" s="264"/>
      <c r="I126" s="264"/>
      <c r="J126" s="264"/>
      <c r="K126" s="264"/>
      <c r="L126" s="264"/>
      <c r="M126" s="264" t="s">
        <v>22</v>
      </c>
      <c r="N126" s="264"/>
      <c r="O126" s="264" t="s">
        <v>22</v>
      </c>
      <c r="P126" s="264"/>
      <c r="Q126" s="264"/>
      <c r="R126" s="264"/>
      <c r="S126" s="264"/>
      <c r="T126" s="264"/>
      <c r="U126" s="360"/>
      <c r="V126" s="360"/>
      <c r="W126" s="360"/>
      <c r="X126" s="360"/>
      <c r="Y126" s="360"/>
      <c r="Z126" s="360"/>
      <c r="AA126" s="360"/>
      <c r="AB126" s="360"/>
      <c r="AC126" s="360"/>
      <c r="AD126" s="360"/>
      <c r="AE126" s="360"/>
      <c r="AF126" s="360"/>
      <c r="AG126" s="360" t="s">
        <v>1582</v>
      </c>
      <c r="AH126" s="360"/>
      <c r="AI126" s="360"/>
      <c r="AJ126" s="360" t="s">
        <v>1589</v>
      </c>
      <c r="AK126" s="360"/>
      <c r="AL126" s="360" t="s">
        <v>5878</v>
      </c>
      <c r="AM126" s="360"/>
      <c r="AN126" s="360"/>
      <c r="AO126" s="360"/>
      <c r="AP126" s="360"/>
      <c r="AQ126" s="360"/>
      <c r="AR126" s="360"/>
      <c r="AS126" s="360"/>
      <c r="AT126" s="360"/>
      <c r="AU126" s="360" t="s">
        <v>22</v>
      </c>
      <c r="AV126" s="360"/>
      <c r="AW126" s="264"/>
      <c r="AX126" s="264"/>
      <c r="AY126" s="264"/>
      <c r="AZ126" s="264"/>
      <c r="BA126" s="264"/>
      <c r="BB126" s="264"/>
      <c r="BC126" s="264"/>
      <c r="BD126" s="264"/>
      <c r="BE126" s="264"/>
    </row>
    <row r="127">
      <c r="A127" s="264"/>
      <c r="B127" s="264"/>
      <c r="C127" s="264"/>
      <c r="D127" s="264"/>
      <c r="E127" s="264"/>
      <c r="F127" s="264"/>
      <c r="G127" s="264"/>
      <c r="H127" s="264"/>
      <c r="I127" s="264"/>
      <c r="J127" s="264"/>
      <c r="K127" s="264"/>
      <c r="L127" s="264"/>
      <c r="M127" s="264" t="s">
        <v>22</v>
      </c>
      <c r="N127" s="264"/>
      <c r="O127" s="264" t="s">
        <v>22</v>
      </c>
      <c r="P127" s="264"/>
      <c r="Q127" s="264"/>
      <c r="R127" s="264"/>
      <c r="S127" s="264"/>
      <c r="T127" s="264"/>
      <c r="U127" s="360"/>
      <c r="V127" s="360"/>
      <c r="W127" s="360"/>
      <c r="X127" s="360"/>
      <c r="Y127" s="360"/>
      <c r="Z127" s="360"/>
      <c r="AA127" s="360"/>
      <c r="AB127" s="360"/>
      <c r="AC127" s="360"/>
      <c r="AD127" s="360"/>
      <c r="AE127" s="360"/>
      <c r="AF127" s="360"/>
      <c r="AG127" s="360" t="s">
        <v>1582</v>
      </c>
      <c r="AH127" s="360"/>
      <c r="AI127" s="360"/>
      <c r="AJ127" s="360" t="s">
        <v>1589</v>
      </c>
      <c r="AK127" s="360"/>
      <c r="AL127" s="360" t="s">
        <v>5878</v>
      </c>
      <c r="AM127" s="360"/>
      <c r="AN127" s="360"/>
      <c r="AO127" s="360"/>
      <c r="AP127" s="360"/>
      <c r="AQ127" s="360"/>
      <c r="AR127" s="360"/>
      <c r="AS127" s="360"/>
      <c r="AT127" s="360"/>
      <c r="AU127" s="360" t="s">
        <v>22</v>
      </c>
      <c r="AV127" s="360"/>
      <c r="AW127" s="264"/>
      <c r="AX127" s="264"/>
      <c r="AY127" s="264"/>
      <c r="AZ127" s="264"/>
      <c r="BA127" s="264"/>
      <c r="BB127" s="264"/>
      <c r="BC127" s="264"/>
      <c r="BD127" s="264"/>
      <c r="BE127" s="264"/>
    </row>
    <row r="128">
      <c r="A128" s="264"/>
      <c r="B128" s="264"/>
      <c r="C128" s="264"/>
      <c r="D128" s="264"/>
      <c r="E128" s="264"/>
      <c r="F128" s="264"/>
      <c r="G128" s="264"/>
      <c r="H128" s="264"/>
      <c r="I128" s="264"/>
      <c r="J128" s="264"/>
      <c r="K128" s="264"/>
      <c r="L128" s="264"/>
      <c r="M128" s="264" t="s">
        <v>22</v>
      </c>
      <c r="N128" s="264"/>
      <c r="O128" s="264" t="s">
        <v>22</v>
      </c>
      <c r="P128" s="264"/>
      <c r="Q128" s="264"/>
      <c r="R128" s="264"/>
      <c r="S128" s="264"/>
      <c r="T128" s="264"/>
      <c r="U128" s="360"/>
      <c r="V128" s="360"/>
      <c r="W128" s="360"/>
      <c r="X128" s="360"/>
      <c r="Y128" s="360"/>
      <c r="Z128" s="360"/>
      <c r="AA128" s="360"/>
      <c r="AB128" s="360"/>
      <c r="AC128" s="360"/>
      <c r="AD128" s="360"/>
      <c r="AE128" s="360"/>
      <c r="AF128" s="360"/>
      <c r="AG128" s="360" t="s">
        <v>1582</v>
      </c>
      <c r="AH128" s="360"/>
      <c r="AI128" s="360"/>
      <c r="AJ128" s="360" t="s">
        <v>1589</v>
      </c>
      <c r="AK128" s="360"/>
      <c r="AL128" s="360" t="s">
        <v>5878</v>
      </c>
      <c r="AM128" s="360"/>
      <c r="AN128" s="360"/>
      <c r="AO128" s="360"/>
      <c r="AP128" s="360"/>
      <c r="AQ128" s="360"/>
      <c r="AR128" s="360"/>
      <c r="AS128" s="360"/>
      <c r="AT128" s="360"/>
      <c r="AU128" s="360" t="s">
        <v>22</v>
      </c>
      <c r="AV128" s="360"/>
      <c r="AW128" s="264"/>
      <c r="AX128" s="264"/>
      <c r="AY128" s="264"/>
      <c r="AZ128" s="264"/>
      <c r="BA128" s="264"/>
      <c r="BB128" s="264"/>
      <c r="BC128" s="264"/>
      <c r="BD128" s="264"/>
      <c r="BE128" s="264"/>
    </row>
    <row r="129">
      <c r="A129" s="264"/>
      <c r="B129" s="264"/>
      <c r="C129" s="264"/>
      <c r="D129" s="264"/>
      <c r="E129" s="264"/>
      <c r="F129" s="264"/>
      <c r="G129" s="264"/>
      <c r="H129" s="264"/>
      <c r="I129" s="264"/>
      <c r="J129" s="264"/>
      <c r="K129" s="264"/>
      <c r="L129" s="264"/>
      <c r="M129" s="264" t="s">
        <v>22</v>
      </c>
      <c r="N129" s="264"/>
      <c r="O129" s="264" t="s">
        <v>22</v>
      </c>
      <c r="P129" s="264"/>
      <c r="Q129" s="264"/>
      <c r="R129" s="264"/>
      <c r="S129" s="264"/>
      <c r="T129" s="264"/>
      <c r="U129" s="360"/>
      <c r="V129" s="360"/>
      <c r="W129" s="360"/>
      <c r="X129" s="360"/>
      <c r="Y129" s="360"/>
      <c r="Z129" s="360"/>
      <c r="AA129" s="360"/>
      <c r="AB129" s="360"/>
      <c r="AC129" s="360"/>
      <c r="AD129" s="360"/>
      <c r="AE129" s="360"/>
      <c r="AF129" s="360"/>
      <c r="AG129" s="360" t="s">
        <v>1582</v>
      </c>
      <c r="AH129" s="360"/>
      <c r="AI129" s="360"/>
      <c r="AJ129" s="360" t="s">
        <v>1589</v>
      </c>
      <c r="AK129" s="360"/>
      <c r="AL129" s="360" t="s">
        <v>5878</v>
      </c>
      <c r="AM129" s="360"/>
      <c r="AN129" s="360"/>
      <c r="AO129" s="360"/>
      <c r="AP129" s="360"/>
      <c r="AQ129" s="360"/>
      <c r="AR129" s="360"/>
      <c r="AS129" s="360"/>
      <c r="AT129" s="360"/>
      <c r="AU129" s="360" t="s">
        <v>22</v>
      </c>
      <c r="AV129" s="360"/>
      <c r="AW129" s="264"/>
      <c r="AX129" s="264"/>
      <c r="AY129" s="264"/>
      <c r="AZ129" s="264"/>
      <c r="BA129" s="264"/>
      <c r="BB129" s="264"/>
      <c r="BC129" s="264"/>
      <c r="BD129" s="264"/>
      <c r="BE129" s="264"/>
    </row>
    <row r="130">
      <c r="A130" s="264"/>
      <c r="B130" s="264"/>
      <c r="C130" s="264"/>
      <c r="D130" s="264"/>
      <c r="E130" s="264"/>
      <c r="F130" s="264"/>
      <c r="G130" s="264"/>
      <c r="H130" s="264"/>
      <c r="I130" s="264"/>
      <c r="J130" s="264"/>
      <c r="K130" s="264"/>
      <c r="L130" s="264"/>
      <c r="M130" s="264" t="s">
        <v>22</v>
      </c>
      <c r="N130" s="264"/>
      <c r="O130" s="264" t="s">
        <v>22</v>
      </c>
      <c r="P130" s="264"/>
      <c r="Q130" s="264"/>
      <c r="R130" s="264"/>
      <c r="S130" s="264"/>
      <c r="T130" s="264"/>
      <c r="U130" s="360"/>
      <c r="V130" s="360"/>
      <c r="W130" s="360"/>
      <c r="X130" s="360"/>
      <c r="Y130" s="360"/>
      <c r="Z130" s="360"/>
      <c r="AA130" s="360"/>
      <c r="AB130" s="360"/>
      <c r="AC130" s="360"/>
      <c r="AD130" s="360"/>
      <c r="AE130" s="360"/>
      <c r="AF130" s="360"/>
      <c r="AG130" s="360" t="s">
        <v>1582</v>
      </c>
      <c r="AH130" s="360"/>
      <c r="AI130" s="360"/>
      <c r="AJ130" s="360" t="s">
        <v>1589</v>
      </c>
      <c r="AK130" s="360"/>
      <c r="AL130" s="360" t="s">
        <v>5878</v>
      </c>
      <c r="AM130" s="360"/>
      <c r="AN130" s="360"/>
      <c r="AO130" s="360"/>
      <c r="AP130" s="360"/>
      <c r="AQ130" s="360"/>
      <c r="AR130" s="360"/>
      <c r="AS130" s="360"/>
      <c r="AT130" s="360"/>
      <c r="AU130" s="360" t="s">
        <v>22</v>
      </c>
      <c r="AV130" s="360"/>
      <c r="AW130" s="264"/>
      <c r="AX130" s="264"/>
      <c r="AY130" s="264"/>
      <c r="AZ130" s="264"/>
      <c r="BA130" s="264"/>
      <c r="BB130" s="264"/>
      <c r="BC130" s="264"/>
      <c r="BD130" s="264"/>
      <c r="BE130" s="264"/>
    </row>
    <row r="131">
      <c r="A131" s="264"/>
      <c r="B131" s="264"/>
      <c r="C131" s="264"/>
      <c r="D131" s="264"/>
      <c r="E131" s="264"/>
      <c r="F131" s="264"/>
      <c r="G131" s="264"/>
      <c r="H131" s="264"/>
      <c r="I131" s="264"/>
      <c r="J131" s="264"/>
      <c r="K131" s="264"/>
      <c r="L131" s="264"/>
      <c r="M131" s="264" t="s">
        <v>22</v>
      </c>
      <c r="N131" s="264"/>
      <c r="O131" s="264" t="s">
        <v>22</v>
      </c>
      <c r="P131" s="264"/>
      <c r="Q131" s="264"/>
      <c r="R131" s="264"/>
      <c r="S131" s="264"/>
      <c r="T131" s="264"/>
      <c r="U131" s="360"/>
      <c r="V131" s="360"/>
      <c r="W131" s="360"/>
      <c r="X131" s="360"/>
      <c r="Y131" s="360"/>
      <c r="Z131" s="360"/>
      <c r="AA131" s="360"/>
      <c r="AB131" s="360"/>
      <c r="AC131" s="360"/>
      <c r="AD131" s="360"/>
      <c r="AE131" s="360"/>
      <c r="AF131" s="360"/>
      <c r="AG131" s="360" t="s">
        <v>1582</v>
      </c>
      <c r="AH131" s="360"/>
      <c r="AI131" s="360"/>
      <c r="AJ131" s="360" t="s">
        <v>1589</v>
      </c>
      <c r="AK131" s="360"/>
      <c r="AL131" s="360" t="s">
        <v>5878</v>
      </c>
      <c r="AM131" s="360"/>
      <c r="AN131" s="360"/>
      <c r="AO131" s="360"/>
      <c r="AP131" s="360"/>
      <c r="AQ131" s="360"/>
      <c r="AR131" s="360"/>
      <c r="AS131" s="360"/>
      <c r="AT131" s="360"/>
      <c r="AU131" s="360" t="s">
        <v>22</v>
      </c>
      <c r="AV131" s="360"/>
      <c r="AW131" s="264"/>
      <c r="AX131" s="264"/>
      <c r="AY131" s="264"/>
      <c r="AZ131" s="264"/>
      <c r="BA131" s="264"/>
      <c r="BB131" s="264"/>
      <c r="BC131" s="264"/>
      <c r="BD131" s="264"/>
      <c r="BE131" s="264"/>
    </row>
    <row r="132">
      <c r="A132" s="264"/>
      <c r="B132" s="264"/>
      <c r="C132" s="264"/>
      <c r="D132" s="264"/>
      <c r="E132" s="264"/>
      <c r="F132" s="264"/>
      <c r="G132" s="264"/>
      <c r="H132" s="264"/>
      <c r="I132" s="264"/>
      <c r="J132" s="264"/>
      <c r="K132" s="264"/>
      <c r="L132" s="264"/>
      <c r="M132" s="264" t="s">
        <v>22</v>
      </c>
      <c r="N132" s="264"/>
      <c r="O132" s="264" t="s">
        <v>22</v>
      </c>
      <c r="P132" s="264"/>
      <c r="Q132" s="264"/>
      <c r="R132" s="264"/>
      <c r="S132" s="264"/>
      <c r="T132" s="264"/>
      <c r="U132" s="360"/>
      <c r="V132" s="360"/>
      <c r="W132" s="360"/>
      <c r="X132" s="360"/>
      <c r="Y132" s="360"/>
      <c r="Z132" s="360"/>
      <c r="AA132" s="360"/>
      <c r="AB132" s="360"/>
      <c r="AC132" s="360"/>
      <c r="AD132" s="360"/>
      <c r="AE132" s="360"/>
      <c r="AF132" s="360"/>
      <c r="AG132" s="360" t="s">
        <v>1582</v>
      </c>
      <c r="AH132" s="360"/>
      <c r="AI132" s="360"/>
      <c r="AJ132" s="360" t="s">
        <v>1589</v>
      </c>
      <c r="AK132" s="360"/>
      <c r="AL132" s="360" t="s">
        <v>5878</v>
      </c>
      <c r="AM132" s="360"/>
      <c r="AN132" s="360"/>
      <c r="AO132" s="360"/>
      <c r="AP132" s="360"/>
      <c r="AQ132" s="360"/>
      <c r="AR132" s="360"/>
      <c r="AS132" s="360"/>
      <c r="AT132" s="360"/>
      <c r="AU132" s="360" t="s">
        <v>22</v>
      </c>
      <c r="AV132" s="360"/>
      <c r="AW132" s="264"/>
      <c r="AX132" s="264"/>
      <c r="AY132" s="264"/>
      <c r="AZ132" s="264"/>
      <c r="BA132" s="264"/>
      <c r="BB132" s="264"/>
      <c r="BC132" s="264"/>
      <c r="BD132" s="264"/>
      <c r="BE132" s="264"/>
    </row>
    <row r="133">
      <c r="A133" s="264"/>
      <c r="B133" s="264"/>
      <c r="C133" s="264"/>
      <c r="D133" s="264"/>
      <c r="E133" s="264"/>
      <c r="F133" s="264"/>
      <c r="G133" s="264"/>
      <c r="H133" s="264"/>
      <c r="I133" s="264"/>
      <c r="J133" s="264"/>
      <c r="K133" s="264"/>
      <c r="L133" s="264"/>
      <c r="M133" s="264" t="s">
        <v>22</v>
      </c>
      <c r="N133" s="264"/>
      <c r="O133" s="264" t="s">
        <v>22</v>
      </c>
      <c r="P133" s="264"/>
      <c r="Q133" s="264"/>
      <c r="R133" s="264"/>
      <c r="S133" s="264"/>
      <c r="T133" s="264"/>
      <c r="U133" s="360"/>
      <c r="V133" s="360"/>
      <c r="W133" s="360"/>
      <c r="X133" s="360"/>
      <c r="Y133" s="360"/>
      <c r="Z133" s="360"/>
      <c r="AA133" s="360"/>
      <c r="AB133" s="360"/>
      <c r="AC133" s="360"/>
      <c r="AD133" s="360"/>
      <c r="AE133" s="360"/>
      <c r="AF133" s="360"/>
      <c r="AG133" s="360" t="s">
        <v>1582</v>
      </c>
      <c r="AH133" s="360"/>
      <c r="AI133" s="360"/>
      <c r="AJ133" s="360" t="s">
        <v>1589</v>
      </c>
      <c r="AK133" s="360"/>
      <c r="AL133" s="360" t="s">
        <v>5878</v>
      </c>
      <c r="AM133" s="360"/>
      <c r="AN133" s="360"/>
      <c r="AO133" s="360"/>
      <c r="AP133" s="360"/>
      <c r="AQ133" s="360"/>
      <c r="AR133" s="360"/>
      <c r="AS133" s="360"/>
      <c r="AT133" s="360"/>
      <c r="AU133" s="360" t="s">
        <v>22</v>
      </c>
      <c r="AV133" s="360"/>
      <c r="AW133" s="264"/>
      <c r="AX133" s="264"/>
      <c r="AY133" s="264"/>
      <c r="AZ133" s="264"/>
      <c r="BA133" s="264"/>
      <c r="BB133" s="264"/>
      <c r="BC133" s="264"/>
      <c r="BD133" s="264"/>
      <c r="BE133" s="264"/>
    </row>
    <row r="134">
      <c r="A134" s="264"/>
      <c r="B134" s="264"/>
      <c r="C134" s="264"/>
      <c r="D134" s="264"/>
      <c r="E134" s="264"/>
      <c r="F134" s="264"/>
      <c r="G134" s="264"/>
      <c r="H134" s="264"/>
      <c r="I134" s="264"/>
      <c r="J134" s="264"/>
      <c r="K134" s="264"/>
      <c r="L134" s="264"/>
      <c r="M134" s="264" t="s">
        <v>22</v>
      </c>
      <c r="N134" s="264"/>
      <c r="O134" s="264" t="s">
        <v>22</v>
      </c>
      <c r="P134" s="264"/>
      <c r="Q134" s="264"/>
      <c r="R134" s="264"/>
      <c r="S134" s="264"/>
      <c r="T134" s="264"/>
      <c r="U134" s="360"/>
      <c r="V134" s="360"/>
      <c r="W134" s="360"/>
      <c r="X134" s="360"/>
      <c r="Y134" s="360"/>
      <c r="Z134" s="360"/>
      <c r="AA134" s="360"/>
      <c r="AB134" s="360"/>
      <c r="AC134" s="360"/>
      <c r="AD134" s="360"/>
      <c r="AE134" s="360"/>
      <c r="AF134" s="360"/>
      <c r="AG134" s="360" t="s">
        <v>1582</v>
      </c>
      <c r="AH134" s="360"/>
      <c r="AI134" s="360"/>
      <c r="AJ134" s="360" t="s">
        <v>1589</v>
      </c>
      <c r="AK134" s="360"/>
      <c r="AL134" s="360" t="s">
        <v>5878</v>
      </c>
      <c r="AM134" s="360"/>
      <c r="AN134" s="360"/>
      <c r="AO134" s="360"/>
      <c r="AP134" s="360"/>
      <c r="AQ134" s="360"/>
      <c r="AR134" s="360"/>
      <c r="AS134" s="360"/>
      <c r="AT134" s="360"/>
      <c r="AU134" s="360" t="s">
        <v>22</v>
      </c>
      <c r="AV134" s="360"/>
      <c r="AW134" s="264"/>
      <c r="AX134" s="264"/>
      <c r="AY134" s="264"/>
      <c r="AZ134" s="264"/>
      <c r="BA134" s="264"/>
      <c r="BB134" s="264"/>
      <c r="BC134" s="264"/>
      <c r="BD134" s="264"/>
      <c r="BE134" s="264"/>
    </row>
    <row r="135">
      <c r="A135" s="264"/>
      <c r="B135" s="264"/>
      <c r="C135" s="264"/>
      <c r="D135" s="264"/>
      <c r="E135" s="264"/>
      <c r="F135" s="264"/>
      <c r="G135" s="264"/>
      <c r="H135" s="264"/>
      <c r="I135" s="264"/>
      <c r="J135" s="264"/>
      <c r="K135" s="264"/>
      <c r="L135" s="264"/>
      <c r="M135" s="264" t="s">
        <v>22</v>
      </c>
      <c r="N135" s="264"/>
      <c r="O135" s="264" t="s">
        <v>22</v>
      </c>
      <c r="P135" s="264"/>
      <c r="Q135" s="264"/>
      <c r="R135" s="264"/>
      <c r="S135" s="264"/>
      <c r="T135" s="264"/>
      <c r="U135" s="360"/>
      <c r="V135" s="360"/>
      <c r="W135" s="360"/>
      <c r="X135" s="360"/>
      <c r="Y135" s="360"/>
      <c r="Z135" s="360"/>
      <c r="AA135" s="360"/>
      <c r="AB135" s="360"/>
      <c r="AC135" s="360"/>
      <c r="AD135" s="360"/>
      <c r="AE135" s="360"/>
      <c r="AF135" s="360"/>
      <c r="AG135" s="360" t="s">
        <v>1582</v>
      </c>
      <c r="AH135" s="360"/>
      <c r="AI135" s="360"/>
      <c r="AJ135" s="360" t="s">
        <v>1589</v>
      </c>
      <c r="AK135" s="360"/>
      <c r="AL135" s="360" t="s">
        <v>5878</v>
      </c>
      <c r="AM135" s="360"/>
      <c r="AN135" s="360"/>
      <c r="AO135" s="360"/>
      <c r="AP135" s="360"/>
      <c r="AQ135" s="360"/>
      <c r="AR135" s="360"/>
      <c r="AS135" s="360"/>
      <c r="AT135" s="360"/>
      <c r="AU135" s="360" t="s">
        <v>22</v>
      </c>
      <c r="AV135" s="360"/>
      <c r="AW135" s="264"/>
      <c r="AX135" s="264"/>
      <c r="AY135" s="264"/>
      <c r="AZ135" s="264"/>
      <c r="BA135" s="264"/>
      <c r="BB135" s="264"/>
      <c r="BC135" s="264"/>
      <c r="BD135" s="264"/>
      <c r="BE135" s="264"/>
    </row>
    <row r="136">
      <c r="A136" s="264"/>
      <c r="B136" s="264"/>
      <c r="C136" s="264"/>
      <c r="D136" s="264"/>
      <c r="E136" s="264"/>
      <c r="F136" s="264"/>
      <c r="G136" s="264"/>
      <c r="H136" s="264"/>
      <c r="I136" s="264"/>
      <c r="J136" s="264"/>
      <c r="K136" s="264"/>
      <c r="L136" s="264"/>
      <c r="M136" s="264" t="s">
        <v>22</v>
      </c>
      <c r="N136" s="264"/>
      <c r="O136" s="264" t="s">
        <v>22</v>
      </c>
      <c r="P136" s="264"/>
      <c r="Q136" s="264"/>
      <c r="R136" s="264"/>
      <c r="S136" s="264"/>
      <c r="T136" s="264"/>
      <c r="U136" s="360"/>
      <c r="V136" s="360"/>
      <c r="W136" s="360"/>
      <c r="X136" s="360"/>
      <c r="Y136" s="360"/>
      <c r="Z136" s="360"/>
      <c r="AA136" s="360"/>
      <c r="AB136" s="360"/>
      <c r="AC136" s="360"/>
      <c r="AD136" s="360"/>
      <c r="AE136" s="360"/>
      <c r="AF136" s="360"/>
      <c r="AG136" s="360" t="s">
        <v>1582</v>
      </c>
      <c r="AH136" s="360"/>
      <c r="AI136" s="360"/>
      <c r="AJ136" s="360" t="s">
        <v>1589</v>
      </c>
      <c r="AK136" s="360"/>
      <c r="AL136" s="360" t="s">
        <v>5878</v>
      </c>
      <c r="AM136" s="360"/>
      <c r="AN136" s="360"/>
      <c r="AO136" s="360"/>
      <c r="AP136" s="360"/>
      <c r="AQ136" s="360"/>
      <c r="AR136" s="360"/>
      <c r="AS136" s="360"/>
      <c r="AT136" s="360"/>
      <c r="AU136" s="360" t="s">
        <v>22</v>
      </c>
      <c r="AV136" s="360"/>
      <c r="AW136" s="264"/>
      <c r="AX136" s="264"/>
      <c r="AY136" s="264"/>
      <c r="AZ136" s="264"/>
      <c r="BA136" s="264"/>
      <c r="BB136" s="264"/>
      <c r="BC136" s="264"/>
      <c r="BD136" s="264"/>
      <c r="BE136" s="264"/>
    </row>
    <row r="137">
      <c r="A137" s="264"/>
      <c r="B137" s="264"/>
      <c r="C137" s="264"/>
      <c r="D137" s="264"/>
      <c r="E137" s="264"/>
      <c r="F137" s="264"/>
      <c r="G137" s="264"/>
      <c r="H137" s="264"/>
      <c r="I137" s="264"/>
      <c r="J137" s="264"/>
      <c r="K137" s="264"/>
      <c r="L137" s="264"/>
      <c r="M137" s="264" t="s">
        <v>22</v>
      </c>
      <c r="N137" s="264"/>
      <c r="O137" s="264" t="s">
        <v>22</v>
      </c>
      <c r="P137" s="264"/>
      <c r="Q137" s="264"/>
      <c r="R137" s="264"/>
      <c r="S137" s="264"/>
      <c r="T137" s="264"/>
      <c r="U137" s="360"/>
      <c r="V137" s="360"/>
      <c r="W137" s="360"/>
      <c r="X137" s="360"/>
      <c r="Y137" s="360"/>
      <c r="Z137" s="360"/>
      <c r="AA137" s="360"/>
      <c r="AB137" s="360"/>
      <c r="AC137" s="360"/>
      <c r="AD137" s="360"/>
      <c r="AE137" s="360"/>
      <c r="AF137" s="360"/>
      <c r="AG137" s="360" t="s">
        <v>1582</v>
      </c>
      <c r="AH137" s="360"/>
      <c r="AI137" s="360"/>
      <c r="AJ137" s="360" t="s">
        <v>1589</v>
      </c>
      <c r="AK137" s="360"/>
      <c r="AL137" s="360" t="s">
        <v>5878</v>
      </c>
      <c r="AM137" s="360"/>
      <c r="AN137" s="360"/>
      <c r="AO137" s="360"/>
      <c r="AP137" s="360"/>
      <c r="AQ137" s="360"/>
      <c r="AR137" s="360"/>
      <c r="AS137" s="360"/>
      <c r="AT137" s="360"/>
      <c r="AU137" s="360" t="s">
        <v>22</v>
      </c>
      <c r="AV137" s="360"/>
      <c r="AW137" s="264"/>
      <c r="AX137" s="264"/>
      <c r="AY137" s="264"/>
      <c r="AZ137" s="264"/>
      <c r="BA137" s="264"/>
      <c r="BB137" s="264"/>
      <c r="BC137" s="264"/>
      <c r="BD137" s="264"/>
      <c r="BE137" s="264"/>
    </row>
    <row r="138">
      <c r="A138" s="264"/>
      <c r="B138" s="264"/>
      <c r="C138" s="264"/>
      <c r="D138" s="264"/>
      <c r="E138" s="264"/>
      <c r="F138" s="264"/>
      <c r="G138" s="264"/>
      <c r="H138" s="264"/>
      <c r="I138" s="264"/>
      <c r="J138" s="264"/>
      <c r="K138" s="264"/>
      <c r="L138" s="264"/>
      <c r="M138" s="264" t="s">
        <v>22</v>
      </c>
      <c r="N138" s="264"/>
      <c r="O138" s="264" t="s">
        <v>22</v>
      </c>
      <c r="P138" s="264"/>
      <c r="Q138" s="264"/>
      <c r="R138" s="264"/>
      <c r="S138" s="264"/>
      <c r="T138" s="264"/>
      <c r="U138" s="360"/>
      <c r="V138" s="360"/>
      <c r="W138" s="360"/>
      <c r="X138" s="360"/>
      <c r="Y138" s="360"/>
      <c r="Z138" s="360"/>
      <c r="AA138" s="360"/>
      <c r="AB138" s="360"/>
      <c r="AC138" s="360"/>
      <c r="AD138" s="360"/>
      <c r="AE138" s="360"/>
      <c r="AF138" s="360"/>
      <c r="AG138" s="360" t="s">
        <v>1582</v>
      </c>
      <c r="AH138" s="360"/>
      <c r="AI138" s="360"/>
      <c r="AJ138" s="360" t="s">
        <v>1589</v>
      </c>
      <c r="AK138" s="360"/>
      <c r="AL138" s="360" t="s">
        <v>5878</v>
      </c>
      <c r="AM138" s="360"/>
      <c r="AN138" s="360"/>
      <c r="AO138" s="360"/>
      <c r="AP138" s="360"/>
      <c r="AQ138" s="360"/>
      <c r="AR138" s="360"/>
      <c r="AS138" s="360"/>
      <c r="AT138" s="360"/>
      <c r="AU138" s="360" t="s">
        <v>22</v>
      </c>
      <c r="AV138" s="360"/>
      <c r="AW138" s="264"/>
      <c r="AX138" s="264"/>
      <c r="AY138" s="264"/>
      <c r="AZ138" s="264"/>
      <c r="BA138" s="264"/>
      <c r="BB138" s="264"/>
      <c r="BC138" s="264"/>
      <c r="BD138" s="264"/>
      <c r="BE138" s="264"/>
    </row>
    <row r="139">
      <c r="A139" s="264"/>
      <c r="B139" s="264"/>
      <c r="C139" s="264"/>
      <c r="D139" s="264"/>
      <c r="E139" s="264"/>
      <c r="F139" s="264"/>
      <c r="G139" s="264"/>
      <c r="H139" s="264"/>
      <c r="I139" s="264"/>
      <c r="J139" s="264"/>
      <c r="K139" s="264"/>
      <c r="L139" s="264"/>
      <c r="M139" s="264" t="s">
        <v>22</v>
      </c>
      <c r="N139" s="264"/>
      <c r="O139" s="264" t="s">
        <v>22</v>
      </c>
      <c r="P139" s="264"/>
      <c r="Q139" s="264"/>
      <c r="R139" s="264"/>
      <c r="S139" s="264"/>
      <c r="T139" s="264"/>
      <c r="U139" s="360"/>
      <c r="V139" s="360"/>
      <c r="W139" s="360"/>
      <c r="X139" s="360"/>
      <c r="Y139" s="360"/>
      <c r="Z139" s="360"/>
      <c r="AA139" s="360"/>
      <c r="AB139" s="360"/>
      <c r="AC139" s="360"/>
      <c r="AD139" s="360"/>
      <c r="AE139" s="360"/>
      <c r="AF139" s="360"/>
      <c r="AG139" s="360" t="s">
        <v>1582</v>
      </c>
      <c r="AH139" s="360"/>
      <c r="AI139" s="360"/>
      <c r="AJ139" s="360" t="s">
        <v>1589</v>
      </c>
      <c r="AK139" s="360"/>
      <c r="AL139" s="360" t="s">
        <v>5878</v>
      </c>
      <c r="AM139" s="360"/>
      <c r="AN139" s="360"/>
      <c r="AO139" s="360"/>
      <c r="AP139" s="360"/>
      <c r="AQ139" s="360"/>
      <c r="AR139" s="360"/>
      <c r="AS139" s="360"/>
      <c r="AT139" s="360"/>
      <c r="AU139" s="360" t="s">
        <v>22</v>
      </c>
      <c r="AV139" s="360"/>
      <c r="AW139" s="264"/>
      <c r="AX139" s="264"/>
      <c r="AY139" s="264"/>
      <c r="AZ139" s="264"/>
      <c r="BA139" s="264"/>
      <c r="BB139" s="264"/>
      <c r="BC139" s="264"/>
      <c r="BD139" s="264"/>
      <c r="BE139" s="264"/>
    </row>
    <row r="140">
      <c r="A140" s="264"/>
      <c r="B140" s="264"/>
      <c r="C140" s="264"/>
      <c r="D140" s="264"/>
      <c r="E140" s="264"/>
      <c r="F140" s="264"/>
      <c r="G140" s="264"/>
      <c r="H140" s="264"/>
      <c r="I140" s="264"/>
      <c r="J140" s="264"/>
      <c r="K140" s="264"/>
      <c r="L140" s="264"/>
      <c r="M140" s="264" t="s">
        <v>22</v>
      </c>
      <c r="N140" s="264"/>
      <c r="O140" s="264" t="s">
        <v>22</v>
      </c>
      <c r="P140" s="264"/>
      <c r="Q140" s="264"/>
      <c r="R140" s="264"/>
      <c r="S140" s="264"/>
      <c r="T140" s="264"/>
      <c r="U140" s="360"/>
      <c r="V140" s="360"/>
      <c r="W140" s="360"/>
      <c r="X140" s="360"/>
      <c r="Y140" s="360"/>
      <c r="Z140" s="360"/>
      <c r="AA140" s="360"/>
      <c r="AB140" s="360"/>
      <c r="AC140" s="360"/>
      <c r="AD140" s="360"/>
      <c r="AE140" s="360"/>
      <c r="AF140" s="360"/>
      <c r="AG140" s="360" t="s">
        <v>1582</v>
      </c>
      <c r="AH140" s="360"/>
      <c r="AI140" s="360"/>
      <c r="AJ140" s="360" t="s">
        <v>1589</v>
      </c>
      <c r="AK140" s="360"/>
      <c r="AL140" s="360" t="s">
        <v>5878</v>
      </c>
      <c r="AM140" s="360"/>
      <c r="AN140" s="360"/>
      <c r="AO140" s="360"/>
      <c r="AP140" s="360"/>
      <c r="AQ140" s="360"/>
      <c r="AR140" s="360"/>
      <c r="AS140" s="360"/>
      <c r="AT140" s="360"/>
      <c r="AU140" s="360" t="s">
        <v>22</v>
      </c>
      <c r="AV140" s="360"/>
      <c r="AW140" s="264"/>
      <c r="AX140" s="264"/>
      <c r="AY140" s="264"/>
      <c r="AZ140" s="264"/>
      <c r="BA140" s="264"/>
      <c r="BB140" s="264"/>
      <c r="BC140" s="264"/>
      <c r="BD140" s="264"/>
      <c r="BE140" s="264"/>
    </row>
    <row r="141">
      <c r="A141" s="264"/>
      <c r="B141" s="264"/>
      <c r="C141" s="264"/>
      <c r="D141" s="264"/>
      <c r="E141" s="264"/>
      <c r="F141" s="264"/>
      <c r="G141" s="264"/>
      <c r="H141" s="264"/>
      <c r="I141" s="264"/>
      <c r="J141" s="264"/>
      <c r="K141" s="264"/>
      <c r="L141" s="264"/>
      <c r="M141" s="264" t="s">
        <v>22</v>
      </c>
      <c r="N141" s="264"/>
      <c r="O141" s="264" t="s">
        <v>22</v>
      </c>
      <c r="P141" s="264"/>
      <c r="Q141" s="264"/>
      <c r="R141" s="264"/>
      <c r="S141" s="264"/>
      <c r="T141" s="264"/>
      <c r="U141" s="360"/>
      <c r="V141" s="360"/>
      <c r="W141" s="360"/>
      <c r="X141" s="360"/>
      <c r="Y141" s="360"/>
      <c r="Z141" s="360"/>
      <c r="AA141" s="360"/>
      <c r="AB141" s="360"/>
      <c r="AC141" s="360"/>
      <c r="AD141" s="360"/>
      <c r="AE141" s="360"/>
      <c r="AF141" s="360"/>
      <c r="AG141" s="360" t="s">
        <v>1582</v>
      </c>
      <c r="AH141" s="360"/>
      <c r="AI141" s="360"/>
      <c r="AJ141" s="360" t="s">
        <v>1589</v>
      </c>
      <c r="AK141" s="360"/>
      <c r="AL141" s="360" t="s">
        <v>5878</v>
      </c>
      <c r="AM141" s="360"/>
      <c r="AN141" s="360"/>
      <c r="AO141" s="360"/>
      <c r="AP141" s="360"/>
      <c r="AQ141" s="360"/>
      <c r="AR141" s="360"/>
      <c r="AS141" s="360"/>
      <c r="AT141" s="360"/>
      <c r="AU141" s="360" t="s">
        <v>22</v>
      </c>
      <c r="AV141" s="360"/>
      <c r="AW141" s="264"/>
      <c r="AX141" s="264"/>
      <c r="AY141" s="264"/>
      <c r="AZ141" s="264"/>
      <c r="BA141" s="264"/>
      <c r="BB141" s="264"/>
      <c r="BC141" s="264"/>
      <c r="BD141" s="264"/>
      <c r="BE141" s="264"/>
    </row>
    <row r="142">
      <c r="A142" s="264"/>
      <c r="B142" s="264"/>
      <c r="C142" s="264"/>
      <c r="D142" s="264"/>
      <c r="E142" s="264"/>
      <c r="F142" s="264"/>
      <c r="G142" s="264"/>
      <c r="H142" s="264"/>
      <c r="I142" s="264"/>
      <c r="J142" s="264"/>
      <c r="K142" s="264"/>
      <c r="L142" s="264"/>
      <c r="M142" s="264" t="s">
        <v>22</v>
      </c>
      <c r="N142" s="264"/>
      <c r="O142" s="264" t="s">
        <v>22</v>
      </c>
      <c r="P142" s="264"/>
      <c r="Q142" s="264"/>
      <c r="R142" s="264"/>
      <c r="S142" s="264"/>
      <c r="T142" s="264"/>
      <c r="U142" s="360"/>
      <c r="V142" s="360"/>
      <c r="W142" s="360"/>
      <c r="X142" s="360"/>
      <c r="Y142" s="360"/>
      <c r="Z142" s="360"/>
      <c r="AA142" s="360"/>
      <c r="AB142" s="360"/>
      <c r="AC142" s="360"/>
      <c r="AD142" s="360"/>
      <c r="AE142" s="360"/>
      <c r="AF142" s="360"/>
      <c r="AG142" s="360" t="s">
        <v>1582</v>
      </c>
      <c r="AH142" s="360"/>
      <c r="AI142" s="360"/>
      <c r="AJ142" s="360" t="s">
        <v>1589</v>
      </c>
      <c r="AK142" s="360"/>
      <c r="AL142" s="360" t="s">
        <v>5878</v>
      </c>
      <c r="AM142" s="360"/>
      <c r="AN142" s="360"/>
      <c r="AO142" s="360"/>
      <c r="AP142" s="360"/>
      <c r="AQ142" s="360"/>
      <c r="AR142" s="360"/>
      <c r="AS142" s="360"/>
      <c r="AT142" s="360"/>
      <c r="AU142" s="360" t="s">
        <v>22</v>
      </c>
      <c r="AV142" s="360"/>
      <c r="AW142" s="264"/>
      <c r="AX142" s="264"/>
      <c r="AY142" s="264"/>
      <c r="AZ142" s="264"/>
      <c r="BA142" s="264"/>
      <c r="BB142" s="264"/>
      <c r="BC142" s="264"/>
      <c r="BD142" s="264"/>
      <c r="BE142" s="264"/>
    </row>
    <row r="143">
      <c r="A143" s="264"/>
      <c r="B143" s="264"/>
      <c r="C143" s="264"/>
      <c r="D143" s="264"/>
      <c r="E143" s="264"/>
      <c r="F143" s="264"/>
      <c r="G143" s="264"/>
      <c r="H143" s="264"/>
      <c r="I143" s="264"/>
      <c r="J143" s="264"/>
      <c r="K143" s="264"/>
      <c r="L143" s="264"/>
      <c r="M143" s="264" t="s">
        <v>22</v>
      </c>
      <c r="N143" s="264"/>
      <c r="O143" s="264" t="s">
        <v>22</v>
      </c>
      <c r="P143" s="264"/>
      <c r="Q143" s="264"/>
      <c r="R143" s="264"/>
      <c r="S143" s="264"/>
      <c r="T143" s="264"/>
      <c r="U143" s="360"/>
      <c r="V143" s="360"/>
      <c r="W143" s="360"/>
      <c r="X143" s="360"/>
      <c r="Y143" s="360"/>
      <c r="Z143" s="360"/>
      <c r="AA143" s="360"/>
      <c r="AB143" s="360"/>
      <c r="AC143" s="360"/>
      <c r="AD143" s="360"/>
      <c r="AE143" s="360"/>
      <c r="AF143" s="360"/>
      <c r="AG143" s="360" t="s">
        <v>1582</v>
      </c>
      <c r="AH143" s="360"/>
      <c r="AI143" s="360"/>
      <c r="AJ143" s="360" t="s">
        <v>1589</v>
      </c>
      <c r="AK143" s="360"/>
      <c r="AL143" s="360" t="s">
        <v>5878</v>
      </c>
      <c r="AM143" s="360"/>
      <c r="AN143" s="360"/>
      <c r="AO143" s="360"/>
      <c r="AP143" s="360"/>
      <c r="AQ143" s="360"/>
      <c r="AR143" s="360"/>
      <c r="AS143" s="360"/>
      <c r="AT143" s="360"/>
      <c r="AU143" s="360" t="s">
        <v>22</v>
      </c>
      <c r="AV143" s="360"/>
      <c r="AW143" s="264"/>
      <c r="AX143" s="264"/>
      <c r="AY143" s="264"/>
      <c r="AZ143" s="264"/>
      <c r="BA143" s="264"/>
      <c r="BB143" s="264"/>
      <c r="BC143" s="264"/>
      <c r="BD143" s="264"/>
      <c r="BE143" s="264"/>
    </row>
    <row r="144">
      <c r="A144" s="264"/>
      <c r="B144" s="264"/>
      <c r="C144" s="264"/>
      <c r="D144" s="264"/>
      <c r="E144" s="264"/>
      <c r="F144" s="264"/>
      <c r="G144" s="264"/>
      <c r="H144" s="264"/>
      <c r="I144" s="264"/>
      <c r="J144" s="264"/>
      <c r="K144" s="264"/>
      <c r="L144" s="264"/>
      <c r="M144" s="264" t="s">
        <v>22</v>
      </c>
      <c r="N144" s="264"/>
      <c r="O144" s="264" t="s">
        <v>22</v>
      </c>
      <c r="P144" s="264"/>
      <c r="Q144" s="264"/>
      <c r="R144" s="264"/>
      <c r="S144" s="264"/>
      <c r="T144" s="264"/>
      <c r="U144" s="360"/>
      <c r="V144" s="360"/>
      <c r="W144" s="360"/>
      <c r="X144" s="360"/>
      <c r="Y144" s="360"/>
      <c r="Z144" s="360"/>
      <c r="AA144" s="360"/>
      <c r="AB144" s="360"/>
      <c r="AC144" s="360"/>
      <c r="AD144" s="360"/>
      <c r="AE144" s="360"/>
      <c r="AF144" s="360"/>
      <c r="AG144" s="360" t="s">
        <v>1582</v>
      </c>
      <c r="AH144" s="360"/>
      <c r="AI144" s="360"/>
      <c r="AJ144" s="360" t="s">
        <v>1589</v>
      </c>
      <c r="AK144" s="360"/>
      <c r="AL144" s="360" t="s">
        <v>5878</v>
      </c>
      <c r="AM144" s="360"/>
      <c r="AN144" s="360"/>
      <c r="AO144" s="360"/>
      <c r="AP144" s="360"/>
      <c r="AQ144" s="360"/>
      <c r="AR144" s="360"/>
      <c r="AS144" s="360"/>
      <c r="AT144" s="360"/>
      <c r="AU144" s="360" t="s">
        <v>22</v>
      </c>
      <c r="AV144" s="360"/>
      <c r="AW144" s="264"/>
      <c r="AX144" s="264"/>
      <c r="AY144" s="264"/>
      <c r="AZ144" s="264"/>
      <c r="BA144" s="264"/>
      <c r="BB144" s="264"/>
      <c r="BC144" s="264"/>
      <c r="BD144" s="264"/>
      <c r="BE144" s="264"/>
    </row>
    <row r="145">
      <c r="A145" s="264"/>
      <c r="B145" s="264"/>
      <c r="C145" s="264"/>
      <c r="D145" s="264"/>
      <c r="E145" s="264"/>
      <c r="F145" s="264"/>
      <c r="G145" s="264"/>
      <c r="H145" s="264"/>
      <c r="I145" s="264"/>
      <c r="J145" s="264"/>
      <c r="K145" s="264"/>
      <c r="L145" s="264"/>
      <c r="M145" s="264" t="s">
        <v>22</v>
      </c>
      <c r="N145" s="264"/>
      <c r="O145" s="264" t="s">
        <v>22</v>
      </c>
      <c r="P145" s="264"/>
      <c r="Q145" s="264"/>
      <c r="R145" s="264"/>
      <c r="S145" s="264"/>
      <c r="T145" s="264"/>
      <c r="U145" s="360"/>
      <c r="V145" s="360"/>
      <c r="W145" s="360"/>
      <c r="X145" s="360"/>
      <c r="Y145" s="360"/>
      <c r="Z145" s="360"/>
      <c r="AA145" s="360"/>
      <c r="AB145" s="360"/>
      <c r="AC145" s="360"/>
      <c r="AD145" s="360"/>
      <c r="AE145" s="360"/>
      <c r="AF145" s="360"/>
      <c r="AG145" s="360" t="s">
        <v>1582</v>
      </c>
      <c r="AH145" s="360"/>
      <c r="AI145" s="360"/>
      <c r="AJ145" s="360" t="s">
        <v>1589</v>
      </c>
      <c r="AK145" s="360"/>
      <c r="AL145" s="360" t="s">
        <v>5878</v>
      </c>
      <c r="AM145" s="360"/>
      <c r="AN145" s="360"/>
      <c r="AO145" s="360"/>
      <c r="AP145" s="360"/>
      <c r="AQ145" s="360"/>
      <c r="AR145" s="360"/>
      <c r="AS145" s="360"/>
      <c r="AT145" s="360"/>
      <c r="AU145" s="360" t="s">
        <v>22</v>
      </c>
      <c r="AV145" s="360"/>
      <c r="AW145" s="264"/>
      <c r="AX145" s="264"/>
      <c r="AY145" s="264"/>
      <c r="AZ145" s="264"/>
      <c r="BA145" s="264"/>
      <c r="BB145" s="264"/>
      <c r="BC145" s="264"/>
      <c r="BD145" s="264"/>
      <c r="BE145" s="264"/>
    </row>
    <row r="146">
      <c r="A146" s="264"/>
      <c r="B146" s="264"/>
      <c r="C146" s="264"/>
      <c r="D146" s="264"/>
      <c r="E146" s="264"/>
      <c r="F146" s="264"/>
      <c r="G146" s="264"/>
      <c r="H146" s="264"/>
      <c r="I146" s="264"/>
      <c r="J146" s="264"/>
      <c r="K146" s="264"/>
      <c r="L146" s="264"/>
      <c r="M146" s="264" t="s">
        <v>22</v>
      </c>
      <c r="N146" s="264"/>
      <c r="O146" s="264" t="s">
        <v>22</v>
      </c>
      <c r="P146" s="264"/>
      <c r="Q146" s="264"/>
      <c r="R146" s="264"/>
      <c r="S146" s="264"/>
      <c r="T146" s="264"/>
      <c r="U146" s="360"/>
      <c r="V146" s="360"/>
      <c r="W146" s="360"/>
      <c r="X146" s="360"/>
      <c r="Y146" s="360"/>
      <c r="Z146" s="360"/>
      <c r="AA146" s="360"/>
      <c r="AB146" s="360"/>
      <c r="AC146" s="360"/>
      <c r="AD146" s="360"/>
      <c r="AE146" s="360"/>
      <c r="AF146" s="360"/>
      <c r="AG146" s="360" t="s">
        <v>1582</v>
      </c>
      <c r="AH146" s="360"/>
      <c r="AI146" s="360"/>
      <c r="AJ146" s="360" t="s">
        <v>1589</v>
      </c>
      <c r="AK146" s="360"/>
      <c r="AL146" s="360" t="s">
        <v>5878</v>
      </c>
      <c r="AM146" s="360"/>
      <c r="AN146" s="360"/>
      <c r="AO146" s="360"/>
      <c r="AP146" s="360"/>
      <c r="AQ146" s="360"/>
      <c r="AR146" s="360"/>
      <c r="AS146" s="360"/>
      <c r="AT146" s="360"/>
      <c r="AU146" s="360" t="s">
        <v>22</v>
      </c>
      <c r="AV146" s="360"/>
      <c r="AW146" s="264"/>
      <c r="AX146" s="264"/>
      <c r="AY146" s="264"/>
      <c r="AZ146" s="264"/>
      <c r="BA146" s="264"/>
      <c r="BB146" s="264"/>
      <c r="BC146" s="264"/>
      <c r="BD146" s="264"/>
      <c r="BE146" s="264"/>
    </row>
    <row r="147">
      <c r="A147" s="264"/>
      <c r="B147" s="264"/>
      <c r="C147" s="264"/>
      <c r="D147" s="264"/>
      <c r="E147" s="264"/>
      <c r="F147" s="264"/>
      <c r="G147" s="264"/>
      <c r="H147" s="264"/>
      <c r="I147" s="264"/>
      <c r="J147" s="264"/>
      <c r="K147" s="264"/>
      <c r="L147" s="264"/>
      <c r="M147" s="264" t="s">
        <v>22</v>
      </c>
      <c r="N147" s="264"/>
      <c r="O147" s="264" t="s">
        <v>22</v>
      </c>
      <c r="P147" s="264"/>
      <c r="Q147" s="264"/>
      <c r="R147" s="264"/>
      <c r="S147" s="264"/>
      <c r="T147" s="264"/>
      <c r="U147" s="360"/>
      <c r="V147" s="360"/>
      <c r="W147" s="360"/>
      <c r="X147" s="360"/>
      <c r="Y147" s="360"/>
      <c r="Z147" s="360"/>
      <c r="AA147" s="360"/>
      <c r="AB147" s="360"/>
      <c r="AC147" s="360"/>
      <c r="AD147" s="360"/>
      <c r="AE147" s="360"/>
      <c r="AF147" s="360"/>
      <c r="AG147" s="360" t="s">
        <v>1582</v>
      </c>
      <c r="AH147" s="360"/>
      <c r="AI147" s="360"/>
      <c r="AJ147" s="360" t="s">
        <v>1589</v>
      </c>
      <c r="AK147" s="360"/>
      <c r="AL147" s="360" t="s">
        <v>5878</v>
      </c>
      <c r="AM147" s="360"/>
      <c r="AN147" s="360"/>
      <c r="AO147" s="360"/>
      <c r="AP147" s="360"/>
      <c r="AQ147" s="360"/>
      <c r="AR147" s="360"/>
      <c r="AS147" s="360"/>
      <c r="AT147" s="360"/>
      <c r="AU147" s="360" t="s">
        <v>22</v>
      </c>
      <c r="AV147" s="360"/>
      <c r="AW147" s="264"/>
      <c r="AX147" s="264"/>
      <c r="AY147" s="264"/>
      <c r="AZ147" s="264"/>
      <c r="BA147" s="264"/>
      <c r="BB147" s="264"/>
      <c r="BC147" s="264"/>
      <c r="BD147" s="264"/>
      <c r="BE147" s="264"/>
    </row>
    <row r="148">
      <c r="A148" s="264"/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 t="s">
        <v>22</v>
      </c>
      <c r="N148" s="264"/>
      <c r="O148" s="264" t="s">
        <v>22</v>
      </c>
      <c r="P148" s="264"/>
      <c r="Q148" s="264"/>
      <c r="R148" s="264"/>
      <c r="S148" s="264"/>
      <c r="T148" s="264"/>
      <c r="U148" s="360"/>
      <c r="V148" s="360"/>
      <c r="W148" s="360"/>
      <c r="X148" s="360"/>
      <c r="Y148" s="360"/>
      <c r="Z148" s="360"/>
      <c r="AA148" s="360"/>
      <c r="AB148" s="360"/>
      <c r="AC148" s="360"/>
      <c r="AD148" s="360"/>
      <c r="AE148" s="360"/>
      <c r="AF148" s="360"/>
      <c r="AG148" s="360" t="s">
        <v>1582</v>
      </c>
      <c r="AH148" s="360"/>
      <c r="AI148" s="360"/>
      <c r="AJ148" s="360" t="s">
        <v>1589</v>
      </c>
      <c r="AK148" s="360"/>
      <c r="AL148" s="360" t="s">
        <v>5878</v>
      </c>
      <c r="AM148" s="360"/>
      <c r="AN148" s="360"/>
      <c r="AO148" s="360"/>
      <c r="AP148" s="360"/>
      <c r="AQ148" s="360"/>
      <c r="AR148" s="360"/>
      <c r="AS148" s="360"/>
      <c r="AT148" s="360"/>
      <c r="AU148" s="360" t="s">
        <v>22</v>
      </c>
      <c r="AV148" s="360"/>
      <c r="AW148" s="264"/>
      <c r="AX148" s="264"/>
      <c r="AY148" s="264"/>
      <c r="AZ148" s="264"/>
      <c r="BA148" s="264"/>
      <c r="BB148" s="264"/>
      <c r="BC148" s="264"/>
      <c r="BD148" s="264"/>
      <c r="BE148" s="264"/>
    </row>
    <row r="149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 t="s">
        <v>22</v>
      </c>
      <c r="N149" s="264"/>
      <c r="O149" s="264" t="s">
        <v>22</v>
      </c>
      <c r="P149" s="264"/>
      <c r="Q149" s="264"/>
      <c r="R149" s="264"/>
      <c r="S149" s="264"/>
      <c r="T149" s="264"/>
      <c r="U149" s="360"/>
      <c r="V149" s="360"/>
      <c r="W149" s="360"/>
      <c r="X149" s="360"/>
      <c r="Y149" s="360"/>
      <c r="Z149" s="360"/>
      <c r="AA149" s="360"/>
      <c r="AB149" s="360"/>
      <c r="AC149" s="360"/>
      <c r="AD149" s="360"/>
      <c r="AE149" s="360"/>
      <c r="AF149" s="360"/>
      <c r="AG149" s="360" t="s">
        <v>1582</v>
      </c>
      <c r="AH149" s="360"/>
      <c r="AI149" s="360"/>
      <c r="AJ149" s="360" t="s">
        <v>1589</v>
      </c>
      <c r="AK149" s="360"/>
      <c r="AL149" s="360" t="s">
        <v>5878</v>
      </c>
      <c r="AM149" s="360"/>
      <c r="AN149" s="360"/>
      <c r="AO149" s="360"/>
      <c r="AP149" s="360"/>
      <c r="AQ149" s="360"/>
      <c r="AR149" s="360"/>
      <c r="AS149" s="360"/>
      <c r="AT149" s="360"/>
      <c r="AU149" s="360" t="s">
        <v>22</v>
      </c>
      <c r="AV149" s="360"/>
      <c r="AW149" s="264"/>
      <c r="AX149" s="264"/>
      <c r="AY149" s="264"/>
      <c r="AZ149" s="264"/>
      <c r="BA149" s="264"/>
      <c r="BB149" s="264"/>
      <c r="BC149" s="264"/>
      <c r="BD149" s="264"/>
      <c r="BE149" s="264"/>
    </row>
    <row r="150">
      <c r="A150" s="264"/>
      <c r="B150" s="264"/>
      <c r="C150" s="264"/>
      <c r="D150" s="264"/>
      <c r="E150" s="264"/>
      <c r="F150" s="264"/>
      <c r="G150" s="264"/>
      <c r="H150" s="264"/>
      <c r="I150" s="264"/>
      <c r="J150" s="264"/>
      <c r="K150" s="264"/>
      <c r="L150" s="264"/>
      <c r="M150" s="264" t="s">
        <v>22</v>
      </c>
      <c r="N150" s="264"/>
      <c r="O150" s="264" t="s">
        <v>22</v>
      </c>
      <c r="P150" s="264"/>
      <c r="Q150" s="264"/>
      <c r="R150" s="264"/>
      <c r="S150" s="264"/>
      <c r="T150" s="264"/>
      <c r="U150" s="360"/>
      <c r="V150" s="360"/>
      <c r="W150" s="360"/>
      <c r="X150" s="360"/>
      <c r="Y150" s="360"/>
      <c r="Z150" s="360"/>
      <c r="AA150" s="360"/>
      <c r="AB150" s="360"/>
      <c r="AC150" s="360"/>
      <c r="AD150" s="360"/>
      <c r="AE150" s="360"/>
      <c r="AF150" s="360"/>
      <c r="AG150" s="360" t="s">
        <v>1582</v>
      </c>
      <c r="AH150" s="360"/>
      <c r="AI150" s="360"/>
      <c r="AJ150" s="360" t="s">
        <v>1589</v>
      </c>
      <c r="AK150" s="360"/>
      <c r="AL150" s="360" t="s">
        <v>5878</v>
      </c>
      <c r="AM150" s="360"/>
      <c r="AN150" s="360"/>
      <c r="AO150" s="360"/>
      <c r="AP150" s="360"/>
      <c r="AQ150" s="360"/>
      <c r="AR150" s="360"/>
      <c r="AS150" s="360"/>
      <c r="AT150" s="360"/>
      <c r="AU150" s="360" t="s">
        <v>22</v>
      </c>
      <c r="AV150" s="360"/>
      <c r="AW150" s="264"/>
      <c r="AX150" s="264"/>
      <c r="AY150" s="264"/>
      <c r="AZ150" s="264"/>
      <c r="BA150" s="264"/>
      <c r="BB150" s="264"/>
      <c r="BC150" s="264"/>
      <c r="BD150" s="264"/>
      <c r="BE150" s="264"/>
    </row>
    <row r="151">
      <c r="A151" s="264"/>
      <c r="B151" s="264"/>
      <c r="C151" s="264"/>
      <c r="D151" s="264"/>
      <c r="E151" s="264"/>
      <c r="F151" s="264"/>
      <c r="G151" s="264"/>
      <c r="H151" s="264"/>
      <c r="I151" s="264"/>
      <c r="J151" s="264"/>
      <c r="K151" s="264"/>
      <c r="L151" s="264"/>
      <c r="M151" s="264" t="s">
        <v>22</v>
      </c>
      <c r="N151" s="264"/>
      <c r="O151" s="264" t="s">
        <v>22</v>
      </c>
      <c r="P151" s="264"/>
      <c r="Q151" s="264"/>
      <c r="R151" s="264"/>
      <c r="S151" s="264"/>
      <c r="T151" s="264"/>
      <c r="U151" s="360"/>
      <c r="V151" s="360"/>
      <c r="W151" s="360"/>
      <c r="X151" s="360"/>
      <c r="Y151" s="360"/>
      <c r="Z151" s="360"/>
      <c r="AA151" s="360"/>
      <c r="AB151" s="360"/>
      <c r="AC151" s="360"/>
      <c r="AD151" s="360"/>
      <c r="AE151" s="360"/>
      <c r="AF151" s="360"/>
      <c r="AG151" s="360" t="s">
        <v>1582</v>
      </c>
      <c r="AH151" s="360"/>
      <c r="AI151" s="360"/>
      <c r="AJ151" s="360" t="s">
        <v>1589</v>
      </c>
      <c r="AK151" s="360"/>
      <c r="AL151" s="360" t="s">
        <v>5878</v>
      </c>
      <c r="AM151" s="360"/>
      <c r="AN151" s="360"/>
      <c r="AO151" s="360"/>
      <c r="AP151" s="360"/>
      <c r="AQ151" s="360"/>
      <c r="AR151" s="360"/>
      <c r="AS151" s="360"/>
      <c r="AT151" s="360"/>
      <c r="AU151" s="360" t="s">
        <v>22</v>
      </c>
      <c r="AV151" s="360"/>
      <c r="AW151" s="264"/>
      <c r="AX151" s="264"/>
      <c r="AY151" s="264"/>
      <c r="AZ151" s="264"/>
      <c r="BA151" s="264"/>
      <c r="BB151" s="264"/>
      <c r="BC151" s="264"/>
      <c r="BD151" s="264"/>
      <c r="BE151" s="264"/>
    </row>
    <row r="152">
      <c r="A152" s="264"/>
      <c r="B152" s="264"/>
      <c r="C152" s="264"/>
      <c r="D152" s="264"/>
      <c r="E152" s="264"/>
      <c r="F152" s="264"/>
      <c r="G152" s="264"/>
      <c r="H152" s="264"/>
      <c r="I152" s="264"/>
      <c r="J152" s="264"/>
      <c r="K152" s="264"/>
      <c r="L152" s="264"/>
      <c r="M152" s="264" t="s">
        <v>22</v>
      </c>
      <c r="N152" s="264"/>
      <c r="O152" s="264" t="s">
        <v>22</v>
      </c>
      <c r="P152" s="264"/>
      <c r="Q152" s="264"/>
      <c r="R152" s="264"/>
      <c r="S152" s="264"/>
      <c r="T152" s="264"/>
      <c r="U152" s="360"/>
      <c r="V152" s="360"/>
      <c r="W152" s="360"/>
      <c r="X152" s="360"/>
      <c r="Y152" s="360"/>
      <c r="Z152" s="360"/>
      <c r="AA152" s="360"/>
      <c r="AB152" s="360"/>
      <c r="AC152" s="360"/>
      <c r="AD152" s="360"/>
      <c r="AE152" s="360"/>
      <c r="AF152" s="360"/>
      <c r="AG152" s="360" t="s">
        <v>1582</v>
      </c>
      <c r="AH152" s="360"/>
      <c r="AI152" s="360"/>
      <c r="AJ152" s="360" t="s">
        <v>1589</v>
      </c>
      <c r="AK152" s="360"/>
      <c r="AL152" s="360" t="s">
        <v>5878</v>
      </c>
      <c r="AM152" s="360"/>
      <c r="AN152" s="360"/>
      <c r="AO152" s="360"/>
      <c r="AP152" s="360"/>
      <c r="AQ152" s="360"/>
      <c r="AR152" s="360"/>
      <c r="AS152" s="360"/>
      <c r="AT152" s="360"/>
      <c r="AU152" s="360" t="s">
        <v>22</v>
      </c>
      <c r="AV152" s="360"/>
      <c r="AW152" s="264"/>
      <c r="AX152" s="264"/>
      <c r="AY152" s="264"/>
      <c r="AZ152" s="264"/>
      <c r="BA152" s="264"/>
      <c r="BB152" s="264"/>
      <c r="BC152" s="264"/>
      <c r="BD152" s="264"/>
      <c r="BE152" s="264"/>
    </row>
    <row r="153">
      <c r="A153" s="264"/>
      <c r="B153" s="264"/>
      <c r="C153" s="264"/>
      <c r="D153" s="264"/>
      <c r="E153" s="264"/>
      <c r="F153" s="264"/>
      <c r="G153" s="264"/>
      <c r="H153" s="264"/>
      <c r="I153" s="264"/>
      <c r="J153" s="264"/>
      <c r="K153" s="264"/>
      <c r="L153" s="264"/>
      <c r="M153" s="264" t="s">
        <v>22</v>
      </c>
      <c r="N153" s="264"/>
      <c r="O153" s="264" t="s">
        <v>22</v>
      </c>
      <c r="P153" s="264"/>
      <c r="Q153" s="264"/>
      <c r="R153" s="264"/>
      <c r="S153" s="264"/>
      <c r="T153" s="264"/>
      <c r="U153" s="360"/>
      <c r="V153" s="360"/>
      <c r="W153" s="360"/>
      <c r="X153" s="360"/>
      <c r="Y153" s="360"/>
      <c r="Z153" s="360"/>
      <c r="AA153" s="360"/>
      <c r="AB153" s="360"/>
      <c r="AC153" s="360"/>
      <c r="AD153" s="360"/>
      <c r="AE153" s="360"/>
      <c r="AF153" s="360"/>
      <c r="AG153" s="360" t="s">
        <v>1582</v>
      </c>
      <c r="AH153" s="360"/>
      <c r="AI153" s="360"/>
      <c r="AJ153" s="360" t="s">
        <v>1589</v>
      </c>
      <c r="AK153" s="360"/>
      <c r="AL153" s="360" t="s">
        <v>5878</v>
      </c>
      <c r="AM153" s="360"/>
      <c r="AN153" s="360"/>
      <c r="AO153" s="360"/>
      <c r="AP153" s="360"/>
      <c r="AQ153" s="360"/>
      <c r="AR153" s="360"/>
      <c r="AS153" s="360"/>
      <c r="AT153" s="360"/>
      <c r="AU153" s="360" t="s">
        <v>22</v>
      </c>
      <c r="AV153" s="360"/>
      <c r="AW153" s="264"/>
      <c r="AX153" s="264"/>
      <c r="AY153" s="264"/>
      <c r="AZ153" s="264"/>
      <c r="BA153" s="264"/>
      <c r="BB153" s="264"/>
      <c r="BC153" s="264"/>
      <c r="BD153" s="264"/>
      <c r="BE153" s="264"/>
    </row>
    <row r="154">
      <c r="A154" s="264"/>
      <c r="B154" s="264"/>
      <c r="C154" s="264"/>
      <c r="D154" s="264"/>
      <c r="E154" s="264"/>
      <c r="F154" s="264"/>
      <c r="G154" s="264"/>
      <c r="H154" s="264"/>
      <c r="I154" s="264"/>
      <c r="J154" s="264"/>
      <c r="K154" s="264"/>
      <c r="L154" s="264"/>
      <c r="M154" s="264" t="s">
        <v>22</v>
      </c>
      <c r="N154" s="264"/>
      <c r="O154" s="264" t="s">
        <v>22</v>
      </c>
      <c r="P154" s="264"/>
      <c r="Q154" s="264"/>
      <c r="R154" s="264"/>
      <c r="S154" s="264"/>
      <c r="T154" s="264"/>
      <c r="U154" s="360"/>
      <c r="V154" s="360"/>
      <c r="W154" s="360"/>
      <c r="X154" s="360"/>
      <c r="Y154" s="360"/>
      <c r="Z154" s="360"/>
      <c r="AA154" s="360"/>
      <c r="AB154" s="360"/>
      <c r="AC154" s="360"/>
      <c r="AD154" s="360"/>
      <c r="AE154" s="360"/>
      <c r="AF154" s="360"/>
      <c r="AG154" s="360" t="s">
        <v>1582</v>
      </c>
      <c r="AH154" s="360"/>
      <c r="AI154" s="360"/>
      <c r="AJ154" s="360" t="s">
        <v>1589</v>
      </c>
      <c r="AK154" s="360"/>
      <c r="AL154" s="360" t="s">
        <v>5878</v>
      </c>
      <c r="AM154" s="360"/>
      <c r="AN154" s="360"/>
      <c r="AO154" s="360"/>
      <c r="AP154" s="360"/>
      <c r="AQ154" s="360"/>
      <c r="AR154" s="360"/>
      <c r="AS154" s="360"/>
      <c r="AT154" s="360"/>
      <c r="AU154" s="360" t="s">
        <v>22</v>
      </c>
      <c r="AV154" s="360"/>
      <c r="AW154" s="264"/>
      <c r="AX154" s="264"/>
      <c r="AY154" s="264"/>
      <c r="AZ154" s="264"/>
      <c r="BA154" s="264"/>
      <c r="BB154" s="264"/>
      <c r="BC154" s="264"/>
      <c r="BD154" s="264"/>
      <c r="BE154" s="264"/>
    </row>
    <row r="155">
      <c r="A155" s="264"/>
      <c r="B155" s="264"/>
      <c r="C155" s="264"/>
      <c r="D155" s="264"/>
      <c r="E155" s="264"/>
      <c r="F155" s="264"/>
      <c r="G155" s="264"/>
      <c r="H155" s="264"/>
      <c r="I155" s="264"/>
      <c r="J155" s="264"/>
      <c r="K155" s="264"/>
      <c r="L155" s="264"/>
      <c r="M155" s="264" t="s">
        <v>22</v>
      </c>
      <c r="N155" s="264"/>
      <c r="O155" s="264" t="s">
        <v>22</v>
      </c>
      <c r="P155" s="264"/>
      <c r="Q155" s="264"/>
      <c r="R155" s="264"/>
      <c r="S155" s="264"/>
      <c r="T155" s="264"/>
      <c r="U155" s="360"/>
      <c r="V155" s="360"/>
      <c r="W155" s="360"/>
      <c r="X155" s="360"/>
      <c r="Y155" s="360"/>
      <c r="Z155" s="360"/>
      <c r="AA155" s="360"/>
      <c r="AB155" s="360"/>
      <c r="AC155" s="360"/>
      <c r="AD155" s="360"/>
      <c r="AE155" s="360"/>
      <c r="AF155" s="360"/>
      <c r="AG155" s="360" t="s">
        <v>1582</v>
      </c>
      <c r="AH155" s="360"/>
      <c r="AI155" s="360"/>
      <c r="AJ155" s="360" t="s">
        <v>1589</v>
      </c>
      <c r="AK155" s="360"/>
      <c r="AL155" s="360" t="s">
        <v>5878</v>
      </c>
      <c r="AM155" s="360"/>
      <c r="AN155" s="360"/>
      <c r="AO155" s="360"/>
      <c r="AP155" s="360"/>
      <c r="AQ155" s="360"/>
      <c r="AR155" s="360"/>
      <c r="AS155" s="360"/>
      <c r="AT155" s="360"/>
      <c r="AU155" s="360" t="s">
        <v>22</v>
      </c>
      <c r="AV155" s="360"/>
      <c r="AW155" s="264"/>
      <c r="AX155" s="264"/>
      <c r="AY155" s="264"/>
      <c r="AZ155" s="264"/>
      <c r="BA155" s="264"/>
      <c r="BB155" s="264"/>
      <c r="BC155" s="264"/>
      <c r="BD155" s="264"/>
      <c r="BE155" s="264"/>
    </row>
    <row r="156">
      <c r="A156" s="264"/>
      <c r="B156" s="264"/>
      <c r="C156" s="264"/>
      <c r="D156" s="264"/>
      <c r="E156" s="264"/>
      <c r="F156" s="264"/>
      <c r="G156" s="264"/>
      <c r="H156" s="264"/>
      <c r="I156" s="264"/>
      <c r="J156" s="264"/>
      <c r="K156" s="264"/>
      <c r="L156" s="264"/>
      <c r="M156" s="264" t="s">
        <v>22</v>
      </c>
      <c r="N156" s="264"/>
      <c r="O156" s="264" t="s">
        <v>22</v>
      </c>
      <c r="P156" s="264"/>
      <c r="Q156" s="264"/>
      <c r="R156" s="264"/>
      <c r="S156" s="264"/>
      <c r="T156" s="264"/>
      <c r="U156" s="360"/>
      <c r="V156" s="360"/>
      <c r="W156" s="360"/>
      <c r="X156" s="360"/>
      <c r="Y156" s="360"/>
      <c r="Z156" s="360"/>
      <c r="AA156" s="360"/>
      <c r="AB156" s="360"/>
      <c r="AC156" s="360"/>
      <c r="AD156" s="360"/>
      <c r="AE156" s="360"/>
      <c r="AF156" s="360"/>
      <c r="AG156" s="360" t="s">
        <v>1582</v>
      </c>
      <c r="AH156" s="360"/>
      <c r="AI156" s="360"/>
      <c r="AJ156" s="360" t="s">
        <v>1589</v>
      </c>
      <c r="AK156" s="360"/>
      <c r="AL156" s="360" t="s">
        <v>5878</v>
      </c>
      <c r="AM156" s="360"/>
      <c r="AN156" s="360"/>
      <c r="AO156" s="360"/>
      <c r="AP156" s="360"/>
      <c r="AQ156" s="360"/>
      <c r="AR156" s="360"/>
      <c r="AS156" s="360"/>
      <c r="AT156" s="360"/>
      <c r="AU156" s="360" t="s">
        <v>22</v>
      </c>
      <c r="AV156" s="360"/>
      <c r="AW156" s="264"/>
      <c r="AX156" s="264"/>
      <c r="AY156" s="264"/>
      <c r="AZ156" s="264"/>
      <c r="BA156" s="264"/>
      <c r="BB156" s="264"/>
      <c r="BC156" s="264"/>
      <c r="BD156" s="264"/>
      <c r="BE156" s="264"/>
    </row>
    <row r="157">
      <c r="A157" s="264"/>
      <c r="B157" s="264"/>
      <c r="C157" s="264"/>
      <c r="D157" s="264"/>
      <c r="E157" s="264"/>
      <c r="F157" s="264"/>
      <c r="G157" s="264"/>
      <c r="H157" s="264"/>
      <c r="I157" s="264"/>
      <c r="J157" s="264"/>
      <c r="K157" s="264"/>
      <c r="L157" s="264"/>
      <c r="M157" s="264" t="s">
        <v>22</v>
      </c>
      <c r="N157" s="264"/>
      <c r="O157" s="264" t="s">
        <v>22</v>
      </c>
      <c r="P157" s="264"/>
      <c r="Q157" s="264"/>
      <c r="R157" s="264"/>
      <c r="S157" s="264"/>
      <c r="T157" s="264"/>
      <c r="U157" s="360"/>
      <c r="V157" s="360"/>
      <c r="W157" s="360"/>
      <c r="X157" s="360"/>
      <c r="Y157" s="360"/>
      <c r="Z157" s="360"/>
      <c r="AA157" s="360"/>
      <c r="AB157" s="360"/>
      <c r="AC157" s="360"/>
      <c r="AD157" s="360"/>
      <c r="AE157" s="360"/>
      <c r="AF157" s="360"/>
      <c r="AG157" s="360" t="s">
        <v>1582</v>
      </c>
      <c r="AH157" s="360"/>
      <c r="AI157" s="360"/>
      <c r="AJ157" s="360" t="s">
        <v>1589</v>
      </c>
      <c r="AK157" s="360"/>
      <c r="AL157" s="360" t="s">
        <v>5878</v>
      </c>
      <c r="AM157" s="360"/>
      <c r="AN157" s="360"/>
      <c r="AO157" s="360"/>
      <c r="AP157" s="360"/>
      <c r="AQ157" s="360"/>
      <c r="AR157" s="360"/>
      <c r="AS157" s="360"/>
      <c r="AT157" s="360"/>
      <c r="AU157" s="360" t="s">
        <v>22</v>
      </c>
      <c r="AV157" s="360"/>
      <c r="AW157" s="264"/>
      <c r="AX157" s="264"/>
      <c r="AY157" s="264"/>
      <c r="AZ157" s="264"/>
      <c r="BA157" s="264"/>
      <c r="BB157" s="264"/>
      <c r="BC157" s="264"/>
      <c r="BD157" s="264"/>
      <c r="BE157" s="264"/>
    </row>
    <row r="158">
      <c r="A158" s="264"/>
      <c r="B158" s="264"/>
      <c r="C158" s="264"/>
      <c r="D158" s="264"/>
      <c r="E158" s="264"/>
      <c r="F158" s="264"/>
      <c r="G158" s="264"/>
      <c r="H158" s="264"/>
      <c r="I158" s="264"/>
      <c r="J158" s="264"/>
      <c r="K158" s="264"/>
      <c r="L158" s="264"/>
      <c r="M158" s="264" t="s">
        <v>22</v>
      </c>
      <c r="N158" s="264"/>
      <c r="O158" s="264" t="s">
        <v>22</v>
      </c>
      <c r="P158" s="264"/>
      <c r="Q158" s="264"/>
      <c r="R158" s="264"/>
      <c r="S158" s="264"/>
      <c r="T158" s="264"/>
      <c r="U158" s="360"/>
      <c r="V158" s="360"/>
      <c r="W158" s="360"/>
      <c r="X158" s="360"/>
      <c r="Y158" s="360"/>
      <c r="Z158" s="360"/>
      <c r="AA158" s="360"/>
      <c r="AB158" s="360"/>
      <c r="AC158" s="360"/>
      <c r="AD158" s="360"/>
      <c r="AE158" s="360"/>
      <c r="AF158" s="360"/>
      <c r="AG158" s="360" t="s">
        <v>1582</v>
      </c>
      <c r="AH158" s="360"/>
      <c r="AI158" s="360"/>
      <c r="AJ158" s="360" t="s">
        <v>1589</v>
      </c>
      <c r="AK158" s="360"/>
      <c r="AL158" s="360" t="s">
        <v>5878</v>
      </c>
      <c r="AM158" s="360"/>
      <c r="AN158" s="360"/>
      <c r="AO158" s="360"/>
      <c r="AP158" s="360"/>
      <c r="AQ158" s="360"/>
      <c r="AR158" s="360"/>
      <c r="AS158" s="360"/>
      <c r="AT158" s="360"/>
      <c r="AU158" s="360" t="s">
        <v>22</v>
      </c>
      <c r="AV158" s="360"/>
      <c r="AW158" s="264"/>
      <c r="AX158" s="264"/>
      <c r="AY158" s="264"/>
      <c r="AZ158" s="264"/>
      <c r="BA158" s="264"/>
      <c r="BB158" s="264"/>
      <c r="BC158" s="264"/>
      <c r="BD158" s="264"/>
      <c r="BE158" s="264"/>
    </row>
    <row r="159">
      <c r="A159" s="264"/>
      <c r="B159" s="264"/>
      <c r="C159" s="264"/>
      <c r="D159" s="264"/>
      <c r="E159" s="264"/>
      <c r="F159" s="264"/>
      <c r="G159" s="264"/>
      <c r="H159" s="264"/>
      <c r="I159" s="264"/>
      <c r="J159" s="264"/>
      <c r="K159" s="264"/>
      <c r="L159" s="264"/>
      <c r="M159" s="264" t="s">
        <v>22</v>
      </c>
      <c r="N159" s="264"/>
      <c r="O159" s="264" t="s">
        <v>22</v>
      </c>
      <c r="P159" s="264"/>
      <c r="Q159" s="264"/>
      <c r="R159" s="264"/>
      <c r="S159" s="264"/>
      <c r="T159" s="264"/>
      <c r="U159" s="360"/>
      <c r="V159" s="360"/>
      <c r="W159" s="360"/>
      <c r="X159" s="360"/>
      <c r="Y159" s="360"/>
      <c r="Z159" s="360"/>
      <c r="AA159" s="360"/>
      <c r="AB159" s="360"/>
      <c r="AC159" s="360"/>
      <c r="AD159" s="360"/>
      <c r="AE159" s="360"/>
      <c r="AF159" s="360"/>
      <c r="AG159" s="360" t="s">
        <v>1582</v>
      </c>
      <c r="AH159" s="360"/>
      <c r="AI159" s="360"/>
      <c r="AJ159" s="360" t="s">
        <v>1589</v>
      </c>
      <c r="AK159" s="360"/>
      <c r="AL159" s="360" t="s">
        <v>5878</v>
      </c>
      <c r="AM159" s="360"/>
      <c r="AN159" s="360"/>
      <c r="AO159" s="360"/>
      <c r="AP159" s="360"/>
      <c r="AQ159" s="360"/>
      <c r="AR159" s="360"/>
      <c r="AS159" s="360"/>
      <c r="AT159" s="360"/>
      <c r="AU159" s="360" t="s">
        <v>22</v>
      </c>
      <c r="AV159" s="360"/>
      <c r="AW159" s="264"/>
      <c r="AX159" s="264"/>
      <c r="AY159" s="264"/>
      <c r="AZ159" s="264"/>
      <c r="BA159" s="264"/>
      <c r="BB159" s="264"/>
      <c r="BC159" s="264"/>
      <c r="BD159" s="264"/>
      <c r="BE159" s="264"/>
    </row>
    <row r="160">
      <c r="A160" s="264"/>
      <c r="B160" s="264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 t="s">
        <v>22</v>
      </c>
      <c r="N160" s="264"/>
      <c r="O160" s="264" t="s">
        <v>22</v>
      </c>
      <c r="P160" s="264"/>
      <c r="Q160" s="264"/>
      <c r="R160" s="264"/>
      <c r="S160" s="264"/>
      <c r="T160" s="264"/>
      <c r="U160" s="360"/>
      <c r="V160" s="360"/>
      <c r="W160" s="360"/>
      <c r="X160" s="360"/>
      <c r="Y160" s="360"/>
      <c r="Z160" s="360"/>
      <c r="AA160" s="360"/>
      <c r="AB160" s="360"/>
      <c r="AC160" s="360"/>
      <c r="AD160" s="360"/>
      <c r="AE160" s="360"/>
      <c r="AF160" s="360"/>
      <c r="AG160" s="360" t="s">
        <v>1582</v>
      </c>
      <c r="AH160" s="360"/>
      <c r="AI160" s="360"/>
      <c r="AJ160" s="360" t="s">
        <v>1589</v>
      </c>
      <c r="AK160" s="360"/>
      <c r="AL160" s="360" t="s">
        <v>5878</v>
      </c>
      <c r="AM160" s="360"/>
      <c r="AN160" s="360"/>
      <c r="AO160" s="360"/>
      <c r="AP160" s="360"/>
      <c r="AQ160" s="360"/>
      <c r="AR160" s="360"/>
      <c r="AS160" s="360"/>
      <c r="AT160" s="360"/>
      <c r="AU160" s="360" t="s">
        <v>22</v>
      </c>
      <c r="AV160" s="360"/>
      <c r="AW160" s="264"/>
      <c r="AX160" s="264"/>
      <c r="AY160" s="264"/>
      <c r="AZ160" s="264"/>
      <c r="BA160" s="264"/>
      <c r="BB160" s="264"/>
      <c r="BC160" s="264"/>
      <c r="BD160" s="264"/>
      <c r="BE160" s="264"/>
    </row>
    <row r="161">
      <c r="A161" s="264"/>
      <c r="B161" s="264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 t="s">
        <v>22</v>
      </c>
      <c r="N161" s="264"/>
      <c r="O161" s="264" t="s">
        <v>22</v>
      </c>
      <c r="P161" s="264"/>
      <c r="Q161" s="264"/>
      <c r="R161" s="264"/>
      <c r="S161" s="264"/>
      <c r="T161" s="264"/>
      <c r="U161" s="360"/>
      <c r="V161" s="360"/>
      <c r="W161" s="360"/>
      <c r="X161" s="360"/>
      <c r="Y161" s="360"/>
      <c r="Z161" s="360"/>
      <c r="AA161" s="360"/>
      <c r="AB161" s="360"/>
      <c r="AC161" s="360"/>
      <c r="AD161" s="360"/>
      <c r="AE161" s="360"/>
      <c r="AF161" s="360"/>
      <c r="AG161" s="360" t="s">
        <v>1582</v>
      </c>
      <c r="AH161" s="360"/>
      <c r="AI161" s="360"/>
      <c r="AJ161" s="360" t="s">
        <v>1589</v>
      </c>
      <c r="AK161" s="360"/>
      <c r="AL161" s="360" t="s">
        <v>5878</v>
      </c>
      <c r="AM161" s="360"/>
      <c r="AN161" s="360"/>
      <c r="AO161" s="360"/>
      <c r="AP161" s="360"/>
      <c r="AQ161" s="360"/>
      <c r="AR161" s="360"/>
      <c r="AS161" s="360"/>
      <c r="AT161" s="360"/>
      <c r="AU161" s="360" t="s">
        <v>22</v>
      </c>
      <c r="AV161" s="360"/>
      <c r="AW161" s="264"/>
      <c r="AX161" s="264"/>
      <c r="AY161" s="264"/>
      <c r="AZ161" s="264"/>
      <c r="BA161" s="264"/>
      <c r="BB161" s="264"/>
      <c r="BC161" s="264"/>
      <c r="BD161" s="264"/>
      <c r="BE161" s="264"/>
    </row>
    <row r="162">
      <c r="A162" s="264"/>
      <c r="B162" s="264"/>
      <c r="C162" s="264"/>
      <c r="D162" s="264"/>
      <c r="E162" s="264"/>
      <c r="F162" s="264"/>
      <c r="G162" s="264"/>
      <c r="H162" s="264"/>
      <c r="I162" s="264"/>
      <c r="J162" s="264"/>
      <c r="K162" s="264"/>
      <c r="L162" s="264"/>
      <c r="M162" s="264" t="s">
        <v>22</v>
      </c>
      <c r="N162" s="264"/>
      <c r="O162" s="264" t="s">
        <v>22</v>
      </c>
      <c r="P162" s="264"/>
      <c r="Q162" s="264"/>
      <c r="R162" s="264"/>
      <c r="S162" s="264"/>
      <c r="T162" s="264"/>
      <c r="U162" s="360"/>
      <c r="V162" s="360"/>
      <c r="W162" s="360"/>
      <c r="X162" s="360"/>
      <c r="Y162" s="360"/>
      <c r="Z162" s="360"/>
      <c r="AA162" s="360"/>
      <c r="AB162" s="360"/>
      <c r="AC162" s="360"/>
      <c r="AD162" s="360"/>
      <c r="AE162" s="360"/>
      <c r="AF162" s="360"/>
      <c r="AG162" s="360" t="s">
        <v>1582</v>
      </c>
      <c r="AH162" s="360"/>
      <c r="AI162" s="360"/>
      <c r="AJ162" s="360" t="s">
        <v>1589</v>
      </c>
      <c r="AK162" s="360"/>
      <c r="AL162" s="360" t="s">
        <v>5878</v>
      </c>
      <c r="AM162" s="360"/>
      <c r="AN162" s="360"/>
      <c r="AO162" s="360"/>
      <c r="AP162" s="360"/>
      <c r="AQ162" s="360"/>
      <c r="AR162" s="360"/>
      <c r="AS162" s="360"/>
      <c r="AT162" s="360"/>
      <c r="AU162" s="360" t="s">
        <v>22</v>
      </c>
      <c r="AV162" s="360"/>
      <c r="AW162" s="264"/>
      <c r="AX162" s="264"/>
      <c r="AY162" s="264"/>
      <c r="AZ162" s="264"/>
      <c r="BA162" s="264"/>
      <c r="BB162" s="264"/>
      <c r="BC162" s="264"/>
      <c r="BD162" s="264"/>
      <c r="BE162" s="264"/>
    </row>
    <row r="163">
      <c r="A163" s="264"/>
      <c r="B163" s="264"/>
      <c r="C163" s="264"/>
      <c r="D163" s="264"/>
      <c r="E163" s="264"/>
      <c r="F163" s="264"/>
      <c r="G163" s="264"/>
      <c r="H163" s="264"/>
      <c r="I163" s="264"/>
      <c r="J163" s="264"/>
      <c r="K163" s="264"/>
      <c r="L163" s="264"/>
      <c r="M163" s="264" t="s">
        <v>22</v>
      </c>
      <c r="N163" s="264"/>
      <c r="O163" s="264" t="s">
        <v>22</v>
      </c>
      <c r="P163" s="264"/>
      <c r="Q163" s="264"/>
      <c r="R163" s="264"/>
      <c r="S163" s="264"/>
      <c r="T163" s="264"/>
      <c r="U163" s="360"/>
      <c r="V163" s="360"/>
      <c r="W163" s="360"/>
      <c r="X163" s="360"/>
      <c r="Y163" s="360"/>
      <c r="Z163" s="360"/>
      <c r="AA163" s="360"/>
      <c r="AB163" s="360"/>
      <c r="AC163" s="360"/>
      <c r="AD163" s="360"/>
      <c r="AE163" s="360"/>
      <c r="AF163" s="360"/>
      <c r="AG163" s="360" t="s">
        <v>1582</v>
      </c>
      <c r="AH163" s="360"/>
      <c r="AI163" s="360"/>
      <c r="AJ163" s="360" t="s">
        <v>1589</v>
      </c>
      <c r="AK163" s="360"/>
      <c r="AL163" s="360" t="s">
        <v>5878</v>
      </c>
      <c r="AM163" s="360"/>
      <c r="AN163" s="360"/>
      <c r="AO163" s="360"/>
      <c r="AP163" s="360"/>
      <c r="AQ163" s="360"/>
      <c r="AR163" s="360"/>
      <c r="AS163" s="360"/>
      <c r="AT163" s="360"/>
      <c r="AU163" s="360" t="s">
        <v>22</v>
      </c>
      <c r="AV163" s="360"/>
      <c r="AW163" s="264"/>
      <c r="AX163" s="264"/>
      <c r="AY163" s="264"/>
      <c r="AZ163" s="264"/>
      <c r="BA163" s="264"/>
      <c r="BB163" s="264"/>
      <c r="BC163" s="264"/>
      <c r="BD163" s="264"/>
      <c r="BE163" s="264"/>
    </row>
    <row r="164">
      <c r="A164" s="264"/>
      <c r="B164" s="264"/>
      <c r="C164" s="264"/>
      <c r="D164" s="264"/>
      <c r="E164" s="264"/>
      <c r="F164" s="264"/>
      <c r="G164" s="264"/>
      <c r="H164" s="264"/>
      <c r="I164" s="264"/>
      <c r="J164" s="264"/>
      <c r="K164" s="264"/>
      <c r="L164" s="264"/>
      <c r="M164" s="264" t="s">
        <v>22</v>
      </c>
      <c r="N164" s="264"/>
      <c r="O164" s="264" t="s">
        <v>22</v>
      </c>
      <c r="P164" s="264"/>
      <c r="Q164" s="264"/>
      <c r="R164" s="264"/>
      <c r="S164" s="264"/>
      <c r="T164" s="264"/>
      <c r="U164" s="360"/>
      <c r="V164" s="360"/>
      <c r="W164" s="360"/>
      <c r="X164" s="360"/>
      <c r="Y164" s="360"/>
      <c r="Z164" s="360"/>
      <c r="AA164" s="360"/>
      <c r="AB164" s="360"/>
      <c r="AC164" s="360"/>
      <c r="AD164" s="360"/>
      <c r="AE164" s="360"/>
      <c r="AF164" s="360"/>
      <c r="AG164" s="360" t="s">
        <v>1582</v>
      </c>
      <c r="AH164" s="360"/>
      <c r="AI164" s="360"/>
      <c r="AJ164" s="360" t="s">
        <v>1589</v>
      </c>
      <c r="AK164" s="360"/>
      <c r="AL164" s="360" t="s">
        <v>5878</v>
      </c>
      <c r="AM164" s="360"/>
      <c r="AN164" s="360"/>
      <c r="AO164" s="360"/>
      <c r="AP164" s="360"/>
      <c r="AQ164" s="360"/>
      <c r="AR164" s="360"/>
      <c r="AS164" s="360"/>
      <c r="AT164" s="360"/>
      <c r="AU164" s="360" t="s">
        <v>22</v>
      </c>
      <c r="AV164" s="360"/>
      <c r="AW164" s="264"/>
      <c r="AX164" s="264"/>
      <c r="AY164" s="264"/>
      <c r="AZ164" s="264"/>
      <c r="BA164" s="264"/>
      <c r="BB164" s="264"/>
      <c r="BC164" s="264"/>
      <c r="BD164" s="264"/>
      <c r="BE164" s="264"/>
    </row>
    <row r="165">
      <c r="A165" s="264"/>
      <c r="B165" s="264"/>
      <c r="C165" s="264"/>
      <c r="D165" s="264"/>
      <c r="E165" s="264"/>
      <c r="F165" s="264"/>
      <c r="G165" s="264"/>
      <c r="H165" s="264"/>
      <c r="I165" s="264"/>
      <c r="J165" s="264"/>
      <c r="K165" s="264"/>
      <c r="L165" s="264"/>
      <c r="M165" s="264" t="s">
        <v>22</v>
      </c>
      <c r="N165" s="264"/>
      <c r="O165" s="264" t="s">
        <v>22</v>
      </c>
      <c r="P165" s="264"/>
      <c r="Q165" s="264"/>
      <c r="R165" s="264"/>
      <c r="S165" s="264"/>
      <c r="T165" s="264"/>
      <c r="U165" s="360"/>
      <c r="V165" s="360"/>
      <c r="W165" s="360"/>
      <c r="X165" s="360"/>
      <c r="Y165" s="360"/>
      <c r="Z165" s="360"/>
      <c r="AA165" s="360"/>
      <c r="AB165" s="360"/>
      <c r="AC165" s="360"/>
      <c r="AD165" s="360"/>
      <c r="AE165" s="360"/>
      <c r="AF165" s="360"/>
      <c r="AG165" s="360" t="s">
        <v>1582</v>
      </c>
      <c r="AH165" s="360"/>
      <c r="AI165" s="360"/>
      <c r="AJ165" s="360" t="s">
        <v>1589</v>
      </c>
      <c r="AK165" s="360"/>
      <c r="AL165" s="360" t="s">
        <v>5878</v>
      </c>
      <c r="AM165" s="360"/>
      <c r="AN165" s="360"/>
      <c r="AO165" s="360"/>
      <c r="AP165" s="360"/>
      <c r="AQ165" s="360"/>
      <c r="AR165" s="360"/>
      <c r="AS165" s="360"/>
      <c r="AT165" s="360"/>
      <c r="AU165" s="360" t="s">
        <v>22</v>
      </c>
      <c r="AV165" s="360"/>
      <c r="AW165" s="264"/>
      <c r="AX165" s="264"/>
      <c r="AY165" s="264"/>
      <c r="AZ165" s="264"/>
      <c r="BA165" s="264"/>
      <c r="BB165" s="264"/>
      <c r="BC165" s="264"/>
      <c r="BD165" s="264"/>
      <c r="BE165" s="264"/>
    </row>
    <row r="166">
      <c r="A166" s="264"/>
      <c r="B166" s="264"/>
      <c r="C166" s="264"/>
      <c r="D166" s="264"/>
      <c r="E166" s="264"/>
      <c r="F166" s="264"/>
      <c r="G166" s="264"/>
      <c r="H166" s="264"/>
      <c r="I166" s="264"/>
      <c r="J166" s="264"/>
      <c r="K166" s="264"/>
      <c r="L166" s="264"/>
      <c r="M166" s="264" t="s">
        <v>22</v>
      </c>
      <c r="N166" s="264"/>
      <c r="O166" s="264" t="s">
        <v>22</v>
      </c>
      <c r="P166" s="264"/>
      <c r="Q166" s="264"/>
      <c r="R166" s="264"/>
      <c r="S166" s="264"/>
      <c r="T166" s="264"/>
      <c r="U166" s="360"/>
      <c r="V166" s="360"/>
      <c r="W166" s="360"/>
      <c r="X166" s="360"/>
      <c r="Y166" s="360"/>
      <c r="Z166" s="360"/>
      <c r="AA166" s="360"/>
      <c r="AB166" s="360"/>
      <c r="AC166" s="360"/>
      <c r="AD166" s="360"/>
      <c r="AE166" s="360"/>
      <c r="AF166" s="360"/>
      <c r="AG166" s="360" t="s">
        <v>1582</v>
      </c>
      <c r="AH166" s="360"/>
      <c r="AI166" s="360"/>
      <c r="AJ166" s="360" t="s">
        <v>1589</v>
      </c>
      <c r="AK166" s="360"/>
      <c r="AL166" s="360" t="s">
        <v>5878</v>
      </c>
      <c r="AM166" s="360"/>
      <c r="AN166" s="360"/>
      <c r="AO166" s="360"/>
      <c r="AP166" s="360"/>
      <c r="AQ166" s="360"/>
      <c r="AR166" s="360"/>
      <c r="AS166" s="360"/>
      <c r="AT166" s="360"/>
      <c r="AU166" s="360" t="s">
        <v>22</v>
      </c>
      <c r="AV166" s="360"/>
      <c r="AW166" s="264"/>
      <c r="AX166" s="264"/>
      <c r="AY166" s="264"/>
      <c r="AZ166" s="264"/>
      <c r="BA166" s="264"/>
      <c r="BB166" s="264"/>
      <c r="BC166" s="264"/>
      <c r="BD166" s="264"/>
      <c r="BE166" s="264"/>
    </row>
    <row r="167">
      <c r="A167" s="264"/>
      <c r="B167" s="264"/>
      <c r="C167" s="264"/>
      <c r="D167" s="264"/>
      <c r="E167" s="264"/>
      <c r="F167" s="264"/>
      <c r="G167" s="264"/>
      <c r="H167" s="264"/>
      <c r="I167" s="264"/>
      <c r="J167" s="264"/>
      <c r="K167" s="264"/>
      <c r="L167" s="264"/>
      <c r="M167" s="264" t="s">
        <v>22</v>
      </c>
      <c r="N167" s="264"/>
      <c r="O167" s="264" t="s">
        <v>22</v>
      </c>
      <c r="P167" s="264"/>
      <c r="Q167" s="264"/>
      <c r="R167" s="264"/>
      <c r="S167" s="264"/>
      <c r="T167" s="264"/>
      <c r="U167" s="360"/>
      <c r="V167" s="360"/>
      <c r="W167" s="360"/>
      <c r="X167" s="360"/>
      <c r="Y167" s="360"/>
      <c r="Z167" s="360"/>
      <c r="AA167" s="360"/>
      <c r="AB167" s="360"/>
      <c r="AC167" s="360"/>
      <c r="AD167" s="360"/>
      <c r="AE167" s="360"/>
      <c r="AF167" s="360"/>
      <c r="AG167" s="360" t="s">
        <v>1582</v>
      </c>
      <c r="AH167" s="360"/>
      <c r="AI167" s="360"/>
      <c r="AJ167" s="360" t="s">
        <v>1589</v>
      </c>
      <c r="AK167" s="360"/>
      <c r="AL167" s="360" t="s">
        <v>5878</v>
      </c>
      <c r="AM167" s="360"/>
      <c r="AN167" s="360"/>
      <c r="AO167" s="360"/>
      <c r="AP167" s="360"/>
      <c r="AQ167" s="360"/>
      <c r="AR167" s="360"/>
      <c r="AS167" s="360"/>
      <c r="AT167" s="360"/>
      <c r="AU167" s="360" t="s">
        <v>22</v>
      </c>
      <c r="AV167" s="360"/>
      <c r="AW167" s="264"/>
      <c r="AX167" s="264"/>
      <c r="AY167" s="264"/>
      <c r="AZ167" s="264"/>
      <c r="BA167" s="264"/>
      <c r="BB167" s="264"/>
      <c r="BC167" s="264"/>
      <c r="BD167" s="264"/>
      <c r="BE167" s="264"/>
    </row>
    <row r="168">
      <c r="A168" s="264"/>
      <c r="B168" s="264"/>
      <c r="C168" s="264"/>
      <c r="D168" s="264"/>
      <c r="E168" s="264"/>
      <c r="F168" s="264"/>
      <c r="G168" s="264"/>
      <c r="H168" s="264"/>
      <c r="I168" s="264"/>
      <c r="J168" s="264"/>
      <c r="K168" s="264"/>
      <c r="L168" s="264"/>
      <c r="M168" s="264" t="s">
        <v>22</v>
      </c>
      <c r="N168" s="264"/>
      <c r="O168" s="264" t="s">
        <v>22</v>
      </c>
      <c r="P168" s="264"/>
      <c r="Q168" s="264"/>
      <c r="R168" s="264"/>
      <c r="S168" s="264"/>
      <c r="T168" s="264"/>
      <c r="U168" s="360"/>
      <c r="V168" s="360"/>
      <c r="W168" s="360"/>
      <c r="X168" s="360"/>
      <c r="Y168" s="360"/>
      <c r="Z168" s="360"/>
      <c r="AA168" s="360"/>
      <c r="AB168" s="360"/>
      <c r="AC168" s="360"/>
      <c r="AD168" s="360"/>
      <c r="AE168" s="360"/>
      <c r="AF168" s="360"/>
      <c r="AG168" s="360" t="s">
        <v>1582</v>
      </c>
      <c r="AH168" s="360"/>
      <c r="AI168" s="360"/>
      <c r="AJ168" s="360" t="s">
        <v>1589</v>
      </c>
      <c r="AK168" s="360"/>
      <c r="AL168" s="360" t="s">
        <v>5878</v>
      </c>
      <c r="AM168" s="360"/>
      <c r="AN168" s="360"/>
      <c r="AO168" s="360"/>
      <c r="AP168" s="360"/>
      <c r="AQ168" s="360"/>
      <c r="AR168" s="360"/>
      <c r="AS168" s="360"/>
      <c r="AT168" s="360"/>
      <c r="AU168" s="360" t="s">
        <v>22</v>
      </c>
      <c r="AV168" s="360"/>
      <c r="AW168" s="264"/>
      <c r="AX168" s="264"/>
      <c r="AY168" s="264"/>
      <c r="AZ168" s="264"/>
      <c r="BA168" s="264"/>
      <c r="BB168" s="264"/>
      <c r="BC168" s="264"/>
      <c r="BD168" s="264"/>
      <c r="BE168" s="264"/>
    </row>
    <row r="169">
      <c r="A169" s="264"/>
      <c r="B169" s="264"/>
      <c r="C169" s="264"/>
      <c r="D169" s="264"/>
      <c r="E169" s="264"/>
      <c r="F169" s="264"/>
      <c r="G169" s="264"/>
      <c r="H169" s="264"/>
      <c r="I169" s="264"/>
      <c r="J169" s="264"/>
      <c r="K169" s="264"/>
      <c r="L169" s="264"/>
      <c r="M169" s="264" t="s">
        <v>22</v>
      </c>
      <c r="N169" s="264"/>
      <c r="O169" s="264" t="s">
        <v>22</v>
      </c>
      <c r="P169" s="264"/>
      <c r="Q169" s="264"/>
      <c r="R169" s="264"/>
      <c r="S169" s="264"/>
      <c r="T169" s="264"/>
      <c r="U169" s="360"/>
      <c r="V169" s="360"/>
      <c r="W169" s="360"/>
      <c r="X169" s="360"/>
      <c r="Y169" s="360"/>
      <c r="Z169" s="360"/>
      <c r="AA169" s="360"/>
      <c r="AB169" s="360"/>
      <c r="AC169" s="360"/>
      <c r="AD169" s="360"/>
      <c r="AE169" s="360"/>
      <c r="AF169" s="360"/>
      <c r="AG169" s="360" t="s">
        <v>1582</v>
      </c>
      <c r="AH169" s="360"/>
      <c r="AI169" s="360"/>
      <c r="AJ169" s="360" t="s">
        <v>1589</v>
      </c>
      <c r="AK169" s="360"/>
      <c r="AL169" s="360" t="s">
        <v>5878</v>
      </c>
      <c r="AM169" s="360"/>
      <c r="AN169" s="360"/>
      <c r="AO169" s="360"/>
      <c r="AP169" s="360"/>
      <c r="AQ169" s="360"/>
      <c r="AR169" s="360"/>
      <c r="AS169" s="360"/>
      <c r="AT169" s="360"/>
      <c r="AU169" s="360" t="s">
        <v>22</v>
      </c>
      <c r="AV169" s="360"/>
      <c r="AW169" s="264"/>
      <c r="AX169" s="264"/>
      <c r="AY169" s="264"/>
      <c r="AZ169" s="264"/>
      <c r="BA169" s="264"/>
      <c r="BB169" s="264"/>
      <c r="BC169" s="264"/>
      <c r="BD169" s="264"/>
      <c r="BE169" s="264"/>
    </row>
    <row r="170">
      <c r="A170" s="264"/>
      <c r="B170" s="264"/>
      <c r="C170" s="264"/>
      <c r="D170" s="264"/>
      <c r="E170" s="264"/>
      <c r="F170" s="264"/>
      <c r="G170" s="264"/>
      <c r="H170" s="264"/>
      <c r="I170" s="264"/>
      <c r="J170" s="264"/>
      <c r="K170" s="264"/>
      <c r="L170" s="264"/>
      <c r="M170" s="264" t="s">
        <v>22</v>
      </c>
      <c r="N170" s="264"/>
      <c r="O170" s="264" t="s">
        <v>22</v>
      </c>
      <c r="P170" s="264"/>
      <c r="Q170" s="264"/>
      <c r="R170" s="264"/>
      <c r="S170" s="264"/>
      <c r="T170" s="264"/>
      <c r="U170" s="360"/>
      <c r="V170" s="360"/>
      <c r="W170" s="360"/>
      <c r="X170" s="360"/>
      <c r="Y170" s="360"/>
      <c r="Z170" s="360"/>
      <c r="AA170" s="360"/>
      <c r="AB170" s="360"/>
      <c r="AC170" s="360"/>
      <c r="AD170" s="360"/>
      <c r="AE170" s="360"/>
      <c r="AF170" s="360"/>
      <c r="AG170" s="360" t="s">
        <v>1582</v>
      </c>
      <c r="AH170" s="360"/>
      <c r="AI170" s="360"/>
      <c r="AJ170" s="360" t="s">
        <v>1589</v>
      </c>
      <c r="AK170" s="360"/>
      <c r="AL170" s="360" t="s">
        <v>5878</v>
      </c>
      <c r="AM170" s="360"/>
      <c r="AN170" s="360"/>
      <c r="AO170" s="360"/>
      <c r="AP170" s="360"/>
      <c r="AQ170" s="360"/>
      <c r="AR170" s="360"/>
      <c r="AS170" s="360"/>
      <c r="AT170" s="360"/>
      <c r="AU170" s="360" t="s">
        <v>22</v>
      </c>
      <c r="AV170" s="360"/>
      <c r="AW170" s="264"/>
      <c r="AX170" s="264"/>
      <c r="AY170" s="264"/>
      <c r="AZ170" s="264"/>
      <c r="BA170" s="264"/>
      <c r="BB170" s="264"/>
      <c r="BC170" s="264"/>
      <c r="BD170" s="264"/>
      <c r="BE170" s="264"/>
    </row>
    <row r="171">
      <c r="A171" s="264"/>
      <c r="B171" s="264"/>
      <c r="C171" s="264"/>
      <c r="D171" s="264"/>
      <c r="E171" s="264"/>
      <c r="F171" s="264"/>
      <c r="G171" s="264"/>
      <c r="H171" s="264"/>
      <c r="I171" s="264"/>
      <c r="J171" s="264"/>
      <c r="K171" s="264"/>
      <c r="L171" s="264"/>
      <c r="M171" s="264" t="s">
        <v>22</v>
      </c>
      <c r="N171" s="264"/>
      <c r="O171" s="264" t="s">
        <v>22</v>
      </c>
      <c r="P171" s="264"/>
      <c r="Q171" s="264"/>
      <c r="R171" s="264"/>
      <c r="S171" s="264"/>
      <c r="T171" s="264"/>
      <c r="U171" s="360"/>
      <c r="V171" s="360"/>
      <c r="W171" s="360"/>
      <c r="X171" s="360"/>
      <c r="Y171" s="360"/>
      <c r="Z171" s="360"/>
      <c r="AA171" s="360"/>
      <c r="AB171" s="360"/>
      <c r="AC171" s="360"/>
      <c r="AD171" s="360"/>
      <c r="AE171" s="360"/>
      <c r="AF171" s="360"/>
      <c r="AG171" s="360" t="s">
        <v>1582</v>
      </c>
      <c r="AH171" s="360"/>
      <c r="AI171" s="360"/>
      <c r="AJ171" s="360" t="s">
        <v>1589</v>
      </c>
      <c r="AK171" s="360"/>
      <c r="AL171" s="360" t="s">
        <v>5878</v>
      </c>
      <c r="AM171" s="360"/>
      <c r="AN171" s="360"/>
      <c r="AO171" s="360"/>
      <c r="AP171" s="360"/>
      <c r="AQ171" s="360"/>
      <c r="AR171" s="360"/>
      <c r="AS171" s="360"/>
      <c r="AT171" s="360"/>
      <c r="AU171" s="360" t="s">
        <v>22</v>
      </c>
      <c r="AV171" s="360"/>
      <c r="AW171" s="264"/>
      <c r="AX171" s="264"/>
      <c r="AY171" s="264"/>
      <c r="AZ171" s="264"/>
      <c r="BA171" s="264"/>
      <c r="BB171" s="264"/>
      <c r="BC171" s="264"/>
      <c r="BD171" s="264"/>
      <c r="BE171" s="264"/>
    </row>
    <row r="172">
      <c r="A172" s="264"/>
      <c r="B172" s="264"/>
      <c r="C172" s="264"/>
      <c r="D172" s="264"/>
      <c r="E172" s="264"/>
      <c r="F172" s="264"/>
      <c r="G172" s="264"/>
      <c r="H172" s="264"/>
      <c r="I172" s="264"/>
      <c r="J172" s="264"/>
      <c r="K172" s="264"/>
      <c r="L172" s="264"/>
      <c r="M172" s="264" t="s">
        <v>22</v>
      </c>
      <c r="N172" s="264"/>
      <c r="O172" s="264" t="s">
        <v>22</v>
      </c>
      <c r="P172" s="264"/>
      <c r="Q172" s="264"/>
      <c r="R172" s="264"/>
      <c r="S172" s="264"/>
      <c r="T172" s="264"/>
      <c r="U172" s="360"/>
      <c r="V172" s="360"/>
      <c r="W172" s="360"/>
      <c r="X172" s="360"/>
      <c r="Y172" s="360"/>
      <c r="Z172" s="360"/>
      <c r="AA172" s="360"/>
      <c r="AB172" s="360"/>
      <c r="AC172" s="360"/>
      <c r="AD172" s="360"/>
      <c r="AE172" s="360"/>
      <c r="AF172" s="360"/>
      <c r="AG172" s="360" t="s">
        <v>1582</v>
      </c>
      <c r="AH172" s="360"/>
      <c r="AI172" s="360"/>
      <c r="AJ172" s="360" t="s">
        <v>1589</v>
      </c>
      <c r="AK172" s="360"/>
      <c r="AL172" s="360" t="s">
        <v>5878</v>
      </c>
      <c r="AM172" s="360"/>
      <c r="AN172" s="360"/>
      <c r="AO172" s="360"/>
      <c r="AP172" s="360"/>
      <c r="AQ172" s="360"/>
      <c r="AR172" s="360"/>
      <c r="AS172" s="360"/>
      <c r="AT172" s="360"/>
      <c r="AU172" s="360" t="s">
        <v>22</v>
      </c>
      <c r="AV172" s="360"/>
      <c r="AW172" s="264"/>
      <c r="AX172" s="264"/>
      <c r="AY172" s="264"/>
      <c r="AZ172" s="264"/>
      <c r="BA172" s="264"/>
      <c r="BB172" s="264"/>
      <c r="BC172" s="264"/>
      <c r="BD172" s="264"/>
      <c r="BE172" s="264"/>
    </row>
    <row r="173">
      <c r="A173" s="264"/>
      <c r="B173" s="264"/>
      <c r="C173" s="264"/>
      <c r="D173" s="264"/>
      <c r="E173" s="264"/>
      <c r="F173" s="264"/>
      <c r="G173" s="264"/>
      <c r="H173" s="264"/>
      <c r="I173" s="264"/>
      <c r="J173" s="264"/>
      <c r="K173" s="264"/>
      <c r="L173" s="264"/>
      <c r="M173" s="264" t="s">
        <v>22</v>
      </c>
      <c r="N173" s="264"/>
      <c r="O173" s="264" t="s">
        <v>22</v>
      </c>
      <c r="P173" s="264"/>
      <c r="Q173" s="264"/>
      <c r="R173" s="264"/>
      <c r="S173" s="264"/>
      <c r="T173" s="264"/>
      <c r="U173" s="360"/>
      <c r="V173" s="360"/>
      <c r="W173" s="360"/>
      <c r="X173" s="360"/>
      <c r="Y173" s="360"/>
      <c r="Z173" s="360"/>
      <c r="AA173" s="360"/>
      <c r="AB173" s="360"/>
      <c r="AC173" s="360"/>
      <c r="AD173" s="360"/>
      <c r="AE173" s="360"/>
      <c r="AF173" s="360"/>
      <c r="AG173" s="360" t="s">
        <v>1582</v>
      </c>
      <c r="AH173" s="360"/>
      <c r="AI173" s="360"/>
      <c r="AJ173" s="360" t="s">
        <v>1589</v>
      </c>
      <c r="AK173" s="360"/>
      <c r="AL173" s="360" t="s">
        <v>5878</v>
      </c>
      <c r="AM173" s="360"/>
      <c r="AN173" s="360"/>
      <c r="AO173" s="360"/>
      <c r="AP173" s="360"/>
      <c r="AQ173" s="360"/>
      <c r="AR173" s="360"/>
      <c r="AS173" s="360"/>
      <c r="AT173" s="360"/>
      <c r="AU173" s="360" t="s">
        <v>22</v>
      </c>
      <c r="AV173" s="360"/>
      <c r="AW173" s="264"/>
      <c r="AX173" s="264"/>
      <c r="AY173" s="264"/>
      <c r="AZ173" s="264"/>
      <c r="BA173" s="264"/>
      <c r="BB173" s="264"/>
      <c r="BC173" s="264"/>
      <c r="BD173" s="264"/>
      <c r="BE173" s="264"/>
    </row>
    <row r="174">
      <c r="A174" s="264"/>
      <c r="B174" s="264"/>
      <c r="C174" s="264"/>
      <c r="D174" s="264"/>
      <c r="E174" s="264"/>
      <c r="F174" s="264"/>
      <c r="G174" s="264"/>
      <c r="H174" s="264"/>
      <c r="I174" s="264"/>
      <c r="J174" s="264"/>
      <c r="K174" s="264"/>
      <c r="L174" s="264"/>
      <c r="M174" s="264" t="s">
        <v>22</v>
      </c>
      <c r="N174" s="264"/>
      <c r="O174" s="264" t="s">
        <v>22</v>
      </c>
      <c r="P174" s="264"/>
      <c r="Q174" s="264"/>
      <c r="R174" s="264"/>
      <c r="S174" s="264"/>
      <c r="T174" s="264"/>
      <c r="U174" s="360"/>
      <c r="V174" s="360"/>
      <c r="W174" s="360"/>
      <c r="X174" s="360"/>
      <c r="Y174" s="360"/>
      <c r="Z174" s="360"/>
      <c r="AA174" s="360"/>
      <c r="AB174" s="360"/>
      <c r="AC174" s="360"/>
      <c r="AD174" s="360"/>
      <c r="AE174" s="360"/>
      <c r="AF174" s="360"/>
      <c r="AG174" s="360" t="s">
        <v>1582</v>
      </c>
      <c r="AH174" s="360"/>
      <c r="AI174" s="360"/>
      <c r="AJ174" s="360" t="s">
        <v>1589</v>
      </c>
      <c r="AK174" s="360"/>
      <c r="AL174" s="360" t="s">
        <v>5878</v>
      </c>
      <c r="AM174" s="360"/>
      <c r="AN174" s="360"/>
      <c r="AO174" s="360"/>
      <c r="AP174" s="360"/>
      <c r="AQ174" s="360"/>
      <c r="AR174" s="360"/>
      <c r="AS174" s="360"/>
      <c r="AT174" s="360"/>
      <c r="AU174" s="360" t="s">
        <v>22</v>
      </c>
      <c r="AV174" s="360"/>
      <c r="AW174" s="264"/>
      <c r="AX174" s="264"/>
      <c r="AY174" s="264"/>
      <c r="AZ174" s="264"/>
      <c r="BA174" s="264"/>
      <c r="BB174" s="264"/>
      <c r="BC174" s="264"/>
      <c r="BD174" s="264"/>
      <c r="BE174" s="264"/>
    </row>
    <row r="175">
      <c r="A175" s="264"/>
      <c r="B175" s="264"/>
      <c r="C175" s="264"/>
      <c r="D175" s="264"/>
      <c r="E175" s="264"/>
      <c r="F175" s="264"/>
      <c r="G175" s="264"/>
      <c r="H175" s="264"/>
      <c r="I175" s="264"/>
      <c r="J175" s="264"/>
      <c r="K175" s="264"/>
      <c r="L175" s="264"/>
      <c r="M175" s="264" t="s">
        <v>22</v>
      </c>
      <c r="N175" s="264"/>
      <c r="O175" s="264" t="s">
        <v>22</v>
      </c>
      <c r="P175" s="264"/>
      <c r="Q175" s="264"/>
      <c r="R175" s="264"/>
      <c r="S175" s="264"/>
      <c r="T175" s="264"/>
      <c r="U175" s="360"/>
      <c r="V175" s="360"/>
      <c r="W175" s="360"/>
      <c r="X175" s="360"/>
      <c r="Y175" s="360"/>
      <c r="Z175" s="360"/>
      <c r="AA175" s="360"/>
      <c r="AB175" s="360"/>
      <c r="AC175" s="360"/>
      <c r="AD175" s="360"/>
      <c r="AE175" s="360"/>
      <c r="AF175" s="360"/>
      <c r="AG175" s="360" t="s">
        <v>1582</v>
      </c>
      <c r="AH175" s="360"/>
      <c r="AI175" s="360"/>
      <c r="AJ175" s="360" t="s">
        <v>1589</v>
      </c>
      <c r="AK175" s="360"/>
      <c r="AL175" s="360" t="s">
        <v>5878</v>
      </c>
      <c r="AM175" s="360"/>
      <c r="AN175" s="360"/>
      <c r="AO175" s="360"/>
      <c r="AP175" s="360"/>
      <c r="AQ175" s="360"/>
      <c r="AR175" s="360"/>
      <c r="AS175" s="360"/>
      <c r="AT175" s="360"/>
      <c r="AU175" s="360" t="s">
        <v>22</v>
      </c>
      <c r="AV175" s="360"/>
      <c r="AW175" s="264"/>
      <c r="AX175" s="264"/>
      <c r="AY175" s="264"/>
      <c r="AZ175" s="264"/>
      <c r="BA175" s="264"/>
      <c r="BB175" s="264"/>
      <c r="BC175" s="264"/>
      <c r="BD175" s="264"/>
      <c r="BE175" s="264"/>
    </row>
    <row r="176">
      <c r="A176" s="264"/>
      <c r="B176" s="264"/>
      <c r="C176" s="264"/>
      <c r="D176" s="264"/>
      <c r="E176" s="264"/>
      <c r="F176" s="264"/>
      <c r="G176" s="264"/>
      <c r="H176" s="264"/>
      <c r="I176" s="264"/>
      <c r="J176" s="264"/>
      <c r="K176" s="264"/>
      <c r="L176" s="264"/>
      <c r="M176" s="264" t="s">
        <v>22</v>
      </c>
      <c r="N176" s="264"/>
      <c r="O176" s="264" t="s">
        <v>22</v>
      </c>
      <c r="P176" s="264"/>
      <c r="Q176" s="264"/>
      <c r="R176" s="264"/>
      <c r="S176" s="264"/>
      <c r="T176" s="264"/>
      <c r="U176" s="360"/>
      <c r="V176" s="360"/>
      <c r="W176" s="360"/>
      <c r="X176" s="360"/>
      <c r="Y176" s="360"/>
      <c r="Z176" s="360"/>
      <c r="AA176" s="360"/>
      <c r="AB176" s="360"/>
      <c r="AC176" s="360"/>
      <c r="AD176" s="360"/>
      <c r="AE176" s="360"/>
      <c r="AF176" s="360"/>
      <c r="AG176" s="360" t="s">
        <v>1582</v>
      </c>
      <c r="AH176" s="360"/>
      <c r="AI176" s="360"/>
      <c r="AJ176" s="360" t="s">
        <v>1589</v>
      </c>
      <c r="AK176" s="360"/>
      <c r="AL176" s="360" t="s">
        <v>5878</v>
      </c>
      <c r="AM176" s="360"/>
      <c r="AN176" s="360"/>
      <c r="AO176" s="360"/>
      <c r="AP176" s="360"/>
      <c r="AQ176" s="360"/>
      <c r="AR176" s="360"/>
      <c r="AS176" s="360"/>
      <c r="AT176" s="360"/>
      <c r="AU176" s="360" t="s">
        <v>22</v>
      </c>
      <c r="AV176" s="360"/>
      <c r="AW176" s="264"/>
      <c r="AX176" s="264"/>
      <c r="AY176" s="264"/>
      <c r="AZ176" s="264"/>
      <c r="BA176" s="264"/>
      <c r="BB176" s="264"/>
      <c r="BC176" s="264"/>
      <c r="BD176" s="264"/>
      <c r="BE176" s="264"/>
    </row>
    <row r="177">
      <c r="A177" s="264"/>
      <c r="B177" s="264"/>
      <c r="C177" s="264"/>
      <c r="D177" s="264"/>
      <c r="E177" s="264"/>
      <c r="F177" s="264"/>
      <c r="G177" s="264"/>
      <c r="H177" s="264"/>
      <c r="I177" s="264"/>
      <c r="J177" s="264"/>
      <c r="K177" s="264"/>
      <c r="L177" s="264"/>
      <c r="M177" s="264" t="s">
        <v>22</v>
      </c>
      <c r="N177" s="264"/>
      <c r="O177" s="264" t="s">
        <v>22</v>
      </c>
      <c r="P177" s="264"/>
      <c r="Q177" s="264"/>
      <c r="R177" s="264"/>
      <c r="S177" s="264"/>
      <c r="T177" s="264"/>
      <c r="U177" s="360"/>
      <c r="V177" s="360"/>
      <c r="W177" s="360"/>
      <c r="X177" s="360"/>
      <c r="Y177" s="360"/>
      <c r="Z177" s="360"/>
      <c r="AA177" s="360"/>
      <c r="AB177" s="360"/>
      <c r="AC177" s="360"/>
      <c r="AD177" s="360"/>
      <c r="AE177" s="360"/>
      <c r="AF177" s="360"/>
      <c r="AG177" s="360" t="s">
        <v>1582</v>
      </c>
      <c r="AH177" s="360"/>
      <c r="AI177" s="360"/>
      <c r="AJ177" s="360" t="s">
        <v>1589</v>
      </c>
      <c r="AK177" s="360"/>
      <c r="AL177" s="360" t="s">
        <v>5878</v>
      </c>
      <c r="AM177" s="360"/>
      <c r="AN177" s="360"/>
      <c r="AO177" s="360"/>
      <c r="AP177" s="360"/>
      <c r="AQ177" s="360"/>
      <c r="AR177" s="360"/>
      <c r="AS177" s="360"/>
      <c r="AT177" s="360"/>
      <c r="AU177" s="360" t="s">
        <v>22</v>
      </c>
      <c r="AV177" s="360"/>
      <c r="AW177" s="264"/>
      <c r="AX177" s="264"/>
      <c r="AY177" s="264"/>
      <c r="AZ177" s="264"/>
      <c r="BA177" s="264"/>
      <c r="BB177" s="264"/>
      <c r="BC177" s="264"/>
      <c r="BD177" s="264"/>
      <c r="BE177" s="264"/>
    </row>
    <row r="178">
      <c r="A178" s="264"/>
      <c r="B178" s="264"/>
      <c r="C178" s="264"/>
      <c r="D178" s="264"/>
      <c r="E178" s="264"/>
      <c r="F178" s="264"/>
      <c r="G178" s="264"/>
      <c r="H178" s="264"/>
      <c r="I178" s="264"/>
      <c r="J178" s="264"/>
      <c r="K178" s="264"/>
      <c r="L178" s="264"/>
      <c r="M178" s="264" t="s">
        <v>22</v>
      </c>
      <c r="N178" s="264"/>
      <c r="O178" s="264" t="s">
        <v>22</v>
      </c>
      <c r="P178" s="264"/>
      <c r="Q178" s="264"/>
      <c r="R178" s="264"/>
      <c r="S178" s="264"/>
      <c r="T178" s="264"/>
      <c r="U178" s="360"/>
      <c r="V178" s="360"/>
      <c r="W178" s="360"/>
      <c r="X178" s="360"/>
      <c r="Y178" s="360"/>
      <c r="Z178" s="360"/>
      <c r="AA178" s="360"/>
      <c r="AB178" s="360"/>
      <c r="AC178" s="360"/>
      <c r="AD178" s="360"/>
      <c r="AE178" s="360"/>
      <c r="AF178" s="360"/>
      <c r="AG178" s="360" t="s">
        <v>1582</v>
      </c>
      <c r="AH178" s="360"/>
      <c r="AI178" s="360"/>
      <c r="AJ178" s="360" t="s">
        <v>1589</v>
      </c>
      <c r="AK178" s="360"/>
      <c r="AL178" s="360" t="s">
        <v>5878</v>
      </c>
      <c r="AM178" s="360"/>
      <c r="AN178" s="360"/>
      <c r="AO178" s="360"/>
      <c r="AP178" s="360"/>
      <c r="AQ178" s="360"/>
      <c r="AR178" s="360"/>
      <c r="AS178" s="360"/>
      <c r="AT178" s="360"/>
      <c r="AU178" s="360" t="s">
        <v>22</v>
      </c>
      <c r="AV178" s="360"/>
      <c r="AW178" s="264"/>
      <c r="AX178" s="264"/>
      <c r="AY178" s="264"/>
      <c r="AZ178" s="264"/>
      <c r="BA178" s="264"/>
      <c r="BB178" s="264"/>
      <c r="BC178" s="264"/>
      <c r="BD178" s="264"/>
      <c r="BE178" s="264"/>
    </row>
    <row r="179">
      <c r="A179" s="264"/>
      <c r="B179" s="264"/>
      <c r="C179" s="264"/>
      <c r="D179" s="264"/>
      <c r="E179" s="264"/>
      <c r="F179" s="264"/>
      <c r="G179" s="264"/>
      <c r="H179" s="264"/>
      <c r="I179" s="264"/>
      <c r="J179" s="264"/>
      <c r="K179" s="264"/>
      <c r="L179" s="264"/>
      <c r="M179" s="264" t="s">
        <v>22</v>
      </c>
      <c r="N179" s="264"/>
      <c r="O179" s="264" t="s">
        <v>22</v>
      </c>
      <c r="P179" s="264"/>
      <c r="Q179" s="264"/>
      <c r="R179" s="264"/>
      <c r="S179" s="264"/>
      <c r="T179" s="264"/>
      <c r="U179" s="360"/>
      <c r="V179" s="360"/>
      <c r="W179" s="360"/>
      <c r="X179" s="360"/>
      <c r="Y179" s="360"/>
      <c r="Z179" s="360"/>
      <c r="AA179" s="360"/>
      <c r="AB179" s="360"/>
      <c r="AC179" s="360"/>
      <c r="AD179" s="360"/>
      <c r="AE179" s="360"/>
      <c r="AF179" s="360"/>
      <c r="AG179" s="360" t="s">
        <v>1582</v>
      </c>
      <c r="AH179" s="360"/>
      <c r="AI179" s="360"/>
      <c r="AJ179" s="360" t="s">
        <v>1589</v>
      </c>
      <c r="AK179" s="360"/>
      <c r="AL179" s="360" t="s">
        <v>5878</v>
      </c>
      <c r="AM179" s="360"/>
      <c r="AN179" s="360"/>
      <c r="AO179" s="360"/>
      <c r="AP179" s="360"/>
      <c r="AQ179" s="360"/>
      <c r="AR179" s="360"/>
      <c r="AS179" s="360"/>
      <c r="AT179" s="360"/>
      <c r="AU179" s="360" t="s">
        <v>22</v>
      </c>
      <c r="AV179" s="360"/>
      <c r="AW179" s="264"/>
      <c r="AX179" s="264"/>
      <c r="AY179" s="264"/>
      <c r="AZ179" s="264"/>
      <c r="BA179" s="264"/>
      <c r="BB179" s="264"/>
      <c r="BC179" s="264"/>
      <c r="BD179" s="264"/>
      <c r="BE179" s="264"/>
    </row>
    <row r="180">
      <c r="A180" s="264"/>
      <c r="B180" s="264"/>
      <c r="C180" s="264"/>
      <c r="D180" s="264"/>
      <c r="E180" s="264"/>
      <c r="F180" s="264"/>
      <c r="G180" s="264"/>
      <c r="H180" s="264"/>
      <c r="I180" s="264"/>
      <c r="J180" s="264"/>
      <c r="K180" s="264"/>
      <c r="L180" s="264"/>
      <c r="M180" s="264" t="s">
        <v>22</v>
      </c>
      <c r="N180" s="264"/>
      <c r="O180" s="264" t="s">
        <v>22</v>
      </c>
      <c r="P180" s="264"/>
      <c r="Q180" s="264"/>
      <c r="R180" s="264"/>
      <c r="S180" s="264"/>
      <c r="T180" s="264"/>
      <c r="U180" s="360"/>
      <c r="V180" s="360"/>
      <c r="W180" s="360"/>
      <c r="X180" s="360"/>
      <c r="Y180" s="360"/>
      <c r="Z180" s="360"/>
      <c r="AA180" s="360"/>
      <c r="AB180" s="360"/>
      <c r="AC180" s="360"/>
      <c r="AD180" s="360"/>
      <c r="AE180" s="360"/>
      <c r="AF180" s="360"/>
      <c r="AG180" s="360" t="s">
        <v>1582</v>
      </c>
      <c r="AH180" s="360"/>
      <c r="AI180" s="360"/>
      <c r="AJ180" s="360" t="s">
        <v>1589</v>
      </c>
      <c r="AK180" s="360"/>
      <c r="AL180" s="360" t="s">
        <v>5878</v>
      </c>
      <c r="AM180" s="360"/>
      <c r="AN180" s="360"/>
      <c r="AO180" s="360"/>
      <c r="AP180" s="360"/>
      <c r="AQ180" s="360"/>
      <c r="AR180" s="360"/>
      <c r="AS180" s="360"/>
      <c r="AT180" s="360"/>
      <c r="AU180" s="360" t="s">
        <v>22</v>
      </c>
      <c r="AV180" s="360"/>
      <c r="AW180" s="264"/>
      <c r="AX180" s="264"/>
      <c r="AY180" s="264"/>
      <c r="AZ180" s="264"/>
      <c r="BA180" s="264"/>
      <c r="BB180" s="264"/>
      <c r="BC180" s="264"/>
      <c r="BD180" s="264"/>
      <c r="BE180" s="264"/>
    </row>
    <row r="181">
      <c r="A181" s="264"/>
      <c r="B181" s="264"/>
      <c r="C181" s="264"/>
      <c r="D181" s="264"/>
      <c r="E181" s="264"/>
      <c r="F181" s="264"/>
      <c r="G181" s="264"/>
      <c r="H181" s="264"/>
      <c r="I181" s="264"/>
      <c r="J181" s="264"/>
      <c r="K181" s="264"/>
      <c r="L181" s="264"/>
      <c r="M181" s="264" t="s">
        <v>22</v>
      </c>
      <c r="N181" s="264"/>
      <c r="O181" s="264" t="s">
        <v>22</v>
      </c>
      <c r="P181" s="264"/>
      <c r="Q181" s="264"/>
      <c r="R181" s="264"/>
      <c r="S181" s="264"/>
      <c r="T181" s="264"/>
      <c r="U181" s="360"/>
      <c r="V181" s="360"/>
      <c r="W181" s="360"/>
      <c r="X181" s="360"/>
      <c r="Y181" s="360"/>
      <c r="Z181" s="360"/>
      <c r="AA181" s="360"/>
      <c r="AB181" s="360"/>
      <c r="AC181" s="360"/>
      <c r="AD181" s="360"/>
      <c r="AE181" s="360"/>
      <c r="AF181" s="360"/>
      <c r="AG181" s="360" t="s">
        <v>1582</v>
      </c>
      <c r="AH181" s="360"/>
      <c r="AI181" s="360"/>
      <c r="AJ181" s="360" t="s">
        <v>1589</v>
      </c>
      <c r="AK181" s="360"/>
      <c r="AL181" s="360" t="s">
        <v>5878</v>
      </c>
      <c r="AM181" s="360"/>
      <c r="AN181" s="360"/>
      <c r="AO181" s="360"/>
      <c r="AP181" s="360"/>
      <c r="AQ181" s="360"/>
      <c r="AR181" s="360"/>
      <c r="AS181" s="360"/>
      <c r="AT181" s="360"/>
      <c r="AU181" s="360" t="s">
        <v>22</v>
      </c>
      <c r="AV181" s="360"/>
      <c r="AW181" s="264"/>
      <c r="AX181" s="264"/>
      <c r="AY181" s="264"/>
      <c r="AZ181" s="264"/>
      <c r="BA181" s="264"/>
      <c r="BB181" s="264"/>
      <c r="BC181" s="264"/>
      <c r="BD181" s="264"/>
      <c r="BE181" s="264"/>
    </row>
    <row r="182">
      <c r="A182" s="264"/>
      <c r="B182" s="264"/>
      <c r="C182" s="264"/>
      <c r="D182" s="264"/>
      <c r="E182" s="264"/>
      <c r="F182" s="264"/>
      <c r="G182" s="264"/>
      <c r="H182" s="264"/>
      <c r="I182" s="264"/>
      <c r="J182" s="264"/>
      <c r="K182" s="264"/>
      <c r="L182" s="264"/>
      <c r="M182" s="264" t="s">
        <v>22</v>
      </c>
      <c r="N182" s="264"/>
      <c r="O182" s="264" t="s">
        <v>22</v>
      </c>
      <c r="P182" s="264"/>
      <c r="Q182" s="264"/>
      <c r="R182" s="264"/>
      <c r="S182" s="264"/>
      <c r="T182" s="264"/>
      <c r="U182" s="360"/>
      <c r="V182" s="360"/>
      <c r="W182" s="360"/>
      <c r="X182" s="360"/>
      <c r="Y182" s="360"/>
      <c r="Z182" s="360"/>
      <c r="AA182" s="360"/>
      <c r="AB182" s="360"/>
      <c r="AC182" s="360"/>
      <c r="AD182" s="360"/>
      <c r="AE182" s="360"/>
      <c r="AF182" s="360"/>
      <c r="AG182" s="360" t="s">
        <v>1582</v>
      </c>
      <c r="AH182" s="360"/>
      <c r="AI182" s="360"/>
      <c r="AJ182" s="360" t="s">
        <v>1589</v>
      </c>
      <c r="AK182" s="360"/>
      <c r="AL182" s="360" t="s">
        <v>5878</v>
      </c>
      <c r="AM182" s="360"/>
      <c r="AN182" s="360"/>
      <c r="AO182" s="360"/>
      <c r="AP182" s="360"/>
      <c r="AQ182" s="360"/>
      <c r="AR182" s="360"/>
      <c r="AS182" s="360"/>
      <c r="AT182" s="360"/>
      <c r="AU182" s="360" t="s">
        <v>22</v>
      </c>
      <c r="AV182" s="360"/>
      <c r="AW182" s="264"/>
      <c r="AX182" s="264"/>
      <c r="AY182" s="264"/>
      <c r="AZ182" s="264"/>
      <c r="BA182" s="264"/>
      <c r="BB182" s="264"/>
      <c r="BC182" s="264"/>
      <c r="BD182" s="264"/>
      <c r="BE182" s="264"/>
    </row>
    <row r="183">
      <c r="A183" s="264"/>
      <c r="B183" s="264"/>
      <c r="C183" s="264"/>
      <c r="D183" s="264"/>
      <c r="E183" s="264"/>
      <c r="F183" s="264"/>
      <c r="G183" s="264"/>
      <c r="H183" s="264"/>
      <c r="I183" s="264"/>
      <c r="J183" s="264"/>
      <c r="K183" s="264"/>
      <c r="L183" s="264"/>
      <c r="M183" s="264" t="s">
        <v>22</v>
      </c>
      <c r="N183" s="264"/>
      <c r="O183" s="264" t="s">
        <v>22</v>
      </c>
      <c r="P183" s="264"/>
      <c r="Q183" s="264"/>
      <c r="R183" s="264"/>
      <c r="S183" s="264"/>
      <c r="T183" s="264"/>
      <c r="U183" s="360"/>
      <c r="V183" s="360"/>
      <c r="W183" s="360"/>
      <c r="X183" s="360"/>
      <c r="Y183" s="360"/>
      <c r="Z183" s="360"/>
      <c r="AA183" s="360"/>
      <c r="AB183" s="360"/>
      <c r="AC183" s="360"/>
      <c r="AD183" s="360"/>
      <c r="AE183" s="360"/>
      <c r="AF183" s="360"/>
      <c r="AG183" s="360" t="s">
        <v>1582</v>
      </c>
      <c r="AH183" s="360"/>
      <c r="AI183" s="360"/>
      <c r="AJ183" s="360" t="s">
        <v>1589</v>
      </c>
      <c r="AK183" s="360"/>
      <c r="AL183" s="360" t="s">
        <v>5878</v>
      </c>
      <c r="AM183" s="360"/>
      <c r="AN183" s="360"/>
      <c r="AO183" s="360"/>
      <c r="AP183" s="360"/>
      <c r="AQ183" s="360"/>
      <c r="AR183" s="360"/>
      <c r="AS183" s="360"/>
      <c r="AT183" s="360"/>
      <c r="AU183" s="360" t="s">
        <v>22</v>
      </c>
      <c r="AV183" s="360"/>
      <c r="AW183" s="264"/>
      <c r="AX183" s="264"/>
      <c r="AY183" s="264"/>
      <c r="AZ183" s="264"/>
      <c r="BA183" s="264"/>
      <c r="BB183" s="264"/>
      <c r="BC183" s="264"/>
      <c r="BD183" s="264"/>
      <c r="BE183" s="264"/>
    </row>
    <row r="184">
      <c r="A184" s="264"/>
      <c r="B184" s="264"/>
      <c r="C184" s="264"/>
      <c r="D184" s="264"/>
      <c r="E184" s="264"/>
      <c r="F184" s="264"/>
      <c r="G184" s="264"/>
      <c r="H184" s="264"/>
      <c r="I184" s="264"/>
      <c r="J184" s="264"/>
      <c r="K184" s="264"/>
      <c r="L184" s="264"/>
      <c r="M184" s="264" t="s">
        <v>22</v>
      </c>
      <c r="N184" s="264"/>
      <c r="O184" s="264" t="s">
        <v>22</v>
      </c>
      <c r="P184" s="264"/>
      <c r="Q184" s="264"/>
      <c r="R184" s="264"/>
      <c r="S184" s="264"/>
      <c r="T184" s="264"/>
      <c r="U184" s="360"/>
      <c r="V184" s="360"/>
      <c r="W184" s="360"/>
      <c r="X184" s="360"/>
      <c r="Y184" s="360"/>
      <c r="Z184" s="360"/>
      <c r="AA184" s="360"/>
      <c r="AB184" s="360"/>
      <c r="AC184" s="360"/>
      <c r="AD184" s="360"/>
      <c r="AE184" s="360"/>
      <c r="AF184" s="360"/>
      <c r="AG184" s="360" t="s">
        <v>1582</v>
      </c>
      <c r="AH184" s="360"/>
      <c r="AI184" s="360"/>
      <c r="AJ184" s="360" t="s">
        <v>1589</v>
      </c>
      <c r="AK184" s="360"/>
      <c r="AL184" s="360" t="s">
        <v>5878</v>
      </c>
      <c r="AM184" s="360"/>
      <c r="AN184" s="360"/>
      <c r="AO184" s="360"/>
      <c r="AP184" s="360"/>
      <c r="AQ184" s="360"/>
      <c r="AR184" s="360"/>
      <c r="AS184" s="360"/>
      <c r="AT184" s="360"/>
      <c r="AU184" s="360" t="s">
        <v>22</v>
      </c>
      <c r="AV184" s="360"/>
      <c r="AW184" s="264"/>
      <c r="AX184" s="264"/>
      <c r="AY184" s="264"/>
      <c r="AZ184" s="264"/>
      <c r="BA184" s="264"/>
      <c r="BB184" s="264"/>
      <c r="BC184" s="264"/>
      <c r="BD184" s="264"/>
      <c r="BE184" s="264"/>
    </row>
    <row r="185">
      <c r="A185" s="264"/>
      <c r="B185" s="264"/>
      <c r="C185" s="264"/>
      <c r="D185" s="264"/>
      <c r="E185" s="264"/>
      <c r="F185" s="264"/>
      <c r="G185" s="264"/>
      <c r="H185" s="264"/>
      <c r="I185" s="264"/>
      <c r="J185" s="264"/>
      <c r="K185" s="264"/>
      <c r="L185" s="264"/>
      <c r="M185" s="264" t="s">
        <v>22</v>
      </c>
      <c r="N185" s="264"/>
      <c r="O185" s="264" t="s">
        <v>22</v>
      </c>
      <c r="P185" s="264"/>
      <c r="Q185" s="264"/>
      <c r="R185" s="264"/>
      <c r="S185" s="264"/>
      <c r="T185" s="264"/>
      <c r="U185" s="360"/>
      <c r="V185" s="360"/>
      <c r="W185" s="360"/>
      <c r="X185" s="360"/>
      <c r="Y185" s="360"/>
      <c r="Z185" s="360"/>
      <c r="AA185" s="360"/>
      <c r="AB185" s="360"/>
      <c r="AC185" s="360"/>
      <c r="AD185" s="360"/>
      <c r="AE185" s="360"/>
      <c r="AF185" s="360"/>
      <c r="AG185" s="360" t="s">
        <v>1582</v>
      </c>
      <c r="AH185" s="360"/>
      <c r="AI185" s="360"/>
      <c r="AJ185" s="360" t="s">
        <v>1589</v>
      </c>
      <c r="AK185" s="360"/>
      <c r="AL185" s="360" t="s">
        <v>5878</v>
      </c>
      <c r="AM185" s="360"/>
      <c r="AN185" s="360"/>
      <c r="AO185" s="360"/>
      <c r="AP185" s="360"/>
      <c r="AQ185" s="360"/>
      <c r="AR185" s="360"/>
      <c r="AS185" s="360"/>
      <c r="AT185" s="360"/>
      <c r="AU185" s="360" t="s">
        <v>22</v>
      </c>
      <c r="AV185" s="360"/>
      <c r="AW185" s="264"/>
      <c r="AX185" s="264"/>
      <c r="AY185" s="264"/>
      <c r="AZ185" s="264"/>
      <c r="BA185" s="264"/>
      <c r="BB185" s="264"/>
      <c r="BC185" s="264"/>
      <c r="BD185" s="264"/>
      <c r="BE185" s="264"/>
    </row>
    <row r="186">
      <c r="A186" s="264"/>
      <c r="B186" s="264"/>
      <c r="C186" s="264"/>
      <c r="D186" s="264"/>
      <c r="E186" s="264"/>
      <c r="F186" s="264"/>
      <c r="G186" s="264"/>
      <c r="H186" s="264"/>
      <c r="I186" s="264"/>
      <c r="J186" s="264"/>
      <c r="K186" s="264"/>
      <c r="L186" s="264"/>
      <c r="M186" s="264" t="s">
        <v>22</v>
      </c>
      <c r="N186" s="264"/>
      <c r="O186" s="264" t="s">
        <v>22</v>
      </c>
      <c r="P186" s="264"/>
      <c r="Q186" s="264"/>
      <c r="R186" s="264"/>
      <c r="S186" s="264"/>
      <c r="T186" s="264"/>
      <c r="U186" s="360"/>
      <c r="V186" s="360"/>
      <c r="W186" s="360"/>
      <c r="X186" s="360"/>
      <c r="Y186" s="360"/>
      <c r="Z186" s="360"/>
      <c r="AA186" s="360"/>
      <c r="AB186" s="360"/>
      <c r="AC186" s="360"/>
      <c r="AD186" s="360"/>
      <c r="AE186" s="360"/>
      <c r="AF186" s="360"/>
      <c r="AG186" s="360" t="s">
        <v>1582</v>
      </c>
      <c r="AH186" s="360"/>
      <c r="AI186" s="360"/>
      <c r="AJ186" s="360" t="s">
        <v>1589</v>
      </c>
      <c r="AK186" s="360"/>
      <c r="AL186" s="360" t="s">
        <v>5878</v>
      </c>
      <c r="AM186" s="360"/>
      <c r="AN186" s="360"/>
      <c r="AO186" s="360"/>
      <c r="AP186" s="360"/>
      <c r="AQ186" s="360"/>
      <c r="AR186" s="360"/>
      <c r="AS186" s="360"/>
      <c r="AT186" s="360"/>
      <c r="AU186" s="360" t="s">
        <v>22</v>
      </c>
      <c r="AV186" s="360"/>
      <c r="AW186" s="264"/>
      <c r="AX186" s="264"/>
      <c r="AY186" s="264"/>
      <c r="AZ186" s="264"/>
      <c r="BA186" s="264"/>
      <c r="BB186" s="264"/>
      <c r="BC186" s="264"/>
      <c r="BD186" s="264"/>
      <c r="BE186" s="264"/>
    </row>
    <row r="187">
      <c r="A187" s="264"/>
      <c r="B187" s="264"/>
      <c r="C187" s="264"/>
      <c r="D187" s="264"/>
      <c r="E187" s="264"/>
      <c r="F187" s="264"/>
      <c r="G187" s="264"/>
      <c r="H187" s="264"/>
      <c r="I187" s="264"/>
      <c r="J187" s="264"/>
      <c r="K187" s="264"/>
      <c r="L187" s="264"/>
      <c r="M187" s="264" t="s">
        <v>22</v>
      </c>
      <c r="N187" s="264"/>
      <c r="O187" s="264" t="s">
        <v>22</v>
      </c>
      <c r="P187" s="264"/>
      <c r="Q187" s="264"/>
      <c r="R187" s="264"/>
      <c r="S187" s="264"/>
      <c r="T187" s="264"/>
      <c r="U187" s="360"/>
      <c r="V187" s="360"/>
      <c r="W187" s="360"/>
      <c r="X187" s="360"/>
      <c r="Y187" s="360"/>
      <c r="Z187" s="360"/>
      <c r="AA187" s="360"/>
      <c r="AB187" s="360"/>
      <c r="AC187" s="360"/>
      <c r="AD187" s="360"/>
      <c r="AE187" s="360"/>
      <c r="AF187" s="360"/>
      <c r="AG187" s="360" t="s">
        <v>1582</v>
      </c>
      <c r="AH187" s="360"/>
      <c r="AI187" s="360"/>
      <c r="AJ187" s="360" t="s">
        <v>1589</v>
      </c>
      <c r="AK187" s="360"/>
      <c r="AL187" s="360" t="s">
        <v>5878</v>
      </c>
      <c r="AM187" s="360"/>
      <c r="AN187" s="360"/>
      <c r="AO187" s="360"/>
      <c r="AP187" s="360"/>
      <c r="AQ187" s="360"/>
      <c r="AR187" s="360"/>
      <c r="AS187" s="360"/>
      <c r="AT187" s="360"/>
      <c r="AU187" s="360" t="s">
        <v>22</v>
      </c>
      <c r="AV187" s="360"/>
      <c r="AW187" s="264"/>
      <c r="AX187" s="264"/>
      <c r="AY187" s="264"/>
      <c r="AZ187" s="264"/>
      <c r="BA187" s="264"/>
      <c r="BB187" s="264"/>
      <c r="BC187" s="264"/>
      <c r="BD187" s="264"/>
      <c r="BE187" s="264"/>
    </row>
    <row r="188">
      <c r="A188" s="264"/>
      <c r="B188" s="264"/>
      <c r="C188" s="264"/>
      <c r="D188" s="264"/>
      <c r="E188" s="264"/>
      <c r="F188" s="264"/>
      <c r="G188" s="264"/>
      <c r="H188" s="264"/>
      <c r="I188" s="264"/>
      <c r="J188" s="264"/>
      <c r="K188" s="264"/>
      <c r="L188" s="264"/>
      <c r="M188" s="264" t="s">
        <v>22</v>
      </c>
      <c r="N188" s="264"/>
      <c r="O188" s="264" t="s">
        <v>22</v>
      </c>
      <c r="P188" s="264"/>
      <c r="Q188" s="264"/>
      <c r="R188" s="264"/>
      <c r="S188" s="264"/>
      <c r="T188" s="264"/>
      <c r="U188" s="360"/>
      <c r="V188" s="360"/>
      <c r="W188" s="360"/>
      <c r="X188" s="360"/>
      <c r="Y188" s="360"/>
      <c r="Z188" s="360"/>
      <c r="AA188" s="360"/>
      <c r="AB188" s="360"/>
      <c r="AC188" s="360"/>
      <c r="AD188" s="360"/>
      <c r="AE188" s="360"/>
      <c r="AF188" s="360"/>
      <c r="AG188" s="360" t="s">
        <v>1582</v>
      </c>
      <c r="AH188" s="360"/>
      <c r="AI188" s="360"/>
      <c r="AJ188" s="360" t="s">
        <v>1589</v>
      </c>
      <c r="AK188" s="360"/>
      <c r="AL188" s="360" t="s">
        <v>5878</v>
      </c>
      <c r="AM188" s="360"/>
      <c r="AN188" s="360"/>
      <c r="AO188" s="360"/>
      <c r="AP188" s="360"/>
      <c r="AQ188" s="360"/>
      <c r="AR188" s="360"/>
      <c r="AS188" s="360"/>
      <c r="AT188" s="360"/>
      <c r="AU188" s="360" t="s">
        <v>22</v>
      </c>
      <c r="AV188" s="360"/>
      <c r="AW188" s="264"/>
      <c r="AX188" s="264"/>
      <c r="AY188" s="264"/>
      <c r="AZ188" s="264"/>
      <c r="BA188" s="264"/>
      <c r="BB188" s="264"/>
      <c r="BC188" s="264"/>
      <c r="BD188" s="264"/>
      <c r="BE188" s="264"/>
    </row>
    <row r="189">
      <c r="A189" s="264"/>
      <c r="B189" s="264"/>
      <c r="C189" s="264"/>
      <c r="D189" s="264"/>
      <c r="E189" s="264"/>
      <c r="F189" s="264"/>
      <c r="G189" s="264"/>
      <c r="H189" s="264"/>
      <c r="I189" s="264"/>
      <c r="J189" s="264"/>
      <c r="K189" s="264"/>
      <c r="L189" s="264"/>
      <c r="M189" s="264" t="s">
        <v>22</v>
      </c>
      <c r="N189" s="264"/>
      <c r="O189" s="264" t="s">
        <v>22</v>
      </c>
      <c r="P189" s="264"/>
      <c r="Q189" s="264"/>
      <c r="R189" s="264"/>
      <c r="S189" s="264"/>
      <c r="T189" s="264"/>
      <c r="U189" s="360"/>
      <c r="V189" s="360"/>
      <c r="W189" s="360"/>
      <c r="X189" s="360"/>
      <c r="Y189" s="360"/>
      <c r="Z189" s="360"/>
      <c r="AA189" s="360"/>
      <c r="AB189" s="360"/>
      <c r="AC189" s="360"/>
      <c r="AD189" s="360"/>
      <c r="AE189" s="360"/>
      <c r="AF189" s="360"/>
      <c r="AG189" s="360" t="s">
        <v>1582</v>
      </c>
      <c r="AH189" s="360"/>
      <c r="AI189" s="360"/>
      <c r="AJ189" s="360" t="s">
        <v>1589</v>
      </c>
      <c r="AK189" s="360"/>
      <c r="AL189" s="360" t="s">
        <v>5878</v>
      </c>
      <c r="AM189" s="360"/>
      <c r="AN189" s="360"/>
      <c r="AO189" s="360"/>
      <c r="AP189" s="360"/>
      <c r="AQ189" s="360"/>
      <c r="AR189" s="360"/>
      <c r="AS189" s="360"/>
      <c r="AT189" s="360"/>
      <c r="AU189" s="360" t="s">
        <v>22</v>
      </c>
      <c r="AV189" s="360"/>
      <c r="AW189" s="264"/>
      <c r="AX189" s="264"/>
      <c r="AY189" s="264"/>
      <c r="AZ189" s="264"/>
      <c r="BA189" s="264"/>
      <c r="BB189" s="264"/>
      <c r="BC189" s="264"/>
      <c r="BD189" s="264"/>
      <c r="BE189" s="264"/>
    </row>
    <row r="190">
      <c r="A190" s="264"/>
      <c r="B190" s="264"/>
      <c r="C190" s="264"/>
      <c r="D190" s="264"/>
      <c r="E190" s="264"/>
      <c r="F190" s="264"/>
      <c r="G190" s="264"/>
      <c r="H190" s="264"/>
      <c r="I190" s="264"/>
      <c r="J190" s="264"/>
      <c r="K190" s="264"/>
      <c r="L190" s="264"/>
      <c r="M190" s="264" t="s">
        <v>22</v>
      </c>
      <c r="N190" s="264"/>
      <c r="O190" s="264" t="s">
        <v>22</v>
      </c>
      <c r="P190" s="264"/>
      <c r="Q190" s="264"/>
      <c r="R190" s="264"/>
      <c r="S190" s="264"/>
      <c r="T190" s="264"/>
      <c r="U190" s="360"/>
      <c r="V190" s="360"/>
      <c r="W190" s="360"/>
      <c r="X190" s="360"/>
      <c r="Y190" s="360"/>
      <c r="Z190" s="360"/>
      <c r="AA190" s="360"/>
      <c r="AB190" s="360"/>
      <c r="AC190" s="360"/>
      <c r="AD190" s="360"/>
      <c r="AE190" s="360"/>
      <c r="AF190" s="360"/>
      <c r="AG190" s="360" t="s">
        <v>1582</v>
      </c>
      <c r="AH190" s="360"/>
      <c r="AI190" s="360"/>
      <c r="AJ190" s="360" t="s">
        <v>1589</v>
      </c>
      <c r="AK190" s="360"/>
      <c r="AL190" s="360" t="s">
        <v>5878</v>
      </c>
      <c r="AM190" s="360"/>
      <c r="AN190" s="360"/>
      <c r="AO190" s="360"/>
      <c r="AP190" s="360"/>
      <c r="AQ190" s="360"/>
      <c r="AR190" s="360"/>
      <c r="AS190" s="360"/>
      <c r="AT190" s="360"/>
      <c r="AU190" s="360" t="s">
        <v>22</v>
      </c>
      <c r="AV190" s="360"/>
      <c r="AW190" s="264"/>
      <c r="AX190" s="264"/>
      <c r="AY190" s="264"/>
      <c r="AZ190" s="264"/>
      <c r="BA190" s="264"/>
      <c r="BB190" s="264"/>
      <c r="BC190" s="264"/>
      <c r="BD190" s="264"/>
      <c r="BE190" s="264"/>
    </row>
    <row r="191">
      <c r="A191" s="264"/>
      <c r="B191" s="264"/>
      <c r="C191" s="264"/>
      <c r="D191" s="264"/>
      <c r="E191" s="264"/>
      <c r="F191" s="264"/>
      <c r="G191" s="264"/>
      <c r="H191" s="264"/>
      <c r="I191" s="264"/>
      <c r="J191" s="264"/>
      <c r="K191" s="264"/>
      <c r="L191" s="264"/>
      <c r="M191" s="264" t="s">
        <v>22</v>
      </c>
      <c r="N191" s="264"/>
      <c r="O191" s="264" t="s">
        <v>22</v>
      </c>
      <c r="P191" s="264"/>
      <c r="Q191" s="264"/>
      <c r="R191" s="264"/>
      <c r="S191" s="264"/>
      <c r="T191" s="264"/>
      <c r="U191" s="360"/>
      <c r="V191" s="360"/>
      <c r="W191" s="360"/>
      <c r="X191" s="360"/>
      <c r="Y191" s="360"/>
      <c r="Z191" s="360"/>
      <c r="AA191" s="360"/>
      <c r="AB191" s="360"/>
      <c r="AC191" s="360"/>
      <c r="AD191" s="360"/>
      <c r="AE191" s="360"/>
      <c r="AF191" s="360"/>
      <c r="AG191" s="360" t="s">
        <v>1582</v>
      </c>
      <c r="AH191" s="360"/>
      <c r="AI191" s="360"/>
      <c r="AJ191" s="360" t="s">
        <v>1589</v>
      </c>
      <c r="AK191" s="360"/>
      <c r="AL191" s="360" t="s">
        <v>5878</v>
      </c>
      <c r="AM191" s="360"/>
      <c r="AN191" s="360"/>
      <c r="AO191" s="360"/>
      <c r="AP191" s="360"/>
      <c r="AQ191" s="360"/>
      <c r="AR191" s="360"/>
      <c r="AS191" s="360"/>
      <c r="AT191" s="360"/>
      <c r="AU191" s="360" t="s">
        <v>22</v>
      </c>
      <c r="AV191" s="360"/>
      <c r="AW191" s="264"/>
      <c r="AX191" s="264"/>
      <c r="AY191" s="264"/>
      <c r="AZ191" s="264"/>
      <c r="BA191" s="264"/>
      <c r="BB191" s="264"/>
      <c r="BC191" s="264"/>
      <c r="BD191" s="264"/>
      <c r="BE191" s="264"/>
    </row>
    <row r="192">
      <c r="A192" s="264"/>
      <c r="B192" s="264"/>
      <c r="C192" s="264"/>
      <c r="D192" s="264"/>
      <c r="E192" s="264"/>
      <c r="F192" s="264"/>
      <c r="G192" s="264"/>
      <c r="H192" s="264"/>
      <c r="I192" s="264"/>
      <c r="J192" s="264"/>
      <c r="K192" s="264"/>
      <c r="L192" s="264"/>
      <c r="M192" s="264" t="s">
        <v>22</v>
      </c>
      <c r="N192" s="264"/>
      <c r="O192" s="264" t="s">
        <v>22</v>
      </c>
      <c r="P192" s="264"/>
      <c r="Q192" s="264"/>
      <c r="R192" s="264"/>
      <c r="S192" s="264"/>
      <c r="T192" s="264"/>
      <c r="U192" s="360"/>
      <c r="V192" s="360"/>
      <c r="W192" s="360"/>
      <c r="X192" s="360"/>
      <c r="Y192" s="360"/>
      <c r="Z192" s="360"/>
      <c r="AA192" s="360"/>
      <c r="AB192" s="360"/>
      <c r="AC192" s="360"/>
      <c r="AD192" s="360"/>
      <c r="AE192" s="360"/>
      <c r="AF192" s="360"/>
      <c r="AG192" s="360" t="s">
        <v>1582</v>
      </c>
      <c r="AH192" s="360"/>
      <c r="AI192" s="360"/>
      <c r="AJ192" s="360" t="s">
        <v>1589</v>
      </c>
      <c r="AK192" s="360"/>
      <c r="AL192" s="360" t="s">
        <v>5878</v>
      </c>
      <c r="AM192" s="360"/>
      <c r="AN192" s="360"/>
      <c r="AO192" s="360"/>
      <c r="AP192" s="360"/>
      <c r="AQ192" s="360"/>
      <c r="AR192" s="360"/>
      <c r="AS192" s="360"/>
      <c r="AT192" s="360"/>
      <c r="AU192" s="360" t="s">
        <v>22</v>
      </c>
      <c r="AV192" s="360"/>
      <c r="AW192" s="264"/>
      <c r="AX192" s="264"/>
      <c r="AY192" s="264"/>
      <c r="AZ192" s="264"/>
      <c r="BA192" s="264"/>
      <c r="BB192" s="264"/>
      <c r="BC192" s="264"/>
      <c r="BD192" s="264"/>
      <c r="BE192" s="264"/>
    </row>
    <row r="193">
      <c r="A193" s="264"/>
      <c r="B193" s="264"/>
      <c r="C193" s="264"/>
      <c r="D193" s="264"/>
      <c r="E193" s="264"/>
      <c r="F193" s="264"/>
      <c r="G193" s="264"/>
      <c r="H193" s="264"/>
      <c r="I193" s="264"/>
      <c r="J193" s="264"/>
      <c r="K193" s="264"/>
      <c r="L193" s="264"/>
      <c r="M193" s="264" t="s">
        <v>22</v>
      </c>
      <c r="N193" s="264"/>
      <c r="O193" s="264" t="s">
        <v>22</v>
      </c>
      <c r="P193" s="264"/>
      <c r="Q193" s="264"/>
      <c r="R193" s="264"/>
      <c r="S193" s="264"/>
      <c r="T193" s="264"/>
      <c r="U193" s="360"/>
      <c r="V193" s="360"/>
      <c r="W193" s="360"/>
      <c r="X193" s="360"/>
      <c r="Y193" s="360"/>
      <c r="Z193" s="360"/>
      <c r="AA193" s="360"/>
      <c r="AB193" s="360"/>
      <c r="AC193" s="360"/>
      <c r="AD193" s="360"/>
      <c r="AE193" s="360"/>
      <c r="AF193" s="360"/>
      <c r="AG193" s="360" t="s">
        <v>1582</v>
      </c>
      <c r="AH193" s="360"/>
      <c r="AI193" s="360"/>
      <c r="AJ193" s="360" t="s">
        <v>1589</v>
      </c>
      <c r="AK193" s="360"/>
      <c r="AL193" s="360" t="s">
        <v>5878</v>
      </c>
      <c r="AM193" s="360"/>
      <c r="AN193" s="360"/>
      <c r="AO193" s="360"/>
      <c r="AP193" s="360"/>
      <c r="AQ193" s="360"/>
      <c r="AR193" s="360"/>
      <c r="AS193" s="360"/>
      <c r="AT193" s="360"/>
      <c r="AU193" s="360" t="s">
        <v>22</v>
      </c>
      <c r="AV193" s="360"/>
      <c r="AW193" s="264"/>
      <c r="AX193" s="264"/>
      <c r="AY193" s="264"/>
      <c r="AZ193" s="264"/>
      <c r="BA193" s="264"/>
      <c r="BB193" s="264"/>
      <c r="BC193" s="264"/>
      <c r="BD193" s="264"/>
      <c r="BE193" s="264"/>
    </row>
    <row r="194">
      <c r="A194" s="264"/>
      <c r="B194" s="264"/>
      <c r="C194" s="264"/>
      <c r="D194" s="264"/>
      <c r="E194" s="264"/>
      <c r="F194" s="264"/>
      <c r="G194" s="264"/>
      <c r="H194" s="264"/>
      <c r="I194" s="264"/>
      <c r="J194" s="264"/>
      <c r="K194" s="264"/>
      <c r="L194" s="264"/>
      <c r="M194" s="264" t="s">
        <v>22</v>
      </c>
      <c r="N194" s="264"/>
      <c r="O194" s="264" t="s">
        <v>22</v>
      </c>
      <c r="P194" s="264"/>
      <c r="Q194" s="264"/>
      <c r="R194" s="264"/>
      <c r="S194" s="264"/>
      <c r="T194" s="264"/>
      <c r="U194" s="360"/>
      <c r="V194" s="360"/>
      <c r="W194" s="360"/>
      <c r="X194" s="360"/>
      <c r="Y194" s="360"/>
      <c r="Z194" s="360"/>
      <c r="AA194" s="360"/>
      <c r="AB194" s="360"/>
      <c r="AC194" s="360"/>
      <c r="AD194" s="360"/>
      <c r="AE194" s="360"/>
      <c r="AF194" s="360"/>
      <c r="AG194" s="360" t="s">
        <v>1582</v>
      </c>
      <c r="AH194" s="360"/>
      <c r="AI194" s="360"/>
      <c r="AJ194" s="360" t="s">
        <v>1589</v>
      </c>
      <c r="AK194" s="360"/>
      <c r="AL194" s="360" t="s">
        <v>5878</v>
      </c>
      <c r="AM194" s="360"/>
      <c r="AN194" s="360"/>
      <c r="AO194" s="360"/>
      <c r="AP194" s="360"/>
      <c r="AQ194" s="360"/>
      <c r="AR194" s="360"/>
      <c r="AS194" s="360"/>
      <c r="AT194" s="360"/>
      <c r="AU194" s="360" t="s">
        <v>22</v>
      </c>
      <c r="AV194" s="360"/>
      <c r="AW194" s="264"/>
      <c r="AX194" s="264"/>
      <c r="AY194" s="264"/>
      <c r="AZ194" s="264"/>
      <c r="BA194" s="264"/>
      <c r="BB194" s="264"/>
      <c r="BC194" s="264"/>
      <c r="BD194" s="264"/>
      <c r="BE194" s="264"/>
    </row>
    <row r="195">
      <c r="A195" s="264"/>
      <c r="B195" s="264"/>
      <c r="C195" s="264"/>
      <c r="D195" s="264"/>
      <c r="E195" s="264"/>
      <c r="F195" s="264"/>
      <c r="G195" s="264"/>
      <c r="H195" s="264"/>
      <c r="I195" s="264"/>
      <c r="J195" s="264"/>
      <c r="K195" s="264"/>
      <c r="L195" s="264"/>
      <c r="M195" s="264" t="s">
        <v>22</v>
      </c>
      <c r="N195" s="264"/>
      <c r="O195" s="264" t="s">
        <v>22</v>
      </c>
      <c r="P195" s="264"/>
      <c r="Q195" s="264"/>
      <c r="R195" s="264"/>
      <c r="S195" s="264"/>
      <c r="T195" s="264"/>
      <c r="U195" s="360"/>
      <c r="V195" s="360"/>
      <c r="W195" s="360"/>
      <c r="X195" s="360"/>
      <c r="Y195" s="360"/>
      <c r="Z195" s="360"/>
      <c r="AA195" s="360"/>
      <c r="AB195" s="360"/>
      <c r="AC195" s="360"/>
      <c r="AD195" s="360"/>
      <c r="AE195" s="360"/>
      <c r="AF195" s="360"/>
      <c r="AG195" s="360" t="s">
        <v>1582</v>
      </c>
      <c r="AH195" s="360"/>
      <c r="AI195" s="360"/>
      <c r="AJ195" s="360" t="s">
        <v>1589</v>
      </c>
      <c r="AK195" s="360"/>
      <c r="AL195" s="360" t="s">
        <v>5878</v>
      </c>
      <c r="AM195" s="360"/>
      <c r="AN195" s="360"/>
      <c r="AO195" s="360"/>
      <c r="AP195" s="360"/>
      <c r="AQ195" s="360"/>
      <c r="AR195" s="360"/>
      <c r="AS195" s="360"/>
      <c r="AT195" s="360"/>
      <c r="AU195" s="360" t="s">
        <v>22</v>
      </c>
      <c r="AV195" s="360"/>
      <c r="AW195" s="264"/>
      <c r="AX195" s="264"/>
      <c r="AY195" s="264"/>
      <c r="AZ195" s="264"/>
      <c r="BA195" s="264"/>
      <c r="BB195" s="264"/>
      <c r="BC195" s="264"/>
      <c r="BD195" s="264"/>
      <c r="BE195" s="264"/>
    </row>
    <row r="196">
      <c r="A196" s="264"/>
      <c r="B196" s="264"/>
      <c r="C196" s="264"/>
      <c r="D196" s="264"/>
      <c r="E196" s="264"/>
      <c r="F196" s="264"/>
      <c r="G196" s="264"/>
      <c r="H196" s="264"/>
      <c r="I196" s="264"/>
      <c r="J196" s="264"/>
      <c r="K196" s="264"/>
      <c r="L196" s="264"/>
      <c r="M196" s="264" t="s">
        <v>22</v>
      </c>
      <c r="N196" s="264"/>
      <c r="O196" s="264" t="s">
        <v>22</v>
      </c>
      <c r="P196" s="264"/>
      <c r="Q196" s="264"/>
      <c r="R196" s="264"/>
      <c r="S196" s="264"/>
      <c r="T196" s="264"/>
      <c r="U196" s="360"/>
      <c r="V196" s="360"/>
      <c r="W196" s="360"/>
      <c r="X196" s="360"/>
      <c r="Y196" s="360"/>
      <c r="Z196" s="360"/>
      <c r="AA196" s="360"/>
      <c r="AB196" s="360"/>
      <c r="AC196" s="360"/>
      <c r="AD196" s="360"/>
      <c r="AE196" s="360"/>
      <c r="AF196" s="360"/>
      <c r="AG196" s="360" t="s">
        <v>1582</v>
      </c>
      <c r="AH196" s="360"/>
      <c r="AI196" s="360"/>
      <c r="AJ196" s="360" t="s">
        <v>1589</v>
      </c>
      <c r="AK196" s="360"/>
      <c r="AL196" s="360" t="s">
        <v>5878</v>
      </c>
      <c r="AM196" s="360"/>
      <c r="AN196" s="360"/>
      <c r="AO196" s="360"/>
      <c r="AP196" s="360"/>
      <c r="AQ196" s="360"/>
      <c r="AR196" s="360"/>
      <c r="AS196" s="360"/>
      <c r="AT196" s="360"/>
      <c r="AU196" s="360" t="s">
        <v>22</v>
      </c>
      <c r="AV196" s="360"/>
      <c r="AW196" s="264"/>
      <c r="AX196" s="264"/>
      <c r="AY196" s="264"/>
      <c r="AZ196" s="264"/>
      <c r="BA196" s="264"/>
      <c r="BB196" s="264"/>
      <c r="BC196" s="264"/>
      <c r="BD196" s="264"/>
      <c r="BE196" s="264"/>
    </row>
    <row r="197">
      <c r="A197" s="264"/>
      <c r="B197" s="264"/>
      <c r="C197" s="264"/>
      <c r="D197" s="264"/>
      <c r="E197" s="264"/>
      <c r="F197" s="264"/>
      <c r="G197" s="264"/>
      <c r="H197" s="264"/>
      <c r="I197" s="264"/>
      <c r="J197" s="264"/>
      <c r="K197" s="264"/>
      <c r="L197" s="264"/>
      <c r="M197" s="264" t="s">
        <v>22</v>
      </c>
      <c r="N197" s="264"/>
      <c r="O197" s="264" t="s">
        <v>22</v>
      </c>
      <c r="P197" s="264"/>
      <c r="Q197" s="264"/>
      <c r="R197" s="264"/>
      <c r="S197" s="264"/>
      <c r="T197" s="264"/>
      <c r="U197" s="360"/>
      <c r="V197" s="360"/>
      <c r="W197" s="360"/>
      <c r="X197" s="360"/>
      <c r="Y197" s="360"/>
      <c r="Z197" s="360"/>
      <c r="AA197" s="360"/>
      <c r="AB197" s="360"/>
      <c r="AC197" s="360"/>
      <c r="AD197" s="360"/>
      <c r="AE197" s="360"/>
      <c r="AF197" s="360"/>
      <c r="AG197" s="360" t="s">
        <v>1582</v>
      </c>
      <c r="AH197" s="360"/>
      <c r="AI197" s="360"/>
      <c r="AJ197" s="360" t="s">
        <v>1589</v>
      </c>
      <c r="AK197" s="360"/>
      <c r="AL197" s="360" t="s">
        <v>5878</v>
      </c>
      <c r="AM197" s="360"/>
      <c r="AN197" s="360"/>
      <c r="AO197" s="360"/>
      <c r="AP197" s="360"/>
      <c r="AQ197" s="360"/>
      <c r="AR197" s="360"/>
      <c r="AS197" s="360"/>
      <c r="AT197" s="360"/>
      <c r="AU197" s="360" t="s">
        <v>22</v>
      </c>
      <c r="AV197" s="360"/>
      <c r="AW197" s="264"/>
      <c r="AX197" s="264"/>
      <c r="AY197" s="264"/>
      <c r="AZ197" s="264"/>
      <c r="BA197" s="264"/>
      <c r="BB197" s="264"/>
      <c r="BC197" s="264"/>
      <c r="BD197" s="264"/>
      <c r="BE197" s="264"/>
    </row>
    <row r="198">
      <c r="A198" s="264"/>
      <c r="B198" s="264"/>
      <c r="C198" s="264"/>
      <c r="D198" s="264"/>
      <c r="E198" s="264"/>
      <c r="F198" s="264"/>
      <c r="G198" s="264"/>
      <c r="H198" s="264"/>
      <c r="I198" s="264"/>
      <c r="J198" s="264"/>
      <c r="K198" s="264"/>
      <c r="L198" s="264"/>
      <c r="M198" s="264" t="s">
        <v>22</v>
      </c>
      <c r="N198" s="264"/>
      <c r="O198" s="264" t="s">
        <v>22</v>
      </c>
      <c r="P198" s="264"/>
      <c r="Q198" s="264"/>
      <c r="R198" s="264"/>
      <c r="S198" s="264"/>
      <c r="T198" s="264"/>
      <c r="U198" s="360"/>
      <c r="V198" s="360"/>
      <c r="W198" s="360"/>
      <c r="X198" s="360"/>
      <c r="Y198" s="360"/>
      <c r="Z198" s="360"/>
      <c r="AA198" s="360"/>
      <c r="AB198" s="360"/>
      <c r="AC198" s="360"/>
      <c r="AD198" s="360"/>
      <c r="AE198" s="360"/>
      <c r="AF198" s="360"/>
      <c r="AG198" s="360" t="s">
        <v>1582</v>
      </c>
      <c r="AH198" s="360"/>
      <c r="AI198" s="360"/>
      <c r="AJ198" s="360" t="s">
        <v>1589</v>
      </c>
      <c r="AK198" s="360"/>
      <c r="AL198" s="360" t="s">
        <v>5878</v>
      </c>
      <c r="AM198" s="360"/>
      <c r="AN198" s="360"/>
      <c r="AO198" s="360"/>
      <c r="AP198" s="360"/>
      <c r="AQ198" s="360"/>
      <c r="AR198" s="360"/>
      <c r="AS198" s="360"/>
      <c r="AT198" s="360"/>
      <c r="AU198" s="360" t="s">
        <v>22</v>
      </c>
      <c r="AV198" s="360"/>
      <c r="AW198" s="264"/>
      <c r="AX198" s="264"/>
      <c r="AY198" s="264"/>
      <c r="AZ198" s="264"/>
      <c r="BA198" s="264"/>
      <c r="BB198" s="264"/>
      <c r="BC198" s="264"/>
      <c r="BD198" s="264"/>
      <c r="BE198" s="264"/>
    </row>
    <row r="199">
      <c r="A199" s="264"/>
      <c r="B199" s="264"/>
      <c r="C199" s="264"/>
      <c r="D199" s="264"/>
      <c r="E199" s="264"/>
      <c r="F199" s="264"/>
      <c r="G199" s="264"/>
      <c r="H199" s="264"/>
      <c r="I199" s="264"/>
      <c r="J199" s="264"/>
      <c r="K199" s="264"/>
      <c r="L199" s="264"/>
      <c r="M199" s="264" t="s">
        <v>22</v>
      </c>
      <c r="N199" s="264"/>
      <c r="O199" s="264" t="s">
        <v>22</v>
      </c>
      <c r="P199" s="264"/>
      <c r="Q199" s="264"/>
      <c r="R199" s="264"/>
      <c r="S199" s="264"/>
      <c r="T199" s="264"/>
      <c r="U199" s="360"/>
      <c r="V199" s="360"/>
      <c r="W199" s="360"/>
      <c r="X199" s="360"/>
      <c r="Y199" s="360"/>
      <c r="Z199" s="360"/>
      <c r="AA199" s="360"/>
      <c r="AB199" s="360"/>
      <c r="AC199" s="360"/>
      <c r="AD199" s="360"/>
      <c r="AE199" s="360"/>
      <c r="AF199" s="360"/>
      <c r="AG199" s="360" t="s">
        <v>1582</v>
      </c>
      <c r="AH199" s="360"/>
      <c r="AI199" s="360"/>
      <c r="AJ199" s="360" t="s">
        <v>1589</v>
      </c>
      <c r="AK199" s="360"/>
      <c r="AL199" s="360" t="s">
        <v>5878</v>
      </c>
      <c r="AM199" s="360"/>
      <c r="AN199" s="360"/>
      <c r="AO199" s="360"/>
      <c r="AP199" s="360"/>
      <c r="AQ199" s="360"/>
      <c r="AR199" s="360"/>
      <c r="AS199" s="360"/>
      <c r="AT199" s="360"/>
      <c r="AU199" s="360" t="s">
        <v>22</v>
      </c>
      <c r="AV199" s="360"/>
      <c r="AW199" s="264"/>
      <c r="AX199" s="264"/>
      <c r="AY199" s="264"/>
      <c r="AZ199" s="264"/>
      <c r="BA199" s="264"/>
      <c r="BB199" s="264"/>
      <c r="BC199" s="264"/>
      <c r="BD199" s="264"/>
      <c r="BE199" s="264"/>
    </row>
    <row r="200">
      <c r="A200" s="264"/>
      <c r="B200" s="264"/>
      <c r="C200" s="264"/>
      <c r="D200" s="264"/>
      <c r="E200" s="264"/>
      <c r="F200" s="264"/>
      <c r="G200" s="264"/>
      <c r="H200" s="264"/>
      <c r="I200" s="264"/>
      <c r="J200" s="264"/>
      <c r="K200" s="264"/>
      <c r="L200" s="264"/>
      <c r="M200" s="264" t="s">
        <v>22</v>
      </c>
      <c r="N200" s="264"/>
      <c r="O200" s="264" t="s">
        <v>22</v>
      </c>
      <c r="P200" s="264"/>
      <c r="Q200" s="264"/>
      <c r="R200" s="264"/>
      <c r="S200" s="264"/>
      <c r="T200" s="264"/>
      <c r="U200" s="360"/>
      <c r="V200" s="360"/>
      <c r="W200" s="360"/>
      <c r="X200" s="360"/>
      <c r="Y200" s="360"/>
      <c r="Z200" s="360"/>
      <c r="AA200" s="360"/>
      <c r="AB200" s="360"/>
      <c r="AC200" s="360"/>
      <c r="AD200" s="360"/>
      <c r="AE200" s="360"/>
      <c r="AF200" s="360"/>
      <c r="AG200" s="360" t="s">
        <v>1582</v>
      </c>
      <c r="AH200" s="360"/>
      <c r="AI200" s="360"/>
      <c r="AJ200" s="360" t="s">
        <v>1589</v>
      </c>
      <c r="AK200" s="360"/>
      <c r="AL200" s="360" t="s">
        <v>5878</v>
      </c>
      <c r="AM200" s="360"/>
      <c r="AN200" s="360"/>
      <c r="AO200" s="360"/>
      <c r="AP200" s="360"/>
      <c r="AQ200" s="360"/>
      <c r="AR200" s="360"/>
      <c r="AS200" s="360"/>
      <c r="AT200" s="360"/>
      <c r="AU200" s="360" t="s">
        <v>22</v>
      </c>
      <c r="AV200" s="360"/>
      <c r="AW200" s="264"/>
      <c r="AX200" s="264"/>
      <c r="AY200" s="264"/>
      <c r="AZ200" s="264"/>
      <c r="BA200" s="264"/>
      <c r="BB200" s="264"/>
      <c r="BC200" s="264"/>
      <c r="BD200" s="264"/>
      <c r="BE200" s="264"/>
    </row>
    <row r="201">
      <c r="A201" s="264"/>
      <c r="B201" s="264"/>
      <c r="C201" s="264"/>
      <c r="D201" s="264"/>
      <c r="E201" s="264"/>
      <c r="F201" s="264"/>
      <c r="G201" s="264"/>
      <c r="H201" s="264"/>
      <c r="I201" s="264"/>
      <c r="J201" s="264"/>
      <c r="K201" s="264"/>
      <c r="L201" s="264"/>
      <c r="M201" s="264" t="s">
        <v>22</v>
      </c>
      <c r="N201" s="264"/>
      <c r="O201" s="264" t="s">
        <v>22</v>
      </c>
      <c r="P201" s="264"/>
      <c r="Q201" s="264"/>
      <c r="R201" s="264"/>
      <c r="S201" s="264"/>
      <c r="T201" s="264"/>
      <c r="U201" s="360"/>
      <c r="V201" s="360"/>
      <c r="W201" s="360"/>
      <c r="X201" s="360"/>
      <c r="Y201" s="360"/>
      <c r="Z201" s="360"/>
      <c r="AA201" s="360"/>
      <c r="AB201" s="360"/>
      <c r="AC201" s="360"/>
      <c r="AD201" s="360"/>
      <c r="AE201" s="360"/>
      <c r="AF201" s="360"/>
      <c r="AG201" s="360" t="s">
        <v>1582</v>
      </c>
      <c r="AH201" s="360"/>
      <c r="AI201" s="360"/>
      <c r="AJ201" s="360" t="s">
        <v>1589</v>
      </c>
      <c r="AK201" s="360"/>
      <c r="AL201" s="360" t="s">
        <v>5878</v>
      </c>
      <c r="AM201" s="360"/>
      <c r="AN201" s="360"/>
      <c r="AO201" s="360"/>
      <c r="AP201" s="360"/>
      <c r="AQ201" s="360"/>
      <c r="AR201" s="360"/>
      <c r="AS201" s="360"/>
      <c r="AT201" s="360"/>
      <c r="AU201" s="360" t="s">
        <v>22</v>
      </c>
      <c r="AV201" s="360"/>
      <c r="AW201" s="264"/>
      <c r="AX201" s="264"/>
      <c r="AY201" s="264"/>
      <c r="AZ201" s="264"/>
      <c r="BA201" s="264"/>
      <c r="BB201" s="264"/>
      <c r="BC201" s="264"/>
      <c r="BD201" s="264"/>
      <c r="BE201" s="264"/>
    </row>
    <row r="202">
      <c r="A202" s="264"/>
      <c r="B202" s="264"/>
      <c r="C202" s="264"/>
      <c r="D202" s="264"/>
      <c r="E202" s="264"/>
      <c r="F202" s="264"/>
      <c r="G202" s="264"/>
      <c r="H202" s="264"/>
      <c r="I202" s="264"/>
      <c r="J202" s="264"/>
      <c r="K202" s="264"/>
      <c r="L202" s="264"/>
      <c r="M202" s="264" t="s">
        <v>22</v>
      </c>
      <c r="N202" s="264"/>
      <c r="O202" s="264" t="s">
        <v>22</v>
      </c>
      <c r="P202" s="264"/>
      <c r="Q202" s="264"/>
      <c r="R202" s="264"/>
      <c r="S202" s="264"/>
      <c r="T202" s="264"/>
      <c r="U202" s="360"/>
      <c r="V202" s="360"/>
      <c r="W202" s="360"/>
      <c r="X202" s="360"/>
      <c r="Y202" s="360"/>
      <c r="Z202" s="360"/>
      <c r="AA202" s="360"/>
      <c r="AB202" s="360"/>
      <c r="AC202" s="360"/>
      <c r="AD202" s="360"/>
      <c r="AE202" s="360"/>
      <c r="AF202" s="360"/>
      <c r="AG202" s="360" t="s">
        <v>1582</v>
      </c>
      <c r="AH202" s="360"/>
      <c r="AI202" s="360"/>
      <c r="AJ202" s="360" t="s">
        <v>1589</v>
      </c>
      <c r="AK202" s="360"/>
      <c r="AL202" s="360" t="s">
        <v>5878</v>
      </c>
      <c r="AM202" s="360"/>
      <c r="AN202" s="360"/>
      <c r="AO202" s="360"/>
      <c r="AP202" s="360"/>
      <c r="AQ202" s="360"/>
      <c r="AR202" s="360"/>
      <c r="AS202" s="360"/>
      <c r="AT202" s="360"/>
      <c r="AU202" s="360" t="s">
        <v>22</v>
      </c>
      <c r="AV202" s="360"/>
      <c r="AW202" s="264"/>
      <c r="AX202" s="264"/>
      <c r="AY202" s="264"/>
      <c r="AZ202" s="264"/>
      <c r="BA202" s="264"/>
      <c r="BB202" s="264"/>
      <c r="BC202" s="264"/>
      <c r="BD202" s="264"/>
      <c r="BE202" s="264"/>
    </row>
    <row r="203">
      <c r="A203" s="264"/>
      <c r="B203" s="264"/>
      <c r="C203" s="264"/>
      <c r="D203" s="264"/>
      <c r="E203" s="264"/>
      <c r="F203" s="264"/>
      <c r="G203" s="264"/>
      <c r="H203" s="264"/>
      <c r="I203" s="264"/>
      <c r="J203" s="264"/>
      <c r="K203" s="264"/>
      <c r="L203" s="264"/>
      <c r="M203" s="264" t="s">
        <v>22</v>
      </c>
      <c r="N203" s="264"/>
      <c r="O203" s="264" t="s">
        <v>22</v>
      </c>
      <c r="P203" s="264"/>
      <c r="Q203" s="264"/>
      <c r="R203" s="264"/>
      <c r="S203" s="264"/>
      <c r="T203" s="264"/>
      <c r="U203" s="360"/>
      <c r="V203" s="360"/>
      <c r="W203" s="360"/>
      <c r="X203" s="360"/>
      <c r="Y203" s="360"/>
      <c r="Z203" s="360"/>
      <c r="AA203" s="360"/>
      <c r="AB203" s="360"/>
      <c r="AC203" s="360"/>
      <c r="AD203" s="360"/>
      <c r="AE203" s="360"/>
      <c r="AF203" s="360"/>
      <c r="AG203" s="360" t="s">
        <v>1582</v>
      </c>
      <c r="AH203" s="360"/>
      <c r="AI203" s="360"/>
      <c r="AJ203" s="360" t="s">
        <v>1589</v>
      </c>
      <c r="AK203" s="360"/>
      <c r="AL203" s="360" t="s">
        <v>5878</v>
      </c>
      <c r="AM203" s="360"/>
      <c r="AN203" s="360"/>
      <c r="AO203" s="360"/>
      <c r="AP203" s="360"/>
      <c r="AQ203" s="360"/>
      <c r="AR203" s="360"/>
      <c r="AS203" s="360"/>
      <c r="AT203" s="360"/>
      <c r="AU203" s="360" t="s">
        <v>22</v>
      </c>
      <c r="AV203" s="360"/>
      <c r="AW203" s="264"/>
      <c r="AX203" s="264"/>
      <c r="AY203" s="264"/>
      <c r="AZ203" s="264"/>
      <c r="BA203" s="264"/>
      <c r="BB203" s="264"/>
      <c r="BC203" s="264"/>
      <c r="BD203" s="264"/>
      <c r="BE203" s="264"/>
    </row>
    <row r="204">
      <c r="A204" s="264"/>
      <c r="B204" s="264"/>
      <c r="C204" s="264"/>
      <c r="D204" s="264"/>
      <c r="E204" s="264"/>
      <c r="F204" s="264"/>
      <c r="G204" s="264"/>
      <c r="H204" s="264"/>
      <c r="I204" s="264"/>
      <c r="J204" s="264"/>
      <c r="K204" s="264"/>
      <c r="L204" s="264"/>
      <c r="M204" s="264" t="s">
        <v>22</v>
      </c>
      <c r="N204" s="264"/>
      <c r="O204" s="264" t="s">
        <v>22</v>
      </c>
      <c r="P204" s="264"/>
      <c r="Q204" s="264"/>
      <c r="R204" s="264"/>
      <c r="S204" s="264"/>
      <c r="T204" s="264"/>
      <c r="U204" s="360"/>
      <c r="V204" s="360"/>
      <c r="W204" s="360"/>
      <c r="X204" s="360"/>
      <c r="Y204" s="360"/>
      <c r="Z204" s="360"/>
      <c r="AA204" s="360"/>
      <c r="AB204" s="360"/>
      <c r="AC204" s="360"/>
      <c r="AD204" s="360"/>
      <c r="AE204" s="360"/>
      <c r="AF204" s="360"/>
      <c r="AG204" s="360" t="s">
        <v>1582</v>
      </c>
      <c r="AH204" s="360"/>
      <c r="AI204" s="360"/>
      <c r="AJ204" s="360" t="s">
        <v>1589</v>
      </c>
      <c r="AK204" s="360"/>
      <c r="AL204" s="360" t="s">
        <v>5878</v>
      </c>
      <c r="AM204" s="360"/>
      <c r="AN204" s="360"/>
      <c r="AO204" s="360"/>
      <c r="AP204" s="360"/>
      <c r="AQ204" s="360"/>
      <c r="AR204" s="360"/>
      <c r="AS204" s="360"/>
      <c r="AT204" s="360"/>
      <c r="AU204" s="360" t="s">
        <v>22</v>
      </c>
      <c r="AV204" s="360"/>
      <c r="AW204" s="264"/>
      <c r="AX204" s="264"/>
      <c r="AY204" s="264"/>
      <c r="AZ204" s="264"/>
      <c r="BA204" s="264"/>
      <c r="BB204" s="264"/>
      <c r="BC204" s="264"/>
      <c r="BD204" s="264"/>
      <c r="BE204" s="264"/>
    </row>
    <row r="205">
      <c r="A205" s="264"/>
      <c r="B205" s="264"/>
      <c r="C205" s="264"/>
      <c r="D205" s="264"/>
      <c r="E205" s="264"/>
      <c r="F205" s="264"/>
      <c r="G205" s="264"/>
      <c r="H205" s="264"/>
      <c r="I205" s="264"/>
      <c r="J205" s="264"/>
      <c r="K205" s="264"/>
      <c r="L205" s="264"/>
      <c r="M205" s="264" t="s">
        <v>22</v>
      </c>
      <c r="N205" s="264"/>
      <c r="O205" s="264" t="s">
        <v>22</v>
      </c>
      <c r="P205" s="264"/>
      <c r="Q205" s="264"/>
      <c r="R205" s="264"/>
      <c r="S205" s="264"/>
      <c r="T205" s="264"/>
      <c r="U205" s="360"/>
      <c r="V205" s="360"/>
      <c r="W205" s="360"/>
      <c r="X205" s="360"/>
      <c r="Y205" s="360"/>
      <c r="Z205" s="360"/>
      <c r="AA205" s="360"/>
      <c r="AB205" s="360"/>
      <c r="AC205" s="360"/>
      <c r="AD205" s="360"/>
      <c r="AE205" s="360"/>
      <c r="AF205" s="360"/>
      <c r="AG205" s="360" t="s">
        <v>1582</v>
      </c>
      <c r="AH205" s="360"/>
      <c r="AI205" s="360"/>
      <c r="AJ205" s="360" t="s">
        <v>1589</v>
      </c>
      <c r="AK205" s="360"/>
      <c r="AL205" s="360" t="s">
        <v>5878</v>
      </c>
      <c r="AM205" s="360"/>
      <c r="AN205" s="360"/>
      <c r="AO205" s="360"/>
      <c r="AP205" s="360"/>
      <c r="AQ205" s="360"/>
      <c r="AR205" s="360"/>
      <c r="AS205" s="360"/>
      <c r="AT205" s="360"/>
      <c r="AU205" s="360" t="s">
        <v>22</v>
      </c>
      <c r="AV205" s="360"/>
      <c r="AW205" s="264"/>
      <c r="AX205" s="264"/>
      <c r="AY205" s="264"/>
      <c r="AZ205" s="264"/>
      <c r="BA205" s="264"/>
      <c r="BB205" s="264"/>
      <c r="BC205" s="264"/>
      <c r="BD205" s="264"/>
      <c r="BE205" s="264"/>
    </row>
    <row r="206">
      <c r="A206" s="264"/>
      <c r="B206" s="264"/>
      <c r="C206" s="264"/>
      <c r="D206" s="264"/>
      <c r="E206" s="264"/>
      <c r="F206" s="264"/>
      <c r="G206" s="264"/>
      <c r="H206" s="264"/>
      <c r="I206" s="264"/>
      <c r="J206" s="264"/>
      <c r="K206" s="264"/>
      <c r="L206" s="264"/>
      <c r="M206" s="264" t="s">
        <v>22</v>
      </c>
      <c r="N206" s="264"/>
      <c r="O206" s="264" t="s">
        <v>22</v>
      </c>
      <c r="P206" s="264"/>
      <c r="Q206" s="264"/>
      <c r="R206" s="264"/>
      <c r="S206" s="264"/>
      <c r="T206" s="264"/>
      <c r="U206" s="360"/>
      <c r="V206" s="360"/>
      <c r="W206" s="360"/>
      <c r="X206" s="360"/>
      <c r="Y206" s="360"/>
      <c r="Z206" s="360"/>
      <c r="AA206" s="360"/>
      <c r="AB206" s="360"/>
      <c r="AC206" s="360"/>
      <c r="AD206" s="360"/>
      <c r="AE206" s="360"/>
      <c r="AF206" s="360"/>
      <c r="AG206" s="360" t="s">
        <v>1582</v>
      </c>
      <c r="AH206" s="360"/>
      <c r="AI206" s="360"/>
      <c r="AJ206" s="360" t="s">
        <v>1589</v>
      </c>
      <c r="AK206" s="360"/>
      <c r="AL206" s="360" t="s">
        <v>5878</v>
      </c>
      <c r="AM206" s="360"/>
      <c r="AN206" s="360"/>
      <c r="AO206" s="360"/>
      <c r="AP206" s="360"/>
      <c r="AQ206" s="360"/>
      <c r="AR206" s="360"/>
      <c r="AS206" s="360"/>
      <c r="AT206" s="360"/>
      <c r="AU206" s="360" t="s">
        <v>22</v>
      </c>
      <c r="AV206" s="360"/>
      <c r="AW206" s="264"/>
      <c r="AX206" s="264"/>
      <c r="AY206" s="264"/>
      <c r="AZ206" s="264"/>
      <c r="BA206" s="264"/>
      <c r="BB206" s="264"/>
      <c r="BC206" s="264"/>
      <c r="BD206" s="264"/>
      <c r="BE206" s="264"/>
    </row>
    <row r="207">
      <c r="A207" s="264"/>
      <c r="B207" s="264"/>
      <c r="C207" s="264"/>
      <c r="D207" s="264"/>
      <c r="E207" s="264"/>
      <c r="F207" s="264"/>
      <c r="G207" s="264"/>
      <c r="H207" s="264"/>
      <c r="I207" s="264"/>
      <c r="J207" s="264"/>
      <c r="K207" s="264"/>
      <c r="L207" s="264"/>
      <c r="M207" s="264" t="s">
        <v>22</v>
      </c>
      <c r="N207" s="264"/>
      <c r="O207" s="264" t="s">
        <v>22</v>
      </c>
      <c r="P207" s="264"/>
      <c r="Q207" s="264"/>
      <c r="R207" s="264"/>
      <c r="S207" s="264"/>
      <c r="T207" s="264"/>
      <c r="U207" s="360"/>
      <c r="V207" s="360"/>
      <c r="W207" s="360"/>
      <c r="X207" s="360"/>
      <c r="Y207" s="360"/>
      <c r="Z207" s="360"/>
      <c r="AA207" s="360"/>
      <c r="AB207" s="360"/>
      <c r="AC207" s="360"/>
      <c r="AD207" s="360"/>
      <c r="AE207" s="360"/>
      <c r="AF207" s="360"/>
      <c r="AG207" s="360" t="s">
        <v>1582</v>
      </c>
      <c r="AH207" s="360"/>
      <c r="AI207" s="360"/>
      <c r="AJ207" s="360" t="s">
        <v>1589</v>
      </c>
      <c r="AK207" s="360"/>
      <c r="AL207" s="360" t="s">
        <v>5878</v>
      </c>
      <c r="AM207" s="360"/>
      <c r="AN207" s="360"/>
      <c r="AO207" s="360"/>
      <c r="AP207" s="360"/>
      <c r="AQ207" s="360"/>
      <c r="AR207" s="360"/>
      <c r="AS207" s="360"/>
      <c r="AT207" s="360"/>
      <c r="AU207" s="360" t="s">
        <v>22</v>
      </c>
      <c r="AV207" s="360"/>
      <c r="AW207" s="264"/>
      <c r="AX207" s="264"/>
      <c r="AY207" s="264"/>
      <c r="AZ207" s="264"/>
      <c r="BA207" s="264"/>
      <c r="BB207" s="264"/>
      <c r="BC207" s="264"/>
      <c r="BD207" s="264"/>
      <c r="BE207" s="264"/>
    </row>
    <row r="208">
      <c r="A208" s="264"/>
      <c r="B208" s="264"/>
      <c r="C208" s="264"/>
      <c r="D208" s="264"/>
      <c r="E208" s="264"/>
      <c r="F208" s="264"/>
      <c r="G208" s="264"/>
      <c r="H208" s="264"/>
      <c r="I208" s="264"/>
      <c r="J208" s="264"/>
      <c r="K208" s="264"/>
      <c r="L208" s="264"/>
      <c r="M208" s="264" t="s">
        <v>22</v>
      </c>
      <c r="N208" s="264"/>
      <c r="O208" s="264" t="s">
        <v>22</v>
      </c>
      <c r="P208" s="264"/>
      <c r="Q208" s="264"/>
      <c r="R208" s="264"/>
      <c r="S208" s="264"/>
      <c r="T208" s="264"/>
      <c r="U208" s="360"/>
      <c r="V208" s="360"/>
      <c r="W208" s="360"/>
      <c r="X208" s="360"/>
      <c r="Y208" s="360"/>
      <c r="Z208" s="360"/>
      <c r="AA208" s="360"/>
      <c r="AB208" s="360"/>
      <c r="AC208" s="360"/>
      <c r="AD208" s="360"/>
      <c r="AE208" s="360"/>
      <c r="AF208" s="360"/>
      <c r="AG208" s="360" t="s">
        <v>1582</v>
      </c>
      <c r="AH208" s="360"/>
      <c r="AI208" s="360"/>
      <c r="AJ208" s="360" t="s">
        <v>1589</v>
      </c>
      <c r="AK208" s="360"/>
      <c r="AL208" s="360" t="s">
        <v>5878</v>
      </c>
      <c r="AM208" s="360"/>
      <c r="AN208" s="360"/>
      <c r="AO208" s="360"/>
      <c r="AP208" s="360"/>
      <c r="AQ208" s="360"/>
      <c r="AR208" s="360"/>
      <c r="AS208" s="360"/>
      <c r="AT208" s="360"/>
      <c r="AU208" s="360" t="s">
        <v>22</v>
      </c>
      <c r="AV208" s="360"/>
      <c r="AW208" s="264"/>
      <c r="AX208" s="264"/>
      <c r="AY208" s="264"/>
      <c r="AZ208" s="264"/>
      <c r="BA208" s="264"/>
      <c r="BB208" s="264"/>
      <c r="BC208" s="264"/>
      <c r="BD208" s="264"/>
      <c r="BE208" s="264"/>
    </row>
    <row r="209">
      <c r="A209" s="264"/>
      <c r="B209" s="264"/>
      <c r="C209" s="264"/>
      <c r="D209" s="264"/>
      <c r="E209" s="264"/>
      <c r="F209" s="264"/>
      <c r="G209" s="264"/>
      <c r="H209" s="264"/>
      <c r="I209" s="264"/>
      <c r="J209" s="264"/>
      <c r="K209" s="264"/>
      <c r="L209" s="264"/>
      <c r="M209" s="264" t="s">
        <v>22</v>
      </c>
      <c r="N209" s="264"/>
      <c r="O209" s="264" t="s">
        <v>22</v>
      </c>
      <c r="P209" s="264"/>
      <c r="Q209" s="264"/>
      <c r="R209" s="264"/>
      <c r="S209" s="264"/>
      <c r="T209" s="264"/>
      <c r="U209" s="360"/>
      <c r="V209" s="360"/>
      <c r="W209" s="360"/>
      <c r="X209" s="360"/>
      <c r="Y209" s="360"/>
      <c r="Z209" s="360"/>
      <c r="AA209" s="360"/>
      <c r="AB209" s="360"/>
      <c r="AC209" s="360"/>
      <c r="AD209" s="360"/>
      <c r="AE209" s="360"/>
      <c r="AF209" s="360"/>
      <c r="AG209" s="360" t="s">
        <v>1582</v>
      </c>
      <c r="AH209" s="360"/>
      <c r="AI209" s="360"/>
      <c r="AJ209" s="360" t="s">
        <v>1589</v>
      </c>
      <c r="AK209" s="360"/>
      <c r="AL209" s="360" t="s">
        <v>5878</v>
      </c>
      <c r="AM209" s="360"/>
      <c r="AN209" s="360"/>
      <c r="AO209" s="360"/>
      <c r="AP209" s="360"/>
      <c r="AQ209" s="360"/>
      <c r="AR209" s="360"/>
      <c r="AS209" s="360"/>
      <c r="AT209" s="360"/>
      <c r="AU209" s="360" t="s">
        <v>22</v>
      </c>
      <c r="AV209" s="360"/>
      <c r="AW209" s="264"/>
      <c r="AX209" s="264"/>
      <c r="AY209" s="264"/>
      <c r="AZ209" s="264"/>
      <c r="BA209" s="264"/>
      <c r="BB209" s="264"/>
      <c r="BC209" s="264"/>
      <c r="BD209" s="264"/>
      <c r="BE209" s="264"/>
    </row>
    <row r="210">
      <c r="A210" s="264"/>
      <c r="B210" s="264"/>
      <c r="C210" s="264"/>
      <c r="D210" s="264"/>
      <c r="E210" s="264"/>
      <c r="F210" s="264"/>
      <c r="G210" s="264"/>
      <c r="H210" s="264"/>
      <c r="I210" s="264"/>
      <c r="J210" s="264"/>
      <c r="K210" s="264"/>
      <c r="L210" s="264"/>
      <c r="M210" s="264" t="s">
        <v>22</v>
      </c>
      <c r="N210" s="264"/>
      <c r="O210" s="264" t="s">
        <v>22</v>
      </c>
      <c r="P210" s="264"/>
      <c r="Q210" s="264"/>
      <c r="R210" s="264"/>
      <c r="S210" s="264"/>
      <c r="T210" s="264"/>
      <c r="U210" s="360"/>
      <c r="V210" s="360"/>
      <c r="W210" s="360"/>
      <c r="X210" s="360"/>
      <c r="Y210" s="360"/>
      <c r="Z210" s="360"/>
      <c r="AA210" s="360"/>
      <c r="AB210" s="360"/>
      <c r="AC210" s="360"/>
      <c r="AD210" s="360"/>
      <c r="AE210" s="360"/>
      <c r="AF210" s="360"/>
      <c r="AG210" s="360" t="s">
        <v>1582</v>
      </c>
      <c r="AH210" s="360"/>
      <c r="AI210" s="360"/>
      <c r="AJ210" s="360" t="s">
        <v>1589</v>
      </c>
      <c r="AK210" s="360"/>
      <c r="AL210" s="360" t="s">
        <v>5878</v>
      </c>
      <c r="AM210" s="360"/>
      <c r="AN210" s="360"/>
      <c r="AO210" s="360"/>
      <c r="AP210" s="360"/>
      <c r="AQ210" s="360"/>
      <c r="AR210" s="360"/>
      <c r="AS210" s="360"/>
      <c r="AT210" s="360"/>
      <c r="AU210" s="360" t="s">
        <v>22</v>
      </c>
      <c r="AV210" s="360"/>
      <c r="AW210" s="264"/>
      <c r="AX210" s="264"/>
      <c r="AY210" s="264"/>
      <c r="AZ210" s="264"/>
      <c r="BA210" s="264"/>
      <c r="BB210" s="264"/>
      <c r="BC210" s="264"/>
      <c r="BD210" s="264"/>
      <c r="BE210" s="264"/>
    </row>
    <row r="211">
      <c r="A211" s="264"/>
      <c r="B211" s="264"/>
      <c r="C211" s="264"/>
      <c r="D211" s="264"/>
      <c r="E211" s="264"/>
      <c r="F211" s="264"/>
      <c r="G211" s="264"/>
      <c r="H211" s="264"/>
      <c r="I211" s="264"/>
      <c r="J211" s="264"/>
      <c r="K211" s="264"/>
      <c r="L211" s="264"/>
      <c r="M211" s="264" t="s">
        <v>22</v>
      </c>
      <c r="N211" s="264"/>
      <c r="O211" s="264" t="s">
        <v>22</v>
      </c>
      <c r="P211" s="264"/>
      <c r="Q211" s="264"/>
      <c r="R211" s="264"/>
      <c r="S211" s="264"/>
      <c r="T211" s="264"/>
      <c r="U211" s="360"/>
      <c r="V211" s="360"/>
      <c r="W211" s="360"/>
      <c r="X211" s="360"/>
      <c r="Y211" s="360"/>
      <c r="Z211" s="360"/>
      <c r="AA211" s="360"/>
      <c r="AB211" s="360"/>
      <c r="AC211" s="360"/>
      <c r="AD211" s="360"/>
      <c r="AE211" s="360"/>
      <c r="AF211" s="360"/>
      <c r="AG211" s="360" t="s">
        <v>1582</v>
      </c>
      <c r="AH211" s="360"/>
      <c r="AI211" s="360"/>
      <c r="AJ211" s="360" t="s">
        <v>1589</v>
      </c>
      <c r="AK211" s="360"/>
      <c r="AL211" s="360" t="s">
        <v>5878</v>
      </c>
      <c r="AM211" s="360"/>
      <c r="AN211" s="360"/>
      <c r="AO211" s="360"/>
      <c r="AP211" s="360"/>
      <c r="AQ211" s="360"/>
      <c r="AR211" s="360"/>
      <c r="AS211" s="360"/>
      <c r="AT211" s="360"/>
      <c r="AU211" s="360" t="s">
        <v>22</v>
      </c>
      <c r="AV211" s="360"/>
      <c r="AW211" s="264"/>
      <c r="AX211" s="264"/>
      <c r="AY211" s="264"/>
      <c r="AZ211" s="264"/>
      <c r="BA211" s="264"/>
      <c r="BB211" s="264"/>
      <c r="BC211" s="264"/>
      <c r="BD211" s="264"/>
      <c r="BE211" s="264"/>
    </row>
    <row r="212">
      <c r="A212" s="264"/>
      <c r="B212" s="264"/>
      <c r="C212" s="264"/>
      <c r="D212" s="264"/>
      <c r="E212" s="264"/>
      <c r="F212" s="264"/>
      <c r="G212" s="264"/>
      <c r="H212" s="264"/>
      <c r="I212" s="264"/>
      <c r="J212" s="264"/>
      <c r="K212" s="264"/>
      <c r="L212" s="264"/>
      <c r="M212" s="264" t="s">
        <v>22</v>
      </c>
      <c r="N212" s="264"/>
      <c r="O212" s="264" t="s">
        <v>22</v>
      </c>
      <c r="P212" s="264"/>
      <c r="Q212" s="264"/>
      <c r="R212" s="264"/>
      <c r="S212" s="264"/>
      <c r="T212" s="264"/>
      <c r="U212" s="360"/>
      <c r="V212" s="360"/>
      <c r="W212" s="360"/>
      <c r="X212" s="360"/>
      <c r="Y212" s="360"/>
      <c r="Z212" s="360"/>
      <c r="AA212" s="360"/>
      <c r="AB212" s="360"/>
      <c r="AC212" s="360"/>
      <c r="AD212" s="360"/>
      <c r="AE212" s="360"/>
      <c r="AF212" s="360"/>
      <c r="AG212" s="360" t="s">
        <v>1582</v>
      </c>
      <c r="AH212" s="360"/>
      <c r="AI212" s="360"/>
      <c r="AJ212" s="360" t="s">
        <v>1589</v>
      </c>
      <c r="AK212" s="360"/>
      <c r="AL212" s="360" t="s">
        <v>5878</v>
      </c>
      <c r="AM212" s="360"/>
      <c r="AN212" s="360"/>
      <c r="AO212" s="360"/>
      <c r="AP212" s="360"/>
      <c r="AQ212" s="360"/>
      <c r="AR212" s="360"/>
      <c r="AS212" s="360"/>
      <c r="AT212" s="360"/>
      <c r="AU212" s="360" t="s">
        <v>22</v>
      </c>
      <c r="AV212" s="360"/>
      <c r="AW212" s="264"/>
      <c r="AX212" s="264"/>
      <c r="AY212" s="264"/>
      <c r="AZ212" s="264"/>
      <c r="BA212" s="264"/>
      <c r="BB212" s="264"/>
      <c r="BC212" s="264"/>
      <c r="BD212" s="264"/>
      <c r="BE212" s="264"/>
    </row>
    <row r="213">
      <c r="A213" s="264"/>
      <c r="B213" s="264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 t="s">
        <v>22</v>
      </c>
      <c r="N213" s="264"/>
      <c r="O213" s="264" t="s">
        <v>22</v>
      </c>
      <c r="P213" s="264"/>
      <c r="Q213" s="264"/>
      <c r="R213" s="264"/>
      <c r="S213" s="264"/>
      <c r="T213" s="264"/>
      <c r="U213" s="360"/>
      <c r="V213" s="360"/>
      <c r="W213" s="360"/>
      <c r="X213" s="360"/>
      <c r="Y213" s="360"/>
      <c r="Z213" s="360"/>
      <c r="AA213" s="360"/>
      <c r="AB213" s="360"/>
      <c r="AC213" s="360"/>
      <c r="AD213" s="360"/>
      <c r="AE213" s="360"/>
      <c r="AF213" s="360"/>
      <c r="AG213" s="360" t="s">
        <v>1582</v>
      </c>
      <c r="AH213" s="360"/>
      <c r="AI213" s="360"/>
      <c r="AJ213" s="360" t="s">
        <v>1589</v>
      </c>
      <c r="AK213" s="360"/>
      <c r="AL213" s="360" t="s">
        <v>5878</v>
      </c>
      <c r="AM213" s="360"/>
      <c r="AN213" s="360"/>
      <c r="AO213" s="360"/>
      <c r="AP213" s="360"/>
      <c r="AQ213" s="360"/>
      <c r="AR213" s="360"/>
      <c r="AS213" s="360"/>
      <c r="AT213" s="360"/>
      <c r="AU213" s="360" t="s">
        <v>22</v>
      </c>
      <c r="AV213" s="360"/>
      <c r="AW213" s="264"/>
      <c r="AX213" s="264"/>
      <c r="AY213" s="264"/>
      <c r="AZ213" s="264"/>
      <c r="BA213" s="264"/>
      <c r="BB213" s="264"/>
      <c r="BC213" s="264"/>
      <c r="BD213" s="264"/>
      <c r="BE213" s="264"/>
    </row>
    <row r="214">
      <c r="A214" s="264"/>
      <c r="B214" s="264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 t="s">
        <v>22</v>
      </c>
      <c r="N214" s="264"/>
      <c r="O214" s="264" t="s">
        <v>22</v>
      </c>
      <c r="P214" s="264"/>
      <c r="Q214" s="264"/>
      <c r="R214" s="264"/>
      <c r="S214" s="264"/>
      <c r="T214" s="264"/>
      <c r="U214" s="360"/>
      <c r="V214" s="360"/>
      <c r="W214" s="360"/>
      <c r="X214" s="360"/>
      <c r="Y214" s="360"/>
      <c r="Z214" s="360"/>
      <c r="AA214" s="360"/>
      <c r="AB214" s="360"/>
      <c r="AC214" s="360"/>
      <c r="AD214" s="360"/>
      <c r="AE214" s="360"/>
      <c r="AF214" s="360"/>
      <c r="AG214" s="360" t="s">
        <v>1582</v>
      </c>
      <c r="AH214" s="360"/>
      <c r="AI214" s="360"/>
      <c r="AJ214" s="360" t="s">
        <v>1589</v>
      </c>
      <c r="AK214" s="360"/>
      <c r="AL214" s="360" t="s">
        <v>5878</v>
      </c>
      <c r="AM214" s="360"/>
      <c r="AN214" s="360"/>
      <c r="AO214" s="360"/>
      <c r="AP214" s="360"/>
      <c r="AQ214" s="360"/>
      <c r="AR214" s="360"/>
      <c r="AS214" s="360"/>
      <c r="AT214" s="360"/>
      <c r="AU214" s="360" t="s">
        <v>22</v>
      </c>
      <c r="AV214" s="360"/>
      <c r="AW214" s="264"/>
      <c r="AX214" s="264"/>
      <c r="AY214" s="264"/>
      <c r="AZ214" s="264"/>
      <c r="BA214" s="264"/>
      <c r="BB214" s="264"/>
      <c r="BC214" s="264"/>
      <c r="BD214" s="264"/>
      <c r="BE214" s="264"/>
    </row>
    <row r="215">
      <c r="A215" s="264"/>
      <c r="B215" s="264"/>
      <c r="C215" s="264"/>
      <c r="D215" s="264"/>
      <c r="E215" s="264"/>
      <c r="F215" s="264"/>
      <c r="G215" s="264"/>
      <c r="H215" s="264"/>
      <c r="I215" s="264"/>
      <c r="J215" s="264"/>
      <c r="K215" s="264"/>
      <c r="L215" s="264"/>
      <c r="M215" s="264" t="s">
        <v>22</v>
      </c>
      <c r="N215" s="264"/>
      <c r="O215" s="264" t="s">
        <v>22</v>
      </c>
      <c r="P215" s="264"/>
      <c r="Q215" s="264"/>
      <c r="R215" s="264"/>
      <c r="S215" s="264"/>
      <c r="T215" s="264"/>
      <c r="U215" s="360"/>
      <c r="V215" s="360"/>
      <c r="W215" s="360"/>
      <c r="X215" s="360"/>
      <c r="Y215" s="360"/>
      <c r="Z215" s="360"/>
      <c r="AA215" s="360"/>
      <c r="AB215" s="360"/>
      <c r="AC215" s="360"/>
      <c r="AD215" s="360"/>
      <c r="AE215" s="360"/>
      <c r="AF215" s="360"/>
      <c r="AG215" s="360" t="s">
        <v>1582</v>
      </c>
      <c r="AH215" s="360"/>
      <c r="AI215" s="360"/>
      <c r="AJ215" s="360" t="s">
        <v>1589</v>
      </c>
      <c r="AK215" s="360"/>
      <c r="AL215" s="360" t="s">
        <v>5878</v>
      </c>
      <c r="AM215" s="360"/>
      <c r="AN215" s="360"/>
      <c r="AO215" s="360"/>
      <c r="AP215" s="360"/>
      <c r="AQ215" s="360"/>
      <c r="AR215" s="360"/>
      <c r="AS215" s="360"/>
      <c r="AT215" s="360"/>
      <c r="AU215" s="360" t="s">
        <v>22</v>
      </c>
      <c r="AV215" s="360"/>
      <c r="AW215" s="264"/>
      <c r="AX215" s="264"/>
      <c r="AY215" s="264"/>
      <c r="AZ215" s="264"/>
      <c r="BA215" s="264"/>
      <c r="BB215" s="264"/>
      <c r="BC215" s="264"/>
      <c r="BD215" s="264"/>
      <c r="BE215" s="264"/>
    </row>
    <row r="216">
      <c r="A216" s="264"/>
      <c r="B216" s="264"/>
      <c r="C216" s="264"/>
      <c r="D216" s="264"/>
      <c r="E216" s="264"/>
      <c r="F216" s="264"/>
      <c r="G216" s="264"/>
      <c r="H216" s="264"/>
      <c r="I216" s="264"/>
      <c r="J216" s="264"/>
      <c r="K216" s="264"/>
      <c r="L216" s="264"/>
      <c r="M216" s="264" t="s">
        <v>22</v>
      </c>
      <c r="N216" s="264"/>
      <c r="O216" s="264" t="s">
        <v>22</v>
      </c>
      <c r="P216" s="264"/>
      <c r="Q216" s="264"/>
      <c r="R216" s="264"/>
      <c r="S216" s="264"/>
      <c r="T216" s="264"/>
      <c r="U216" s="360"/>
      <c r="V216" s="360"/>
      <c r="W216" s="360"/>
      <c r="X216" s="360"/>
      <c r="Y216" s="360"/>
      <c r="Z216" s="360"/>
      <c r="AA216" s="360"/>
      <c r="AB216" s="360"/>
      <c r="AC216" s="360"/>
      <c r="AD216" s="360"/>
      <c r="AE216" s="360"/>
      <c r="AF216" s="360"/>
      <c r="AG216" s="360" t="s">
        <v>1582</v>
      </c>
      <c r="AH216" s="360"/>
      <c r="AI216" s="360"/>
      <c r="AJ216" s="360" t="s">
        <v>1589</v>
      </c>
      <c r="AK216" s="360"/>
      <c r="AL216" s="360" t="s">
        <v>5878</v>
      </c>
      <c r="AM216" s="360"/>
      <c r="AN216" s="360"/>
      <c r="AO216" s="360"/>
      <c r="AP216" s="360"/>
      <c r="AQ216" s="360"/>
      <c r="AR216" s="360"/>
      <c r="AS216" s="360"/>
      <c r="AT216" s="360"/>
      <c r="AU216" s="360" t="s">
        <v>22</v>
      </c>
      <c r="AV216" s="360"/>
      <c r="AW216" s="264"/>
      <c r="AX216" s="264"/>
      <c r="AY216" s="264"/>
      <c r="AZ216" s="264"/>
      <c r="BA216" s="264"/>
      <c r="BB216" s="264"/>
      <c r="BC216" s="264"/>
      <c r="BD216" s="264"/>
      <c r="BE216" s="264"/>
    </row>
    <row r="217">
      <c r="A217" s="264"/>
      <c r="B217" s="264"/>
      <c r="C217" s="264"/>
      <c r="D217" s="264"/>
      <c r="E217" s="264"/>
      <c r="F217" s="264"/>
      <c r="G217" s="264"/>
      <c r="H217" s="264"/>
      <c r="I217" s="264"/>
      <c r="J217" s="264"/>
      <c r="K217" s="264"/>
      <c r="L217" s="264"/>
      <c r="M217" s="264" t="s">
        <v>22</v>
      </c>
      <c r="N217" s="264"/>
      <c r="O217" s="264" t="s">
        <v>22</v>
      </c>
      <c r="P217" s="264"/>
      <c r="Q217" s="264"/>
      <c r="R217" s="264"/>
      <c r="S217" s="264"/>
      <c r="T217" s="264"/>
      <c r="U217" s="360"/>
      <c r="V217" s="360"/>
      <c r="W217" s="360"/>
      <c r="X217" s="360"/>
      <c r="Y217" s="360"/>
      <c r="Z217" s="360"/>
      <c r="AA217" s="360"/>
      <c r="AB217" s="360"/>
      <c r="AC217" s="360"/>
      <c r="AD217" s="360"/>
      <c r="AE217" s="360"/>
      <c r="AF217" s="360"/>
      <c r="AG217" s="360" t="s">
        <v>1582</v>
      </c>
      <c r="AH217" s="360"/>
      <c r="AI217" s="360"/>
      <c r="AJ217" s="360" t="s">
        <v>1589</v>
      </c>
      <c r="AK217" s="360"/>
      <c r="AL217" s="360" t="s">
        <v>5878</v>
      </c>
      <c r="AM217" s="360"/>
      <c r="AN217" s="360"/>
      <c r="AO217" s="360"/>
      <c r="AP217" s="360"/>
      <c r="AQ217" s="360"/>
      <c r="AR217" s="360"/>
      <c r="AS217" s="360"/>
      <c r="AT217" s="360"/>
      <c r="AU217" s="360" t="s">
        <v>22</v>
      </c>
      <c r="AV217" s="360"/>
      <c r="AW217" s="264"/>
      <c r="AX217" s="264"/>
      <c r="AY217" s="264"/>
      <c r="AZ217" s="264"/>
      <c r="BA217" s="264"/>
      <c r="BB217" s="264"/>
      <c r="BC217" s="264"/>
      <c r="BD217" s="264"/>
      <c r="BE217" s="264"/>
    </row>
    <row r="218">
      <c r="A218" s="264"/>
      <c r="B218" s="264"/>
      <c r="C218" s="264"/>
      <c r="D218" s="264"/>
      <c r="E218" s="264"/>
      <c r="F218" s="264"/>
      <c r="G218" s="264"/>
      <c r="H218" s="264"/>
      <c r="I218" s="264"/>
      <c r="J218" s="264"/>
      <c r="K218" s="264"/>
      <c r="L218" s="264"/>
      <c r="M218" s="264" t="s">
        <v>22</v>
      </c>
      <c r="N218" s="264"/>
      <c r="O218" s="264" t="s">
        <v>22</v>
      </c>
      <c r="P218" s="264"/>
      <c r="Q218" s="264"/>
      <c r="R218" s="264"/>
      <c r="S218" s="264"/>
      <c r="T218" s="264"/>
      <c r="U218" s="360"/>
      <c r="V218" s="360"/>
      <c r="W218" s="360"/>
      <c r="X218" s="360"/>
      <c r="Y218" s="360"/>
      <c r="Z218" s="360"/>
      <c r="AA218" s="360"/>
      <c r="AB218" s="360"/>
      <c r="AC218" s="360"/>
      <c r="AD218" s="360"/>
      <c r="AE218" s="360"/>
      <c r="AF218" s="360"/>
      <c r="AG218" s="360" t="s">
        <v>1582</v>
      </c>
      <c r="AH218" s="360"/>
      <c r="AI218" s="360"/>
      <c r="AJ218" s="360" t="s">
        <v>1589</v>
      </c>
      <c r="AK218" s="360"/>
      <c r="AL218" s="360" t="s">
        <v>5878</v>
      </c>
      <c r="AM218" s="360"/>
      <c r="AN218" s="360"/>
      <c r="AO218" s="360"/>
      <c r="AP218" s="360"/>
      <c r="AQ218" s="360"/>
      <c r="AR218" s="360"/>
      <c r="AS218" s="360"/>
      <c r="AT218" s="360"/>
      <c r="AU218" s="360" t="s">
        <v>22</v>
      </c>
      <c r="AV218" s="360"/>
      <c r="AW218" s="264"/>
      <c r="AX218" s="264"/>
      <c r="AY218" s="264"/>
      <c r="AZ218" s="264"/>
      <c r="BA218" s="264"/>
      <c r="BB218" s="264"/>
      <c r="BC218" s="264"/>
      <c r="BD218" s="264"/>
      <c r="BE218" s="264"/>
    </row>
    <row r="219">
      <c r="A219" s="264"/>
      <c r="B219" s="264"/>
      <c r="C219" s="264"/>
      <c r="D219" s="264"/>
      <c r="E219" s="264"/>
      <c r="F219" s="264"/>
      <c r="G219" s="264"/>
      <c r="H219" s="264"/>
      <c r="I219" s="264"/>
      <c r="J219" s="264"/>
      <c r="K219" s="264"/>
      <c r="L219" s="264"/>
      <c r="M219" s="264" t="s">
        <v>22</v>
      </c>
      <c r="N219" s="264"/>
      <c r="O219" s="264" t="s">
        <v>22</v>
      </c>
      <c r="P219" s="264"/>
      <c r="Q219" s="264"/>
      <c r="R219" s="264"/>
      <c r="S219" s="264"/>
      <c r="T219" s="264"/>
      <c r="U219" s="360"/>
      <c r="V219" s="360"/>
      <c r="W219" s="360"/>
      <c r="X219" s="360"/>
      <c r="Y219" s="360"/>
      <c r="Z219" s="360"/>
      <c r="AA219" s="360"/>
      <c r="AB219" s="360"/>
      <c r="AC219" s="360"/>
      <c r="AD219" s="360"/>
      <c r="AE219" s="360"/>
      <c r="AF219" s="360"/>
      <c r="AG219" s="360" t="s">
        <v>1582</v>
      </c>
      <c r="AH219" s="360"/>
      <c r="AI219" s="360"/>
      <c r="AJ219" s="360" t="s">
        <v>1589</v>
      </c>
      <c r="AK219" s="360"/>
      <c r="AL219" s="360" t="s">
        <v>5878</v>
      </c>
      <c r="AM219" s="360"/>
      <c r="AN219" s="360"/>
      <c r="AO219" s="360"/>
      <c r="AP219" s="360"/>
      <c r="AQ219" s="360"/>
      <c r="AR219" s="360"/>
      <c r="AS219" s="360"/>
      <c r="AT219" s="360"/>
      <c r="AU219" s="360" t="s">
        <v>22</v>
      </c>
      <c r="AV219" s="360"/>
      <c r="AW219" s="264"/>
      <c r="AX219" s="264"/>
      <c r="AY219" s="264"/>
      <c r="AZ219" s="264"/>
      <c r="BA219" s="264"/>
      <c r="BB219" s="264"/>
      <c r="BC219" s="264"/>
      <c r="BD219" s="264"/>
      <c r="BE219" s="264"/>
    </row>
    <row r="220">
      <c r="A220" s="264"/>
      <c r="B220" s="264"/>
      <c r="C220" s="264"/>
      <c r="D220" s="264"/>
      <c r="E220" s="264"/>
      <c r="F220" s="264"/>
      <c r="G220" s="264"/>
      <c r="H220" s="264"/>
      <c r="I220" s="264"/>
      <c r="J220" s="264"/>
      <c r="K220" s="264"/>
      <c r="L220" s="264"/>
      <c r="M220" s="264" t="s">
        <v>22</v>
      </c>
      <c r="N220" s="264"/>
      <c r="O220" s="264" t="s">
        <v>22</v>
      </c>
      <c r="P220" s="264"/>
      <c r="Q220" s="264"/>
      <c r="R220" s="264"/>
      <c r="S220" s="264"/>
      <c r="T220" s="264"/>
      <c r="U220" s="360"/>
      <c r="V220" s="360"/>
      <c r="W220" s="360"/>
      <c r="X220" s="360"/>
      <c r="Y220" s="360"/>
      <c r="Z220" s="360"/>
      <c r="AA220" s="360"/>
      <c r="AB220" s="360"/>
      <c r="AC220" s="360"/>
      <c r="AD220" s="360"/>
      <c r="AE220" s="360"/>
      <c r="AF220" s="360"/>
      <c r="AG220" s="360" t="s">
        <v>1582</v>
      </c>
      <c r="AH220" s="360"/>
      <c r="AI220" s="360"/>
      <c r="AJ220" s="360" t="s">
        <v>1589</v>
      </c>
      <c r="AK220" s="360"/>
      <c r="AL220" s="360" t="s">
        <v>5878</v>
      </c>
      <c r="AM220" s="360"/>
      <c r="AN220" s="360"/>
      <c r="AO220" s="360"/>
      <c r="AP220" s="360"/>
      <c r="AQ220" s="360"/>
      <c r="AR220" s="360"/>
      <c r="AS220" s="360"/>
      <c r="AT220" s="360"/>
      <c r="AU220" s="360" t="s">
        <v>22</v>
      </c>
      <c r="AV220" s="360"/>
      <c r="AW220" s="264"/>
      <c r="AX220" s="264"/>
      <c r="AY220" s="264"/>
      <c r="AZ220" s="264"/>
      <c r="BA220" s="264"/>
      <c r="BB220" s="264"/>
      <c r="BC220" s="264"/>
      <c r="BD220" s="264"/>
      <c r="BE220" s="264"/>
    </row>
    <row r="221">
      <c r="A221" s="264"/>
      <c r="B221" s="264"/>
      <c r="C221" s="264"/>
      <c r="D221" s="264"/>
      <c r="E221" s="264"/>
      <c r="F221" s="264"/>
      <c r="G221" s="264"/>
      <c r="H221" s="264"/>
      <c r="I221" s="264"/>
      <c r="J221" s="264"/>
      <c r="K221" s="264"/>
      <c r="L221" s="264"/>
      <c r="M221" s="264" t="s">
        <v>22</v>
      </c>
      <c r="N221" s="264"/>
      <c r="O221" s="264" t="s">
        <v>22</v>
      </c>
      <c r="P221" s="264"/>
      <c r="Q221" s="264"/>
      <c r="R221" s="264"/>
      <c r="S221" s="264"/>
      <c r="T221" s="264"/>
      <c r="U221" s="360"/>
      <c r="V221" s="360"/>
      <c r="W221" s="360"/>
      <c r="X221" s="360"/>
      <c r="Y221" s="360"/>
      <c r="Z221" s="360"/>
      <c r="AA221" s="360"/>
      <c r="AB221" s="360"/>
      <c r="AC221" s="360"/>
      <c r="AD221" s="360"/>
      <c r="AE221" s="360"/>
      <c r="AF221" s="360"/>
      <c r="AG221" s="360" t="s">
        <v>1582</v>
      </c>
      <c r="AH221" s="360"/>
      <c r="AI221" s="360"/>
      <c r="AJ221" s="360" t="s">
        <v>1589</v>
      </c>
      <c r="AK221" s="360"/>
      <c r="AL221" s="360" t="s">
        <v>5878</v>
      </c>
      <c r="AM221" s="360"/>
      <c r="AN221" s="360"/>
      <c r="AO221" s="360"/>
      <c r="AP221" s="360"/>
      <c r="AQ221" s="360"/>
      <c r="AR221" s="360"/>
      <c r="AS221" s="360"/>
      <c r="AT221" s="360"/>
      <c r="AU221" s="360" t="s">
        <v>22</v>
      </c>
      <c r="AV221" s="360"/>
      <c r="AW221" s="264"/>
      <c r="AX221" s="264"/>
      <c r="AY221" s="264"/>
      <c r="AZ221" s="264"/>
      <c r="BA221" s="264"/>
      <c r="BB221" s="264"/>
      <c r="BC221" s="264"/>
      <c r="BD221" s="264"/>
      <c r="BE221" s="264"/>
    </row>
    <row r="222">
      <c r="A222" s="264"/>
      <c r="B222" s="264"/>
      <c r="C222" s="264"/>
      <c r="D222" s="264"/>
      <c r="E222" s="264"/>
      <c r="F222" s="264"/>
      <c r="G222" s="264"/>
      <c r="H222" s="264"/>
      <c r="I222" s="264"/>
      <c r="J222" s="264"/>
      <c r="K222" s="264"/>
      <c r="L222" s="264"/>
      <c r="M222" s="264" t="s">
        <v>22</v>
      </c>
      <c r="N222" s="264"/>
      <c r="O222" s="264" t="s">
        <v>22</v>
      </c>
      <c r="P222" s="264"/>
      <c r="Q222" s="264"/>
      <c r="R222" s="264"/>
      <c r="S222" s="264"/>
      <c r="T222" s="264"/>
      <c r="U222" s="360"/>
      <c r="V222" s="360"/>
      <c r="W222" s="360"/>
      <c r="X222" s="360"/>
      <c r="Y222" s="360"/>
      <c r="Z222" s="360"/>
      <c r="AA222" s="360"/>
      <c r="AB222" s="360"/>
      <c r="AC222" s="360"/>
      <c r="AD222" s="360"/>
      <c r="AE222" s="360"/>
      <c r="AF222" s="360"/>
      <c r="AG222" s="360" t="s">
        <v>1582</v>
      </c>
      <c r="AH222" s="360"/>
      <c r="AI222" s="360"/>
      <c r="AJ222" s="360" t="s">
        <v>1589</v>
      </c>
      <c r="AK222" s="360"/>
      <c r="AL222" s="360" t="s">
        <v>5878</v>
      </c>
      <c r="AM222" s="360"/>
      <c r="AN222" s="360"/>
      <c r="AO222" s="360"/>
      <c r="AP222" s="360"/>
      <c r="AQ222" s="360"/>
      <c r="AR222" s="360"/>
      <c r="AS222" s="360"/>
      <c r="AT222" s="360"/>
      <c r="AU222" s="360" t="s">
        <v>22</v>
      </c>
      <c r="AV222" s="360"/>
      <c r="AW222" s="264"/>
      <c r="AX222" s="264"/>
      <c r="AY222" s="264"/>
      <c r="AZ222" s="264"/>
      <c r="BA222" s="264"/>
      <c r="BB222" s="264"/>
      <c r="BC222" s="264"/>
      <c r="BD222" s="264"/>
      <c r="BE222" s="264"/>
    </row>
    <row r="223">
      <c r="A223" s="264"/>
      <c r="B223" s="264"/>
      <c r="C223" s="264"/>
      <c r="D223" s="264"/>
      <c r="E223" s="264"/>
      <c r="F223" s="264"/>
      <c r="G223" s="264"/>
      <c r="H223" s="264"/>
      <c r="I223" s="264"/>
      <c r="J223" s="264"/>
      <c r="K223" s="264"/>
      <c r="L223" s="264"/>
      <c r="M223" s="264" t="s">
        <v>22</v>
      </c>
      <c r="N223" s="264"/>
      <c r="O223" s="264" t="s">
        <v>22</v>
      </c>
      <c r="P223" s="264"/>
      <c r="Q223" s="264"/>
      <c r="R223" s="264"/>
      <c r="S223" s="264"/>
      <c r="T223" s="264"/>
      <c r="U223" s="360"/>
      <c r="V223" s="360"/>
      <c r="W223" s="360"/>
      <c r="X223" s="360"/>
      <c r="Y223" s="360"/>
      <c r="Z223" s="360"/>
      <c r="AA223" s="360"/>
      <c r="AB223" s="360"/>
      <c r="AC223" s="360"/>
      <c r="AD223" s="360"/>
      <c r="AE223" s="360"/>
      <c r="AF223" s="360"/>
      <c r="AG223" s="360" t="s">
        <v>1582</v>
      </c>
      <c r="AH223" s="360"/>
      <c r="AI223" s="360"/>
      <c r="AJ223" s="360" t="s">
        <v>1589</v>
      </c>
      <c r="AK223" s="360"/>
      <c r="AL223" s="360" t="s">
        <v>5878</v>
      </c>
      <c r="AM223" s="360"/>
      <c r="AN223" s="360"/>
      <c r="AO223" s="360"/>
      <c r="AP223" s="360"/>
      <c r="AQ223" s="360"/>
      <c r="AR223" s="360"/>
      <c r="AS223" s="360"/>
      <c r="AT223" s="360"/>
      <c r="AU223" s="360" t="s">
        <v>22</v>
      </c>
      <c r="AV223" s="360"/>
      <c r="AW223" s="264"/>
      <c r="AX223" s="264"/>
      <c r="AY223" s="264"/>
      <c r="AZ223" s="264"/>
      <c r="BA223" s="264"/>
      <c r="BB223" s="264"/>
      <c r="BC223" s="264"/>
      <c r="BD223" s="264"/>
      <c r="BE223" s="264"/>
    </row>
    <row r="224">
      <c r="A224" s="264"/>
      <c r="B224" s="264"/>
      <c r="C224" s="264"/>
      <c r="D224" s="264"/>
      <c r="E224" s="264"/>
      <c r="F224" s="264"/>
      <c r="G224" s="264"/>
      <c r="H224" s="264"/>
      <c r="I224" s="264"/>
      <c r="J224" s="264"/>
      <c r="K224" s="264"/>
      <c r="L224" s="264"/>
      <c r="M224" s="264" t="s">
        <v>22</v>
      </c>
      <c r="N224" s="264"/>
      <c r="O224" s="264" t="s">
        <v>22</v>
      </c>
      <c r="P224" s="264"/>
      <c r="Q224" s="264"/>
      <c r="R224" s="264"/>
      <c r="S224" s="264"/>
      <c r="T224" s="264"/>
      <c r="U224" s="360"/>
      <c r="V224" s="360"/>
      <c r="W224" s="360"/>
      <c r="X224" s="360"/>
      <c r="Y224" s="360"/>
      <c r="Z224" s="360"/>
      <c r="AA224" s="360"/>
      <c r="AB224" s="360"/>
      <c r="AC224" s="360"/>
      <c r="AD224" s="360"/>
      <c r="AE224" s="360"/>
      <c r="AF224" s="360"/>
      <c r="AG224" s="360" t="s">
        <v>1582</v>
      </c>
      <c r="AH224" s="360"/>
      <c r="AI224" s="360"/>
      <c r="AJ224" s="360" t="s">
        <v>1589</v>
      </c>
      <c r="AK224" s="360"/>
      <c r="AL224" s="360" t="s">
        <v>5878</v>
      </c>
      <c r="AM224" s="360"/>
      <c r="AN224" s="360"/>
      <c r="AO224" s="360"/>
      <c r="AP224" s="360"/>
      <c r="AQ224" s="360"/>
      <c r="AR224" s="360"/>
      <c r="AS224" s="360"/>
      <c r="AT224" s="360"/>
      <c r="AU224" s="360" t="s">
        <v>22</v>
      </c>
      <c r="AV224" s="360"/>
      <c r="AW224" s="264"/>
      <c r="AX224" s="264"/>
      <c r="AY224" s="264"/>
      <c r="AZ224" s="264"/>
      <c r="BA224" s="264"/>
      <c r="BB224" s="264"/>
      <c r="BC224" s="264"/>
      <c r="BD224" s="264"/>
      <c r="BE224" s="264"/>
    </row>
    <row r="225">
      <c r="A225" s="264"/>
      <c r="B225" s="264"/>
      <c r="C225" s="264"/>
      <c r="D225" s="264"/>
      <c r="E225" s="264"/>
      <c r="F225" s="264"/>
      <c r="G225" s="264"/>
      <c r="H225" s="264"/>
      <c r="I225" s="264"/>
      <c r="J225" s="264"/>
      <c r="K225" s="264"/>
      <c r="L225" s="264"/>
      <c r="M225" s="264" t="s">
        <v>22</v>
      </c>
      <c r="N225" s="264"/>
      <c r="O225" s="264" t="s">
        <v>22</v>
      </c>
      <c r="P225" s="264"/>
      <c r="Q225" s="264"/>
      <c r="R225" s="264"/>
      <c r="S225" s="264"/>
      <c r="T225" s="264"/>
      <c r="U225" s="360"/>
      <c r="V225" s="360"/>
      <c r="W225" s="360"/>
      <c r="X225" s="360"/>
      <c r="Y225" s="360"/>
      <c r="Z225" s="360"/>
      <c r="AA225" s="360"/>
      <c r="AB225" s="360"/>
      <c r="AC225" s="360"/>
      <c r="AD225" s="360"/>
      <c r="AE225" s="360"/>
      <c r="AF225" s="360"/>
      <c r="AG225" s="360" t="s">
        <v>1582</v>
      </c>
      <c r="AH225" s="360"/>
      <c r="AI225" s="360"/>
      <c r="AJ225" s="360" t="s">
        <v>1589</v>
      </c>
      <c r="AK225" s="360"/>
      <c r="AL225" s="360" t="s">
        <v>5878</v>
      </c>
      <c r="AM225" s="360"/>
      <c r="AN225" s="360"/>
      <c r="AO225" s="360"/>
      <c r="AP225" s="360"/>
      <c r="AQ225" s="360"/>
      <c r="AR225" s="360"/>
      <c r="AS225" s="360"/>
      <c r="AT225" s="360"/>
      <c r="AU225" s="360" t="s">
        <v>22</v>
      </c>
      <c r="AV225" s="360"/>
      <c r="AW225" s="264"/>
      <c r="AX225" s="264"/>
      <c r="AY225" s="264"/>
      <c r="AZ225" s="264"/>
      <c r="BA225" s="264"/>
      <c r="BB225" s="264"/>
      <c r="BC225" s="264"/>
      <c r="BD225" s="264"/>
      <c r="BE225" s="264"/>
    </row>
    <row r="226">
      <c r="A226" s="264"/>
      <c r="B226" s="264"/>
      <c r="C226" s="264"/>
      <c r="D226" s="264"/>
      <c r="E226" s="264"/>
      <c r="F226" s="264"/>
      <c r="G226" s="264"/>
      <c r="H226" s="264"/>
      <c r="I226" s="264"/>
      <c r="J226" s="264"/>
      <c r="K226" s="264"/>
      <c r="L226" s="264"/>
      <c r="M226" s="264" t="s">
        <v>22</v>
      </c>
      <c r="N226" s="264"/>
      <c r="O226" s="264" t="s">
        <v>22</v>
      </c>
      <c r="P226" s="264"/>
      <c r="Q226" s="264"/>
      <c r="R226" s="264"/>
      <c r="S226" s="264"/>
      <c r="T226" s="264"/>
      <c r="U226" s="360"/>
      <c r="V226" s="360"/>
      <c r="W226" s="360"/>
      <c r="X226" s="360"/>
      <c r="Y226" s="360"/>
      <c r="Z226" s="360"/>
      <c r="AA226" s="360"/>
      <c r="AB226" s="360"/>
      <c r="AC226" s="360"/>
      <c r="AD226" s="360"/>
      <c r="AE226" s="360"/>
      <c r="AF226" s="360"/>
      <c r="AG226" s="360" t="s">
        <v>1582</v>
      </c>
      <c r="AH226" s="360"/>
      <c r="AI226" s="360"/>
      <c r="AJ226" s="360" t="s">
        <v>1589</v>
      </c>
      <c r="AK226" s="360"/>
      <c r="AL226" s="360" t="s">
        <v>5878</v>
      </c>
      <c r="AM226" s="360"/>
      <c r="AN226" s="360"/>
      <c r="AO226" s="360"/>
      <c r="AP226" s="360"/>
      <c r="AQ226" s="360"/>
      <c r="AR226" s="360"/>
      <c r="AS226" s="360"/>
      <c r="AT226" s="360"/>
      <c r="AU226" s="360" t="s">
        <v>22</v>
      </c>
      <c r="AV226" s="360"/>
      <c r="AW226" s="264"/>
      <c r="AX226" s="264"/>
      <c r="AY226" s="264"/>
      <c r="AZ226" s="264"/>
      <c r="BA226" s="264"/>
      <c r="BB226" s="264"/>
      <c r="BC226" s="264"/>
      <c r="BD226" s="264"/>
      <c r="BE226" s="264"/>
    </row>
    <row r="227">
      <c r="A227" s="264"/>
      <c r="B227" s="264"/>
      <c r="C227" s="264"/>
      <c r="D227" s="264"/>
      <c r="E227" s="264"/>
      <c r="F227" s="264"/>
      <c r="G227" s="264"/>
      <c r="H227" s="264"/>
      <c r="I227" s="264"/>
      <c r="J227" s="264"/>
      <c r="K227" s="264"/>
      <c r="L227" s="264"/>
      <c r="M227" s="264" t="s">
        <v>22</v>
      </c>
      <c r="N227" s="264"/>
      <c r="O227" s="264" t="s">
        <v>22</v>
      </c>
      <c r="P227" s="264"/>
      <c r="Q227" s="264"/>
      <c r="R227" s="264"/>
      <c r="S227" s="264"/>
      <c r="T227" s="264"/>
      <c r="U227" s="360"/>
      <c r="V227" s="360"/>
      <c r="W227" s="360"/>
      <c r="X227" s="360"/>
      <c r="Y227" s="360"/>
      <c r="Z227" s="360"/>
      <c r="AA227" s="360"/>
      <c r="AB227" s="360"/>
      <c r="AC227" s="360"/>
      <c r="AD227" s="360"/>
      <c r="AE227" s="360"/>
      <c r="AF227" s="360"/>
      <c r="AG227" s="360" t="s">
        <v>1582</v>
      </c>
      <c r="AH227" s="360"/>
      <c r="AI227" s="360"/>
      <c r="AJ227" s="360" t="s">
        <v>1589</v>
      </c>
      <c r="AK227" s="360"/>
      <c r="AL227" s="360" t="s">
        <v>5878</v>
      </c>
      <c r="AM227" s="360"/>
      <c r="AN227" s="360"/>
      <c r="AO227" s="360"/>
      <c r="AP227" s="360"/>
      <c r="AQ227" s="360"/>
      <c r="AR227" s="360"/>
      <c r="AS227" s="360"/>
      <c r="AT227" s="360"/>
      <c r="AU227" s="360" t="s">
        <v>22</v>
      </c>
      <c r="AV227" s="360"/>
      <c r="AW227" s="264"/>
      <c r="AX227" s="264"/>
      <c r="AY227" s="264"/>
      <c r="AZ227" s="264"/>
      <c r="BA227" s="264"/>
      <c r="BB227" s="264"/>
      <c r="BC227" s="264"/>
      <c r="BD227" s="264"/>
      <c r="BE227" s="264"/>
    </row>
    <row r="228">
      <c r="A228" s="264"/>
      <c r="B228" s="264"/>
      <c r="C228" s="264"/>
      <c r="D228" s="264"/>
      <c r="E228" s="264"/>
      <c r="F228" s="264"/>
      <c r="G228" s="264"/>
      <c r="H228" s="264"/>
      <c r="I228" s="264"/>
      <c r="J228" s="264"/>
      <c r="K228" s="264"/>
      <c r="L228" s="264"/>
      <c r="M228" s="264" t="s">
        <v>22</v>
      </c>
      <c r="N228" s="264"/>
      <c r="O228" s="264" t="s">
        <v>22</v>
      </c>
      <c r="P228" s="264"/>
      <c r="Q228" s="264"/>
      <c r="R228" s="264"/>
      <c r="S228" s="264"/>
      <c r="T228" s="264"/>
      <c r="U228" s="360"/>
      <c r="V228" s="360"/>
      <c r="W228" s="360"/>
      <c r="X228" s="360"/>
      <c r="Y228" s="360"/>
      <c r="Z228" s="360"/>
      <c r="AA228" s="360"/>
      <c r="AB228" s="360"/>
      <c r="AC228" s="360"/>
      <c r="AD228" s="360"/>
      <c r="AE228" s="360"/>
      <c r="AF228" s="360"/>
      <c r="AG228" s="360" t="s">
        <v>1582</v>
      </c>
      <c r="AH228" s="360"/>
      <c r="AI228" s="360"/>
      <c r="AJ228" s="360" t="s">
        <v>1589</v>
      </c>
      <c r="AK228" s="360"/>
      <c r="AL228" s="360" t="s">
        <v>5878</v>
      </c>
      <c r="AM228" s="360"/>
      <c r="AN228" s="360"/>
      <c r="AO228" s="360"/>
      <c r="AP228" s="360"/>
      <c r="AQ228" s="360"/>
      <c r="AR228" s="360"/>
      <c r="AS228" s="360"/>
      <c r="AT228" s="360"/>
      <c r="AU228" s="360" t="s">
        <v>22</v>
      </c>
      <c r="AV228" s="360"/>
      <c r="AW228" s="264"/>
      <c r="AX228" s="264"/>
      <c r="AY228" s="264"/>
      <c r="AZ228" s="264"/>
      <c r="BA228" s="264"/>
      <c r="BB228" s="264"/>
      <c r="BC228" s="264"/>
      <c r="BD228" s="264"/>
      <c r="BE228" s="264"/>
    </row>
    <row r="229">
      <c r="A229" s="264"/>
      <c r="B229" s="264"/>
      <c r="C229" s="264"/>
      <c r="D229" s="264"/>
      <c r="E229" s="264"/>
      <c r="F229" s="264"/>
      <c r="G229" s="264"/>
      <c r="H229" s="264"/>
      <c r="I229" s="264"/>
      <c r="J229" s="264"/>
      <c r="K229" s="264"/>
      <c r="L229" s="264"/>
      <c r="M229" s="264" t="s">
        <v>22</v>
      </c>
      <c r="N229" s="264"/>
      <c r="O229" s="264" t="s">
        <v>22</v>
      </c>
      <c r="P229" s="264"/>
      <c r="Q229" s="264"/>
      <c r="R229" s="264"/>
      <c r="S229" s="264"/>
      <c r="T229" s="264"/>
      <c r="U229" s="360"/>
      <c r="V229" s="360"/>
      <c r="W229" s="360"/>
      <c r="X229" s="360"/>
      <c r="Y229" s="360"/>
      <c r="Z229" s="360"/>
      <c r="AA229" s="360"/>
      <c r="AB229" s="360"/>
      <c r="AC229" s="360"/>
      <c r="AD229" s="360"/>
      <c r="AE229" s="360"/>
      <c r="AF229" s="360"/>
      <c r="AG229" s="360" t="s">
        <v>1582</v>
      </c>
      <c r="AH229" s="360"/>
      <c r="AI229" s="360"/>
      <c r="AJ229" s="360" t="s">
        <v>1589</v>
      </c>
      <c r="AK229" s="360"/>
      <c r="AL229" s="360" t="s">
        <v>5878</v>
      </c>
      <c r="AM229" s="360"/>
      <c r="AN229" s="360"/>
      <c r="AO229" s="360"/>
      <c r="AP229" s="360"/>
      <c r="AQ229" s="360"/>
      <c r="AR229" s="360"/>
      <c r="AS229" s="360"/>
      <c r="AT229" s="360"/>
      <c r="AU229" s="360" t="s">
        <v>22</v>
      </c>
      <c r="AV229" s="360"/>
      <c r="AW229" s="264"/>
      <c r="AX229" s="264"/>
      <c r="AY229" s="264"/>
      <c r="AZ229" s="264"/>
      <c r="BA229" s="264"/>
      <c r="BB229" s="264"/>
      <c r="BC229" s="264"/>
      <c r="BD229" s="264"/>
      <c r="BE229" s="264"/>
    </row>
    <row r="230">
      <c r="A230" s="264"/>
      <c r="B230" s="264"/>
      <c r="C230" s="264"/>
      <c r="D230" s="264"/>
      <c r="E230" s="264"/>
      <c r="F230" s="264"/>
      <c r="G230" s="264"/>
      <c r="H230" s="264"/>
      <c r="I230" s="264"/>
      <c r="J230" s="264"/>
      <c r="K230" s="264"/>
      <c r="L230" s="264"/>
      <c r="M230" s="264" t="s">
        <v>22</v>
      </c>
      <c r="N230" s="264"/>
      <c r="O230" s="264" t="s">
        <v>22</v>
      </c>
      <c r="P230" s="264"/>
      <c r="Q230" s="264"/>
      <c r="R230" s="264"/>
      <c r="S230" s="264"/>
      <c r="T230" s="264"/>
      <c r="U230" s="360"/>
      <c r="V230" s="360"/>
      <c r="W230" s="360"/>
      <c r="X230" s="360"/>
      <c r="Y230" s="360"/>
      <c r="Z230" s="360"/>
      <c r="AA230" s="360"/>
      <c r="AB230" s="360"/>
      <c r="AC230" s="360"/>
      <c r="AD230" s="360"/>
      <c r="AE230" s="360"/>
      <c r="AF230" s="360"/>
      <c r="AG230" s="360" t="s">
        <v>1582</v>
      </c>
      <c r="AH230" s="360"/>
      <c r="AI230" s="360"/>
      <c r="AJ230" s="360" t="s">
        <v>1589</v>
      </c>
      <c r="AK230" s="360"/>
      <c r="AL230" s="360" t="s">
        <v>5878</v>
      </c>
      <c r="AM230" s="360"/>
      <c r="AN230" s="360"/>
      <c r="AO230" s="360"/>
      <c r="AP230" s="360"/>
      <c r="AQ230" s="360"/>
      <c r="AR230" s="360"/>
      <c r="AS230" s="360"/>
      <c r="AT230" s="360"/>
      <c r="AU230" s="360" t="s">
        <v>22</v>
      </c>
      <c r="AV230" s="360"/>
      <c r="AW230" s="264"/>
      <c r="AX230" s="264"/>
      <c r="AY230" s="264"/>
      <c r="AZ230" s="264"/>
      <c r="BA230" s="264"/>
      <c r="BB230" s="264"/>
      <c r="BC230" s="264"/>
      <c r="BD230" s="264"/>
      <c r="BE230" s="264"/>
    </row>
    <row r="231">
      <c r="A231" s="264"/>
      <c r="B231" s="264"/>
      <c r="C231" s="264"/>
      <c r="D231" s="264"/>
      <c r="E231" s="264"/>
      <c r="F231" s="264"/>
      <c r="G231" s="264"/>
      <c r="H231" s="264"/>
      <c r="I231" s="264"/>
      <c r="J231" s="264"/>
      <c r="K231" s="264"/>
      <c r="L231" s="264"/>
      <c r="M231" s="264" t="s">
        <v>22</v>
      </c>
      <c r="N231" s="264"/>
      <c r="O231" s="264" t="s">
        <v>22</v>
      </c>
      <c r="P231" s="264"/>
      <c r="Q231" s="264"/>
      <c r="R231" s="264"/>
      <c r="S231" s="264"/>
      <c r="T231" s="264"/>
      <c r="U231" s="360"/>
      <c r="V231" s="360"/>
      <c r="W231" s="360"/>
      <c r="X231" s="360"/>
      <c r="Y231" s="360"/>
      <c r="Z231" s="360"/>
      <c r="AA231" s="360"/>
      <c r="AB231" s="360"/>
      <c r="AC231" s="360"/>
      <c r="AD231" s="360"/>
      <c r="AE231" s="360"/>
      <c r="AF231" s="360"/>
      <c r="AG231" s="360" t="s">
        <v>1582</v>
      </c>
      <c r="AH231" s="360"/>
      <c r="AI231" s="360"/>
      <c r="AJ231" s="360" t="s">
        <v>1589</v>
      </c>
      <c r="AK231" s="360"/>
      <c r="AL231" s="360" t="s">
        <v>5878</v>
      </c>
      <c r="AM231" s="360"/>
      <c r="AN231" s="360"/>
      <c r="AO231" s="360"/>
      <c r="AP231" s="360"/>
      <c r="AQ231" s="360"/>
      <c r="AR231" s="360"/>
      <c r="AS231" s="360"/>
      <c r="AT231" s="360"/>
      <c r="AU231" s="360" t="s">
        <v>22</v>
      </c>
      <c r="AV231" s="360"/>
      <c r="AW231" s="264"/>
      <c r="AX231" s="264"/>
      <c r="AY231" s="264"/>
      <c r="AZ231" s="264"/>
      <c r="BA231" s="264"/>
      <c r="BB231" s="264"/>
      <c r="BC231" s="264"/>
      <c r="BD231" s="264"/>
      <c r="BE231" s="264"/>
    </row>
    <row r="232">
      <c r="A232" s="264"/>
      <c r="B232" s="264"/>
      <c r="C232" s="264"/>
      <c r="D232" s="264"/>
      <c r="E232" s="264"/>
      <c r="F232" s="264"/>
      <c r="G232" s="264"/>
      <c r="H232" s="264"/>
      <c r="I232" s="264"/>
      <c r="J232" s="264"/>
      <c r="K232" s="264"/>
      <c r="L232" s="264"/>
      <c r="M232" s="264" t="s">
        <v>22</v>
      </c>
      <c r="N232" s="264"/>
      <c r="O232" s="264" t="s">
        <v>22</v>
      </c>
      <c r="P232" s="264"/>
      <c r="Q232" s="264"/>
      <c r="R232" s="264"/>
      <c r="S232" s="264"/>
      <c r="T232" s="264"/>
      <c r="U232" s="360"/>
      <c r="V232" s="360"/>
      <c r="W232" s="360"/>
      <c r="X232" s="360"/>
      <c r="Y232" s="360"/>
      <c r="Z232" s="360"/>
      <c r="AA232" s="360"/>
      <c r="AB232" s="360"/>
      <c r="AC232" s="360"/>
      <c r="AD232" s="360"/>
      <c r="AE232" s="360"/>
      <c r="AF232" s="360"/>
      <c r="AG232" s="360" t="s">
        <v>1582</v>
      </c>
      <c r="AH232" s="360"/>
      <c r="AI232" s="360"/>
      <c r="AJ232" s="360" t="s">
        <v>1589</v>
      </c>
      <c r="AK232" s="360"/>
      <c r="AL232" s="360" t="s">
        <v>5878</v>
      </c>
      <c r="AM232" s="360"/>
      <c r="AN232" s="360"/>
      <c r="AO232" s="360"/>
      <c r="AP232" s="360"/>
      <c r="AQ232" s="360"/>
      <c r="AR232" s="360"/>
      <c r="AS232" s="360"/>
      <c r="AT232" s="360"/>
      <c r="AU232" s="360" t="s">
        <v>22</v>
      </c>
      <c r="AV232" s="360"/>
      <c r="AW232" s="264"/>
      <c r="AX232" s="264"/>
      <c r="AY232" s="264"/>
      <c r="AZ232" s="264"/>
      <c r="BA232" s="264"/>
      <c r="BB232" s="264"/>
      <c r="BC232" s="264"/>
      <c r="BD232" s="264"/>
      <c r="BE232" s="264"/>
    </row>
    <row r="233">
      <c r="A233" s="264"/>
      <c r="B233" s="264"/>
      <c r="C233" s="264"/>
      <c r="D233" s="264"/>
      <c r="E233" s="264"/>
      <c r="F233" s="264"/>
      <c r="G233" s="264"/>
      <c r="H233" s="264"/>
      <c r="I233" s="264"/>
      <c r="J233" s="264"/>
      <c r="K233" s="264"/>
      <c r="L233" s="264"/>
      <c r="M233" s="264" t="s">
        <v>22</v>
      </c>
      <c r="N233" s="264"/>
      <c r="O233" s="264" t="s">
        <v>22</v>
      </c>
      <c r="P233" s="264"/>
      <c r="Q233" s="264"/>
      <c r="R233" s="264"/>
      <c r="S233" s="264"/>
      <c r="T233" s="264"/>
      <c r="U233" s="360"/>
      <c r="V233" s="360"/>
      <c r="W233" s="360"/>
      <c r="X233" s="360"/>
      <c r="Y233" s="360"/>
      <c r="Z233" s="360"/>
      <c r="AA233" s="360"/>
      <c r="AB233" s="360"/>
      <c r="AC233" s="360"/>
      <c r="AD233" s="360"/>
      <c r="AE233" s="360"/>
      <c r="AF233" s="360"/>
      <c r="AG233" s="360" t="s">
        <v>1582</v>
      </c>
      <c r="AH233" s="360"/>
      <c r="AI233" s="360"/>
      <c r="AJ233" s="360" t="s">
        <v>1589</v>
      </c>
      <c r="AK233" s="360"/>
      <c r="AL233" s="360" t="s">
        <v>5878</v>
      </c>
      <c r="AM233" s="360"/>
      <c r="AN233" s="360"/>
      <c r="AO233" s="360"/>
      <c r="AP233" s="360"/>
      <c r="AQ233" s="360"/>
      <c r="AR233" s="360"/>
      <c r="AS233" s="360"/>
      <c r="AT233" s="360"/>
      <c r="AU233" s="360" t="s">
        <v>22</v>
      </c>
      <c r="AV233" s="360"/>
      <c r="AW233" s="264"/>
      <c r="AX233" s="264"/>
      <c r="AY233" s="264"/>
      <c r="AZ233" s="264"/>
      <c r="BA233" s="264"/>
      <c r="BB233" s="264"/>
      <c r="BC233" s="264"/>
      <c r="BD233" s="264"/>
      <c r="BE233" s="264"/>
    </row>
    <row r="234">
      <c r="A234" s="264"/>
      <c r="B234" s="264"/>
      <c r="C234" s="264"/>
      <c r="D234" s="264"/>
      <c r="E234" s="264"/>
      <c r="F234" s="264"/>
      <c r="G234" s="264"/>
      <c r="H234" s="264"/>
      <c r="I234" s="264"/>
      <c r="J234" s="264"/>
      <c r="K234" s="264"/>
      <c r="L234" s="264"/>
      <c r="M234" s="264" t="s">
        <v>22</v>
      </c>
      <c r="N234" s="264"/>
      <c r="O234" s="264" t="s">
        <v>22</v>
      </c>
      <c r="P234" s="264"/>
      <c r="Q234" s="264"/>
      <c r="R234" s="264"/>
      <c r="S234" s="264"/>
      <c r="T234" s="264"/>
      <c r="U234" s="360"/>
      <c r="V234" s="360"/>
      <c r="W234" s="360"/>
      <c r="X234" s="360"/>
      <c r="Y234" s="360"/>
      <c r="Z234" s="360"/>
      <c r="AA234" s="360"/>
      <c r="AB234" s="360"/>
      <c r="AC234" s="360"/>
      <c r="AD234" s="360"/>
      <c r="AE234" s="360"/>
      <c r="AF234" s="360"/>
      <c r="AG234" s="360" t="s">
        <v>1582</v>
      </c>
      <c r="AH234" s="360"/>
      <c r="AI234" s="360"/>
      <c r="AJ234" s="360" t="s">
        <v>1589</v>
      </c>
      <c r="AK234" s="360"/>
      <c r="AL234" s="360" t="s">
        <v>5878</v>
      </c>
      <c r="AM234" s="360"/>
      <c r="AN234" s="360"/>
      <c r="AO234" s="360"/>
      <c r="AP234" s="360"/>
      <c r="AQ234" s="360"/>
      <c r="AR234" s="360"/>
      <c r="AS234" s="360"/>
      <c r="AT234" s="360"/>
      <c r="AU234" s="360" t="s">
        <v>22</v>
      </c>
      <c r="AV234" s="360"/>
      <c r="AW234" s="264"/>
      <c r="AX234" s="264"/>
      <c r="AY234" s="264"/>
      <c r="AZ234" s="264"/>
      <c r="BA234" s="264"/>
      <c r="BB234" s="264"/>
      <c r="BC234" s="264"/>
      <c r="BD234" s="264"/>
      <c r="BE234" s="264"/>
    </row>
    <row r="235">
      <c r="A235" s="264"/>
      <c r="B235" s="264"/>
      <c r="C235" s="264"/>
      <c r="D235" s="264"/>
      <c r="E235" s="264"/>
      <c r="F235" s="264"/>
      <c r="G235" s="264"/>
      <c r="H235" s="264"/>
      <c r="I235" s="264"/>
      <c r="J235" s="264"/>
      <c r="K235" s="264"/>
      <c r="L235" s="264"/>
      <c r="M235" s="264" t="s">
        <v>22</v>
      </c>
      <c r="N235" s="264"/>
      <c r="O235" s="264" t="s">
        <v>22</v>
      </c>
      <c r="P235" s="264"/>
      <c r="Q235" s="264"/>
      <c r="R235" s="264"/>
      <c r="S235" s="264"/>
      <c r="T235" s="264"/>
      <c r="U235" s="360"/>
      <c r="V235" s="360"/>
      <c r="W235" s="360"/>
      <c r="X235" s="360"/>
      <c r="Y235" s="360"/>
      <c r="Z235" s="360"/>
      <c r="AA235" s="360"/>
      <c r="AB235" s="360"/>
      <c r="AC235" s="360"/>
      <c r="AD235" s="360"/>
      <c r="AE235" s="360"/>
      <c r="AF235" s="360"/>
      <c r="AG235" s="360" t="s">
        <v>1582</v>
      </c>
      <c r="AH235" s="360"/>
      <c r="AI235" s="360"/>
      <c r="AJ235" s="360" t="s">
        <v>1589</v>
      </c>
      <c r="AK235" s="360"/>
      <c r="AL235" s="360" t="s">
        <v>5878</v>
      </c>
      <c r="AM235" s="360"/>
      <c r="AN235" s="360"/>
      <c r="AO235" s="360"/>
      <c r="AP235" s="360"/>
      <c r="AQ235" s="360"/>
      <c r="AR235" s="360"/>
      <c r="AS235" s="360"/>
      <c r="AT235" s="360"/>
      <c r="AU235" s="360" t="s">
        <v>22</v>
      </c>
      <c r="AV235" s="360"/>
      <c r="AW235" s="264"/>
      <c r="AX235" s="264"/>
      <c r="AY235" s="264"/>
      <c r="AZ235" s="264"/>
      <c r="BA235" s="264"/>
      <c r="BB235" s="264"/>
      <c r="BC235" s="264"/>
      <c r="BD235" s="264"/>
      <c r="BE235" s="264"/>
    </row>
    <row r="236">
      <c r="A236" s="264"/>
      <c r="B236" s="264"/>
      <c r="C236" s="264"/>
      <c r="D236" s="264"/>
      <c r="E236" s="264"/>
      <c r="F236" s="264"/>
      <c r="G236" s="264"/>
      <c r="H236" s="264"/>
      <c r="I236" s="264"/>
      <c r="J236" s="264"/>
      <c r="K236" s="264"/>
      <c r="L236" s="264"/>
      <c r="M236" s="264" t="s">
        <v>22</v>
      </c>
      <c r="N236" s="264"/>
      <c r="O236" s="264" t="s">
        <v>22</v>
      </c>
      <c r="P236" s="264"/>
      <c r="Q236" s="264"/>
      <c r="R236" s="264"/>
      <c r="S236" s="264"/>
      <c r="T236" s="264"/>
      <c r="U236" s="360"/>
      <c r="V236" s="360"/>
      <c r="W236" s="360"/>
      <c r="X236" s="360"/>
      <c r="Y236" s="360"/>
      <c r="Z236" s="360"/>
      <c r="AA236" s="360"/>
      <c r="AB236" s="360"/>
      <c r="AC236" s="360"/>
      <c r="AD236" s="360"/>
      <c r="AE236" s="360"/>
      <c r="AF236" s="360"/>
      <c r="AG236" s="360" t="s">
        <v>1582</v>
      </c>
      <c r="AH236" s="360"/>
      <c r="AI236" s="360"/>
      <c r="AJ236" s="360" t="s">
        <v>1589</v>
      </c>
      <c r="AK236" s="360"/>
      <c r="AL236" s="360" t="s">
        <v>5878</v>
      </c>
      <c r="AM236" s="360"/>
      <c r="AN236" s="360"/>
      <c r="AO236" s="360"/>
      <c r="AP236" s="360"/>
      <c r="AQ236" s="360"/>
      <c r="AR236" s="360"/>
      <c r="AS236" s="360"/>
      <c r="AT236" s="360"/>
      <c r="AU236" s="360" t="s">
        <v>22</v>
      </c>
      <c r="AV236" s="360"/>
      <c r="AW236" s="264"/>
      <c r="AX236" s="264"/>
      <c r="AY236" s="264"/>
      <c r="AZ236" s="264"/>
      <c r="BA236" s="264"/>
      <c r="BB236" s="264"/>
      <c r="BC236" s="264"/>
      <c r="BD236" s="264"/>
      <c r="BE236" s="264"/>
    </row>
    <row r="237">
      <c r="A237" s="264"/>
      <c r="B237" s="264"/>
      <c r="C237" s="264"/>
      <c r="D237" s="264"/>
      <c r="E237" s="264"/>
      <c r="F237" s="264"/>
      <c r="G237" s="264"/>
      <c r="H237" s="264"/>
      <c r="I237" s="264"/>
      <c r="J237" s="264"/>
      <c r="K237" s="264"/>
      <c r="L237" s="264"/>
      <c r="M237" s="264" t="s">
        <v>22</v>
      </c>
      <c r="N237" s="264"/>
      <c r="O237" s="264" t="s">
        <v>22</v>
      </c>
      <c r="P237" s="264"/>
      <c r="Q237" s="264"/>
      <c r="R237" s="264"/>
      <c r="S237" s="264"/>
      <c r="T237" s="264"/>
      <c r="U237" s="360"/>
      <c r="V237" s="360"/>
      <c r="W237" s="360"/>
      <c r="X237" s="360"/>
      <c r="Y237" s="360"/>
      <c r="Z237" s="360"/>
      <c r="AA237" s="360"/>
      <c r="AB237" s="360"/>
      <c r="AC237" s="360"/>
      <c r="AD237" s="360"/>
      <c r="AE237" s="360"/>
      <c r="AF237" s="360"/>
      <c r="AG237" s="360" t="s">
        <v>1582</v>
      </c>
      <c r="AH237" s="360"/>
      <c r="AI237" s="360"/>
      <c r="AJ237" s="360" t="s">
        <v>1589</v>
      </c>
      <c r="AK237" s="360"/>
      <c r="AL237" s="360" t="s">
        <v>5878</v>
      </c>
      <c r="AM237" s="360"/>
      <c r="AN237" s="360"/>
      <c r="AO237" s="360"/>
      <c r="AP237" s="360"/>
      <c r="AQ237" s="360"/>
      <c r="AR237" s="360"/>
      <c r="AS237" s="360"/>
      <c r="AT237" s="360"/>
      <c r="AU237" s="360" t="s">
        <v>22</v>
      </c>
      <c r="AV237" s="360"/>
      <c r="AW237" s="264"/>
      <c r="AX237" s="264"/>
      <c r="AY237" s="264"/>
      <c r="AZ237" s="264"/>
      <c r="BA237" s="264"/>
      <c r="BB237" s="264"/>
      <c r="BC237" s="264"/>
      <c r="BD237" s="264"/>
      <c r="BE237" s="264"/>
    </row>
    <row r="238">
      <c r="A238" s="264"/>
      <c r="B238" s="264"/>
      <c r="C238" s="264"/>
      <c r="D238" s="264"/>
      <c r="E238" s="264"/>
      <c r="F238" s="264"/>
      <c r="G238" s="264"/>
      <c r="H238" s="264"/>
      <c r="I238" s="264"/>
      <c r="J238" s="264"/>
      <c r="K238" s="264"/>
      <c r="L238" s="264"/>
      <c r="M238" s="264" t="s">
        <v>22</v>
      </c>
      <c r="N238" s="264"/>
      <c r="O238" s="264" t="s">
        <v>22</v>
      </c>
      <c r="P238" s="264"/>
      <c r="Q238" s="264"/>
      <c r="R238" s="264"/>
      <c r="S238" s="264"/>
      <c r="T238" s="264"/>
      <c r="U238" s="360"/>
      <c r="V238" s="360"/>
      <c r="W238" s="360"/>
      <c r="X238" s="360"/>
      <c r="Y238" s="360"/>
      <c r="Z238" s="360"/>
      <c r="AA238" s="360"/>
      <c r="AB238" s="360"/>
      <c r="AC238" s="360"/>
      <c r="AD238" s="360"/>
      <c r="AE238" s="360"/>
      <c r="AF238" s="360"/>
      <c r="AG238" s="360" t="s">
        <v>1582</v>
      </c>
      <c r="AH238" s="360"/>
      <c r="AI238" s="360"/>
      <c r="AJ238" s="360" t="s">
        <v>1589</v>
      </c>
      <c r="AK238" s="360"/>
      <c r="AL238" s="360" t="s">
        <v>5878</v>
      </c>
      <c r="AM238" s="360"/>
      <c r="AN238" s="360"/>
      <c r="AO238" s="360"/>
      <c r="AP238" s="360"/>
      <c r="AQ238" s="360"/>
      <c r="AR238" s="360"/>
      <c r="AS238" s="360"/>
      <c r="AT238" s="360"/>
      <c r="AU238" s="360" t="s">
        <v>22</v>
      </c>
      <c r="AV238" s="360"/>
      <c r="AW238" s="264"/>
      <c r="AX238" s="264"/>
      <c r="AY238" s="264"/>
      <c r="AZ238" s="264"/>
      <c r="BA238" s="264"/>
      <c r="BB238" s="264"/>
      <c r="BC238" s="264"/>
      <c r="BD238" s="264"/>
      <c r="BE238" s="264"/>
    </row>
    <row r="239">
      <c r="A239" s="264"/>
      <c r="B239" s="264"/>
      <c r="C239" s="264"/>
      <c r="D239" s="264"/>
      <c r="E239" s="264"/>
      <c r="F239" s="264"/>
      <c r="G239" s="264"/>
      <c r="H239" s="264"/>
      <c r="I239" s="264"/>
      <c r="J239" s="264"/>
      <c r="K239" s="264"/>
      <c r="L239" s="264"/>
      <c r="M239" s="264" t="s">
        <v>22</v>
      </c>
      <c r="N239" s="264"/>
      <c r="O239" s="264" t="s">
        <v>22</v>
      </c>
      <c r="P239" s="264"/>
      <c r="Q239" s="264"/>
      <c r="R239" s="264"/>
      <c r="S239" s="264"/>
      <c r="T239" s="264"/>
      <c r="U239" s="360"/>
      <c r="V239" s="360"/>
      <c r="W239" s="360"/>
      <c r="X239" s="360"/>
      <c r="Y239" s="360"/>
      <c r="Z239" s="360"/>
      <c r="AA239" s="360"/>
      <c r="AB239" s="360"/>
      <c r="AC239" s="360"/>
      <c r="AD239" s="360"/>
      <c r="AE239" s="360"/>
      <c r="AF239" s="360"/>
      <c r="AG239" s="360" t="s">
        <v>1582</v>
      </c>
      <c r="AH239" s="360"/>
      <c r="AI239" s="360"/>
      <c r="AJ239" s="360" t="s">
        <v>1589</v>
      </c>
      <c r="AK239" s="360"/>
      <c r="AL239" s="360" t="s">
        <v>5878</v>
      </c>
      <c r="AM239" s="360"/>
      <c r="AN239" s="360"/>
      <c r="AO239" s="360"/>
      <c r="AP239" s="360"/>
      <c r="AQ239" s="360"/>
      <c r="AR239" s="360"/>
      <c r="AS239" s="360"/>
      <c r="AT239" s="360"/>
      <c r="AU239" s="360" t="s">
        <v>22</v>
      </c>
      <c r="AV239" s="360"/>
      <c r="AW239" s="264"/>
      <c r="AX239" s="264"/>
      <c r="AY239" s="264"/>
      <c r="AZ239" s="264"/>
      <c r="BA239" s="264"/>
      <c r="BB239" s="264"/>
      <c r="BC239" s="264"/>
      <c r="BD239" s="264"/>
      <c r="BE239" s="264"/>
    </row>
    <row r="240">
      <c r="A240" s="264"/>
      <c r="B240" s="264"/>
      <c r="C240" s="264"/>
      <c r="D240" s="264"/>
      <c r="E240" s="264"/>
      <c r="F240" s="264"/>
      <c r="G240" s="264"/>
      <c r="H240" s="264"/>
      <c r="I240" s="264"/>
      <c r="J240" s="264"/>
      <c r="K240" s="264"/>
      <c r="L240" s="264"/>
      <c r="M240" s="264" t="s">
        <v>22</v>
      </c>
      <c r="N240" s="264"/>
      <c r="O240" s="264" t="s">
        <v>22</v>
      </c>
      <c r="P240" s="264"/>
      <c r="Q240" s="264"/>
      <c r="R240" s="264"/>
      <c r="S240" s="264"/>
      <c r="T240" s="264"/>
      <c r="U240" s="360"/>
      <c r="V240" s="360"/>
      <c r="W240" s="360"/>
      <c r="X240" s="360"/>
      <c r="Y240" s="360"/>
      <c r="Z240" s="360"/>
      <c r="AA240" s="360"/>
      <c r="AB240" s="360"/>
      <c r="AC240" s="360"/>
      <c r="AD240" s="360"/>
      <c r="AE240" s="360"/>
      <c r="AF240" s="360"/>
      <c r="AG240" s="360" t="s">
        <v>1582</v>
      </c>
      <c r="AH240" s="360"/>
      <c r="AI240" s="360"/>
      <c r="AJ240" s="360" t="s">
        <v>1589</v>
      </c>
      <c r="AK240" s="360"/>
      <c r="AL240" s="360" t="s">
        <v>5878</v>
      </c>
      <c r="AM240" s="360"/>
      <c r="AN240" s="360"/>
      <c r="AO240" s="360"/>
      <c r="AP240" s="360"/>
      <c r="AQ240" s="360"/>
      <c r="AR240" s="360"/>
      <c r="AS240" s="360"/>
      <c r="AT240" s="360"/>
      <c r="AU240" s="360" t="s">
        <v>22</v>
      </c>
      <c r="AV240" s="360"/>
      <c r="AW240" s="264"/>
      <c r="AX240" s="264"/>
      <c r="AY240" s="264"/>
      <c r="AZ240" s="264"/>
      <c r="BA240" s="264"/>
      <c r="BB240" s="264"/>
      <c r="BC240" s="264"/>
      <c r="BD240" s="264"/>
      <c r="BE240" s="264"/>
    </row>
    <row r="241">
      <c r="A241" s="264"/>
      <c r="B241" s="264"/>
      <c r="C241" s="264"/>
      <c r="D241" s="264"/>
      <c r="E241" s="264"/>
      <c r="F241" s="264"/>
      <c r="G241" s="264"/>
      <c r="H241" s="264"/>
      <c r="I241" s="264"/>
      <c r="J241" s="264"/>
      <c r="K241" s="264"/>
      <c r="L241" s="264"/>
      <c r="M241" s="264" t="s">
        <v>22</v>
      </c>
      <c r="N241" s="264"/>
      <c r="O241" s="264" t="s">
        <v>22</v>
      </c>
      <c r="P241" s="264"/>
      <c r="Q241" s="264"/>
      <c r="R241" s="264"/>
      <c r="S241" s="264"/>
      <c r="T241" s="264"/>
      <c r="U241" s="360"/>
      <c r="V241" s="360"/>
      <c r="W241" s="360"/>
      <c r="X241" s="360"/>
      <c r="Y241" s="360"/>
      <c r="Z241" s="360"/>
      <c r="AA241" s="360"/>
      <c r="AB241" s="360"/>
      <c r="AC241" s="360"/>
      <c r="AD241" s="360"/>
      <c r="AE241" s="360"/>
      <c r="AF241" s="360"/>
      <c r="AG241" s="360" t="s">
        <v>1582</v>
      </c>
      <c r="AH241" s="360"/>
      <c r="AI241" s="360"/>
      <c r="AJ241" s="360" t="s">
        <v>1589</v>
      </c>
      <c r="AK241" s="360"/>
      <c r="AL241" s="360" t="s">
        <v>5878</v>
      </c>
      <c r="AM241" s="360"/>
      <c r="AN241" s="360"/>
      <c r="AO241" s="360"/>
      <c r="AP241" s="360"/>
      <c r="AQ241" s="360"/>
      <c r="AR241" s="360"/>
      <c r="AS241" s="360"/>
      <c r="AT241" s="360"/>
      <c r="AU241" s="360" t="s">
        <v>22</v>
      </c>
      <c r="AV241" s="360"/>
      <c r="AW241" s="264"/>
      <c r="AX241" s="264"/>
      <c r="AY241" s="264"/>
      <c r="AZ241" s="264"/>
      <c r="BA241" s="264"/>
      <c r="BB241" s="264"/>
      <c r="BC241" s="264"/>
      <c r="BD241" s="264"/>
      <c r="BE241" s="264"/>
    </row>
    <row r="242">
      <c r="A242" s="264"/>
      <c r="B242" s="264"/>
      <c r="C242" s="264"/>
      <c r="D242" s="264"/>
      <c r="E242" s="264"/>
      <c r="F242" s="264"/>
      <c r="G242" s="264"/>
      <c r="H242" s="264"/>
      <c r="I242" s="264"/>
      <c r="J242" s="264"/>
      <c r="K242" s="264"/>
      <c r="L242" s="264"/>
      <c r="M242" s="264" t="s">
        <v>22</v>
      </c>
      <c r="N242" s="264"/>
      <c r="O242" s="264" t="s">
        <v>22</v>
      </c>
      <c r="P242" s="264"/>
      <c r="Q242" s="264"/>
      <c r="R242" s="264"/>
      <c r="S242" s="264"/>
      <c r="T242" s="264"/>
      <c r="U242" s="360"/>
      <c r="V242" s="360"/>
      <c r="W242" s="360"/>
      <c r="X242" s="360"/>
      <c r="Y242" s="360"/>
      <c r="Z242" s="360"/>
      <c r="AA242" s="360"/>
      <c r="AB242" s="360"/>
      <c r="AC242" s="360"/>
      <c r="AD242" s="360"/>
      <c r="AE242" s="360"/>
      <c r="AF242" s="360"/>
      <c r="AG242" s="360" t="s">
        <v>1582</v>
      </c>
      <c r="AH242" s="360"/>
      <c r="AI242" s="360"/>
      <c r="AJ242" s="360" t="s">
        <v>1589</v>
      </c>
      <c r="AK242" s="360"/>
      <c r="AL242" s="360" t="s">
        <v>5878</v>
      </c>
      <c r="AM242" s="360"/>
      <c r="AN242" s="360"/>
      <c r="AO242" s="360"/>
      <c r="AP242" s="360"/>
      <c r="AQ242" s="360"/>
      <c r="AR242" s="360"/>
      <c r="AS242" s="360"/>
      <c r="AT242" s="360"/>
      <c r="AU242" s="360" t="s">
        <v>22</v>
      </c>
      <c r="AV242" s="360"/>
      <c r="AW242" s="264"/>
      <c r="AX242" s="264"/>
      <c r="AY242" s="264"/>
      <c r="AZ242" s="264"/>
      <c r="BA242" s="264"/>
      <c r="BB242" s="264"/>
      <c r="BC242" s="264"/>
      <c r="BD242" s="264"/>
      <c r="BE242" s="264"/>
    </row>
    <row r="243">
      <c r="A243" s="264"/>
      <c r="B243" s="264"/>
      <c r="C243" s="264"/>
      <c r="D243" s="264"/>
      <c r="E243" s="264"/>
      <c r="F243" s="264"/>
      <c r="G243" s="264"/>
      <c r="H243" s="264"/>
      <c r="I243" s="264"/>
      <c r="J243" s="264"/>
      <c r="K243" s="264"/>
      <c r="L243" s="264"/>
      <c r="M243" s="264" t="s">
        <v>22</v>
      </c>
      <c r="N243" s="264"/>
      <c r="O243" s="264" t="s">
        <v>22</v>
      </c>
      <c r="P243" s="264"/>
      <c r="Q243" s="264"/>
      <c r="R243" s="264"/>
      <c r="S243" s="264"/>
      <c r="T243" s="264"/>
      <c r="U243" s="360"/>
      <c r="V243" s="360"/>
      <c r="W243" s="360"/>
      <c r="X243" s="360"/>
      <c r="Y243" s="360"/>
      <c r="Z243" s="360"/>
      <c r="AA243" s="360"/>
      <c r="AB243" s="360"/>
      <c r="AC243" s="360"/>
      <c r="AD243" s="360"/>
      <c r="AE243" s="360"/>
      <c r="AF243" s="360"/>
      <c r="AG243" s="360" t="s">
        <v>1582</v>
      </c>
      <c r="AH243" s="360"/>
      <c r="AI243" s="360"/>
      <c r="AJ243" s="360" t="s">
        <v>1589</v>
      </c>
      <c r="AK243" s="360"/>
      <c r="AL243" s="360" t="s">
        <v>5878</v>
      </c>
      <c r="AM243" s="360"/>
      <c r="AN243" s="360"/>
      <c r="AO243" s="360"/>
      <c r="AP243" s="360"/>
      <c r="AQ243" s="360"/>
      <c r="AR243" s="360"/>
      <c r="AS243" s="360"/>
      <c r="AT243" s="360"/>
      <c r="AU243" s="360" t="s">
        <v>22</v>
      </c>
      <c r="AV243" s="360"/>
      <c r="AW243" s="264"/>
      <c r="AX243" s="264"/>
      <c r="AY243" s="264"/>
      <c r="AZ243" s="264"/>
      <c r="BA243" s="264"/>
      <c r="BB243" s="264"/>
      <c r="BC243" s="264"/>
      <c r="BD243" s="264"/>
      <c r="BE243" s="264"/>
    </row>
    <row r="244">
      <c r="A244" s="264"/>
      <c r="B244" s="264"/>
      <c r="C244" s="264"/>
      <c r="D244" s="264"/>
      <c r="E244" s="264"/>
      <c r="F244" s="264"/>
      <c r="G244" s="264"/>
      <c r="H244" s="264"/>
      <c r="I244" s="264"/>
      <c r="J244" s="264"/>
      <c r="K244" s="264"/>
      <c r="L244" s="264"/>
      <c r="M244" s="264" t="s">
        <v>22</v>
      </c>
      <c r="N244" s="264"/>
      <c r="O244" s="264" t="s">
        <v>22</v>
      </c>
      <c r="P244" s="264"/>
      <c r="Q244" s="264"/>
      <c r="R244" s="264"/>
      <c r="S244" s="264"/>
      <c r="T244" s="264"/>
      <c r="U244" s="360"/>
      <c r="V244" s="360"/>
      <c r="W244" s="360"/>
      <c r="X244" s="360"/>
      <c r="Y244" s="360"/>
      <c r="Z244" s="360"/>
      <c r="AA244" s="360"/>
      <c r="AB244" s="360"/>
      <c r="AC244" s="360"/>
      <c r="AD244" s="360"/>
      <c r="AE244" s="360"/>
      <c r="AF244" s="360"/>
      <c r="AG244" s="360" t="s">
        <v>1582</v>
      </c>
      <c r="AH244" s="360"/>
      <c r="AI244" s="360"/>
      <c r="AJ244" s="360" t="s">
        <v>1589</v>
      </c>
      <c r="AK244" s="360"/>
      <c r="AL244" s="360" t="s">
        <v>5878</v>
      </c>
      <c r="AM244" s="360"/>
      <c r="AN244" s="360"/>
      <c r="AO244" s="360"/>
      <c r="AP244" s="360"/>
      <c r="AQ244" s="360"/>
      <c r="AR244" s="360"/>
      <c r="AS244" s="360"/>
      <c r="AT244" s="360"/>
      <c r="AU244" s="360" t="s">
        <v>22</v>
      </c>
      <c r="AV244" s="360"/>
      <c r="AW244" s="264"/>
      <c r="AX244" s="264"/>
      <c r="AY244" s="264"/>
      <c r="AZ244" s="264"/>
      <c r="BA244" s="264"/>
      <c r="BB244" s="264"/>
      <c r="BC244" s="264"/>
      <c r="BD244" s="264"/>
      <c r="BE244" s="264"/>
    </row>
    <row r="245">
      <c r="A245" s="264"/>
      <c r="B245" s="264"/>
      <c r="C245" s="264"/>
      <c r="D245" s="264"/>
      <c r="E245" s="264"/>
      <c r="F245" s="264"/>
      <c r="G245" s="264"/>
      <c r="H245" s="264"/>
      <c r="I245" s="264"/>
      <c r="J245" s="264"/>
      <c r="K245" s="264"/>
      <c r="L245" s="264"/>
      <c r="M245" s="264" t="s">
        <v>22</v>
      </c>
      <c r="N245" s="264"/>
      <c r="O245" s="264" t="s">
        <v>22</v>
      </c>
      <c r="P245" s="264"/>
      <c r="Q245" s="264"/>
      <c r="R245" s="264"/>
      <c r="S245" s="264"/>
      <c r="T245" s="264"/>
      <c r="U245" s="360"/>
      <c r="V245" s="360"/>
      <c r="W245" s="360"/>
      <c r="X245" s="360"/>
      <c r="Y245" s="360"/>
      <c r="Z245" s="360"/>
      <c r="AA245" s="360"/>
      <c r="AB245" s="360"/>
      <c r="AC245" s="360"/>
      <c r="AD245" s="360"/>
      <c r="AE245" s="360"/>
      <c r="AF245" s="360"/>
      <c r="AG245" s="360" t="s">
        <v>1582</v>
      </c>
      <c r="AH245" s="360"/>
      <c r="AI245" s="360"/>
      <c r="AJ245" s="360" t="s">
        <v>1589</v>
      </c>
      <c r="AK245" s="360"/>
      <c r="AL245" s="360" t="s">
        <v>5878</v>
      </c>
      <c r="AM245" s="360"/>
      <c r="AN245" s="360"/>
      <c r="AO245" s="360"/>
      <c r="AP245" s="360"/>
      <c r="AQ245" s="360"/>
      <c r="AR245" s="360"/>
      <c r="AS245" s="360"/>
      <c r="AT245" s="360"/>
      <c r="AU245" s="360" t="s">
        <v>22</v>
      </c>
      <c r="AV245" s="360"/>
      <c r="AW245" s="264"/>
      <c r="AX245" s="264"/>
      <c r="AY245" s="264"/>
      <c r="AZ245" s="264"/>
      <c r="BA245" s="264"/>
      <c r="BB245" s="264"/>
      <c r="BC245" s="264"/>
      <c r="BD245" s="264"/>
      <c r="BE245" s="264"/>
    </row>
    <row r="246">
      <c r="A246" s="264"/>
      <c r="B246" s="264"/>
      <c r="C246" s="264"/>
      <c r="D246" s="264"/>
      <c r="E246" s="264"/>
      <c r="F246" s="264"/>
      <c r="G246" s="264"/>
      <c r="H246" s="264"/>
      <c r="I246" s="264"/>
      <c r="J246" s="264"/>
      <c r="K246" s="264"/>
      <c r="L246" s="264"/>
      <c r="M246" s="264" t="s">
        <v>22</v>
      </c>
      <c r="N246" s="264"/>
      <c r="O246" s="264" t="s">
        <v>22</v>
      </c>
      <c r="P246" s="264"/>
      <c r="Q246" s="264"/>
      <c r="R246" s="264"/>
      <c r="S246" s="264"/>
      <c r="T246" s="264"/>
      <c r="U246" s="360"/>
      <c r="V246" s="360"/>
      <c r="W246" s="360"/>
      <c r="X246" s="360"/>
      <c r="Y246" s="360"/>
      <c r="Z246" s="360"/>
      <c r="AA246" s="360"/>
      <c r="AB246" s="360"/>
      <c r="AC246" s="360"/>
      <c r="AD246" s="360"/>
      <c r="AE246" s="360"/>
      <c r="AF246" s="360"/>
      <c r="AG246" s="360" t="s">
        <v>1582</v>
      </c>
      <c r="AH246" s="360"/>
      <c r="AI246" s="360"/>
      <c r="AJ246" s="360" t="s">
        <v>1589</v>
      </c>
      <c r="AK246" s="360"/>
      <c r="AL246" s="360" t="s">
        <v>5878</v>
      </c>
      <c r="AM246" s="360"/>
      <c r="AN246" s="360"/>
      <c r="AO246" s="360"/>
      <c r="AP246" s="360"/>
      <c r="AQ246" s="360"/>
      <c r="AR246" s="360"/>
      <c r="AS246" s="360"/>
      <c r="AT246" s="360"/>
      <c r="AU246" s="360" t="s">
        <v>22</v>
      </c>
      <c r="AV246" s="360"/>
      <c r="AW246" s="264"/>
      <c r="AX246" s="264"/>
      <c r="AY246" s="264"/>
      <c r="AZ246" s="264"/>
      <c r="BA246" s="264"/>
      <c r="BB246" s="264"/>
      <c r="BC246" s="264"/>
      <c r="BD246" s="264"/>
      <c r="BE246" s="264"/>
    </row>
    <row r="247">
      <c r="A247" s="264"/>
      <c r="B247" s="264"/>
      <c r="C247" s="264"/>
      <c r="D247" s="264"/>
      <c r="E247" s="264"/>
      <c r="F247" s="264"/>
      <c r="G247" s="264"/>
      <c r="H247" s="264"/>
      <c r="I247" s="264"/>
      <c r="J247" s="264"/>
      <c r="K247" s="264"/>
      <c r="L247" s="264"/>
      <c r="M247" s="264" t="s">
        <v>22</v>
      </c>
      <c r="N247" s="264"/>
      <c r="O247" s="264" t="s">
        <v>22</v>
      </c>
      <c r="P247" s="264"/>
      <c r="Q247" s="264"/>
      <c r="R247" s="264"/>
      <c r="S247" s="264"/>
      <c r="T247" s="264"/>
      <c r="U247" s="360"/>
      <c r="V247" s="360"/>
      <c r="W247" s="360"/>
      <c r="X247" s="360"/>
      <c r="Y247" s="360"/>
      <c r="Z247" s="360"/>
      <c r="AA247" s="360"/>
      <c r="AB247" s="360"/>
      <c r="AC247" s="360"/>
      <c r="AD247" s="360"/>
      <c r="AE247" s="360"/>
      <c r="AF247" s="360"/>
      <c r="AG247" s="360" t="s">
        <v>1582</v>
      </c>
      <c r="AH247" s="360"/>
      <c r="AI247" s="360"/>
      <c r="AJ247" s="360" t="s">
        <v>1589</v>
      </c>
      <c r="AK247" s="360"/>
      <c r="AL247" s="360" t="s">
        <v>5878</v>
      </c>
      <c r="AM247" s="360"/>
      <c r="AN247" s="360"/>
      <c r="AO247" s="360"/>
      <c r="AP247" s="360"/>
      <c r="AQ247" s="360"/>
      <c r="AR247" s="360"/>
      <c r="AS247" s="360"/>
      <c r="AT247" s="360"/>
      <c r="AU247" s="360" t="s">
        <v>22</v>
      </c>
      <c r="AV247" s="360"/>
      <c r="AW247" s="264"/>
      <c r="AX247" s="264"/>
      <c r="AY247" s="264"/>
      <c r="AZ247" s="264"/>
      <c r="BA247" s="264"/>
      <c r="BB247" s="264"/>
      <c r="BC247" s="264"/>
      <c r="BD247" s="264"/>
      <c r="BE247" s="264"/>
    </row>
    <row r="248">
      <c r="A248" s="264"/>
      <c r="B248" s="264"/>
      <c r="C248" s="264"/>
      <c r="D248" s="264"/>
      <c r="E248" s="264"/>
      <c r="F248" s="264"/>
      <c r="G248" s="264"/>
      <c r="H248" s="264"/>
      <c r="I248" s="264"/>
      <c r="J248" s="264"/>
      <c r="K248" s="264"/>
      <c r="L248" s="264"/>
      <c r="M248" s="264" t="s">
        <v>22</v>
      </c>
      <c r="N248" s="264"/>
      <c r="O248" s="264" t="s">
        <v>22</v>
      </c>
      <c r="P248" s="264"/>
      <c r="Q248" s="264"/>
      <c r="R248" s="264"/>
      <c r="S248" s="264"/>
      <c r="T248" s="264"/>
      <c r="U248" s="360"/>
      <c r="V248" s="360"/>
      <c r="W248" s="360"/>
      <c r="X248" s="360"/>
      <c r="Y248" s="360"/>
      <c r="Z248" s="360"/>
      <c r="AA248" s="360"/>
      <c r="AB248" s="360"/>
      <c r="AC248" s="360"/>
      <c r="AD248" s="360"/>
      <c r="AE248" s="360"/>
      <c r="AF248" s="360"/>
      <c r="AG248" s="360" t="s">
        <v>1582</v>
      </c>
      <c r="AH248" s="360"/>
      <c r="AI248" s="360"/>
      <c r="AJ248" s="360" t="s">
        <v>1589</v>
      </c>
      <c r="AK248" s="360"/>
      <c r="AL248" s="360" t="s">
        <v>5878</v>
      </c>
      <c r="AM248" s="360"/>
      <c r="AN248" s="360"/>
      <c r="AO248" s="360"/>
      <c r="AP248" s="360"/>
      <c r="AQ248" s="360"/>
      <c r="AR248" s="360"/>
      <c r="AS248" s="360"/>
      <c r="AT248" s="360"/>
      <c r="AU248" s="360" t="s">
        <v>22</v>
      </c>
      <c r="AV248" s="360"/>
      <c r="AW248" s="264"/>
      <c r="AX248" s="264"/>
      <c r="AY248" s="264"/>
      <c r="AZ248" s="264"/>
      <c r="BA248" s="264"/>
      <c r="BB248" s="264"/>
      <c r="BC248" s="264"/>
      <c r="BD248" s="264"/>
      <c r="BE248" s="264"/>
    </row>
    <row r="249">
      <c r="A249" s="264"/>
      <c r="B249" s="264"/>
      <c r="C249" s="264"/>
      <c r="D249" s="264"/>
      <c r="E249" s="264"/>
      <c r="F249" s="264"/>
      <c r="G249" s="264"/>
      <c r="H249" s="264"/>
      <c r="I249" s="264"/>
      <c r="J249" s="264"/>
      <c r="K249" s="264"/>
      <c r="L249" s="264"/>
      <c r="M249" s="264" t="s">
        <v>22</v>
      </c>
      <c r="N249" s="264"/>
      <c r="O249" s="264" t="s">
        <v>22</v>
      </c>
      <c r="P249" s="264"/>
      <c r="Q249" s="264"/>
      <c r="R249" s="264"/>
      <c r="S249" s="264"/>
      <c r="T249" s="264"/>
      <c r="U249" s="360"/>
      <c r="V249" s="360"/>
      <c r="W249" s="360"/>
      <c r="X249" s="360"/>
      <c r="Y249" s="360"/>
      <c r="Z249" s="360"/>
      <c r="AA249" s="360"/>
      <c r="AB249" s="360"/>
      <c r="AC249" s="360"/>
      <c r="AD249" s="360"/>
      <c r="AE249" s="360"/>
      <c r="AF249" s="360"/>
      <c r="AG249" s="360" t="s">
        <v>1582</v>
      </c>
      <c r="AH249" s="360"/>
      <c r="AI249" s="360"/>
      <c r="AJ249" s="360" t="s">
        <v>1589</v>
      </c>
      <c r="AK249" s="360"/>
      <c r="AL249" s="360" t="s">
        <v>5878</v>
      </c>
      <c r="AM249" s="360"/>
      <c r="AN249" s="360"/>
      <c r="AO249" s="360"/>
      <c r="AP249" s="360"/>
      <c r="AQ249" s="360"/>
      <c r="AR249" s="360"/>
      <c r="AS249" s="360"/>
      <c r="AT249" s="360"/>
      <c r="AU249" s="360" t="s">
        <v>22</v>
      </c>
      <c r="AV249" s="360"/>
      <c r="AW249" s="264"/>
      <c r="AX249" s="264"/>
      <c r="AY249" s="264"/>
      <c r="AZ249" s="264"/>
      <c r="BA249" s="264"/>
      <c r="BB249" s="264"/>
      <c r="BC249" s="264"/>
      <c r="BD249" s="264"/>
      <c r="BE249" s="264"/>
    </row>
    <row r="250">
      <c r="A250" s="264"/>
      <c r="B250" s="264"/>
      <c r="C250" s="264"/>
      <c r="D250" s="264"/>
      <c r="E250" s="264"/>
      <c r="F250" s="264"/>
      <c r="G250" s="264"/>
      <c r="H250" s="264"/>
      <c r="I250" s="264"/>
      <c r="J250" s="264"/>
      <c r="K250" s="264"/>
      <c r="L250" s="264"/>
      <c r="M250" s="264" t="s">
        <v>22</v>
      </c>
      <c r="N250" s="264"/>
      <c r="O250" s="264" t="s">
        <v>22</v>
      </c>
      <c r="P250" s="264"/>
      <c r="Q250" s="264"/>
      <c r="R250" s="264"/>
      <c r="S250" s="264"/>
      <c r="T250" s="264"/>
      <c r="U250" s="360"/>
      <c r="V250" s="360"/>
      <c r="W250" s="360"/>
      <c r="X250" s="360"/>
      <c r="Y250" s="360"/>
      <c r="Z250" s="360"/>
      <c r="AA250" s="360"/>
      <c r="AB250" s="360"/>
      <c r="AC250" s="360"/>
      <c r="AD250" s="360"/>
      <c r="AE250" s="360"/>
      <c r="AF250" s="360"/>
      <c r="AG250" s="360" t="s">
        <v>1582</v>
      </c>
      <c r="AH250" s="360"/>
      <c r="AI250" s="360"/>
      <c r="AJ250" s="360" t="s">
        <v>1589</v>
      </c>
      <c r="AK250" s="360"/>
      <c r="AL250" s="360" t="s">
        <v>5878</v>
      </c>
      <c r="AM250" s="360"/>
      <c r="AN250" s="360"/>
      <c r="AO250" s="360"/>
      <c r="AP250" s="360"/>
      <c r="AQ250" s="360"/>
      <c r="AR250" s="360"/>
      <c r="AS250" s="360"/>
      <c r="AT250" s="360"/>
      <c r="AU250" s="360" t="s">
        <v>22</v>
      </c>
      <c r="AV250" s="360"/>
      <c r="AW250" s="264"/>
      <c r="AX250" s="264"/>
      <c r="AY250" s="264"/>
      <c r="AZ250" s="264"/>
      <c r="BA250" s="264"/>
      <c r="BB250" s="264"/>
      <c r="BC250" s="264"/>
      <c r="BD250" s="264"/>
      <c r="BE250" s="264"/>
    </row>
    <row r="251">
      <c r="A251" s="264"/>
      <c r="B251" s="264"/>
      <c r="C251" s="264"/>
      <c r="D251" s="264"/>
      <c r="E251" s="264"/>
      <c r="F251" s="264"/>
      <c r="G251" s="264"/>
      <c r="H251" s="264"/>
      <c r="I251" s="264"/>
      <c r="J251" s="264"/>
      <c r="K251" s="264"/>
      <c r="L251" s="264"/>
      <c r="M251" s="264" t="s">
        <v>22</v>
      </c>
      <c r="N251" s="264"/>
      <c r="O251" s="264" t="s">
        <v>22</v>
      </c>
      <c r="P251" s="264"/>
      <c r="Q251" s="264"/>
      <c r="R251" s="264"/>
      <c r="S251" s="264"/>
      <c r="T251" s="264"/>
      <c r="U251" s="360"/>
      <c r="V251" s="360"/>
      <c r="W251" s="360"/>
      <c r="X251" s="360"/>
      <c r="Y251" s="360"/>
      <c r="Z251" s="360"/>
      <c r="AA251" s="360"/>
      <c r="AB251" s="360"/>
      <c r="AC251" s="360"/>
      <c r="AD251" s="360"/>
      <c r="AE251" s="360"/>
      <c r="AF251" s="360"/>
      <c r="AG251" s="360" t="s">
        <v>1582</v>
      </c>
      <c r="AH251" s="360"/>
      <c r="AI251" s="360"/>
      <c r="AJ251" s="360" t="s">
        <v>1589</v>
      </c>
      <c r="AK251" s="360"/>
      <c r="AL251" s="360" t="s">
        <v>5878</v>
      </c>
      <c r="AM251" s="360"/>
      <c r="AN251" s="360"/>
      <c r="AO251" s="360"/>
      <c r="AP251" s="360"/>
      <c r="AQ251" s="360"/>
      <c r="AR251" s="360"/>
      <c r="AS251" s="360"/>
      <c r="AT251" s="360"/>
      <c r="AU251" s="360" t="s">
        <v>22</v>
      </c>
      <c r="AV251" s="360"/>
      <c r="AW251" s="264"/>
      <c r="AX251" s="264"/>
      <c r="AY251" s="264"/>
      <c r="AZ251" s="264"/>
      <c r="BA251" s="264"/>
      <c r="BB251" s="264"/>
      <c r="BC251" s="264"/>
      <c r="BD251" s="264"/>
      <c r="BE251" s="264"/>
    </row>
    <row r="252">
      <c r="A252" s="264"/>
      <c r="B252" s="264"/>
      <c r="C252" s="264"/>
      <c r="D252" s="264"/>
      <c r="E252" s="264"/>
      <c r="F252" s="264"/>
      <c r="G252" s="264"/>
      <c r="H252" s="264"/>
      <c r="I252" s="264"/>
      <c r="J252" s="264"/>
      <c r="K252" s="264"/>
      <c r="L252" s="264"/>
      <c r="M252" s="264" t="s">
        <v>22</v>
      </c>
      <c r="N252" s="264"/>
      <c r="O252" s="264" t="s">
        <v>22</v>
      </c>
      <c r="P252" s="264"/>
      <c r="Q252" s="264"/>
      <c r="R252" s="264"/>
      <c r="S252" s="264"/>
      <c r="T252" s="264"/>
      <c r="U252" s="360"/>
      <c r="V252" s="360"/>
      <c r="W252" s="360"/>
      <c r="X252" s="360"/>
      <c r="Y252" s="360"/>
      <c r="Z252" s="360"/>
      <c r="AA252" s="360"/>
      <c r="AB252" s="360"/>
      <c r="AC252" s="360"/>
      <c r="AD252" s="360"/>
      <c r="AE252" s="360"/>
      <c r="AF252" s="360"/>
      <c r="AG252" s="360" t="s">
        <v>1582</v>
      </c>
      <c r="AH252" s="360"/>
      <c r="AI252" s="360"/>
      <c r="AJ252" s="360" t="s">
        <v>1589</v>
      </c>
      <c r="AK252" s="360"/>
      <c r="AL252" s="360" t="s">
        <v>5878</v>
      </c>
      <c r="AM252" s="360"/>
      <c r="AN252" s="360"/>
      <c r="AO252" s="360"/>
      <c r="AP252" s="360"/>
      <c r="AQ252" s="360"/>
      <c r="AR252" s="360"/>
      <c r="AS252" s="360"/>
      <c r="AT252" s="360"/>
      <c r="AU252" s="360" t="s">
        <v>22</v>
      </c>
      <c r="AV252" s="360"/>
      <c r="AW252" s="264"/>
      <c r="AX252" s="264"/>
      <c r="AY252" s="264"/>
      <c r="AZ252" s="264"/>
      <c r="BA252" s="264"/>
      <c r="BB252" s="264"/>
      <c r="BC252" s="264"/>
      <c r="BD252" s="264"/>
      <c r="BE252" s="264"/>
    </row>
    <row r="253">
      <c r="A253" s="264"/>
      <c r="B253" s="264"/>
      <c r="C253" s="264"/>
      <c r="D253" s="264"/>
      <c r="E253" s="264"/>
      <c r="F253" s="264"/>
      <c r="G253" s="264"/>
      <c r="H253" s="264"/>
      <c r="I253" s="264"/>
      <c r="J253" s="264"/>
      <c r="K253" s="264"/>
      <c r="L253" s="264"/>
      <c r="M253" s="264" t="s">
        <v>22</v>
      </c>
      <c r="N253" s="264"/>
      <c r="O253" s="264" t="s">
        <v>22</v>
      </c>
      <c r="P253" s="264"/>
      <c r="Q253" s="264"/>
      <c r="R253" s="264"/>
      <c r="S253" s="264"/>
      <c r="T253" s="264"/>
      <c r="U253" s="360"/>
      <c r="V253" s="360"/>
      <c r="W253" s="360"/>
      <c r="X253" s="360"/>
      <c r="Y253" s="360"/>
      <c r="Z253" s="360"/>
      <c r="AA253" s="360"/>
      <c r="AB253" s="360"/>
      <c r="AC253" s="360"/>
      <c r="AD253" s="360"/>
      <c r="AE253" s="360"/>
      <c r="AF253" s="360"/>
      <c r="AG253" s="360" t="s">
        <v>1582</v>
      </c>
      <c r="AH253" s="360"/>
      <c r="AI253" s="360"/>
      <c r="AJ253" s="360" t="s">
        <v>1589</v>
      </c>
      <c r="AK253" s="360"/>
      <c r="AL253" s="360" t="s">
        <v>5878</v>
      </c>
      <c r="AM253" s="360"/>
      <c r="AN253" s="360"/>
      <c r="AO253" s="360"/>
      <c r="AP253" s="360"/>
      <c r="AQ253" s="360"/>
      <c r="AR253" s="360"/>
      <c r="AS253" s="360"/>
      <c r="AT253" s="360"/>
      <c r="AU253" s="360" t="s">
        <v>22</v>
      </c>
      <c r="AV253" s="360"/>
      <c r="AW253" s="264"/>
      <c r="AX253" s="264"/>
      <c r="AY253" s="264"/>
      <c r="AZ253" s="264"/>
      <c r="BA253" s="264"/>
      <c r="BB253" s="264"/>
      <c r="BC253" s="264"/>
      <c r="BD253" s="264"/>
      <c r="BE253" s="264"/>
    </row>
    <row r="254">
      <c r="A254" s="264"/>
      <c r="B254" s="264"/>
      <c r="C254" s="264"/>
      <c r="D254" s="264"/>
      <c r="E254" s="264"/>
      <c r="F254" s="264"/>
      <c r="G254" s="264"/>
      <c r="H254" s="264"/>
      <c r="I254" s="264"/>
      <c r="J254" s="264"/>
      <c r="K254" s="264"/>
      <c r="L254" s="264"/>
      <c r="M254" s="264" t="s">
        <v>22</v>
      </c>
      <c r="N254" s="264"/>
      <c r="O254" s="264" t="s">
        <v>22</v>
      </c>
      <c r="P254" s="264"/>
      <c r="Q254" s="264"/>
      <c r="R254" s="264"/>
      <c r="S254" s="264"/>
      <c r="T254" s="264"/>
      <c r="U254" s="360"/>
      <c r="V254" s="360"/>
      <c r="W254" s="360"/>
      <c r="X254" s="360"/>
      <c r="Y254" s="360"/>
      <c r="Z254" s="360"/>
      <c r="AA254" s="360"/>
      <c r="AB254" s="360"/>
      <c r="AC254" s="360"/>
      <c r="AD254" s="360"/>
      <c r="AE254" s="360"/>
      <c r="AF254" s="360"/>
      <c r="AG254" s="360" t="s">
        <v>1582</v>
      </c>
      <c r="AH254" s="360"/>
      <c r="AI254" s="360"/>
      <c r="AJ254" s="360" t="s">
        <v>1589</v>
      </c>
      <c r="AK254" s="360"/>
      <c r="AL254" s="360" t="s">
        <v>5878</v>
      </c>
      <c r="AM254" s="360"/>
      <c r="AN254" s="360"/>
      <c r="AO254" s="360"/>
      <c r="AP254" s="360"/>
      <c r="AQ254" s="360"/>
      <c r="AR254" s="360"/>
      <c r="AS254" s="360"/>
      <c r="AT254" s="360"/>
      <c r="AU254" s="360" t="s">
        <v>22</v>
      </c>
      <c r="AV254" s="360"/>
      <c r="AW254" s="264"/>
      <c r="AX254" s="264"/>
      <c r="AY254" s="264"/>
      <c r="AZ254" s="264"/>
      <c r="BA254" s="264"/>
      <c r="BB254" s="264"/>
      <c r="BC254" s="264"/>
      <c r="BD254" s="264"/>
      <c r="BE254" s="264"/>
    </row>
    <row r="255">
      <c r="A255" s="264"/>
      <c r="B255" s="264"/>
      <c r="C255" s="264"/>
      <c r="D255" s="264"/>
      <c r="E255" s="264"/>
      <c r="F255" s="264"/>
      <c r="G255" s="264"/>
      <c r="H255" s="264"/>
      <c r="I255" s="264"/>
      <c r="J255" s="264"/>
      <c r="K255" s="264"/>
      <c r="L255" s="264"/>
      <c r="M255" s="264" t="s">
        <v>22</v>
      </c>
      <c r="N255" s="264"/>
      <c r="O255" s="264" t="s">
        <v>22</v>
      </c>
      <c r="P255" s="264"/>
      <c r="Q255" s="264"/>
      <c r="R255" s="264"/>
      <c r="S255" s="264"/>
      <c r="T255" s="264"/>
      <c r="U255" s="360"/>
      <c r="V255" s="360"/>
      <c r="W255" s="360"/>
      <c r="X255" s="360"/>
      <c r="Y255" s="360"/>
      <c r="Z255" s="360"/>
      <c r="AA255" s="360"/>
      <c r="AB255" s="360"/>
      <c r="AC255" s="360"/>
      <c r="AD255" s="360"/>
      <c r="AE255" s="360"/>
      <c r="AF255" s="360"/>
      <c r="AG255" s="360" t="s">
        <v>1582</v>
      </c>
      <c r="AH255" s="360"/>
      <c r="AI255" s="360"/>
      <c r="AJ255" s="360" t="s">
        <v>1589</v>
      </c>
      <c r="AK255" s="360"/>
      <c r="AL255" s="360" t="s">
        <v>5878</v>
      </c>
      <c r="AM255" s="360"/>
      <c r="AN255" s="360"/>
      <c r="AO255" s="360"/>
      <c r="AP255" s="360"/>
      <c r="AQ255" s="360"/>
      <c r="AR255" s="360"/>
      <c r="AS255" s="360"/>
      <c r="AT255" s="360"/>
      <c r="AU255" s="360" t="s">
        <v>22</v>
      </c>
      <c r="AV255" s="360"/>
      <c r="AW255" s="264"/>
      <c r="AX255" s="264"/>
      <c r="AY255" s="264"/>
      <c r="AZ255" s="264"/>
      <c r="BA255" s="264"/>
      <c r="BB255" s="264"/>
      <c r="BC255" s="264"/>
      <c r="BD255" s="264"/>
      <c r="BE255" s="264"/>
    </row>
    <row r="256">
      <c r="A256" s="264"/>
      <c r="B256" s="264"/>
      <c r="C256" s="264"/>
      <c r="D256" s="264"/>
      <c r="E256" s="264"/>
      <c r="F256" s="264"/>
      <c r="G256" s="264"/>
      <c r="H256" s="264"/>
      <c r="I256" s="264"/>
      <c r="J256" s="264"/>
      <c r="K256" s="264"/>
      <c r="L256" s="264"/>
      <c r="M256" s="264" t="s">
        <v>22</v>
      </c>
      <c r="N256" s="264"/>
      <c r="O256" s="264" t="s">
        <v>22</v>
      </c>
      <c r="P256" s="264"/>
      <c r="Q256" s="264"/>
      <c r="R256" s="264"/>
      <c r="S256" s="264"/>
      <c r="T256" s="264"/>
      <c r="U256" s="360"/>
      <c r="V256" s="360"/>
      <c r="W256" s="360"/>
      <c r="X256" s="360"/>
      <c r="Y256" s="360"/>
      <c r="Z256" s="360"/>
      <c r="AA256" s="360"/>
      <c r="AB256" s="360"/>
      <c r="AC256" s="360"/>
      <c r="AD256" s="360"/>
      <c r="AE256" s="360"/>
      <c r="AF256" s="360"/>
      <c r="AG256" s="360" t="s">
        <v>1582</v>
      </c>
      <c r="AH256" s="360"/>
      <c r="AI256" s="360"/>
      <c r="AJ256" s="360" t="s">
        <v>1589</v>
      </c>
      <c r="AK256" s="360"/>
      <c r="AL256" s="360" t="s">
        <v>5878</v>
      </c>
      <c r="AM256" s="360"/>
      <c r="AN256" s="360"/>
      <c r="AO256" s="360"/>
      <c r="AP256" s="360"/>
      <c r="AQ256" s="360"/>
      <c r="AR256" s="360"/>
      <c r="AS256" s="360"/>
      <c r="AT256" s="360"/>
      <c r="AU256" s="360" t="s">
        <v>22</v>
      </c>
      <c r="AV256" s="360"/>
      <c r="AW256" s="264"/>
      <c r="AX256" s="264"/>
      <c r="AY256" s="264"/>
      <c r="AZ256" s="264"/>
      <c r="BA256" s="264"/>
      <c r="BB256" s="264"/>
      <c r="BC256" s="264"/>
      <c r="BD256" s="264"/>
      <c r="BE256" s="264"/>
    </row>
    <row r="257">
      <c r="A257" s="264"/>
      <c r="B257" s="264"/>
      <c r="C257" s="264"/>
      <c r="D257" s="264"/>
      <c r="E257" s="264"/>
      <c r="F257" s="264"/>
      <c r="G257" s="264"/>
      <c r="H257" s="264"/>
      <c r="I257" s="264"/>
      <c r="J257" s="264"/>
      <c r="K257" s="264"/>
      <c r="L257" s="264"/>
      <c r="M257" s="264" t="s">
        <v>22</v>
      </c>
      <c r="N257" s="264"/>
      <c r="O257" s="264" t="s">
        <v>22</v>
      </c>
      <c r="P257" s="264"/>
      <c r="Q257" s="264"/>
      <c r="R257" s="264"/>
      <c r="S257" s="264"/>
      <c r="T257" s="264"/>
      <c r="U257" s="360"/>
      <c r="V257" s="360"/>
      <c r="W257" s="360"/>
      <c r="X257" s="360"/>
      <c r="Y257" s="360"/>
      <c r="Z257" s="360"/>
      <c r="AA257" s="360"/>
      <c r="AB257" s="360"/>
      <c r="AC257" s="360"/>
      <c r="AD257" s="360"/>
      <c r="AE257" s="360"/>
      <c r="AF257" s="360"/>
      <c r="AG257" s="360" t="s">
        <v>1582</v>
      </c>
      <c r="AH257" s="360"/>
      <c r="AI257" s="360"/>
      <c r="AJ257" s="360" t="s">
        <v>1589</v>
      </c>
      <c r="AK257" s="360"/>
      <c r="AL257" s="360" t="s">
        <v>5878</v>
      </c>
      <c r="AM257" s="360"/>
      <c r="AN257" s="360"/>
      <c r="AO257" s="360"/>
      <c r="AP257" s="360"/>
      <c r="AQ257" s="360"/>
      <c r="AR257" s="360"/>
      <c r="AS257" s="360"/>
      <c r="AT257" s="360"/>
      <c r="AU257" s="360" t="s">
        <v>22</v>
      </c>
      <c r="AV257" s="360"/>
      <c r="AW257" s="264"/>
      <c r="AX257" s="264"/>
      <c r="AY257" s="264"/>
      <c r="AZ257" s="264"/>
      <c r="BA257" s="264"/>
      <c r="BB257" s="264"/>
      <c r="BC257" s="264"/>
      <c r="BD257" s="264"/>
      <c r="BE257" s="264"/>
    </row>
    <row r="258">
      <c r="A258" s="264"/>
      <c r="B258" s="264"/>
      <c r="C258" s="264"/>
      <c r="D258" s="264"/>
      <c r="E258" s="264"/>
      <c r="F258" s="264"/>
      <c r="G258" s="264"/>
      <c r="H258" s="264"/>
      <c r="I258" s="264"/>
      <c r="J258" s="264"/>
      <c r="K258" s="264"/>
      <c r="L258" s="264"/>
      <c r="M258" s="264" t="s">
        <v>22</v>
      </c>
      <c r="N258" s="264"/>
      <c r="O258" s="264" t="s">
        <v>22</v>
      </c>
      <c r="P258" s="264"/>
      <c r="Q258" s="264"/>
      <c r="R258" s="264"/>
      <c r="S258" s="264"/>
      <c r="T258" s="264"/>
      <c r="U258" s="360"/>
      <c r="V258" s="360"/>
      <c r="W258" s="360"/>
      <c r="X258" s="360"/>
      <c r="Y258" s="360"/>
      <c r="Z258" s="360"/>
      <c r="AA258" s="360"/>
      <c r="AB258" s="360"/>
      <c r="AC258" s="360"/>
      <c r="AD258" s="360"/>
      <c r="AE258" s="360"/>
      <c r="AF258" s="360"/>
      <c r="AG258" s="360" t="s">
        <v>1582</v>
      </c>
      <c r="AH258" s="360"/>
      <c r="AI258" s="360"/>
      <c r="AJ258" s="360" t="s">
        <v>1589</v>
      </c>
      <c r="AK258" s="360"/>
      <c r="AL258" s="360" t="s">
        <v>5878</v>
      </c>
      <c r="AM258" s="360"/>
      <c r="AN258" s="360"/>
      <c r="AO258" s="360"/>
      <c r="AP258" s="360"/>
      <c r="AQ258" s="360"/>
      <c r="AR258" s="360"/>
      <c r="AS258" s="360"/>
      <c r="AT258" s="360"/>
      <c r="AU258" s="360" t="s">
        <v>22</v>
      </c>
      <c r="AV258" s="360"/>
      <c r="AW258" s="264"/>
      <c r="AX258" s="264"/>
      <c r="AY258" s="264"/>
      <c r="AZ258" s="264"/>
      <c r="BA258" s="264"/>
      <c r="BB258" s="264"/>
      <c r="BC258" s="264"/>
      <c r="BD258" s="264"/>
      <c r="BE258" s="264"/>
    </row>
    <row r="259">
      <c r="A259" s="264"/>
      <c r="B259" s="264"/>
      <c r="C259" s="264"/>
      <c r="D259" s="264"/>
      <c r="E259" s="264"/>
      <c r="F259" s="264"/>
      <c r="G259" s="264"/>
      <c r="H259" s="264"/>
      <c r="I259" s="264"/>
      <c r="J259" s="264"/>
      <c r="K259" s="264"/>
      <c r="L259" s="264"/>
      <c r="M259" s="264" t="s">
        <v>22</v>
      </c>
      <c r="N259" s="264"/>
      <c r="O259" s="264" t="s">
        <v>22</v>
      </c>
      <c r="P259" s="264"/>
      <c r="Q259" s="264"/>
      <c r="R259" s="264"/>
      <c r="S259" s="264"/>
      <c r="T259" s="264"/>
      <c r="U259" s="360"/>
      <c r="V259" s="360"/>
      <c r="W259" s="360"/>
      <c r="X259" s="360"/>
      <c r="Y259" s="360"/>
      <c r="Z259" s="360"/>
      <c r="AA259" s="360"/>
      <c r="AB259" s="360"/>
      <c r="AC259" s="360"/>
      <c r="AD259" s="360"/>
      <c r="AE259" s="360"/>
      <c r="AF259" s="360"/>
      <c r="AG259" s="360" t="s">
        <v>1582</v>
      </c>
      <c r="AH259" s="360"/>
      <c r="AI259" s="360"/>
      <c r="AJ259" s="360" t="s">
        <v>1589</v>
      </c>
      <c r="AK259" s="360"/>
      <c r="AL259" s="360" t="s">
        <v>5878</v>
      </c>
      <c r="AM259" s="360"/>
      <c r="AN259" s="360"/>
      <c r="AO259" s="360"/>
      <c r="AP259" s="360"/>
      <c r="AQ259" s="360"/>
      <c r="AR259" s="360"/>
      <c r="AS259" s="360"/>
      <c r="AT259" s="360"/>
      <c r="AU259" s="360" t="s">
        <v>22</v>
      </c>
      <c r="AV259" s="360"/>
      <c r="AW259" s="264"/>
      <c r="AX259" s="264"/>
      <c r="AY259" s="264"/>
      <c r="AZ259" s="264"/>
      <c r="BA259" s="264"/>
      <c r="BB259" s="264"/>
      <c r="BC259" s="264"/>
      <c r="BD259" s="264"/>
      <c r="BE259" s="264"/>
    </row>
    <row r="260">
      <c r="A260" s="264"/>
      <c r="B260" s="264"/>
      <c r="C260" s="264"/>
      <c r="D260" s="264"/>
      <c r="E260" s="264"/>
      <c r="F260" s="264"/>
      <c r="G260" s="264"/>
      <c r="H260" s="264"/>
      <c r="I260" s="264"/>
      <c r="J260" s="264"/>
      <c r="K260" s="264"/>
      <c r="L260" s="264"/>
      <c r="M260" s="264" t="s">
        <v>22</v>
      </c>
      <c r="N260" s="264"/>
      <c r="O260" s="264" t="s">
        <v>22</v>
      </c>
      <c r="P260" s="264"/>
      <c r="Q260" s="264"/>
      <c r="R260" s="264"/>
      <c r="S260" s="264"/>
      <c r="T260" s="264"/>
      <c r="U260" s="360"/>
      <c r="V260" s="360"/>
      <c r="W260" s="360"/>
      <c r="X260" s="360"/>
      <c r="Y260" s="360"/>
      <c r="Z260" s="360"/>
      <c r="AA260" s="360"/>
      <c r="AB260" s="360"/>
      <c r="AC260" s="360"/>
      <c r="AD260" s="360"/>
      <c r="AE260" s="360"/>
      <c r="AF260" s="360"/>
      <c r="AG260" s="360" t="s">
        <v>1582</v>
      </c>
      <c r="AH260" s="360"/>
      <c r="AI260" s="360"/>
      <c r="AJ260" s="360" t="s">
        <v>1589</v>
      </c>
      <c r="AK260" s="360"/>
      <c r="AL260" s="360" t="s">
        <v>5878</v>
      </c>
      <c r="AM260" s="360"/>
      <c r="AN260" s="360"/>
      <c r="AO260" s="360"/>
      <c r="AP260" s="360"/>
      <c r="AQ260" s="360"/>
      <c r="AR260" s="360"/>
      <c r="AS260" s="360"/>
      <c r="AT260" s="360"/>
      <c r="AU260" s="360" t="s">
        <v>22</v>
      </c>
      <c r="AV260" s="360"/>
      <c r="AW260" s="264"/>
      <c r="AX260" s="264"/>
      <c r="AY260" s="264"/>
      <c r="AZ260" s="264"/>
      <c r="BA260" s="264"/>
      <c r="BB260" s="264"/>
      <c r="BC260" s="264"/>
      <c r="BD260" s="264"/>
      <c r="BE260" s="264"/>
    </row>
    <row r="261">
      <c r="A261" s="264"/>
      <c r="B261" s="264"/>
      <c r="C261" s="264"/>
      <c r="D261" s="264"/>
      <c r="E261" s="264"/>
      <c r="F261" s="264"/>
      <c r="G261" s="264"/>
      <c r="H261" s="264"/>
      <c r="I261" s="264"/>
      <c r="J261" s="264"/>
      <c r="K261" s="264"/>
      <c r="L261" s="264"/>
      <c r="M261" s="264" t="s">
        <v>22</v>
      </c>
      <c r="N261" s="264"/>
      <c r="O261" s="264" t="s">
        <v>22</v>
      </c>
      <c r="P261" s="264"/>
      <c r="Q261" s="264"/>
      <c r="R261" s="264"/>
      <c r="S261" s="264"/>
      <c r="T261" s="264"/>
      <c r="U261" s="360"/>
      <c r="V261" s="360"/>
      <c r="W261" s="360"/>
      <c r="X261" s="360"/>
      <c r="Y261" s="360"/>
      <c r="Z261" s="360"/>
      <c r="AA261" s="360"/>
      <c r="AB261" s="360"/>
      <c r="AC261" s="360"/>
      <c r="AD261" s="360"/>
      <c r="AE261" s="360"/>
      <c r="AF261" s="360"/>
      <c r="AG261" s="360" t="s">
        <v>1582</v>
      </c>
      <c r="AH261" s="360"/>
      <c r="AI261" s="360"/>
      <c r="AJ261" s="360" t="s">
        <v>1589</v>
      </c>
      <c r="AK261" s="360"/>
      <c r="AL261" s="360" t="s">
        <v>5878</v>
      </c>
      <c r="AM261" s="360"/>
      <c r="AN261" s="360"/>
      <c r="AO261" s="360"/>
      <c r="AP261" s="360"/>
      <c r="AQ261" s="360"/>
      <c r="AR261" s="360"/>
      <c r="AS261" s="360"/>
      <c r="AT261" s="360"/>
      <c r="AU261" s="360" t="s">
        <v>22</v>
      </c>
      <c r="AV261" s="360"/>
      <c r="AW261" s="264"/>
      <c r="AX261" s="264"/>
      <c r="AY261" s="264"/>
      <c r="AZ261" s="264"/>
      <c r="BA261" s="264"/>
      <c r="BB261" s="264"/>
      <c r="BC261" s="264"/>
      <c r="BD261" s="264"/>
      <c r="BE261" s="264"/>
    </row>
    <row r="262">
      <c r="A262" s="264"/>
      <c r="B262" s="264"/>
      <c r="C262" s="264"/>
      <c r="D262" s="264"/>
      <c r="E262" s="264"/>
      <c r="F262" s="264"/>
      <c r="G262" s="264"/>
      <c r="H262" s="264"/>
      <c r="I262" s="264"/>
      <c r="J262" s="264"/>
      <c r="K262" s="264"/>
      <c r="L262" s="264"/>
      <c r="M262" s="264" t="s">
        <v>22</v>
      </c>
      <c r="N262" s="264"/>
      <c r="O262" s="264" t="s">
        <v>22</v>
      </c>
      <c r="P262" s="264"/>
      <c r="Q262" s="264"/>
      <c r="R262" s="264"/>
      <c r="S262" s="264"/>
      <c r="T262" s="264"/>
      <c r="U262" s="360"/>
      <c r="V262" s="360"/>
      <c r="W262" s="360"/>
      <c r="X262" s="360"/>
      <c r="Y262" s="360"/>
      <c r="Z262" s="360"/>
      <c r="AA262" s="360"/>
      <c r="AB262" s="360"/>
      <c r="AC262" s="360"/>
      <c r="AD262" s="360"/>
      <c r="AE262" s="360"/>
      <c r="AF262" s="360"/>
      <c r="AG262" s="360" t="s">
        <v>1582</v>
      </c>
      <c r="AH262" s="360"/>
      <c r="AI262" s="360"/>
      <c r="AJ262" s="360" t="s">
        <v>1589</v>
      </c>
      <c r="AK262" s="360"/>
      <c r="AL262" s="360" t="s">
        <v>5878</v>
      </c>
      <c r="AM262" s="360"/>
      <c r="AN262" s="360"/>
      <c r="AO262" s="360"/>
      <c r="AP262" s="360"/>
      <c r="AQ262" s="360"/>
      <c r="AR262" s="360"/>
      <c r="AS262" s="360"/>
      <c r="AT262" s="360"/>
      <c r="AU262" s="360" t="s">
        <v>22</v>
      </c>
      <c r="AV262" s="360"/>
      <c r="AW262" s="264"/>
      <c r="AX262" s="264"/>
      <c r="AY262" s="264"/>
      <c r="AZ262" s="264"/>
      <c r="BA262" s="264"/>
      <c r="BB262" s="264"/>
      <c r="BC262" s="264"/>
      <c r="BD262" s="264"/>
      <c r="BE262" s="264"/>
    </row>
    <row r="263">
      <c r="A263" s="264"/>
      <c r="B263" s="264"/>
      <c r="C263" s="264"/>
      <c r="D263" s="264"/>
      <c r="E263" s="264"/>
      <c r="F263" s="264"/>
      <c r="G263" s="264"/>
      <c r="H263" s="264"/>
      <c r="I263" s="264"/>
      <c r="J263" s="264"/>
      <c r="K263" s="264"/>
      <c r="L263" s="264"/>
      <c r="M263" s="264" t="s">
        <v>22</v>
      </c>
      <c r="N263" s="264"/>
      <c r="O263" s="264" t="s">
        <v>22</v>
      </c>
      <c r="P263" s="264"/>
      <c r="Q263" s="264"/>
      <c r="R263" s="264"/>
      <c r="S263" s="264"/>
      <c r="T263" s="264"/>
      <c r="U263" s="360"/>
      <c r="V263" s="360"/>
      <c r="W263" s="360"/>
      <c r="X263" s="360"/>
      <c r="Y263" s="360"/>
      <c r="Z263" s="360"/>
      <c r="AA263" s="360"/>
      <c r="AB263" s="360"/>
      <c r="AC263" s="360"/>
      <c r="AD263" s="360"/>
      <c r="AE263" s="360"/>
      <c r="AF263" s="360"/>
      <c r="AG263" s="360" t="s">
        <v>1582</v>
      </c>
      <c r="AH263" s="360"/>
      <c r="AI263" s="360"/>
      <c r="AJ263" s="360" t="s">
        <v>1589</v>
      </c>
      <c r="AK263" s="360"/>
      <c r="AL263" s="360" t="s">
        <v>5878</v>
      </c>
      <c r="AM263" s="360"/>
      <c r="AN263" s="360"/>
      <c r="AO263" s="360"/>
      <c r="AP263" s="360"/>
      <c r="AQ263" s="360"/>
      <c r="AR263" s="360"/>
      <c r="AS263" s="360"/>
      <c r="AT263" s="360"/>
      <c r="AU263" s="360" t="s">
        <v>22</v>
      </c>
      <c r="AV263" s="360"/>
      <c r="AW263" s="264"/>
      <c r="AX263" s="264"/>
      <c r="AY263" s="264"/>
      <c r="AZ263" s="264"/>
      <c r="BA263" s="264"/>
      <c r="BB263" s="264"/>
      <c r="BC263" s="264"/>
      <c r="BD263" s="264"/>
      <c r="BE263" s="264"/>
    </row>
    <row r="264">
      <c r="A264" s="264"/>
      <c r="B264" s="264"/>
      <c r="C264" s="264"/>
      <c r="D264" s="264"/>
      <c r="E264" s="264"/>
      <c r="F264" s="264"/>
      <c r="G264" s="264"/>
      <c r="H264" s="264"/>
      <c r="I264" s="264"/>
      <c r="J264" s="264"/>
      <c r="K264" s="264"/>
      <c r="L264" s="264"/>
      <c r="M264" s="264" t="s">
        <v>22</v>
      </c>
      <c r="N264" s="264"/>
      <c r="O264" s="264" t="s">
        <v>22</v>
      </c>
      <c r="P264" s="264"/>
      <c r="Q264" s="264"/>
      <c r="R264" s="264"/>
      <c r="S264" s="264"/>
      <c r="T264" s="264"/>
      <c r="U264" s="360"/>
      <c r="V264" s="360"/>
      <c r="W264" s="360"/>
      <c r="X264" s="360"/>
      <c r="Y264" s="360"/>
      <c r="Z264" s="360"/>
      <c r="AA264" s="360"/>
      <c r="AB264" s="360"/>
      <c r="AC264" s="360"/>
      <c r="AD264" s="360"/>
      <c r="AE264" s="360"/>
      <c r="AF264" s="360"/>
      <c r="AG264" s="360" t="s">
        <v>1582</v>
      </c>
      <c r="AH264" s="360"/>
      <c r="AI264" s="360"/>
      <c r="AJ264" s="360" t="s">
        <v>1589</v>
      </c>
      <c r="AK264" s="360"/>
      <c r="AL264" s="360" t="s">
        <v>5878</v>
      </c>
      <c r="AM264" s="360"/>
      <c r="AN264" s="360"/>
      <c r="AO264" s="360"/>
      <c r="AP264" s="360"/>
      <c r="AQ264" s="360"/>
      <c r="AR264" s="360"/>
      <c r="AS264" s="360"/>
      <c r="AT264" s="360"/>
      <c r="AU264" s="360" t="s">
        <v>22</v>
      </c>
      <c r="AV264" s="360"/>
      <c r="AW264" s="264"/>
      <c r="AX264" s="264"/>
      <c r="AY264" s="264"/>
      <c r="AZ264" s="264"/>
      <c r="BA264" s="264"/>
      <c r="BB264" s="264"/>
      <c r="BC264" s="264"/>
      <c r="BD264" s="264"/>
      <c r="BE264" s="264"/>
    </row>
    <row r="265">
      <c r="A265" s="264"/>
      <c r="B265" s="264"/>
      <c r="C265" s="264"/>
      <c r="D265" s="264"/>
      <c r="E265" s="264"/>
      <c r="F265" s="264"/>
      <c r="G265" s="264"/>
      <c r="H265" s="264"/>
      <c r="I265" s="264"/>
      <c r="J265" s="264"/>
      <c r="K265" s="264"/>
      <c r="L265" s="264"/>
      <c r="M265" s="264" t="s">
        <v>22</v>
      </c>
      <c r="N265" s="264"/>
      <c r="O265" s="264" t="s">
        <v>22</v>
      </c>
      <c r="P265" s="264"/>
      <c r="Q265" s="264"/>
      <c r="R265" s="264"/>
      <c r="S265" s="264"/>
      <c r="T265" s="264"/>
      <c r="U265" s="360"/>
      <c r="V265" s="360"/>
      <c r="W265" s="360"/>
      <c r="X265" s="360"/>
      <c r="Y265" s="360"/>
      <c r="Z265" s="360"/>
      <c r="AA265" s="360"/>
      <c r="AB265" s="360"/>
      <c r="AC265" s="360"/>
      <c r="AD265" s="360"/>
      <c r="AE265" s="360"/>
      <c r="AF265" s="360"/>
      <c r="AG265" s="360" t="s">
        <v>1582</v>
      </c>
      <c r="AH265" s="360"/>
      <c r="AI265" s="360"/>
      <c r="AJ265" s="360" t="s">
        <v>1589</v>
      </c>
      <c r="AK265" s="360"/>
      <c r="AL265" s="360" t="s">
        <v>5878</v>
      </c>
      <c r="AM265" s="360"/>
      <c r="AN265" s="360"/>
      <c r="AO265" s="360"/>
      <c r="AP265" s="360"/>
      <c r="AQ265" s="360"/>
      <c r="AR265" s="360"/>
      <c r="AS265" s="360"/>
      <c r="AT265" s="360"/>
      <c r="AU265" s="360" t="s">
        <v>22</v>
      </c>
      <c r="AV265" s="360"/>
      <c r="AW265" s="264"/>
      <c r="AX265" s="264"/>
      <c r="AY265" s="264"/>
      <c r="AZ265" s="264"/>
      <c r="BA265" s="264"/>
      <c r="BB265" s="264"/>
      <c r="BC265" s="264"/>
      <c r="BD265" s="264"/>
      <c r="BE265" s="264"/>
    </row>
    <row r="266">
      <c r="A266" s="264"/>
      <c r="B266" s="264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 t="s">
        <v>22</v>
      </c>
      <c r="N266" s="264"/>
      <c r="O266" s="264" t="s">
        <v>22</v>
      </c>
      <c r="P266" s="264"/>
      <c r="Q266" s="264"/>
      <c r="R266" s="264"/>
      <c r="S266" s="264"/>
      <c r="T266" s="264"/>
      <c r="U266" s="360"/>
      <c r="V266" s="360"/>
      <c r="W266" s="360"/>
      <c r="X266" s="360"/>
      <c r="Y266" s="360"/>
      <c r="Z266" s="360"/>
      <c r="AA266" s="360"/>
      <c r="AB266" s="360"/>
      <c r="AC266" s="360"/>
      <c r="AD266" s="360"/>
      <c r="AE266" s="360"/>
      <c r="AF266" s="360"/>
      <c r="AG266" s="360" t="s">
        <v>1582</v>
      </c>
      <c r="AH266" s="360"/>
      <c r="AI266" s="360"/>
      <c r="AJ266" s="360" t="s">
        <v>1589</v>
      </c>
      <c r="AK266" s="360"/>
      <c r="AL266" s="360" t="s">
        <v>5878</v>
      </c>
      <c r="AM266" s="360"/>
      <c r="AN266" s="360"/>
      <c r="AO266" s="360"/>
      <c r="AP266" s="360"/>
      <c r="AQ266" s="360"/>
      <c r="AR266" s="360"/>
      <c r="AS266" s="360"/>
      <c r="AT266" s="360"/>
      <c r="AU266" s="360" t="s">
        <v>22</v>
      </c>
      <c r="AV266" s="360"/>
      <c r="AW266" s="264"/>
      <c r="AX266" s="264"/>
      <c r="AY266" s="264"/>
      <c r="AZ266" s="264"/>
      <c r="BA266" s="264"/>
      <c r="BB266" s="264"/>
      <c r="BC266" s="264"/>
      <c r="BD266" s="264"/>
      <c r="BE266" s="264"/>
    </row>
    <row r="267">
      <c r="A267" s="264"/>
      <c r="B267" s="264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 t="s">
        <v>22</v>
      </c>
      <c r="N267" s="264"/>
      <c r="O267" s="264" t="s">
        <v>22</v>
      </c>
      <c r="P267" s="264"/>
      <c r="Q267" s="264"/>
      <c r="R267" s="264"/>
      <c r="S267" s="264"/>
      <c r="T267" s="264"/>
      <c r="U267" s="360"/>
      <c r="V267" s="360"/>
      <c r="W267" s="360"/>
      <c r="X267" s="360"/>
      <c r="Y267" s="360"/>
      <c r="Z267" s="360"/>
      <c r="AA267" s="360"/>
      <c r="AB267" s="360"/>
      <c r="AC267" s="360"/>
      <c r="AD267" s="360"/>
      <c r="AE267" s="360"/>
      <c r="AF267" s="360"/>
      <c r="AG267" s="360" t="s">
        <v>1582</v>
      </c>
      <c r="AH267" s="360"/>
      <c r="AI267" s="360"/>
      <c r="AJ267" s="360" t="s">
        <v>1589</v>
      </c>
      <c r="AK267" s="360"/>
      <c r="AL267" s="360" t="s">
        <v>5878</v>
      </c>
      <c r="AM267" s="360"/>
      <c r="AN267" s="360"/>
      <c r="AO267" s="360"/>
      <c r="AP267" s="360"/>
      <c r="AQ267" s="360"/>
      <c r="AR267" s="360"/>
      <c r="AS267" s="360"/>
      <c r="AT267" s="360"/>
      <c r="AU267" s="360" t="s">
        <v>22</v>
      </c>
      <c r="AV267" s="360"/>
      <c r="AW267" s="264"/>
      <c r="AX267" s="264"/>
      <c r="AY267" s="264"/>
      <c r="AZ267" s="264"/>
      <c r="BA267" s="264"/>
      <c r="BB267" s="264"/>
      <c r="BC267" s="264"/>
      <c r="BD267" s="264"/>
      <c r="BE267" s="264"/>
    </row>
    <row r="268">
      <c r="A268" s="264"/>
      <c r="B268" s="264"/>
      <c r="C268" s="264"/>
      <c r="D268" s="264"/>
      <c r="E268" s="264"/>
      <c r="F268" s="264"/>
      <c r="G268" s="264"/>
      <c r="H268" s="264"/>
      <c r="I268" s="264"/>
      <c r="J268" s="264"/>
      <c r="K268" s="264"/>
      <c r="L268" s="264"/>
      <c r="M268" s="264" t="s">
        <v>22</v>
      </c>
      <c r="N268" s="264"/>
      <c r="O268" s="264" t="s">
        <v>22</v>
      </c>
      <c r="P268" s="264"/>
      <c r="Q268" s="264"/>
      <c r="R268" s="264"/>
      <c r="S268" s="264"/>
      <c r="T268" s="264"/>
      <c r="U268" s="360"/>
      <c r="V268" s="360"/>
      <c r="W268" s="360"/>
      <c r="X268" s="360"/>
      <c r="Y268" s="360"/>
      <c r="Z268" s="360"/>
      <c r="AA268" s="360"/>
      <c r="AB268" s="360"/>
      <c r="AC268" s="360"/>
      <c r="AD268" s="360"/>
      <c r="AE268" s="360"/>
      <c r="AF268" s="360"/>
      <c r="AG268" s="360" t="s">
        <v>1582</v>
      </c>
      <c r="AH268" s="360"/>
      <c r="AI268" s="360"/>
      <c r="AJ268" s="360" t="s">
        <v>1589</v>
      </c>
      <c r="AK268" s="360"/>
      <c r="AL268" s="360" t="s">
        <v>5878</v>
      </c>
      <c r="AM268" s="360"/>
      <c r="AN268" s="360"/>
      <c r="AO268" s="360"/>
      <c r="AP268" s="360"/>
      <c r="AQ268" s="360"/>
      <c r="AR268" s="360"/>
      <c r="AS268" s="360"/>
      <c r="AT268" s="360"/>
      <c r="AU268" s="360" t="s">
        <v>22</v>
      </c>
      <c r="AV268" s="360"/>
      <c r="AW268" s="264"/>
      <c r="AX268" s="264"/>
      <c r="AY268" s="264"/>
      <c r="AZ268" s="264"/>
      <c r="BA268" s="264"/>
      <c r="BB268" s="264"/>
      <c r="BC268" s="264"/>
      <c r="BD268" s="264"/>
      <c r="BE268" s="264"/>
    </row>
    <row r="269">
      <c r="A269" s="264"/>
      <c r="B269" s="264"/>
      <c r="C269" s="264"/>
      <c r="D269" s="264"/>
      <c r="E269" s="264"/>
      <c r="F269" s="264"/>
      <c r="G269" s="264"/>
      <c r="H269" s="264"/>
      <c r="I269" s="264"/>
      <c r="J269" s="264"/>
      <c r="K269" s="264"/>
      <c r="L269" s="264"/>
      <c r="M269" s="264" t="s">
        <v>22</v>
      </c>
      <c r="N269" s="264"/>
      <c r="O269" s="264" t="s">
        <v>22</v>
      </c>
      <c r="P269" s="264"/>
      <c r="Q269" s="264"/>
      <c r="R269" s="264"/>
      <c r="S269" s="264"/>
      <c r="T269" s="264"/>
      <c r="U269" s="360"/>
      <c r="V269" s="360"/>
      <c r="W269" s="360"/>
      <c r="X269" s="360"/>
      <c r="Y269" s="360"/>
      <c r="Z269" s="360"/>
      <c r="AA269" s="360"/>
      <c r="AB269" s="360"/>
      <c r="AC269" s="360"/>
      <c r="AD269" s="360"/>
      <c r="AE269" s="360"/>
      <c r="AF269" s="360"/>
      <c r="AG269" s="360" t="s">
        <v>1582</v>
      </c>
      <c r="AH269" s="360"/>
      <c r="AI269" s="360"/>
      <c r="AJ269" s="360" t="s">
        <v>1589</v>
      </c>
      <c r="AK269" s="360"/>
      <c r="AL269" s="360" t="s">
        <v>5878</v>
      </c>
      <c r="AM269" s="360"/>
      <c r="AN269" s="360"/>
      <c r="AO269" s="360"/>
      <c r="AP269" s="360"/>
      <c r="AQ269" s="360"/>
      <c r="AR269" s="360"/>
      <c r="AS269" s="360"/>
      <c r="AT269" s="360"/>
      <c r="AU269" s="360" t="s">
        <v>22</v>
      </c>
      <c r="AV269" s="360"/>
      <c r="AW269" s="264"/>
      <c r="AX269" s="264"/>
      <c r="AY269" s="264"/>
      <c r="AZ269" s="264"/>
      <c r="BA269" s="264"/>
      <c r="BB269" s="264"/>
      <c r="BC269" s="264"/>
      <c r="BD269" s="264"/>
      <c r="BE269" s="264"/>
    </row>
    <row r="270">
      <c r="A270" s="264"/>
      <c r="B270" s="264"/>
      <c r="C270" s="264"/>
      <c r="D270" s="264"/>
      <c r="E270" s="264"/>
      <c r="F270" s="264"/>
      <c r="G270" s="264"/>
      <c r="H270" s="264"/>
      <c r="I270" s="264"/>
      <c r="J270" s="264"/>
      <c r="K270" s="264"/>
      <c r="L270" s="264"/>
      <c r="M270" s="264" t="s">
        <v>22</v>
      </c>
      <c r="N270" s="264"/>
      <c r="O270" s="264" t="s">
        <v>22</v>
      </c>
      <c r="P270" s="264"/>
      <c r="Q270" s="264"/>
      <c r="R270" s="264"/>
      <c r="S270" s="264"/>
      <c r="T270" s="264"/>
      <c r="U270" s="360"/>
      <c r="V270" s="360"/>
      <c r="W270" s="360"/>
      <c r="X270" s="360"/>
      <c r="Y270" s="360"/>
      <c r="Z270" s="360"/>
      <c r="AA270" s="360"/>
      <c r="AB270" s="360"/>
      <c r="AC270" s="360"/>
      <c r="AD270" s="360"/>
      <c r="AE270" s="360"/>
      <c r="AF270" s="360"/>
      <c r="AG270" s="360" t="s">
        <v>1582</v>
      </c>
      <c r="AH270" s="360"/>
      <c r="AI270" s="360"/>
      <c r="AJ270" s="360" t="s">
        <v>1589</v>
      </c>
      <c r="AK270" s="360"/>
      <c r="AL270" s="360" t="s">
        <v>5878</v>
      </c>
      <c r="AM270" s="360"/>
      <c r="AN270" s="360"/>
      <c r="AO270" s="360"/>
      <c r="AP270" s="360"/>
      <c r="AQ270" s="360"/>
      <c r="AR270" s="360"/>
      <c r="AS270" s="360"/>
      <c r="AT270" s="360"/>
      <c r="AU270" s="360" t="s">
        <v>22</v>
      </c>
      <c r="AV270" s="360"/>
      <c r="AW270" s="264"/>
      <c r="AX270" s="264"/>
      <c r="AY270" s="264"/>
      <c r="AZ270" s="264"/>
      <c r="BA270" s="264"/>
      <c r="BB270" s="264"/>
      <c r="BC270" s="264"/>
      <c r="BD270" s="264"/>
      <c r="BE270" s="264"/>
    </row>
    <row r="271">
      <c r="A271" s="264"/>
      <c r="B271" s="264"/>
      <c r="C271" s="264"/>
      <c r="D271" s="264"/>
      <c r="E271" s="264"/>
      <c r="F271" s="264"/>
      <c r="G271" s="264"/>
      <c r="H271" s="264"/>
      <c r="I271" s="264"/>
      <c r="J271" s="264"/>
      <c r="K271" s="264"/>
      <c r="L271" s="264"/>
      <c r="M271" s="264" t="s">
        <v>22</v>
      </c>
      <c r="N271" s="264"/>
      <c r="O271" s="264" t="s">
        <v>22</v>
      </c>
      <c r="P271" s="264"/>
      <c r="Q271" s="264"/>
      <c r="R271" s="264"/>
      <c r="S271" s="264"/>
      <c r="T271" s="264"/>
      <c r="U271" s="360"/>
      <c r="V271" s="360"/>
      <c r="W271" s="360"/>
      <c r="X271" s="360"/>
      <c r="Y271" s="360"/>
      <c r="Z271" s="360"/>
      <c r="AA271" s="360"/>
      <c r="AB271" s="360"/>
      <c r="AC271" s="360"/>
      <c r="AD271" s="360"/>
      <c r="AE271" s="360"/>
      <c r="AF271" s="360"/>
      <c r="AG271" s="360" t="s">
        <v>1582</v>
      </c>
      <c r="AH271" s="360"/>
      <c r="AI271" s="360"/>
      <c r="AJ271" s="360" t="s">
        <v>1589</v>
      </c>
      <c r="AK271" s="360"/>
      <c r="AL271" s="360" t="s">
        <v>5878</v>
      </c>
      <c r="AM271" s="360"/>
      <c r="AN271" s="360"/>
      <c r="AO271" s="360"/>
      <c r="AP271" s="360"/>
      <c r="AQ271" s="360"/>
      <c r="AR271" s="360"/>
      <c r="AS271" s="360"/>
      <c r="AT271" s="360"/>
      <c r="AU271" s="360" t="s">
        <v>22</v>
      </c>
      <c r="AV271" s="360"/>
      <c r="AW271" s="264"/>
      <c r="AX271" s="264"/>
      <c r="AY271" s="264"/>
      <c r="AZ271" s="264"/>
      <c r="BA271" s="264"/>
      <c r="BB271" s="264"/>
      <c r="BC271" s="264"/>
      <c r="BD271" s="264"/>
      <c r="BE271" s="264"/>
    </row>
    <row r="272">
      <c r="A272" s="264"/>
      <c r="B272" s="264"/>
      <c r="C272" s="264"/>
      <c r="D272" s="264"/>
      <c r="E272" s="264"/>
      <c r="F272" s="264"/>
      <c r="G272" s="264"/>
      <c r="H272" s="264"/>
      <c r="I272" s="264"/>
      <c r="J272" s="264"/>
      <c r="K272" s="264"/>
      <c r="L272" s="264"/>
      <c r="M272" s="264" t="s">
        <v>22</v>
      </c>
      <c r="N272" s="264"/>
      <c r="O272" s="264" t="s">
        <v>22</v>
      </c>
      <c r="P272" s="264"/>
      <c r="Q272" s="264"/>
      <c r="R272" s="264"/>
      <c r="S272" s="264"/>
      <c r="T272" s="264"/>
      <c r="U272" s="360"/>
      <c r="V272" s="360"/>
      <c r="W272" s="360"/>
      <c r="X272" s="360"/>
      <c r="Y272" s="360"/>
      <c r="Z272" s="360"/>
      <c r="AA272" s="360"/>
      <c r="AB272" s="360"/>
      <c r="AC272" s="360"/>
      <c r="AD272" s="360"/>
      <c r="AE272" s="360"/>
      <c r="AF272" s="360"/>
      <c r="AG272" s="360" t="s">
        <v>1582</v>
      </c>
      <c r="AH272" s="360"/>
      <c r="AI272" s="360"/>
      <c r="AJ272" s="360" t="s">
        <v>1589</v>
      </c>
      <c r="AK272" s="360"/>
      <c r="AL272" s="360" t="s">
        <v>5878</v>
      </c>
      <c r="AM272" s="360"/>
      <c r="AN272" s="360"/>
      <c r="AO272" s="360"/>
      <c r="AP272" s="360"/>
      <c r="AQ272" s="360"/>
      <c r="AR272" s="360"/>
      <c r="AS272" s="360"/>
      <c r="AT272" s="360"/>
      <c r="AU272" s="360" t="s">
        <v>22</v>
      </c>
      <c r="AV272" s="360"/>
      <c r="AW272" s="264"/>
      <c r="AX272" s="264"/>
      <c r="AY272" s="264"/>
      <c r="AZ272" s="264"/>
      <c r="BA272" s="264"/>
      <c r="BB272" s="264"/>
      <c r="BC272" s="264"/>
      <c r="BD272" s="264"/>
      <c r="BE272" s="264"/>
    </row>
    <row r="273">
      <c r="A273" s="264"/>
      <c r="B273" s="264"/>
      <c r="C273" s="264"/>
      <c r="D273" s="264"/>
      <c r="E273" s="264"/>
      <c r="F273" s="264"/>
      <c r="G273" s="264"/>
      <c r="H273" s="264"/>
      <c r="I273" s="264"/>
      <c r="J273" s="264"/>
      <c r="K273" s="264"/>
      <c r="L273" s="264"/>
      <c r="M273" s="264" t="s">
        <v>22</v>
      </c>
      <c r="N273" s="264"/>
      <c r="O273" s="264" t="s">
        <v>22</v>
      </c>
      <c r="P273" s="264"/>
      <c r="Q273" s="264"/>
      <c r="R273" s="264"/>
      <c r="S273" s="264"/>
      <c r="T273" s="264"/>
      <c r="U273" s="360"/>
      <c r="V273" s="360"/>
      <c r="W273" s="360"/>
      <c r="X273" s="360"/>
      <c r="Y273" s="360"/>
      <c r="Z273" s="360"/>
      <c r="AA273" s="360"/>
      <c r="AB273" s="360"/>
      <c r="AC273" s="360"/>
      <c r="AD273" s="360"/>
      <c r="AE273" s="360"/>
      <c r="AF273" s="360"/>
      <c r="AG273" s="360" t="s">
        <v>1582</v>
      </c>
      <c r="AH273" s="360"/>
      <c r="AI273" s="360"/>
      <c r="AJ273" s="360" t="s">
        <v>1589</v>
      </c>
      <c r="AK273" s="360"/>
      <c r="AL273" s="360" t="s">
        <v>5878</v>
      </c>
      <c r="AM273" s="360"/>
      <c r="AN273" s="360"/>
      <c r="AO273" s="360"/>
      <c r="AP273" s="360"/>
      <c r="AQ273" s="360"/>
      <c r="AR273" s="360"/>
      <c r="AS273" s="360"/>
      <c r="AT273" s="360"/>
      <c r="AU273" s="360" t="s">
        <v>22</v>
      </c>
      <c r="AV273" s="360"/>
      <c r="AW273" s="264"/>
      <c r="AX273" s="264"/>
      <c r="AY273" s="264"/>
      <c r="AZ273" s="264"/>
      <c r="BA273" s="264"/>
      <c r="BB273" s="264"/>
      <c r="BC273" s="264"/>
      <c r="BD273" s="264"/>
      <c r="BE273" s="264"/>
    </row>
    <row r="274">
      <c r="A274" s="264"/>
      <c r="B274" s="264"/>
      <c r="C274" s="264"/>
      <c r="D274" s="264"/>
      <c r="E274" s="264"/>
      <c r="F274" s="264"/>
      <c r="G274" s="264"/>
      <c r="H274" s="264"/>
      <c r="I274" s="264"/>
      <c r="J274" s="264"/>
      <c r="K274" s="264"/>
      <c r="L274" s="264"/>
      <c r="M274" s="264" t="s">
        <v>22</v>
      </c>
      <c r="N274" s="264"/>
      <c r="O274" s="264" t="s">
        <v>22</v>
      </c>
      <c r="P274" s="264"/>
      <c r="Q274" s="264"/>
      <c r="R274" s="264"/>
      <c r="S274" s="264"/>
      <c r="T274" s="264"/>
      <c r="U274" s="360"/>
      <c r="V274" s="360"/>
      <c r="W274" s="360"/>
      <c r="X274" s="360"/>
      <c r="Y274" s="360"/>
      <c r="Z274" s="360"/>
      <c r="AA274" s="360"/>
      <c r="AB274" s="360"/>
      <c r="AC274" s="360"/>
      <c r="AD274" s="360"/>
      <c r="AE274" s="360"/>
      <c r="AF274" s="360"/>
      <c r="AG274" s="360" t="s">
        <v>1582</v>
      </c>
      <c r="AH274" s="360"/>
      <c r="AI274" s="360"/>
      <c r="AJ274" s="360" t="s">
        <v>1589</v>
      </c>
      <c r="AK274" s="360"/>
      <c r="AL274" s="360" t="s">
        <v>5878</v>
      </c>
      <c r="AM274" s="360"/>
      <c r="AN274" s="360"/>
      <c r="AO274" s="360"/>
      <c r="AP274" s="360"/>
      <c r="AQ274" s="360"/>
      <c r="AR274" s="360"/>
      <c r="AS274" s="360"/>
      <c r="AT274" s="360"/>
      <c r="AU274" s="360" t="s">
        <v>22</v>
      </c>
      <c r="AV274" s="360"/>
      <c r="AW274" s="264"/>
      <c r="AX274" s="264"/>
      <c r="AY274" s="264"/>
      <c r="AZ274" s="264"/>
      <c r="BA274" s="264"/>
      <c r="BB274" s="264"/>
      <c r="BC274" s="264"/>
      <c r="BD274" s="264"/>
      <c r="BE274" s="264"/>
    </row>
    <row r="275">
      <c r="A275" s="264"/>
      <c r="B275" s="264"/>
      <c r="C275" s="264"/>
      <c r="D275" s="264"/>
      <c r="E275" s="264"/>
      <c r="F275" s="264"/>
      <c r="G275" s="264"/>
      <c r="H275" s="264"/>
      <c r="I275" s="264"/>
      <c r="J275" s="264"/>
      <c r="K275" s="264"/>
      <c r="L275" s="264"/>
      <c r="M275" s="264" t="s">
        <v>22</v>
      </c>
      <c r="N275" s="264"/>
      <c r="O275" s="264" t="s">
        <v>22</v>
      </c>
      <c r="P275" s="264"/>
      <c r="Q275" s="264"/>
      <c r="R275" s="264"/>
      <c r="S275" s="264"/>
      <c r="T275" s="264"/>
      <c r="U275" s="360"/>
      <c r="V275" s="360"/>
      <c r="W275" s="360"/>
      <c r="X275" s="360"/>
      <c r="Y275" s="360"/>
      <c r="Z275" s="360"/>
      <c r="AA275" s="360"/>
      <c r="AB275" s="360"/>
      <c r="AC275" s="360"/>
      <c r="AD275" s="360"/>
      <c r="AE275" s="360"/>
      <c r="AF275" s="360"/>
      <c r="AG275" s="360" t="s">
        <v>1582</v>
      </c>
      <c r="AH275" s="360"/>
      <c r="AI275" s="360"/>
      <c r="AJ275" s="360" t="s">
        <v>1589</v>
      </c>
      <c r="AK275" s="360"/>
      <c r="AL275" s="360" t="s">
        <v>5878</v>
      </c>
      <c r="AM275" s="360"/>
      <c r="AN275" s="360"/>
      <c r="AO275" s="360"/>
      <c r="AP275" s="360"/>
      <c r="AQ275" s="360"/>
      <c r="AR275" s="360"/>
      <c r="AS275" s="360"/>
      <c r="AT275" s="360"/>
      <c r="AU275" s="360" t="s">
        <v>22</v>
      </c>
      <c r="AV275" s="360"/>
      <c r="AW275" s="264"/>
      <c r="AX275" s="264"/>
      <c r="AY275" s="264"/>
      <c r="AZ275" s="264"/>
      <c r="BA275" s="264"/>
      <c r="BB275" s="264"/>
      <c r="BC275" s="264"/>
      <c r="BD275" s="264"/>
      <c r="BE275" s="264"/>
    </row>
    <row r="276">
      <c r="A276" s="264"/>
      <c r="B276" s="264"/>
      <c r="C276" s="264"/>
      <c r="D276" s="264"/>
      <c r="E276" s="264"/>
      <c r="F276" s="264"/>
      <c r="G276" s="264"/>
      <c r="H276" s="264"/>
      <c r="I276" s="264"/>
      <c r="J276" s="264"/>
      <c r="K276" s="264"/>
      <c r="L276" s="264"/>
      <c r="M276" s="264" t="s">
        <v>22</v>
      </c>
      <c r="N276" s="264"/>
      <c r="O276" s="264" t="s">
        <v>22</v>
      </c>
      <c r="P276" s="264"/>
      <c r="Q276" s="264"/>
      <c r="R276" s="264"/>
      <c r="S276" s="264"/>
      <c r="T276" s="264"/>
      <c r="U276" s="360"/>
      <c r="V276" s="360"/>
      <c r="W276" s="360"/>
      <c r="X276" s="360"/>
      <c r="Y276" s="360"/>
      <c r="Z276" s="360"/>
      <c r="AA276" s="360"/>
      <c r="AB276" s="360"/>
      <c r="AC276" s="360"/>
      <c r="AD276" s="360"/>
      <c r="AE276" s="360"/>
      <c r="AF276" s="360"/>
      <c r="AG276" s="360" t="s">
        <v>1582</v>
      </c>
      <c r="AH276" s="360"/>
      <c r="AI276" s="360"/>
      <c r="AJ276" s="360" t="s">
        <v>1589</v>
      </c>
      <c r="AK276" s="360"/>
      <c r="AL276" s="360" t="s">
        <v>5878</v>
      </c>
      <c r="AM276" s="360"/>
      <c r="AN276" s="360"/>
      <c r="AO276" s="360"/>
      <c r="AP276" s="360"/>
      <c r="AQ276" s="360"/>
      <c r="AR276" s="360"/>
      <c r="AS276" s="360"/>
      <c r="AT276" s="360"/>
      <c r="AU276" s="360" t="s">
        <v>22</v>
      </c>
      <c r="AV276" s="360"/>
      <c r="AW276" s="264"/>
      <c r="AX276" s="264"/>
      <c r="AY276" s="264"/>
      <c r="AZ276" s="264"/>
      <c r="BA276" s="264"/>
      <c r="BB276" s="264"/>
      <c r="BC276" s="264"/>
      <c r="BD276" s="264"/>
      <c r="BE276" s="264"/>
    </row>
    <row r="277">
      <c r="A277" s="264"/>
      <c r="B277" s="264"/>
      <c r="C277" s="264"/>
      <c r="D277" s="264"/>
      <c r="E277" s="264"/>
      <c r="F277" s="264"/>
      <c r="G277" s="264"/>
      <c r="H277" s="264"/>
      <c r="I277" s="264"/>
      <c r="J277" s="264"/>
      <c r="K277" s="264"/>
      <c r="L277" s="264"/>
      <c r="M277" s="264" t="s">
        <v>22</v>
      </c>
      <c r="N277" s="264"/>
      <c r="O277" s="264" t="s">
        <v>22</v>
      </c>
      <c r="P277" s="264"/>
      <c r="Q277" s="264"/>
      <c r="R277" s="264"/>
      <c r="S277" s="264"/>
      <c r="T277" s="264"/>
      <c r="U277" s="360"/>
      <c r="V277" s="360"/>
      <c r="W277" s="360"/>
      <c r="X277" s="360"/>
      <c r="Y277" s="360"/>
      <c r="Z277" s="360"/>
      <c r="AA277" s="360"/>
      <c r="AB277" s="360"/>
      <c r="AC277" s="360"/>
      <c r="AD277" s="360"/>
      <c r="AE277" s="360"/>
      <c r="AF277" s="360"/>
      <c r="AG277" s="360" t="s">
        <v>1582</v>
      </c>
      <c r="AH277" s="360"/>
      <c r="AI277" s="360"/>
      <c r="AJ277" s="360" t="s">
        <v>1589</v>
      </c>
      <c r="AK277" s="360"/>
      <c r="AL277" s="360" t="s">
        <v>5878</v>
      </c>
      <c r="AM277" s="360"/>
      <c r="AN277" s="360"/>
      <c r="AO277" s="360"/>
      <c r="AP277" s="360"/>
      <c r="AQ277" s="360"/>
      <c r="AR277" s="360"/>
      <c r="AS277" s="360"/>
      <c r="AT277" s="360"/>
      <c r="AU277" s="360" t="s">
        <v>22</v>
      </c>
      <c r="AV277" s="360"/>
      <c r="AW277" s="264"/>
      <c r="AX277" s="264"/>
      <c r="AY277" s="264"/>
      <c r="AZ277" s="264"/>
      <c r="BA277" s="264"/>
      <c r="BB277" s="264"/>
      <c r="BC277" s="264"/>
      <c r="BD277" s="264"/>
      <c r="BE277" s="264"/>
    </row>
    <row r="278">
      <c r="A278" s="264"/>
      <c r="B278" s="264"/>
      <c r="C278" s="264"/>
      <c r="D278" s="264"/>
      <c r="E278" s="264"/>
      <c r="F278" s="264"/>
      <c r="G278" s="264"/>
      <c r="H278" s="264"/>
      <c r="I278" s="264"/>
      <c r="J278" s="264"/>
      <c r="K278" s="264"/>
      <c r="L278" s="264"/>
      <c r="M278" s="264" t="s">
        <v>22</v>
      </c>
      <c r="N278" s="264"/>
      <c r="O278" s="264" t="s">
        <v>22</v>
      </c>
      <c r="P278" s="264"/>
      <c r="Q278" s="264"/>
      <c r="R278" s="264"/>
      <c r="S278" s="264"/>
      <c r="T278" s="264"/>
      <c r="U278" s="360"/>
      <c r="V278" s="360"/>
      <c r="W278" s="360"/>
      <c r="X278" s="360"/>
      <c r="Y278" s="360"/>
      <c r="Z278" s="360"/>
      <c r="AA278" s="360"/>
      <c r="AB278" s="360"/>
      <c r="AC278" s="360"/>
      <c r="AD278" s="360"/>
      <c r="AE278" s="360"/>
      <c r="AF278" s="360"/>
      <c r="AG278" s="360" t="s">
        <v>1582</v>
      </c>
      <c r="AH278" s="360"/>
      <c r="AI278" s="360"/>
      <c r="AJ278" s="360" t="s">
        <v>1589</v>
      </c>
      <c r="AK278" s="360"/>
      <c r="AL278" s="360" t="s">
        <v>5878</v>
      </c>
      <c r="AM278" s="360"/>
      <c r="AN278" s="360"/>
      <c r="AO278" s="360"/>
      <c r="AP278" s="360"/>
      <c r="AQ278" s="360"/>
      <c r="AR278" s="360"/>
      <c r="AS278" s="360"/>
      <c r="AT278" s="360"/>
      <c r="AU278" s="360" t="s">
        <v>22</v>
      </c>
      <c r="AV278" s="360"/>
      <c r="AW278" s="264"/>
      <c r="AX278" s="264"/>
      <c r="AY278" s="264"/>
      <c r="AZ278" s="264"/>
      <c r="BA278" s="264"/>
      <c r="BB278" s="264"/>
      <c r="BC278" s="264"/>
      <c r="BD278" s="264"/>
      <c r="BE278" s="264"/>
    </row>
    <row r="279">
      <c r="A279" s="264"/>
      <c r="B279" s="264"/>
      <c r="C279" s="264"/>
      <c r="D279" s="264"/>
      <c r="E279" s="264"/>
      <c r="F279" s="264"/>
      <c r="G279" s="264"/>
      <c r="H279" s="264"/>
      <c r="I279" s="264"/>
      <c r="J279" s="264"/>
      <c r="K279" s="264"/>
      <c r="L279" s="264"/>
      <c r="M279" s="264" t="s">
        <v>22</v>
      </c>
      <c r="N279" s="264"/>
      <c r="O279" s="264" t="s">
        <v>22</v>
      </c>
      <c r="P279" s="264"/>
      <c r="Q279" s="264"/>
      <c r="R279" s="264"/>
      <c r="S279" s="264"/>
      <c r="T279" s="264"/>
      <c r="U279" s="360"/>
      <c r="V279" s="360"/>
      <c r="W279" s="360"/>
      <c r="X279" s="360"/>
      <c r="Y279" s="360"/>
      <c r="Z279" s="360"/>
      <c r="AA279" s="360"/>
      <c r="AB279" s="360"/>
      <c r="AC279" s="360"/>
      <c r="AD279" s="360"/>
      <c r="AE279" s="360"/>
      <c r="AF279" s="360"/>
      <c r="AG279" s="360" t="s">
        <v>1582</v>
      </c>
      <c r="AH279" s="360"/>
      <c r="AI279" s="360"/>
      <c r="AJ279" s="360" t="s">
        <v>1589</v>
      </c>
      <c r="AK279" s="360"/>
      <c r="AL279" s="360" t="s">
        <v>5878</v>
      </c>
      <c r="AM279" s="360"/>
      <c r="AN279" s="360"/>
      <c r="AO279" s="360"/>
      <c r="AP279" s="360"/>
      <c r="AQ279" s="360"/>
      <c r="AR279" s="360"/>
      <c r="AS279" s="360"/>
      <c r="AT279" s="360"/>
      <c r="AU279" s="360" t="s">
        <v>22</v>
      </c>
      <c r="AV279" s="360"/>
      <c r="AW279" s="264"/>
      <c r="AX279" s="264"/>
      <c r="AY279" s="264"/>
      <c r="AZ279" s="264"/>
      <c r="BA279" s="264"/>
      <c r="BB279" s="264"/>
      <c r="BC279" s="264"/>
      <c r="BD279" s="264"/>
      <c r="BE279" s="264"/>
    </row>
    <row r="280">
      <c r="A280" s="264"/>
      <c r="B280" s="264"/>
      <c r="C280" s="264"/>
      <c r="D280" s="264"/>
      <c r="E280" s="264"/>
      <c r="F280" s="264"/>
      <c r="G280" s="264"/>
      <c r="H280" s="264"/>
      <c r="I280" s="264"/>
      <c r="J280" s="264"/>
      <c r="K280" s="264"/>
      <c r="L280" s="264"/>
      <c r="M280" s="264" t="s">
        <v>22</v>
      </c>
      <c r="N280" s="264"/>
      <c r="O280" s="264" t="s">
        <v>22</v>
      </c>
      <c r="P280" s="264"/>
      <c r="Q280" s="264"/>
      <c r="R280" s="264"/>
      <c r="S280" s="264"/>
      <c r="T280" s="264"/>
      <c r="U280" s="360"/>
      <c r="V280" s="360"/>
      <c r="W280" s="360"/>
      <c r="X280" s="360"/>
      <c r="Y280" s="360"/>
      <c r="Z280" s="360"/>
      <c r="AA280" s="360"/>
      <c r="AB280" s="360"/>
      <c r="AC280" s="360"/>
      <c r="AD280" s="360"/>
      <c r="AE280" s="360"/>
      <c r="AF280" s="360"/>
      <c r="AG280" s="360" t="s">
        <v>1582</v>
      </c>
      <c r="AH280" s="360"/>
      <c r="AI280" s="360"/>
      <c r="AJ280" s="360" t="s">
        <v>1589</v>
      </c>
      <c r="AK280" s="360"/>
      <c r="AL280" s="360" t="s">
        <v>5878</v>
      </c>
      <c r="AM280" s="360"/>
      <c r="AN280" s="360"/>
      <c r="AO280" s="360"/>
      <c r="AP280" s="360"/>
      <c r="AQ280" s="360"/>
      <c r="AR280" s="360"/>
      <c r="AS280" s="360"/>
      <c r="AT280" s="360"/>
      <c r="AU280" s="360" t="s">
        <v>22</v>
      </c>
      <c r="AV280" s="360"/>
      <c r="AW280" s="264"/>
      <c r="AX280" s="264"/>
      <c r="AY280" s="264"/>
      <c r="AZ280" s="264"/>
      <c r="BA280" s="264"/>
      <c r="BB280" s="264"/>
      <c r="BC280" s="264"/>
      <c r="BD280" s="264"/>
      <c r="BE280" s="264"/>
    </row>
    <row r="281">
      <c r="A281" s="264"/>
      <c r="B281" s="264"/>
      <c r="C281" s="264"/>
      <c r="D281" s="264"/>
      <c r="E281" s="264"/>
      <c r="F281" s="264"/>
      <c r="G281" s="264"/>
      <c r="H281" s="264"/>
      <c r="I281" s="264"/>
      <c r="J281" s="264"/>
      <c r="K281" s="264"/>
      <c r="L281" s="264"/>
      <c r="M281" s="264" t="s">
        <v>22</v>
      </c>
      <c r="N281" s="264"/>
      <c r="O281" s="264" t="s">
        <v>22</v>
      </c>
      <c r="P281" s="264"/>
      <c r="Q281" s="264"/>
      <c r="R281" s="264"/>
      <c r="S281" s="264"/>
      <c r="T281" s="264"/>
      <c r="U281" s="360"/>
      <c r="V281" s="360"/>
      <c r="W281" s="360"/>
      <c r="X281" s="360"/>
      <c r="Y281" s="360"/>
      <c r="Z281" s="360"/>
      <c r="AA281" s="360"/>
      <c r="AB281" s="360"/>
      <c r="AC281" s="360"/>
      <c r="AD281" s="360"/>
      <c r="AE281" s="360"/>
      <c r="AF281" s="360"/>
      <c r="AG281" s="360" t="s">
        <v>1582</v>
      </c>
      <c r="AH281" s="360"/>
      <c r="AI281" s="360"/>
      <c r="AJ281" s="360" t="s">
        <v>1589</v>
      </c>
      <c r="AK281" s="360"/>
      <c r="AL281" s="360" t="s">
        <v>5878</v>
      </c>
      <c r="AM281" s="360"/>
      <c r="AN281" s="360"/>
      <c r="AO281" s="360"/>
      <c r="AP281" s="360"/>
      <c r="AQ281" s="360"/>
      <c r="AR281" s="360"/>
      <c r="AS281" s="360"/>
      <c r="AT281" s="360"/>
      <c r="AU281" s="360" t="s">
        <v>22</v>
      </c>
      <c r="AV281" s="360"/>
      <c r="AW281" s="264"/>
      <c r="AX281" s="264"/>
      <c r="AY281" s="264"/>
      <c r="AZ281" s="264"/>
      <c r="BA281" s="264"/>
      <c r="BB281" s="264"/>
      <c r="BC281" s="264"/>
      <c r="BD281" s="264"/>
      <c r="BE281" s="264"/>
    </row>
    <row r="282">
      <c r="A282" s="264"/>
      <c r="B282" s="264"/>
      <c r="C282" s="264"/>
      <c r="D282" s="264"/>
      <c r="E282" s="264"/>
      <c r="F282" s="264"/>
      <c r="G282" s="264"/>
      <c r="H282" s="264"/>
      <c r="I282" s="264"/>
      <c r="J282" s="264"/>
      <c r="K282" s="264"/>
      <c r="L282" s="264"/>
      <c r="M282" s="264" t="s">
        <v>22</v>
      </c>
      <c r="N282" s="264"/>
      <c r="O282" s="264" t="s">
        <v>22</v>
      </c>
      <c r="P282" s="264"/>
      <c r="Q282" s="264"/>
      <c r="R282" s="264"/>
      <c r="S282" s="264"/>
      <c r="T282" s="264"/>
      <c r="U282" s="360"/>
      <c r="V282" s="360"/>
      <c r="W282" s="360"/>
      <c r="X282" s="360"/>
      <c r="Y282" s="360"/>
      <c r="Z282" s="360"/>
      <c r="AA282" s="360"/>
      <c r="AB282" s="360"/>
      <c r="AC282" s="360"/>
      <c r="AD282" s="360"/>
      <c r="AE282" s="360"/>
      <c r="AF282" s="360"/>
      <c r="AG282" s="360" t="s">
        <v>1582</v>
      </c>
      <c r="AH282" s="360"/>
      <c r="AI282" s="360"/>
      <c r="AJ282" s="360" t="s">
        <v>1589</v>
      </c>
      <c r="AK282" s="360"/>
      <c r="AL282" s="360" t="s">
        <v>5878</v>
      </c>
      <c r="AM282" s="360"/>
      <c r="AN282" s="360"/>
      <c r="AO282" s="360"/>
      <c r="AP282" s="360"/>
      <c r="AQ282" s="360"/>
      <c r="AR282" s="360"/>
      <c r="AS282" s="360"/>
      <c r="AT282" s="360"/>
      <c r="AU282" s="360" t="s">
        <v>22</v>
      </c>
      <c r="AV282" s="360"/>
      <c r="AW282" s="264"/>
      <c r="AX282" s="264"/>
      <c r="AY282" s="264"/>
      <c r="AZ282" s="264"/>
      <c r="BA282" s="264"/>
      <c r="BB282" s="264"/>
      <c r="BC282" s="264"/>
      <c r="BD282" s="264"/>
      <c r="BE282" s="264"/>
    </row>
    <row r="283">
      <c r="A283" s="264"/>
      <c r="B283" s="264"/>
      <c r="C283" s="264"/>
      <c r="D283" s="264"/>
      <c r="E283" s="264"/>
      <c r="F283" s="264"/>
      <c r="G283" s="264"/>
      <c r="H283" s="264"/>
      <c r="I283" s="264"/>
      <c r="J283" s="264"/>
      <c r="K283" s="264"/>
      <c r="L283" s="264"/>
      <c r="M283" s="264" t="s">
        <v>22</v>
      </c>
      <c r="N283" s="264"/>
      <c r="O283" s="264" t="s">
        <v>22</v>
      </c>
      <c r="P283" s="264"/>
      <c r="Q283" s="264"/>
      <c r="R283" s="264"/>
      <c r="S283" s="264"/>
      <c r="T283" s="264"/>
      <c r="U283" s="360"/>
      <c r="V283" s="360"/>
      <c r="W283" s="360"/>
      <c r="X283" s="360"/>
      <c r="Y283" s="360"/>
      <c r="Z283" s="360"/>
      <c r="AA283" s="360"/>
      <c r="AB283" s="360"/>
      <c r="AC283" s="360"/>
      <c r="AD283" s="360"/>
      <c r="AE283" s="360"/>
      <c r="AF283" s="360"/>
      <c r="AG283" s="360" t="s">
        <v>1582</v>
      </c>
      <c r="AH283" s="360"/>
      <c r="AI283" s="360"/>
      <c r="AJ283" s="360" t="s">
        <v>1589</v>
      </c>
      <c r="AK283" s="360"/>
      <c r="AL283" s="360" t="s">
        <v>5878</v>
      </c>
      <c r="AM283" s="360"/>
      <c r="AN283" s="360"/>
      <c r="AO283" s="360"/>
      <c r="AP283" s="360"/>
      <c r="AQ283" s="360"/>
      <c r="AR283" s="360"/>
      <c r="AS283" s="360"/>
      <c r="AT283" s="360"/>
      <c r="AU283" s="360" t="s">
        <v>22</v>
      </c>
      <c r="AV283" s="360"/>
      <c r="AW283" s="264"/>
      <c r="AX283" s="264"/>
      <c r="AY283" s="264"/>
      <c r="AZ283" s="264"/>
      <c r="BA283" s="264"/>
      <c r="BB283" s="264"/>
      <c r="BC283" s="264"/>
      <c r="BD283" s="264"/>
      <c r="BE283" s="264"/>
    </row>
    <row r="284">
      <c r="A284" s="264"/>
      <c r="B284" s="264"/>
      <c r="C284" s="264"/>
      <c r="D284" s="264"/>
      <c r="E284" s="264"/>
      <c r="F284" s="264"/>
      <c r="G284" s="264"/>
      <c r="H284" s="264"/>
      <c r="I284" s="264"/>
      <c r="J284" s="264"/>
      <c r="K284" s="264"/>
      <c r="L284" s="264"/>
      <c r="M284" s="264" t="s">
        <v>22</v>
      </c>
      <c r="N284" s="264"/>
      <c r="O284" s="264" t="s">
        <v>22</v>
      </c>
      <c r="P284" s="264"/>
      <c r="Q284" s="264"/>
      <c r="R284" s="264"/>
      <c r="S284" s="264"/>
      <c r="T284" s="264"/>
      <c r="U284" s="360"/>
      <c r="V284" s="360"/>
      <c r="W284" s="360"/>
      <c r="X284" s="360"/>
      <c r="Y284" s="360"/>
      <c r="Z284" s="360"/>
      <c r="AA284" s="360"/>
      <c r="AB284" s="360"/>
      <c r="AC284" s="360"/>
      <c r="AD284" s="360"/>
      <c r="AE284" s="360"/>
      <c r="AF284" s="360"/>
      <c r="AG284" s="360" t="s">
        <v>1582</v>
      </c>
      <c r="AH284" s="360"/>
      <c r="AI284" s="360"/>
      <c r="AJ284" s="360" t="s">
        <v>1589</v>
      </c>
      <c r="AK284" s="360"/>
      <c r="AL284" s="360" t="s">
        <v>5878</v>
      </c>
      <c r="AM284" s="360"/>
      <c r="AN284" s="360"/>
      <c r="AO284" s="360"/>
      <c r="AP284" s="360"/>
      <c r="AQ284" s="360"/>
      <c r="AR284" s="360"/>
      <c r="AS284" s="360"/>
      <c r="AT284" s="360"/>
      <c r="AU284" s="360" t="s">
        <v>22</v>
      </c>
      <c r="AV284" s="360"/>
      <c r="AW284" s="264"/>
      <c r="AX284" s="264"/>
      <c r="AY284" s="264"/>
      <c r="AZ284" s="264"/>
      <c r="BA284" s="264"/>
      <c r="BB284" s="264"/>
      <c r="BC284" s="264"/>
      <c r="BD284" s="264"/>
      <c r="BE284" s="264"/>
    </row>
    <row r="285">
      <c r="A285" s="264"/>
      <c r="B285" s="264"/>
      <c r="C285" s="264"/>
      <c r="D285" s="264"/>
      <c r="E285" s="264"/>
      <c r="F285" s="264"/>
      <c r="G285" s="264"/>
      <c r="H285" s="264"/>
      <c r="I285" s="264"/>
      <c r="J285" s="264"/>
      <c r="K285" s="264"/>
      <c r="L285" s="264"/>
      <c r="M285" s="264" t="s">
        <v>22</v>
      </c>
      <c r="N285" s="264"/>
      <c r="O285" s="264" t="s">
        <v>22</v>
      </c>
      <c r="P285" s="264"/>
      <c r="Q285" s="264"/>
      <c r="R285" s="264"/>
      <c r="S285" s="264"/>
      <c r="T285" s="264"/>
      <c r="U285" s="360"/>
      <c r="V285" s="360"/>
      <c r="W285" s="360"/>
      <c r="X285" s="360"/>
      <c r="Y285" s="360"/>
      <c r="Z285" s="360"/>
      <c r="AA285" s="360"/>
      <c r="AB285" s="360"/>
      <c r="AC285" s="360"/>
      <c r="AD285" s="360"/>
      <c r="AE285" s="360"/>
      <c r="AF285" s="360"/>
      <c r="AG285" s="360" t="s">
        <v>1582</v>
      </c>
      <c r="AH285" s="360"/>
      <c r="AI285" s="360"/>
      <c r="AJ285" s="360" t="s">
        <v>1589</v>
      </c>
      <c r="AK285" s="360"/>
      <c r="AL285" s="360" t="s">
        <v>5878</v>
      </c>
      <c r="AM285" s="360"/>
      <c r="AN285" s="360"/>
      <c r="AO285" s="360"/>
      <c r="AP285" s="360"/>
      <c r="AQ285" s="360"/>
      <c r="AR285" s="360"/>
      <c r="AS285" s="360"/>
      <c r="AT285" s="360"/>
      <c r="AU285" s="360" t="s">
        <v>22</v>
      </c>
      <c r="AV285" s="360"/>
      <c r="AW285" s="264"/>
      <c r="AX285" s="264"/>
      <c r="AY285" s="264"/>
      <c r="AZ285" s="264"/>
      <c r="BA285" s="264"/>
      <c r="BB285" s="264"/>
      <c r="BC285" s="264"/>
      <c r="BD285" s="264"/>
      <c r="BE285" s="264"/>
    </row>
    <row r="286">
      <c r="A286" s="264"/>
      <c r="B286" s="264"/>
      <c r="C286" s="264"/>
      <c r="D286" s="264"/>
      <c r="E286" s="264"/>
      <c r="F286" s="264"/>
      <c r="G286" s="264"/>
      <c r="H286" s="264"/>
      <c r="I286" s="264"/>
      <c r="J286" s="264"/>
      <c r="K286" s="264"/>
      <c r="L286" s="264"/>
      <c r="M286" s="264" t="s">
        <v>22</v>
      </c>
      <c r="N286" s="264"/>
      <c r="O286" s="264" t="s">
        <v>22</v>
      </c>
      <c r="P286" s="264"/>
      <c r="Q286" s="264"/>
      <c r="R286" s="264"/>
      <c r="S286" s="264"/>
      <c r="T286" s="264"/>
      <c r="U286" s="360"/>
      <c r="V286" s="360"/>
      <c r="W286" s="360"/>
      <c r="X286" s="360"/>
      <c r="Y286" s="360"/>
      <c r="Z286" s="360"/>
      <c r="AA286" s="360"/>
      <c r="AB286" s="360"/>
      <c r="AC286" s="360"/>
      <c r="AD286" s="360"/>
      <c r="AE286" s="360"/>
      <c r="AF286" s="360"/>
      <c r="AG286" s="360" t="s">
        <v>1582</v>
      </c>
      <c r="AH286" s="360"/>
      <c r="AI286" s="360"/>
      <c r="AJ286" s="360" t="s">
        <v>1589</v>
      </c>
      <c r="AK286" s="360"/>
      <c r="AL286" s="360" t="s">
        <v>5878</v>
      </c>
      <c r="AM286" s="360"/>
      <c r="AN286" s="360"/>
      <c r="AO286" s="360"/>
      <c r="AP286" s="360"/>
      <c r="AQ286" s="360"/>
      <c r="AR286" s="360"/>
      <c r="AS286" s="360"/>
      <c r="AT286" s="360"/>
      <c r="AU286" s="360" t="s">
        <v>22</v>
      </c>
      <c r="AV286" s="360"/>
      <c r="AW286" s="264"/>
      <c r="AX286" s="264"/>
      <c r="AY286" s="264"/>
      <c r="AZ286" s="264"/>
      <c r="BA286" s="264"/>
      <c r="BB286" s="264"/>
      <c r="BC286" s="264"/>
      <c r="BD286" s="264"/>
      <c r="BE286" s="264"/>
    </row>
    <row r="287">
      <c r="A287" s="264"/>
      <c r="B287" s="264"/>
      <c r="C287" s="264"/>
      <c r="D287" s="264"/>
      <c r="E287" s="264"/>
      <c r="F287" s="264"/>
      <c r="G287" s="264"/>
      <c r="H287" s="264"/>
      <c r="I287" s="264"/>
      <c r="J287" s="264"/>
      <c r="K287" s="264"/>
      <c r="L287" s="264"/>
      <c r="M287" s="264" t="s">
        <v>22</v>
      </c>
      <c r="N287" s="264"/>
      <c r="O287" s="264" t="s">
        <v>22</v>
      </c>
      <c r="P287" s="264"/>
      <c r="Q287" s="264"/>
      <c r="R287" s="264"/>
      <c r="S287" s="264"/>
      <c r="T287" s="264"/>
      <c r="U287" s="360"/>
      <c r="V287" s="360"/>
      <c r="W287" s="360"/>
      <c r="X287" s="360"/>
      <c r="Y287" s="360"/>
      <c r="Z287" s="360"/>
      <c r="AA287" s="360"/>
      <c r="AB287" s="360"/>
      <c r="AC287" s="360"/>
      <c r="AD287" s="360"/>
      <c r="AE287" s="360"/>
      <c r="AF287" s="360"/>
      <c r="AG287" s="360" t="s">
        <v>1582</v>
      </c>
      <c r="AH287" s="360"/>
      <c r="AI287" s="360"/>
      <c r="AJ287" s="360" t="s">
        <v>1589</v>
      </c>
      <c r="AK287" s="360"/>
      <c r="AL287" s="360" t="s">
        <v>5878</v>
      </c>
      <c r="AM287" s="360"/>
      <c r="AN287" s="360"/>
      <c r="AO287" s="360"/>
      <c r="AP287" s="360"/>
      <c r="AQ287" s="360"/>
      <c r="AR287" s="360"/>
      <c r="AS287" s="360"/>
      <c r="AT287" s="360"/>
      <c r="AU287" s="360" t="s">
        <v>22</v>
      </c>
      <c r="AV287" s="360"/>
      <c r="AW287" s="264"/>
      <c r="AX287" s="264"/>
      <c r="AY287" s="264"/>
      <c r="AZ287" s="264"/>
      <c r="BA287" s="264"/>
      <c r="BB287" s="264"/>
      <c r="BC287" s="264"/>
      <c r="BD287" s="264"/>
      <c r="BE287" s="264"/>
    </row>
    <row r="288">
      <c r="A288" s="264"/>
      <c r="B288" s="264"/>
      <c r="C288" s="264"/>
      <c r="D288" s="264"/>
      <c r="E288" s="264"/>
      <c r="F288" s="264"/>
      <c r="G288" s="264"/>
      <c r="H288" s="264"/>
      <c r="I288" s="264"/>
      <c r="J288" s="264"/>
      <c r="K288" s="264"/>
      <c r="L288" s="264"/>
      <c r="M288" s="264" t="s">
        <v>22</v>
      </c>
      <c r="N288" s="264"/>
      <c r="O288" s="264" t="s">
        <v>22</v>
      </c>
      <c r="P288" s="264"/>
      <c r="Q288" s="264"/>
      <c r="R288" s="264"/>
      <c r="S288" s="264"/>
      <c r="T288" s="264"/>
      <c r="U288" s="360"/>
      <c r="V288" s="360"/>
      <c r="W288" s="360"/>
      <c r="X288" s="360"/>
      <c r="Y288" s="360"/>
      <c r="Z288" s="360"/>
      <c r="AA288" s="360"/>
      <c r="AB288" s="360"/>
      <c r="AC288" s="360"/>
      <c r="AD288" s="360"/>
      <c r="AE288" s="360"/>
      <c r="AF288" s="360"/>
      <c r="AG288" s="360" t="s">
        <v>1582</v>
      </c>
      <c r="AH288" s="360"/>
      <c r="AI288" s="360"/>
      <c r="AJ288" s="360" t="s">
        <v>1589</v>
      </c>
      <c r="AK288" s="360"/>
      <c r="AL288" s="360" t="s">
        <v>5878</v>
      </c>
      <c r="AM288" s="360"/>
      <c r="AN288" s="360"/>
      <c r="AO288" s="360"/>
      <c r="AP288" s="360"/>
      <c r="AQ288" s="360"/>
      <c r="AR288" s="360"/>
      <c r="AS288" s="360"/>
      <c r="AT288" s="360"/>
      <c r="AU288" s="360" t="s">
        <v>22</v>
      </c>
      <c r="AV288" s="360"/>
      <c r="AW288" s="264"/>
      <c r="AX288" s="264"/>
      <c r="AY288" s="264"/>
      <c r="AZ288" s="264"/>
      <c r="BA288" s="264"/>
      <c r="BB288" s="264"/>
      <c r="BC288" s="264"/>
      <c r="BD288" s="264"/>
      <c r="BE288" s="264"/>
    </row>
    <row r="289">
      <c r="A289" s="264"/>
      <c r="B289" s="264"/>
      <c r="C289" s="264"/>
      <c r="D289" s="264"/>
      <c r="E289" s="264"/>
      <c r="F289" s="264"/>
      <c r="G289" s="264"/>
      <c r="H289" s="264"/>
      <c r="I289" s="264"/>
      <c r="J289" s="264"/>
      <c r="K289" s="264"/>
      <c r="L289" s="264"/>
      <c r="M289" s="264" t="s">
        <v>22</v>
      </c>
      <c r="N289" s="264"/>
      <c r="O289" s="264" t="s">
        <v>22</v>
      </c>
      <c r="P289" s="264"/>
      <c r="Q289" s="264"/>
      <c r="R289" s="264"/>
      <c r="S289" s="264"/>
      <c r="T289" s="264"/>
      <c r="U289" s="360"/>
      <c r="V289" s="360"/>
      <c r="W289" s="360"/>
      <c r="X289" s="360"/>
      <c r="Y289" s="360"/>
      <c r="Z289" s="360"/>
      <c r="AA289" s="360"/>
      <c r="AB289" s="360"/>
      <c r="AC289" s="360"/>
      <c r="AD289" s="360"/>
      <c r="AE289" s="360"/>
      <c r="AF289" s="360"/>
      <c r="AG289" s="360" t="s">
        <v>1582</v>
      </c>
      <c r="AH289" s="360"/>
      <c r="AI289" s="360"/>
      <c r="AJ289" s="360" t="s">
        <v>1589</v>
      </c>
      <c r="AK289" s="360"/>
      <c r="AL289" s="360" t="s">
        <v>5878</v>
      </c>
      <c r="AM289" s="360"/>
      <c r="AN289" s="360"/>
      <c r="AO289" s="360"/>
      <c r="AP289" s="360"/>
      <c r="AQ289" s="360"/>
      <c r="AR289" s="360"/>
      <c r="AS289" s="360"/>
      <c r="AT289" s="360"/>
      <c r="AU289" s="360" t="s">
        <v>22</v>
      </c>
      <c r="AV289" s="360"/>
      <c r="AW289" s="264"/>
      <c r="AX289" s="264"/>
      <c r="AY289" s="264"/>
      <c r="AZ289" s="264"/>
      <c r="BA289" s="264"/>
      <c r="BB289" s="264"/>
      <c r="BC289" s="264"/>
      <c r="BD289" s="264"/>
      <c r="BE289" s="264"/>
    </row>
    <row r="290">
      <c r="A290" s="264"/>
      <c r="B290" s="264"/>
      <c r="C290" s="264"/>
      <c r="D290" s="264"/>
      <c r="E290" s="264"/>
      <c r="F290" s="264"/>
      <c r="G290" s="264"/>
      <c r="H290" s="264"/>
      <c r="I290" s="264"/>
      <c r="J290" s="264"/>
      <c r="K290" s="264"/>
      <c r="L290" s="264"/>
      <c r="M290" s="264" t="s">
        <v>22</v>
      </c>
      <c r="N290" s="264"/>
      <c r="O290" s="264" t="s">
        <v>22</v>
      </c>
      <c r="P290" s="264"/>
      <c r="Q290" s="264"/>
      <c r="R290" s="264"/>
      <c r="S290" s="264"/>
      <c r="T290" s="264"/>
      <c r="U290" s="360"/>
      <c r="V290" s="360"/>
      <c r="W290" s="360"/>
      <c r="X290" s="360"/>
      <c r="Y290" s="360"/>
      <c r="Z290" s="360"/>
      <c r="AA290" s="360"/>
      <c r="AB290" s="360"/>
      <c r="AC290" s="360"/>
      <c r="AD290" s="360"/>
      <c r="AE290" s="360"/>
      <c r="AF290" s="360"/>
      <c r="AG290" s="360" t="s">
        <v>1582</v>
      </c>
      <c r="AH290" s="360"/>
      <c r="AI290" s="360"/>
      <c r="AJ290" s="360" t="s">
        <v>1589</v>
      </c>
      <c r="AK290" s="360"/>
      <c r="AL290" s="360" t="s">
        <v>5878</v>
      </c>
      <c r="AM290" s="360"/>
      <c r="AN290" s="360"/>
      <c r="AO290" s="360"/>
      <c r="AP290" s="360"/>
      <c r="AQ290" s="360"/>
      <c r="AR290" s="360"/>
      <c r="AS290" s="360"/>
      <c r="AT290" s="360"/>
      <c r="AU290" s="360" t="s">
        <v>22</v>
      </c>
      <c r="AV290" s="360"/>
      <c r="AW290" s="264"/>
      <c r="AX290" s="264"/>
      <c r="AY290" s="264"/>
      <c r="AZ290" s="264"/>
      <c r="BA290" s="264"/>
      <c r="BB290" s="264"/>
      <c r="BC290" s="264"/>
      <c r="BD290" s="264"/>
      <c r="BE290" s="264"/>
    </row>
    <row r="291">
      <c r="A291" s="264"/>
      <c r="B291" s="264"/>
      <c r="C291" s="264"/>
      <c r="D291" s="264"/>
      <c r="E291" s="264"/>
      <c r="F291" s="264"/>
      <c r="G291" s="264"/>
      <c r="H291" s="264"/>
      <c r="I291" s="264"/>
      <c r="J291" s="264"/>
      <c r="K291" s="264"/>
      <c r="L291" s="264"/>
      <c r="M291" s="264" t="s">
        <v>22</v>
      </c>
      <c r="N291" s="264"/>
      <c r="O291" s="264" t="s">
        <v>22</v>
      </c>
      <c r="P291" s="264"/>
      <c r="Q291" s="264"/>
      <c r="R291" s="264"/>
      <c r="S291" s="264"/>
      <c r="T291" s="264"/>
      <c r="U291" s="360"/>
      <c r="V291" s="360"/>
      <c r="W291" s="360"/>
      <c r="X291" s="360"/>
      <c r="Y291" s="360"/>
      <c r="Z291" s="360"/>
      <c r="AA291" s="360"/>
      <c r="AB291" s="360"/>
      <c r="AC291" s="360"/>
      <c r="AD291" s="360"/>
      <c r="AE291" s="360"/>
      <c r="AF291" s="360"/>
      <c r="AG291" s="360" t="s">
        <v>1582</v>
      </c>
      <c r="AH291" s="360"/>
      <c r="AI291" s="360"/>
      <c r="AJ291" s="360" t="s">
        <v>1589</v>
      </c>
      <c r="AK291" s="360"/>
      <c r="AL291" s="360" t="s">
        <v>5878</v>
      </c>
      <c r="AM291" s="360"/>
      <c r="AN291" s="360"/>
      <c r="AO291" s="360"/>
      <c r="AP291" s="360"/>
      <c r="AQ291" s="360"/>
      <c r="AR291" s="360"/>
      <c r="AS291" s="360"/>
      <c r="AT291" s="360"/>
      <c r="AU291" s="360" t="s">
        <v>22</v>
      </c>
      <c r="AV291" s="360"/>
      <c r="AW291" s="264"/>
      <c r="AX291" s="264"/>
      <c r="AY291" s="264"/>
      <c r="AZ291" s="264"/>
      <c r="BA291" s="264"/>
      <c r="BB291" s="264"/>
      <c r="BC291" s="264"/>
      <c r="BD291" s="264"/>
      <c r="BE291" s="264"/>
    </row>
    <row r="292">
      <c r="A292" s="264"/>
      <c r="B292" s="264"/>
      <c r="C292" s="264"/>
      <c r="D292" s="264"/>
      <c r="E292" s="264"/>
      <c r="F292" s="264"/>
      <c r="G292" s="264"/>
      <c r="H292" s="264"/>
      <c r="I292" s="264"/>
      <c r="J292" s="264"/>
      <c r="K292" s="264"/>
      <c r="L292" s="264"/>
      <c r="M292" s="264" t="s">
        <v>22</v>
      </c>
      <c r="N292" s="264"/>
      <c r="O292" s="264" t="s">
        <v>22</v>
      </c>
      <c r="P292" s="264"/>
      <c r="Q292" s="264"/>
      <c r="R292" s="264"/>
      <c r="S292" s="264"/>
      <c r="T292" s="264"/>
      <c r="U292" s="360"/>
      <c r="V292" s="360"/>
      <c r="W292" s="360"/>
      <c r="X292" s="360"/>
      <c r="Y292" s="360"/>
      <c r="Z292" s="360"/>
      <c r="AA292" s="360"/>
      <c r="AB292" s="360"/>
      <c r="AC292" s="360"/>
      <c r="AD292" s="360"/>
      <c r="AE292" s="360"/>
      <c r="AF292" s="360"/>
      <c r="AG292" s="360" t="s">
        <v>1582</v>
      </c>
      <c r="AH292" s="360"/>
      <c r="AI292" s="360"/>
      <c r="AJ292" s="360" t="s">
        <v>1589</v>
      </c>
      <c r="AK292" s="360"/>
      <c r="AL292" s="360" t="s">
        <v>5878</v>
      </c>
      <c r="AM292" s="360"/>
      <c r="AN292" s="360"/>
      <c r="AO292" s="360"/>
      <c r="AP292" s="360"/>
      <c r="AQ292" s="360"/>
      <c r="AR292" s="360"/>
      <c r="AS292" s="360"/>
      <c r="AT292" s="360"/>
      <c r="AU292" s="360" t="s">
        <v>22</v>
      </c>
      <c r="AV292" s="360"/>
      <c r="AW292" s="264"/>
      <c r="AX292" s="264"/>
      <c r="AY292" s="264"/>
      <c r="AZ292" s="264"/>
      <c r="BA292" s="264"/>
      <c r="BB292" s="264"/>
      <c r="BC292" s="264"/>
      <c r="BD292" s="264"/>
      <c r="BE292" s="264"/>
    </row>
    <row r="293">
      <c r="A293" s="264"/>
      <c r="B293" s="264"/>
      <c r="C293" s="264"/>
      <c r="D293" s="264"/>
      <c r="E293" s="264"/>
      <c r="F293" s="264"/>
      <c r="G293" s="264"/>
      <c r="H293" s="264"/>
      <c r="I293" s="264"/>
      <c r="J293" s="264"/>
      <c r="K293" s="264"/>
      <c r="L293" s="264"/>
      <c r="M293" s="264" t="s">
        <v>22</v>
      </c>
      <c r="N293" s="264"/>
      <c r="O293" s="264" t="s">
        <v>22</v>
      </c>
      <c r="P293" s="264"/>
      <c r="Q293" s="264"/>
      <c r="R293" s="264"/>
      <c r="S293" s="264"/>
      <c r="T293" s="264"/>
      <c r="U293" s="360"/>
      <c r="V293" s="360"/>
      <c r="W293" s="360"/>
      <c r="X293" s="360"/>
      <c r="Y293" s="360"/>
      <c r="Z293" s="360"/>
      <c r="AA293" s="360"/>
      <c r="AB293" s="360"/>
      <c r="AC293" s="360"/>
      <c r="AD293" s="360"/>
      <c r="AE293" s="360"/>
      <c r="AF293" s="360"/>
      <c r="AG293" s="360" t="s">
        <v>1582</v>
      </c>
      <c r="AH293" s="360"/>
      <c r="AI293" s="360"/>
      <c r="AJ293" s="360" t="s">
        <v>1589</v>
      </c>
      <c r="AK293" s="360"/>
      <c r="AL293" s="360" t="s">
        <v>5878</v>
      </c>
      <c r="AM293" s="360"/>
      <c r="AN293" s="360"/>
      <c r="AO293" s="360"/>
      <c r="AP293" s="360"/>
      <c r="AQ293" s="360"/>
      <c r="AR293" s="360"/>
      <c r="AS293" s="360"/>
      <c r="AT293" s="360"/>
      <c r="AU293" s="360" t="s">
        <v>22</v>
      </c>
      <c r="AV293" s="360"/>
      <c r="AW293" s="264"/>
      <c r="AX293" s="264"/>
      <c r="AY293" s="264"/>
      <c r="AZ293" s="264"/>
      <c r="BA293" s="264"/>
      <c r="BB293" s="264"/>
      <c r="BC293" s="264"/>
      <c r="BD293" s="264"/>
      <c r="BE293" s="264"/>
    </row>
    <row r="294">
      <c r="A294" s="264"/>
      <c r="B294" s="264"/>
      <c r="C294" s="264"/>
      <c r="D294" s="264"/>
      <c r="E294" s="264"/>
      <c r="F294" s="264"/>
      <c r="G294" s="264"/>
      <c r="H294" s="264"/>
      <c r="I294" s="264"/>
      <c r="J294" s="264"/>
      <c r="K294" s="264"/>
      <c r="L294" s="264"/>
      <c r="M294" s="264" t="s">
        <v>22</v>
      </c>
      <c r="N294" s="264"/>
      <c r="O294" s="264" t="s">
        <v>22</v>
      </c>
      <c r="P294" s="264"/>
      <c r="Q294" s="264"/>
      <c r="R294" s="264"/>
      <c r="S294" s="264"/>
      <c r="T294" s="264"/>
      <c r="U294" s="360"/>
      <c r="V294" s="360"/>
      <c r="W294" s="360"/>
      <c r="X294" s="360"/>
      <c r="Y294" s="360"/>
      <c r="Z294" s="360"/>
      <c r="AA294" s="360"/>
      <c r="AB294" s="360"/>
      <c r="AC294" s="360"/>
      <c r="AD294" s="360"/>
      <c r="AE294" s="360"/>
      <c r="AF294" s="360"/>
      <c r="AG294" s="360" t="s">
        <v>1582</v>
      </c>
      <c r="AH294" s="360"/>
      <c r="AI294" s="360"/>
      <c r="AJ294" s="360" t="s">
        <v>1589</v>
      </c>
      <c r="AK294" s="360"/>
      <c r="AL294" s="360" t="s">
        <v>5878</v>
      </c>
      <c r="AM294" s="360"/>
      <c r="AN294" s="360"/>
      <c r="AO294" s="360"/>
      <c r="AP294" s="360"/>
      <c r="AQ294" s="360"/>
      <c r="AR294" s="360"/>
      <c r="AS294" s="360"/>
      <c r="AT294" s="360"/>
      <c r="AU294" s="360" t="s">
        <v>22</v>
      </c>
      <c r="AV294" s="360"/>
      <c r="AW294" s="264"/>
      <c r="AX294" s="264"/>
      <c r="AY294" s="264"/>
      <c r="AZ294" s="264"/>
      <c r="BA294" s="264"/>
      <c r="BB294" s="264"/>
      <c r="BC294" s="264"/>
      <c r="BD294" s="264"/>
      <c r="BE294" s="264"/>
    </row>
    <row r="295">
      <c r="A295" s="264"/>
      <c r="B295" s="264"/>
      <c r="C295" s="264"/>
      <c r="D295" s="264"/>
      <c r="E295" s="264"/>
      <c r="F295" s="264"/>
      <c r="G295" s="264"/>
      <c r="H295" s="264"/>
      <c r="I295" s="264"/>
      <c r="J295" s="264"/>
      <c r="K295" s="264"/>
      <c r="L295" s="264"/>
      <c r="M295" s="264" t="s">
        <v>22</v>
      </c>
      <c r="N295" s="264"/>
      <c r="O295" s="264" t="s">
        <v>22</v>
      </c>
      <c r="P295" s="264"/>
      <c r="Q295" s="264"/>
      <c r="R295" s="264"/>
      <c r="S295" s="264"/>
      <c r="T295" s="264"/>
      <c r="U295" s="360"/>
      <c r="V295" s="360"/>
      <c r="W295" s="360"/>
      <c r="X295" s="360"/>
      <c r="Y295" s="360"/>
      <c r="Z295" s="360"/>
      <c r="AA295" s="360"/>
      <c r="AB295" s="360"/>
      <c r="AC295" s="360"/>
      <c r="AD295" s="360"/>
      <c r="AE295" s="360"/>
      <c r="AF295" s="360"/>
      <c r="AG295" s="360" t="s">
        <v>1582</v>
      </c>
      <c r="AH295" s="360"/>
      <c r="AI295" s="360"/>
      <c r="AJ295" s="360" t="s">
        <v>1589</v>
      </c>
      <c r="AK295" s="360"/>
      <c r="AL295" s="360" t="s">
        <v>5878</v>
      </c>
      <c r="AM295" s="360"/>
      <c r="AN295" s="360"/>
      <c r="AO295" s="360"/>
      <c r="AP295" s="360"/>
      <c r="AQ295" s="360"/>
      <c r="AR295" s="360"/>
      <c r="AS295" s="360"/>
      <c r="AT295" s="360"/>
      <c r="AU295" s="360" t="s">
        <v>22</v>
      </c>
      <c r="AV295" s="360"/>
      <c r="AW295" s="264"/>
      <c r="AX295" s="264"/>
      <c r="AY295" s="264"/>
      <c r="AZ295" s="264"/>
      <c r="BA295" s="264"/>
      <c r="BB295" s="264"/>
      <c r="BC295" s="264"/>
      <c r="BD295" s="264"/>
      <c r="BE295" s="264"/>
    </row>
    <row r="296">
      <c r="A296" s="264"/>
      <c r="B296" s="264"/>
      <c r="C296" s="264"/>
      <c r="D296" s="264"/>
      <c r="E296" s="264"/>
      <c r="F296" s="264"/>
      <c r="G296" s="264"/>
      <c r="H296" s="264"/>
      <c r="I296" s="264"/>
      <c r="J296" s="264"/>
      <c r="K296" s="264"/>
      <c r="L296" s="264"/>
      <c r="M296" s="264" t="s">
        <v>22</v>
      </c>
      <c r="N296" s="264"/>
      <c r="O296" s="264" t="s">
        <v>22</v>
      </c>
      <c r="P296" s="264"/>
      <c r="Q296" s="264"/>
      <c r="R296" s="264"/>
      <c r="S296" s="264"/>
      <c r="T296" s="264"/>
      <c r="U296" s="360"/>
      <c r="V296" s="360"/>
      <c r="W296" s="360"/>
      <c r="X296" s="360"/>
      <c r="Y296" s="360"/>
      <c r="Z296" s="360"/>
      <c r="AA296" s="360"/>
      <c r="AB296" s="360"/>
      <c r="AC296" s="360"/>
      <c r="AD296" s="360"/>
      <c r="AE296" s="360"/>
      <c r="AF296" s="360"/>
      <c r="AG296" s="360" t="s">
        <v>1582</v>
      </c>
      <c r="AH296" s="360"/>
      <c r="AI296" s="360"/>
      <c r="AJ296" s="360" t="s">
        <v>1589</v>
      </c>
      <c r="AK296" s="360"/>
      <c r="AL296" s="360" t="s">
        <v>5878</v>
      </c>
      <c r="AM296" s="360"/>
      <c r="AN296" s="360"/>
      <c r="AO296" s="360"/>
      <c r="AP296" s="360"/>
      <c r="AQ296" s="360"/>
      <c r="AR296" s="360"/>
      <c r="AS296" s="360"/>
      <c r="AT296" s="360"/>
      <c r="AU296" s="360" t="s">
        <v>22</v>
      </c>
      <c r="AV296" s="360"/>
      <c r="AW296" s="264"/>
      <c r="AX296" s="264"/>
      <c r="AY296" s="264"/>
      <c r="AZ296" s="264"/>
      <c r="BA296" s="264"/>
      <c r="BB296" s="264"/>
      <c r="BC296" s="264"/>
      <c r="BD296" s="264"/>
      <c r="BE296" s="264"/>
    </row>
    <row r="297">
      <c r="A297" s="264"/>
      <c r="B297" s="264"/>
      <c r="C297" s="264"/>
      <c r="D297" s="264"/>
      <c r="E297" s="264"/>
      <c r="F297" s="264"/>
      <c r="G297" s="264"/>
      <c r="H297" s="264"/>
      <c r="I297" s="264"/>
      <c r="J297" s="264"/>
      <c r="K297" s="264"/>
      <c r="L297" s="264"/>
      <c r="M297" s="264" t="s">
        <v>22</v>
      </c>
      <c r="N297" s="264"/>
      <c r="O297" s="264" t="s">
        <v>22</v>
      </c>
      <c r="P297" s="264"/>
      <c r="Q297" s="264"/>
      <c r="R297" s="264"/>
      <c r="S297" s="264"/>
      <c r="T297" s="264"/>
      <c r="U297" s="360"/>
      <c r="V297" s="360"/>
      <c r="W297" s="360"/>
      <c r="X297" s="360"/>
      <c r="Y297" s="360"/>
      <c r="Z297" s="360"/>
      <c r="AA297" s="360"/>
      <c r="AB297" s="360"/>
      <c r="AC297" s="360"/>
      <c r="AD297" s="360"/>
      <c r="AE297" s="360"/>
      <c r="AF297" s="360"/>
      <c r="AG297" s="360" t="s">
        <v>1582</v>
      </c>
      <c r="AH297" s="360"/>
      <c r="AI297" s="360"/>
      <c r="AJ297" s="360" t="s">
        <v>1589</v>
      </c>
      <c r="AK297" s="360"/>
      <c r="AL297" s="360" t="s">
        <v>5878</v>
      </c>
      <c r="AM297" s="360"/>
      <c r="AN297" s="360"/>
      <c r="AO297" s="360"/>
      <c r="AP297" s="360"/>
      <c r="AQ297" s="360"/>
      <c r="AR297" s="360"/>
      <c r="AS297" s="360"/>
      <c r="AT297" s="360"/>
      <c r="AU297" s="360" t="s">
        <v>22</v>
      </c>
      <c r="AV297" s="360"/>
      <c r="AW297" s="264"/>
      <c r="AX297" s="264"/>
      <c r="AY297" s="264"/>
      <c r="AZ297" s="264"/>
      <c r="BA297" s="264"/>
      <c r="BB297" s="264"/>
      <c r="BC297" s="264"/>
      <c r="BD297" s="264"/>
      <c r="BE297" s="264"/>
    </row>
    <row r="298">
      <c r="A298" s="264"/>
      <c r="B298" s="264"/>
      <c r="C298" s="264"/>
      <c r="D298" s="264"/>
      <c r="E298" s="264"/>
      <c r="F298" s="264"/>
      <c r="G298" s="264"/>
      <c r="H298" s="264"/>
      <c r="I298" s="264"/>
      <c r="J298" s="264"/>
      <c r="K298" s="264"/>
      <c r="L298" s="264"/>
      <c r="M298" s="264" t="s">
        <v>22</v>
      </c>
      <c r="N298" s="264"/>
      <c r="O298" s="264" t="s">
        <v>22</v>
      </c>
      <c r="P298" s="264"/>
      <c r="Q298" s="264"/>
      <c r="R298" s="264"/>
      <c r="S298" s="264"/>
      <c r="T298" s="264"/>
      <c r="U298" s="360"/>
      <c r="V298" s="360"/>
      <c r="W298" s="360"/>
      <c r="X298" s="360"/>
      <c r="Y298" s="360"/>
      <c r="Z298" s="360"/>
      <c r="AA298" s="360"/>
      <c r="AB298" s="360"/>
      <c r="AC298" s="360"/>
      <c r="AD298" s="360"/>
      <c r="AE298" s="360"/>
      <c r="AF298" s="360"/>
      <c r="AG298" s="360" t="s">
        <v>1582</v>
      </c>
      <c r="AH298" s="360"/>
      <c r="AI298" s="360"/>
      <c r="AJ298" s="360" t="s">
        <v>1589</v>
      </c>
      <c r="AK298" s="360"/>
      <c r="AL298" s="360" t="s">
        <v>5878</v>
      </c>
      <c r="AM298" s="360"/>
      <c r="AN298" s="360"/>
      <c r="AO298" s="360"/>
      <c r="AP298" s="360"/>
      <c r="AQ298" s="360"/>
      <c r="AR298" s="360"/>
      <c r="AS298" s="360"/>
      <c r="AT298" s="360"/>
      <c r="AU298" s="360" t="s">
        <v>22</v>
      </c>
      <c r="AV298" s="360"/>
      <c r="AW298" s="264"/>
      <c r="AX298" s="264"/>
      <c r="AY298" s="264"/>
      <c r="AZ298" s="264"/>
      <c r="BA298" s="264"/>
      <c r="BB298" s="264"/>
      <c r="BC298" s="264"/>
      <c r="BD298" s="264"/>
      <c r="BE298" s="264"/>
    </row>
    <row r="299">
      <c r="A299" s="264"/>
      <c r="B299" s="264"/>
      <c r="C299" s="264"/>
      <c r="D299" s="264"/>
      <c r="E299" s="264"/>
      <c r="F299" s="264"/>
      <c r="G299" s="264"/>
      <c r="H299" s="264"/>
      <c r="I299" s="264"/>
      <c r="J299" s="264"/>
      <c r="K299" s="264"/>
      <c r="L299" s="264"/>
      <c r="M299" s="264" t="s">
        <v>22</v>
      </c>
      <c r="N299" s="264"/>
      <c r="O299" s="264" t="s">
        <v>22</v>
      </c>
      <c r="P299" s="264"/>
      <c r="Q299" s="264"/>
      <c r="R299" s="264"/>
      <c r="S299" s="264"/>
      <c r="T299" s="264"/>
      <c r="U299" s="360"/>
      <c r="V299" s="360"/>
      <c r="W299" s="360"/>
      <c r="X299" s="360"/>
      <c r="Y299" s="360"/>
      <c r="Z299" s="360"/>
      <c r="AA299" s="360"/>
      <c r="AB299" s="360"/>
      <c r="AC299" s="360"/>
      <c r="AD299" s="360"/>
      <c r="AE299" s="360"/>
      <c r="AF299" s="360"/>
      <c r="AG299" s="360" t="s">
        <v>1582</v>
      </c>
      <c r="AH299" s="360"/>
      <c r="AI299" s="360"/>
      <c r="AJ299" s="360" t="s">
        <v>1589</v>
      </c>
      <c r="AK299" s="360"/>
      <c r="AL299" s="360" t="s">
        <v>5878</v>
      </c>
      <c r="AM299" s="360"/>
      <c r="AN299" s="360"/>
      <c r="AO299" s="360"/>
      <c r="AP299" s="360"/>
      <c r="AQ299" s="360"/>
      <c r="AR299" s="360"/>
      <c r="AS299" s="360"/>
      <c r="AT299" s="360"/>
      <c r="AU299" s="360" t="s">
        <v>22</v>
      </c>
      <c r="AV299" s="360"/>
      <c r="AW299" s="264"/>
      <c r="AX299" s="264"/>
      <c r="AY299" s="264"/>
      <c r="AZ299" s="264"/>
      <c r="BA299" s="264"/>
      <c r="BB299" s="264"/>
      <c r="BC299" s="264"/>
      <c r="BD299" s="264"/>
      <c r="BE299" s="264"/>
    </row>
    <row r="300">
      <c r="A300" s="264"/>
      <c r="B300" s="264"/>
      <c r="C300" s="264"/>
      <c r="D300" s="264"/>
      <c r="E300" s="264"/>
      <c r="F300" s="264"/>
      <c r="G300" s="264"/>
      <c r="H300" s="264"/>
      <c r="I300" s="264"/>
      <c r="J300" s="264"/>
      <c r="K300" s="264"/>
      <c r="L300" s="264"/>
      <c r="M300" s="264" t="s">
        <v>22</v>
      </c>
      <c r="N300" s="264"/>
      <c r="O300" s="264" t="s">
        <v>22</v>
      </c>
      <c r="P300" s="264"/>
      <c r="Q300" s="264"/>
      <c r="R300" s="264"/>
      <c r="S300" s="264"/>
      <c r="T300" s="264"/>
      <c r="U300" s="360"/>
      <c r="V300" s="360"/>
      <c r="W300" s="360"/>
      <c r="X300" s="360"/>
      <c r="Y300" s="360"/>
      <c r="Z300" s="360"/>
      <c r="AA300" s="360"/>
      <c r="AB300" s="360"/>
      <c r="AC300" s="360"/>
      <c r="AD300" s="360"/>
      <c r="AE300" s="360"/>
      <c r="AF300" s="360"/>
      <c r="AG300" s="360" t="s">
        <v>1582</v>
      </c>
      <c r="AH300" s="360"/>
      <c r="AI300" s="360"/>
      <c r="AJ300" s="360" t="s">
        <v>1589</v>
      </c>
      <c r="AK300" s="360"/>
      <c r="AL300" s="360" t="s">
        <v>5878</v>
      </c>
      <c r="AM300" s="360"/>
      <c r="AN300" s="360"/>
      <c r="AO300" s="360"/>
      <c r="AP300" s="360"/>
      <c r="AQ300" s="360"/>
      <c r="AR300" s="360"/>
      <c r="AS300" s="360"/>
      <c r="AT300" s="360"/>
      <c r="AU300" s="360" t="s">
        <v>22</v>
      </c>
      <c r="AV300" s="360"/>
      <c r="AW300" s="264"/>
      <c r="AX300" s="264"/>
      <c r="AY300" s="264"/>
      <c r="AZ300" s="264"/>
      <c r="BA300" s="264"/>
      <c r="BB300" s="264"/>
      <c r="BC300" s="264"/>
      <c r="BD300" s="264"/>
      <c r="BE300" s="264"/>
    </row>
    <row r="301">
      <c r="A301" s="264"/>
      <c r="B301" s="264"/>
      <c r="C301" s="264"/>
      <c r="D301" s="264"/>
      <c r="E301" s="264"/>
      <c r="F301" s="264"/>
      <c r="G301" s="264"/>
      <c r="H301" s="264"/>
      <c r="I301" s="264"/>
      <c r="J301" s="264"/>
      <c r="K301" s="264"/>
      <c r="L301" s="264"/>
      <c r="M301" s="264" t="s">
        <v>22</v>
      </c>
      <c r="N301" s="264"/>
      <c r="O301" s="264" t="s">
        <v>22</v>
      </c>
      <c r="P301" s="264"/>
      <c r="Q301" s="264"/>
      <c r="R301" s="264"/>
      <c r="S301" s="264"/>
      <c r="T301" s="264"/>
      <c r="U301" s="360"/>
      <c r="V301" s="360"/>
      <c r="W301" s="360"/>
      <c r="X301" s="360"/>
      <c r="Y301" s="360"/>
      <c r="Z301" s="360"/>
      <c r="AA301" s="360"/>
      <c r="AB301" s="360"/>
      <c r="AC301" s="360"/>
      <c r="AD301" s="360"/>
      <c r="AE301" s="360"/>
      <c r="AF301" s="360"/>
      <c r="AG301" s="360" t="s">
        <v>1582</v>
      </c>
      <c r="AH301" s="360"/>
      <c r="AI301" s="360"/>
      <c r="AJ301" s="360" t="s">
        <v>1589</v>
      </c>
      <c r="AK301" s="360"/>
      <c r="AL301" s="360" t="s">
        <v>5878</v>
      </c>
      <c r="AM301" s="360"/>
      <c r="AN301" s="360"/>
      <c r="AO301" s="360"/>
      <c r="AP301" s="360"/>
      <c r="AQ301" s="360"/>
      <c r="AR301" s="360"/>
      <c r="AS301" s="360"/>
      <c r="AT301" s="360"/>
      <c r="AU301" s="360" t="s">
        <v>22</v>
      </c>
      <c r="AV301" s="360"/>
      <c r="AW301" s="264"/>
      <c r="AX301" s="264"/>
      <c r="AY301" s="264"/>
      <c r="AZ301" s="264"/>
      <c r="BA301" s="264"/>
      <c r="BB301" s="264"/>
      <c r="BC301" s="264"/>
      <c r="BD301" s="264"/>
      <c r="BE301" s="264"/>
    </row>
    <row r="302">
      <c r="A302" s="264"/>
      <c r="B302" s="264"/>
      <c r="C302" s="264"/>
      <c r="D302" s="264"/>
      <c r="E302" s="264"/>
      <c r="F302" s="264"/>
      <c r="G302" s="264"/>
      <c r="H302" s="264"/>
      <c r="I302" s="264"/>
      <c r="J302" s="264"/>
      <c r="K302" s="264"/>
      <c r="L302" s="264"/>
      <c r="M302" s="264" t="s">
        <v>22</v>
      </c>
      <c r="N302" s="264"/>
      <c r="O302" s="264" t="s">
        <v>22</v>
      </c>
      <c r="P302" s="264"/>
      <c r="Q302" s="264"/>
      <c r="R302" s="264"/>
      <c r="S302" s="264"/>
      <c r="T302" s="264"/>
      <c r="U302" s="360"/>
      <c r="V302" s="360"/>
      <c r="W302" s="360"/>
      <c r="X302" s="360"/>
      <c r="Y302" s="360"/>
      <c r="Z302" s="360"/>
      <c r="AA302" s="360"/>
      <c r="AB302" s="360"/>
      <c r="AC302" s="360"/>
      <c r="AD302" s="360"/>
      <c r="AE302" s="360"/>
      <c r="AF302" s="360"/>
      <c r="AG302" s="360" t="s">
        <v>1582</v>
      </c>
      <c r="AH302" s="360"/>
      <c r="AI302" s="360"/>
      <c r="AJ302" s="360" t="s">
        <v>1589</v>
      </c>
      <c r="AK302" s="360"/>
      <c r="AL302" s="360" t="s">
        <v>5878</v>
      </c>
      <c r="AM302" s="360"/>
      <c r="AN302" s="360"/>
      <c r="AO302" s="360"/>
      <c r="AP302" s="360"/>
      <c r="AQ302" s="360"/>
      <c r="AR302" s="360"/>
      <c r="AS302" s="360"/>
      <c r="AT302" s="360"/>
      <c r="AU302" s="360" t="s">
        <v>22</v>
      </c>
      <c r="AV302" s="360"/>
      <c r="AW302" s="264"/>
      <c r="AX302" s="264"/>
      <c r="AY302" s="264"/>
      <c r="AZ302" s="264"/>
      <c r="BA302" s="264"/>
      <c r="BB302" s="264"/>
      <c r="BC302" s="264"/>
      <c r="BD302" s="264"/>
      <c r="BE302" s="264"/>
    </row>
    <row r="303">
      <c r="A303" s="264"/>
      <c r="B303" s="264"/>
      <c r="C303" s="264"/>
      <c r="D303" s="264"/>
      <c r="E303" s="264"/>
      <c r="F303" s="264"/>
      <c r="G303" s="264"/>
      <c r="H303" s="264"/>
      <c r="I303" s="264"/>
      <c r="J303" s="264"/>
      <c r="K303" s="264"/>
      <c r="L303" s="264"/>
      <c r="M303" s="264" t="s">
        <v>22</v>
      </c>
      <c r="N303" s="264"/>
      <c r="O303" s="264" t="s">
        <v>22</v>
      </c>
      <c r="P303" s="264"/>
      <c r="Q303" s="264"/>
      <c r="R303" s="264"/>
      <c r="S303" s="264"/>
      <c r="T303" s="264"/>
      <c r="U303" s="360"/>
      <c r="V303" s="360"/>
      <c r="W303" s="360"/>
      <c r="X303" s="360"/>
      <c r="Y303" s="360"/>
      <c r="Z303" s="360"/>
      <c r="AA303" s="360"/>
      <c r="AB303" s="360"/>
      <c r="AC303" s="360"/>
      <c r="AD303" s="360"/>
      <c r="AE303" s="360"/>
      <c r="AF303" s="360"/>
      <c r="AG303" s="360" t="s">
        <v>1582</v>
      </c>
      <c r="AH303" s="360"/>
      <c r="AI303" s="360"/>
      <c r="AJ303" s="360" t="s">
        <v>1589</v>
      </c>
      <c r="AK303" s="360"/>
      <c r="AL303" s="360" t="s">
        <v>5878</v>
      </c>
      <c r="AM303" s="360"/>
      <c r="AN303" s="360"/>
      <c r="AO303" s="360"/>
      <c r="AP303" s="360"/>
      <c r="AQ303" s="360"/>
      <c r="AR303" s="360"/>
      <c r="AS303" s="360"/>
      <c r="AT303" s="360"/>
      <c r="AU303" s="360" t="s">
        <v>22</v>
      </c>
      <c r="AV303" s="360"/>
      <c r="AW303" s="264"/>
      <c r="AX303" s="264"/>
      <c r="AY303" s="264"/>
      <c r="AZ303" s="264"/>
      <c r="BA303" s="264"/>
      <c r="BB303" s="264"/>
      <c r="BC303" s="264"/>
      <c r="BD303" s="264"/>
      <c r="BE303" s="264"/>
    </row>
    <row r="304">
      <c r="A304" s="264"/>
      <c r="B304" s="264"/>
      <c r="C304" s="264"/>
      <c r="D304" s="264"/>
      <c r="E304" s="264"/>
      <c r="F304" s="264"/>
      <c r="G304" s="264"/>
      <c r="H304" s="264"/>
      <c r="I304" s="264"/>
      <c r="J304" s="264"/>
      <c r="K304" s="264"/>
      <c r="L304" s="264"/>
      <c r="M304" s="264" t="s">
        <v>22</v>
      </c>
      <c r="N304" s="264"/>
      <c r="O304" s="264" t="s">
        <v>22</v>
      </c>
      <c r="P304" s="264"/>
      <c r="Q304" s="264"/>
      <c r="R304" s="264"/>
      <c r="S304" s="264"/>
      <c r="T304" s="264"/>
      <c r="U304" s="360"/>
      <c r="V304" s="360"/>
      <c r="W304" s="360"/>
      <c r="X304" s="360"/>
      <c r="Y304" s="360"/>
      <c r="Z304" s="360"/>
      <c r="AA304" s="360"/>
      <c r="AB304" s="360"/>
      <c r="AC304" s="360"/>
      <c r="AD304" s="360"/>
      <c r="AE304" s="360"/>
      <c r="AF304" s="360"/>
      <c r="AG304" s="360" t="s">
        <v>1582</v>
      </c>
      <c r="AH304" s="360"/>
      <c r="AI304" s="360"/>
      <c r="AJ304" s="360" t="s">
        <v>1589</v>
      </c>
      <c r="AK304" s="360"/>
      <c r="AL304" s="360" t="s">
        <v>5878</v>
      </c>
      <c r="AM304" s="360"/>
      <c r="AN304" s="360"/>
      <c r="AO304" s="360"/>
      <c r="AP304" s="360"/>
      <c r="AQ304" s="360"/>
      <c r="AR304" s="360"/>
      <c r="AS304" s="360"/>
      <c r="AT304" s="360"/>
      <c r="AU304" s="360" t="s">
        <v>22</v>
      </c>
      <c r="AV304" s="360"/>
      <c r="AW304" s="264"/>
      <c r="AX304" s="264"/>
      <c r="AY304" s="264"/>
      <c r="AZ304" s="264"/>
      <c r="BA304" s="264"/>
      <c r="BB304" s="264"/>
      <c r="BC304" s="264"/>
      <c r="BD304" s="264"/>
      <c r="BE304" s="264"/>
    </row>
    <row r="305">
      <c r="A305" s="264"/>
      <c r="B305" s="264"/>
      <c r="C305" s="264"/>
      <c r="D305" s="264"/>
      <c r="E305" s="264"/>
      <c r="F305" s="264"/>
      <c r="G305" s="264"/>
      <c r="H305" s="264"/>
      <c r="I305" s="264"/>
      <c r="J305" s="264"/>
      <c r="K305" s="264"/>
      <c r="L305" s="264"/>
      <c r="M305" s="264" t="s">
        <v>22</v>
      </c>
      <c r="N305" s="264"/>
      <c r="O305" s="264" t="s">
        <v>22</v>
      </c>
      <c r="P305" s="264"/>
      <c r="Q305" s="264"/>
      <c r="R305" s="264"/>
      <c r="S305" s="264"/>
      <c r="T305" s="264"/>
      <c r="U305" s="360"/>
      <c r="V305" s="360"/>
      <c r="W305" s="360"/>
      <c r="X305" s="360"/>
      <c r="Y305" s="360"/>
      <c r="Z305" s="360"/>
      <c r="AA305" s="360"/>
      <c r="AB305" s="360"/>
      <c r="AC305" s="360"/>
      <c r="AD305" s="360"/>
      <c r="AE305" s="360"/>
      <c r="AF305" s="360"/>
      <c r="AG305" s="360" t="s">
        <v>1582</v>
      </c>
      <c r="AH305" s="360"/>
      <c r="AI305" s="360"/>
      <c r="AJ305" s="360" t="s">
        <v>1589</v>
      </c>
      <c r="AK305" s="360"/>
      <c r="AL305" s="360" t="s">
        <v>5878</v>
      </c>
      <c r="AM305" s="360"/>
      <c r="AN305" s="360"/>
      <c r="AO305" s="360"/>
      <c r="AP305" s="360"/>
      <c r="AQ305" s="360"/>
      <c r="AR305" s="360"/>
      <c r="AS305" s="360"/>
      <c r="AT305" s="360"/>
      <c r="AU305" s="360" t="s">
        <v>22</v>
      </c>
      <c r="AV305" s="360"/>
      <c r="AW305" s="264"/>
      <c r="AX305" s="264"/>
      <c r="AY305" s="264"/>
      <c r="AZ305" s="264"/>
      <c r="BA305" s="264"/>
      <c r="BB305" s="264"/>
      <c r="BC305" s="264"/>
      <c r="BD305" s="264"/>
      <c r="BE305" s="264"/>
    </row>
    <row r="306">
      <c r="A306" s="264"/>
      <c r="B306" s="264"/>
      <c r="C306" s="264"/>
      <c r="D306" s="264"/>
      <c r="E306" s="264"/>
      <c r="F306" s="264"/>
      <c r="G306" s="264"/>
      <c r="H306" s="264"/>
      <c r="I306" s="264"/>
      <c r="J306" s="264"/>
      <c r="K306" s="264"/>
      <c r="L306" s="264"/>
      <c r="M306" s="264" t="s">
        <v>22</v>
      </c>
      <c r="N306" s="264"/>
      <c r="O306" s="264" t="s">
        <v>22</v>
      </c>
      <c r="P306" s="264"/>
      <c r="Q306" s="264"/>
      <c r="R306" s="264"/>
      <c r="S306" s="264"/>
      <c r="T306" s="264"/>
      <c r="U306" s="360"/>
      <c r="V306" s="360"/>
      <c r="W306" s="360"/>
      <c r="X306" s="360"/>
      <c r="Y306" s="360"/>
      <c r="Z306" s="360"/>
      <c r="AA306" s="360"/>
      <c r="AB306" s="360"/>
      <c r="AC306" s="360"/>
      <c r="AD306" s="360"/>
      <c r="AE306" s="360"/>
      <c r="AF306" s="360"/>
      <c r="AG306" s="360" t="s">
        <v>1582</v>
      </c>
      <c r="AH306" s="360"/>
      <c r="AI306" s="360"/>
      <c r="AJ306" s="360" t="s">
        <v>1589</v>
      </c>
      <c r="AK306" s="360"/>
      <c r="AL306" s="360" t="s">
        <v>5878</v>
      </c>
      <c r="AM306" s="360"/>
      <c r="AN306" s="360"/>
      <c r="AO306" s="360"/>
      <c r="AP306" s="360"/>
      <c r="AQ306" s="360"/>
      <c r="AR306" s="360"/>
      <c r="AS306" s="360"/>
      <c r="AT306" s="360"/>
      <c r="AU306" s="360" t="s">
        <v>22</v>
      </c>
      <c r="AV306" s="360"/>
      <c r="AW306" s="264"/>
      <c r="AX306" s="264"/>
      <c r="AY306" s="264"/>
      <c r="AZ306" s="264"/>
      <c r="BA306" s="264"/>
      <c r="BB306" s="264"/>
      <c r="BC306" s="264"/>
      <c r="BD306" s="264"/>
      <c r="BE306" s="264"/>
    </row>
    <row r="307">
      <c r="A307" s="264"/>
      <c r="B307" s="264"/>
      <c r="C307" s="264"/>
      <c r="D307" s="264"/>
      <c r="E307" s="264"/>
      <c r="F307" s="264"/>
      <c r="G307" s="264"/>
      <c r="H307" s="264"/>
      <c r="I307" s="264"/>
      <c r="J307" s="264"/>
      <c r="K307" s="264"/>
      <c r="L307" s="264"/>
      <c r="M307" s="264" t="s">
        <v>22</v>
      </c>
      <c r="N307" s="264"/>
      <c r="O307" s="264" t="s">
        <v>22</v>
      </c>
      <c r="P307" s="264"/>
      <c r="Q307" s="264"/>
      <c r="R307" s="264"/>
      <c r="S307" s="264"/>
      <c r="T307" s="264"/>
      <c r="U307" s="360"/>
      <c r="V307" s="360"/>
      <c r="W307" s="360"/>
      <c r="X307" s="360"/>
      <c r="Y307" s="360"/>
      <c r="Z307" s="360"/>
      <c r="AA307" s="360"/>
      <c r="AB307" s="360"/>
      <c r="AC307" s="360"/>
      <c r="AD307" s="360"/>
      <c r="AE307" s="360"/>
      <c r="AF307" s="360"/>
      <c r="AG307" s="360" t="s">
        <v>1582</v>
      </c>
      <c r="AH307" s="360"/>
      <c r="AI307" s="360"/>
      <c r="AJ307" s="360" t="s">
        <v>1589</v>
      </c>
      <c r="AK307" s="360"/>
      <c r="AL307" s="360" t="s">
        <v>5878</v>
      </c>
      <c r="AM307" s="360"/>
      <c r="AN307" s="360"/>
      <c r="AO307" s="360"/>
      <c r="AP307" s="360"/>
      <c r="AQ307" s="360"/>
      <c r="AR307" s="360"/>
      <c r="AS307" s="360"/>
      <c r="AT307" s="360"/>
      <c r="AU307" s="360" t="s">
        <v>22</v>
      </c>
      <c r="AV307" s="360"/>
      <c r="AW307" s="264"/>
      <c r="AX307" s="264"/>
      <c r="AY307" s="264"/>
      <c r="AZ307" s="264"/>
      <c r="BA307" s="264"/>
      <c r="BB307" s="264"/>
      <c r="BC307" s="264"/>
      <c r="BD307" s="264"/>
      <c r="BE307" s="264"/>
    </row>
    <row r="308">
      <c r="A308" s="264"/>
      <c r="B308" s="264"/>
      <c r="C308" s="264"/>
      <c r="D308" s="264"/>
      <c r="E308" s="264"/>
      <c r="F308" s="264"/>
      <c r="G308" s="264"/>
      <c r="H308" s="264"/>
      <c r="I308" s="264"/>
      <c r="J308" s="264"/>
      <c r="K308" s="264"/>
      <c r="L308" s="264"/>
      <c r="M308" s="264" t="s">
        <v>22</v>
      </c>
      <c r="N308" s="264"/>
      <c r="O308" s="264" t="s">
        <v>22</v>
      </c>
      <c r="P308" s="264"/>
      <c r="Q308" s="264"/>
      <c r="R308" s="264"/>
      <c r="S308" s="264"/>
      <c r="T308" s="264"/>
      <c r="U308" s="360"/>
      <c r="V308" s="360"/>
      <c r="W308" s="360"/>
      <c r="X308" s="360"/>
      <c r="Y308" s="360"/>
      <c r="Z308" s="360"/>
      <c r="AA308" s="360"/>
      <c r="AB308" s="360"/>
      <c r="AC308" s="360"/>
      <c r="AD308" s="360"/>
      <c r="AE308" s="360"/>
      <c r="AF308" s="360"/>
      <c r="AG308" s="360" t="s">
        <v>1582</v>
      </c>
      <c r="AH308" s="360"/>
      <c r="AI308" s="360"/>
      <c r="AJ308" s="360" t="s">
        <v>1589</v>
      </c>
      <c r="AK308" s="360"/>
      <c r="AL308" s="360" t="s">
        <v>5878</v>
      </c>
      <c r="AM308" s="360"/>
      <c r="AN308" s="360"/>
      <c r="AO308" s="360"/>
      <c r="AP308" s="360"/>
      <c r="AQ308" s="360"/>
      <c r="AR308" s="360"/>
      <c r="AS308" s="360"/>
      <c r="AT308" s="360"/>
      <c r="AU308" s="360" t="s">
        <v>22</v>
      </c>
      <c r="AV308" s="360"/>
      <c r="AW308" s="264"/>
      <c r="AX308" s="264"/>
      <c r="AY308" s="264"/>
      <c r="AZ308" s="264"/>
      <c r="BA308" s="264"/>
      <c r="BB308" s="264"/>
      <c r="BC308" s="264"/>
      <c r="BD308" s="264"/>
      <c r="BE308" s="264"/>
    </row>
    <row r="309">
      <c r="A309" s="264"/>
      <c r="B309" s="264"/>
      <c r="C309" s="264"/>
      <c r="D309" s="264"/>
      <c r="E309" s="264"/>
      <c r="F309" s="264"/>
      <c r="G309" s="264"/>
      <c r="H309" s="264"/>
      <c r="I309" s="264"/>
      <c r="J309" s="264"/>
      <c r="K309" s="264"/>
      <c r="L309" s="264"/>
      <c r="M309" s="264" t="s">
        <v>22</v>
      </c>
      <c r="N309" s="264"/>
      <c r="O309" s="264" t="s">
        <v>22</v>
      </c>
      <c r="P309" s="264"/>
      <c r="Q309" s="264"/>
      <c r="R309" s="264"/>
      <c r="S309" s="264"/>
      <c r="T309" s="264"/>
      <c r="U309" s="360"/>
      <c r="V309" s="360"/>
      <c r="W309" s="360"/>
      <c r="X309" s="360"/>
      <c r="Y309" s="360"/>
      <c r="Z309" s="360"/>
      <c r="AA309" s="360"/>
      <c r="AB309" s="360"/>
      <c r="AC309" s="360"/>
      <c r="AD309" s="360"/>
      <c r="AE309" s="360"/>
      <c r="AF309" s="360"/>
      <c r="AG309" s="360" t="s">
        <v>1582</v>
      </c>
      <c r="AH309" s="360"/>
      <c r="AI309" s="360"/>
      <c r="AJ309" s="360" t="s">
        <v>1589</v>
      </c>
      <c r="AK309" s="360"/>
      <c r="AL309" s="360" t="s">
        <v>5878</v>
      </c>
      <c r="AM309" s="360"/>
      <c r="AN309" s="360"/>
      <c r="AO309" s="360"/>
      <c r="AP309" s="360"/>
      <c r="AQ309" s="360"/>
      <c r="AR309" s="360"/>
      <c r="AS309" s="360"/>
      <c r="AT309" s="360"/>
      <c r="AU309" s="360" t="s">
        <v>22</v>
      </c>
      <c r="AV309" s="360"/>
      <c r="AW309" s="264"/>
      <c r="AX309" s="264"/>
      <c r="AY309" s="264"/>
      <c r="AZ309" s="264"/>
      <c r="BA309" s="264"/>
      <c r="BB309" s="264"/>
      <c r="BC309" s="264"/>
      <c r="BD309" s="264"/>
      <c r="BE309" s="264"/>
    </row>
    <row r="310">
      <c r="A310" s="264"/>
      <c r="B310" s="264"/>
      <c r="C310" s="264"/>
      <c r="D310" s="264"/>
      <c r="E310" s="264"/>
      <c r="F310" s="264"/>
      <c r="G310" s="264"/>
      <c r="H310" s="264"/>
      <c r="I310" s="264"/>
      <c r="J310" s="264"/>
      <c r="K310" s="264"/>
      <c r="L310" s="264"/>
      <c r="M310" s="264" t="s">
        <v>22</v>
      </c>
      <c r="N310" s="264"/>
      <c r="O310" s="264" t="s">
        <v>22</v>
      </c>
      <c r="P310" s="264"/>
      <c r="Q310" s="264"/>
      <c r="R310" s="264"/>
      <c r="S310" s="264"/>
      <c r="T310" s="264"/>
      <c r="U310" s="360"/>
      <c r="V310" s="360"/>
      <c r="W310" s="360"/>
      <c r="X310" s="360"/>
      <c r="Y310" s="360"/>
      <c r="Z310" s="360"/>
      <c r="AA310" s="360"/>
      <c r="AB310" s="360"/>
      <c r="AC310" s="360"/>
      <c r="AD310" s="360"/>
      <c r="AE310" s="360"/>
      <c r="AF310" s="360"/>
      <c r="AG310" s="360" t="s">
        <v>1582</v>
      </c>
      <c r="AH310" s="360"/>
      <c r="AI310" s="360"/>
      <c r="AJ310" s="360" t="s">
        <v>1589</v>
      </c>
      <c r="AK310" s="360"/>
      <c r="AL310" s="360" t="s">
        <v>5878</v>
      </c>
      <c r="AM310" s="360"/>
      <c r="AN310" s="360"/>
      <c r="AO310" s="360"/>
      <c r="AP310" s="360"/>
      <c r="AQ310" s="360"/>
      <c r="AR310" s="360"/>
      <c r="AS310" s="360"/>
      <c r="AT310" s="360"/>
      <c r="AU310" s="360" t="s">
        <v>22</v>
      </c>
      <c r="AV310" s="360"/>
      <c r="AW310" s="264"/>
      <c r="AX310" s="264"/>
      <c r="AY310" s="264"/>
      <c r="AZ310" s="264"/>
      <c r="BA310" s="264"/>
      <c r="BB310" s="264"/>
      <c r="BC310" s="264"/>
      <c r="BD310" s="264"/>
      <c r="BE310" s="264"/>
    </row>
    <row r="311">
      <c r="A311" s="264"/>
      <c r="B311" s="264"/>
      <c r="C311" s="264"/>
      <c r="D311" s="264"/>
      <c r="E311" s="264"/>
      <c r="F311" s="264"/>
      <c r="G311" s="264"/>
      <c r="H311" s="264"/>
      <c r="I311" s="264"/>
      <c r="J311" s="264"/>
      <c r="K311" s="264"/>
      <c r="L311" s="264"/>
      <c r="M311" s="264" t="s">
        <v>22</v>
      </c>
      <c r="N311" s="264"/>
      <c r="O311" s="264" t="s">
        <v>22</v>
      </c>
      <c r="P311" s="264"/>
      <c r="Q311" s="264"/>
      <c r="R311" s="264"/>
      <c r="S311" s="264"/>
      <c r="T311" s="264"/>
      <c r="U311" s="360"/>
      <c r="V311" s="360"/>
      <c r="W311" s="360"/>
      <c r="X311" s="360"/>
      <c r="Y311" s="360"/>
      <c r="Z311" s="360"/>
      <c r="AA311" s="360"/>
      <c r="AB311" s="360"/>
      <c r="AC311" s="360"/>
      <c r="AD311" s="360"/>
      <c r="AE311" s="360"/>
      <c r="AF311" s="360"/>
      <c r="AG311" s="360" t="s">
        <v>1582</v>
      </c>
      <c r="AH311" s="360"/>
      <c r="AI311" s="360"/>
      <c r="AJ311" s="360" t="s">
        <v>1589</v>
      </c>
      <c r="AK311" s="360"/>
      <c r="AL311" s="360" t="s">
        <v>5878</v>
      </c>
      <c r="AM311" s="360"/>
      <c r="AN311" s="360"/>
      <c r="AO311" s="360"/>
      <c r="AP311" s="360"/>
      <c r="AQ311" s="360"/>
      <c r="AR311" s="360"/>
      <c r="AS311" s="360"/>
      <c r="AT311" s="360"/>
      <c r="AU311" s="360" t="s">
        <v>22</v>
      </c>
      <c r="AV311" s="360"/>
      <c r="AW311" s="264"/>
      <c r="AX311" s="264"/>
      <c r="AY311" s="264"/>
      <c r="AZ311" s="264"/>
      <c r="BA311" s="264"/>
      <c r="BB311" s="264"/>
      <c r="BC311" s="264"/>
      <c r="BD311" s="264"/>
      <c r="BE311" s="264"/>
    </row>
    <row r="312">
      <c r="A312" s="264"/>
      <c r="B312" s="264"/>
      <c r="C312" s="264"/>
      <c r="D312" s="264"/>
      <c r="E312" s="264"/>
      <c r="F312" s="264"/>
      <c r="G312" s="264"/>
      <c r="H312" s="264"/>
      <c r="I312" s="264"/>
      <c r="J312" s="264"/>
      <c r="K312" s="264"/>
      <c r="L312" s="264"/>
      <c r="M312" s="264" t="s">
        <v>22</v>
      </c>
      <c r="N312" s="264"/>
      <c r="O312" s="264" t="s">
        <v>22</v>
      </c>
      <c r="P312" s="264"/>
      <c r="Q312" s="264"/>
      <c r="R312" s="264"/>
      <c r="S312" s="264"/>
      <c r="T312" s="264"/>
      <c r="U312" s="360"/>
      <c r="V312" s="360"/>
      <c r="W312" s="360"/>
      <c r="X312" s="360"/>
      <c r="Y312" s="360"/>
      <c r="Z312" s="360"/>
      <c r="AA312" s="360"/>
      <c r="AB312" s="360"/>
      <c r="AC312" s="360"/>
      <c r="AD312" s="360"/>
      <c r="AE312" s="360"/>
      <c r="AF312" s="360"/>
      <c r="AG312" s="360" t="s">
        <v>1582</v>
      </c>
      <c r="AH312" s="360"/>
      <c r="AI312" s="360"/>
      <c r="AJ312" s="360" t="s">
        <v>1589</v>
      </c>
      <c r="AK312" s="360"/>
      <c r="AL312" s="360" t="s">
        <v>5878</v>
      </c>
      <c r="AM312" s="360"/>
      <c r="AN312" s="360"/>
      <c r="AO312" s="360"/>
      <c r="AP312" s="360"/>
      <c r="AQ312" s="360"/>
      <c r="AR312" s="360"/>
      <c r="AS312" s="360"/>
      <c r="AT312" s="360"/>
      <c r="AU312" s="360" t="s">
        <v>22</v>
      </c>
      <c r="AV312" s="360"/>
      <c r="AW312" s="264"/>
      <c r="AX312" s="264"/>
      <c r="AY312" s="264"/>
      <c r="AZ312" s="264"/>
      <c r="BA312" s="264"/>
      <c r="BB312" s="264"/>
      <c r="BC312" s="264"/>
      <c r="BD312" s="264"/>
      <c r="BE312" s="264"/>
    </row>
    <row r="313">
      <c r="A313" s="264"/>
      <c r="B313" s="264"/>
      <c r="C313" s="264"/>
      <c r="D313" s="264"/>
      <c r="E313" s="264"/>
      <c r="F313" s="264"/>
      <c r="G313" s="264"/>
      <c r="H313" s="264"/>
      <c r="I313" s="264"/>
      <c r="J313" s="264"/>
      <c r="K313" s="264"/>
      <c r="L313" s="264"/>
      <c r="M313" s="264" t="s">
        <v>22</v>
      </c>
      <c r="N313" s="264"/>
      <c r="O313" s="264" t="s">
        <v>22</v>
      </c>
      <c r="P313" s="264"/>
      <c r="Q313" s="264"/>
      <c r="R313" s="264"/>
      <c r="S313" s="264"/>
      <c r="T313" s="264"/>
      <c r="U313" s="360"/>
      <c r="V313" s="360"/>
      <c r="W313" s="360"/>
      <c r="X313" s="360"/>
      <c r="Y313" s="360"/>
      <c r="Z313" s="360"/>
      <c r="AA313" s="360"/>
      <c r="AB313" s="360"/>
      <c r="AC313" s="360"/>
      <c r="AD313" s="360"/>
      <c r="AE313" s="360"/>
      <c r="AF313" s="360"/>
      <c r="AG313" s="360" t="s">
        <v>1582</v>
      </c>
      <c r="AH313" s="360"/>
      <c r="AI313" s="360"/>
      <c r="AJ313" s="360" t="s">
        <v>1589</v>
      </c>
      <c r="AK313" s="360"/>
      <c r="AL313" s="360" t="s">
        <v>5878</v>
      </c>
      <c r="AM313" s="360"/>
      <c r="AN313" s="360"/>
      <c r="AO313" s="360"/>
      <c r="AP313" s="360"/>
      <c r="AQ313" s="360"/>
      <c r="AR313" s="360"/>
      <c r="AS313" s="360"/>
      <c r="AT313" s="360"/>
      <c r="AU313" s="360" t="s">
        <v>22</v>
      </c>
      <c r="AV313" s="360"/>
      <c r="AW313" s="264"/>
      <c r="AX313" s="264"/>
      <c r="AY313" s="264"/>
      <c r="AZ313" s="264"/>
      <c r="BA313" s="264"/>
      <c r="BB313" s="264"/>
      <c r="BC313" s="264"/>
      <c r="BD313" s="264"/>
      <c r="BE313" s="264"/>
    </row>
    <row r="314">
      <c r="A314" s="264"/>
      <c r="B314" s="264"/>
      <c r="C314" s="264"/>
      <c r="D314" s="264"/>
      <c r="E314" s="264"/>
      <c r="F314" s="264"/>
      <c r="G314" s="264"/>
      <c r="H314" s="264"/>
      <c r="I314" s="264"/>
      <c r="J314" s="264"/>
      <c r="K314" s="264"/>
      <c r="L314" s="264"/>
      <c r="M314" s="264" t="s">
        <v>22</v>
      </c>
      <c r="N314" s="264"/>
      <c r="O314" s="264" t="s">
        <v>22</v>
      </c>
      <c r="P314" s="264"/>
      <c r="Q314" s="264"/>
      <c r="R314" s="264"/>
      <c r="S314" s="264"/>
      <c r="T314" s="264"/>
      <c r="U314" s="360"/>
      <c r="V314" s="360"/>
      <c r="W314" s="360"/>
      <c r="X314" s="360"/>
      <c r="Y314" s="360"/>
      <c r="Z314" s="360"/>
      <c r="AA314" s="360"/>
      <c r="AB314" s="360"/>
      <c r="AC314" s="360"/>
      <c r="AD314" s="360"/>
      <c r="AE314" s="360"/>
      <c r="AF314" s="360"/>
      <c r="AG314" s="360" t="s">
        <v>1582</v>
      </c>
      <c r="AH314" s="360"/>
      <c r="AI314" s="360"/>
      <c r="AJ314" s="360" t="s">
        <v>1589</v>
      </c>
      <c r="AK314" s="360"/>
      <c r="AL314" s="360" t="s">
        <v>5878</v>
      </c>
      <c r="AM314" s="360"/>
      <c r="AN314" s="360"/>
      <c r="AO314" s="360"/>
      <c r="AP314" s="360"/>
      <c r="AQ314" s="360"/>
      <c r="AR314" s="360"/>
      <c r="AS314" s="360"/>
      <c r="AT314" s="360"/>
      <c r="AU314" s="360" t="s">
        <v>22</v>
      </c>
      <c r="AV314" s="360"/>
      <c r="AW314" s="264"/>
      <c r="AX314" s="264"/>
      <c r="AY314" s="264"/>
      <c r="AZ314" s="264"/>
      <c r="BA314" s="264"/>
      <c r="BB314" s="264"/>
      <c r="BC314" s="264"/>
      <c r="BD314" s="264"/>
      <c r="BE314" s="264"/>
    </row>
    <row r="315">
      <c r="A315" s="264"/>
      <c r="B315" s="264"/>
      <c r="C315" s="264"/>
      <c r="D315" s="264"/>
      <c r="E315" s="264"/>
      <c r="F315" s="264"/>
      <c r="G315" s="264"/>
      <c r="H315" s="264"/>
      <c r="I315" s="264"/>
      <c r="J315" s="264"/>
      <c r="K315" s="264"/>
      <c r="L315" s="264"/>
      <c r="M315" s="264" t="s">
        <v>22</v>
      </c>
      <c r="N315" s="264"/>
      <c r="O315" s="264" t="s">
        <v>22</v>
      </c>
      <c r="P315" s="264"/>
      <c r="Q315" s="264"/>
      <c r="R315" s="264"/>
      <c r="S315" s="264"/>
      <c r="T315" s="264"/>
      <c r="U315" s="360"/>
      <c r="V315" s="360"/>
      <c r="W315" s="360"/>
      <c r="X315" s="360"/>
      <c r="Y315" s="360"/>
      <c r="Z315" s="360"/>
      <c r="AA315" s="360"/>
      <c r="AB315" s="360"/>
      <c r="AC315" s="360"/>
      <c r="AD315" s="360"/>
      <c r="AE315" s="360"/>
      <c r="AF315" s="360"/>
      <c r="AG315" s="360" t="s">
        <v>1582</v>
      </c>
      <c r="AH315" s="360"/>
      <c r="AI315" s="360"/>
      <c r="AJ315" s="360" t="s">
        <v>1589</v>
      </c>
      <c r="AK315" s="360"/>
      <c r="AL315" s="360" t="s">
        <v>5878</v>
      </c>
      <c r="AM315" s="360"/>
      <c r="AN315" s="360"/>
      <c r="AO315" s="360"/>
      <c r="AP315" s="360"/>
      <c r="AQ315" s="360"/>
      <c r="AR315" s="360"/>
      <c r="AS315" s="360"/>
      <c r="AT315" s="360"/>
      <c r="AU315" s="360" t="s">
        <v>22</v>
      </c>
      <c r="AV315" s="360"/>
      <c r="AW315" s="264"/>
      <c r="AX315" s="264"/>
      <c r="AY315" s="264"/>
      <c r="AZ315" s="264"/>
      <c r="BA315" s="264"/>
      <c r="BB315" s="264"/>
      <c r="BC315" s="264"/>
      <c r="BD315" s="264"/>
      <c r="BE315" s="264"/>
    </row>
    <row r="316">
      <c r="A316" s="264"/>
      <c r="B316" s="264"/>
      <c r="C316" s="264"/>
      <c r="D316" s="264"/>
      <c r="E316" s="264"/>
      <c r="F316" s="264"/>
      <c r="G316" s="264"/>
      <c r="H316" s="264"/>
      <c r="I316" s="264"/>
      <c r="J316" s="264"/>
      <c r="K316" s="264"/>
      <c r="L316" s="264"/>
      <c r="M316" s="264" t="s">
        <v>22</v>
      </c>
      <c r="N316" s="264"/>
      <c r="O316" s="264" t="s">
        <v>22</v>
      </c>
      <c r="P316" s="264"/>
      <c r="Q316" s="264"/>
      <c r="R316" s="264"/>
      <c r="S316" s="264"/>
      <c r="T316" s="264"/>
      <c r="U316" s="360"/>
      <c r="V316" s="360"/>
      <c r="W316" s="360"/>
      <c r="X316" s="360"/>
      <c r="Y316" s="360"/>
      <c r="Z316" s="360"/>
      <c r="AA316" s="360"/>
      <c r="AB316" s="360"/>
      <c r="AC316" s="360"/>
      <c r="AD316" s="360"/>
      <c r="AE316" s="360"/>
      <c r="AF316" s="360"/>
      <c r="AG316" s="360" t="s">
        <v>1582</v>
      </c>
      <c r="AH316" s="360"/>
      <c r="AI316" s="360"/>
      <c r="AJ316" s="360" t="s">
        <v>1589</v>
      </c>
      <c r="AK316" s="360"/>
      <c r="AL316" s="360" t="s">
        <v>5878</v>
      </c>
      <c r="AM316" s="360"/>
      <c r="AN316" s="360"/>
      <c r="AO316" s="360"/>
      <c r="AP316" s="360"/>
      <c r="AQ316" s="360"/>
      <c r="AR316" s="360"/>
      <c r="AS316" s="360"/>
      <c r="AT316" s="360"/>
      <c r="AU316" s="360" t="s">
        <v>22</v>
      </c>
      <c r="AV316" s="360"/>
      <c r="AW316" s="264"/>
      <c r="AX316" s="264"/>
      <c r="AY316" s="264"/>
      <c r="AZ316" s="264"/>
      <c r="BA316" s="264"/>
      <c r="BB316" s="264"/>
      <c r="BC316" s="264"/>
      <c r="BD316" s="264"/>
      <c r="BE316" s="264"/>
    </row>
    <row r="317">
      <c r="A317" s="264"/>
      <c r="B317" s="264"/>
      <c r="C317" s="264"/>
      <c r="D317" s="264"/>
      <c r="E317" s="264"/>
      <c r="F317" s="264"/>
      <c r="G317" s="264"/>
      <c r="H317" s="264"/>
      <c r="I317" s="264"/>
      <c r="J317" s="264"/>
      <c r="K317" s="264"/>
      <c r="L317" s="264"/>
      <c r="M317" s="264" t="s">
        <v>22</v>
      </c>
      <c r="N317" s="264"/>
      <c r="O317" s="264" t="s">
        <v>22</v>
      </c>
      <c r="P317" s="264"/>
      <c r="Q317" s="264"/>
      <c r="R317" s="264"/>
      <c r="S317" s="264"/>
      <c r="T317" s="264"/>
      <c r="U317" s="360"/>
      <c r="V317" s="360"/>
      <c r="W317" s="360"/>
      <c r="X317" s="360"/>
      <c r="Y317" s="360"/>
      <c r="Z317" s="360"/>
      <c r="AA317" s="360"/>
      <c r="AB317" s="360"/>
      <c r="AC317" s="360"/>
      <c r="AD317" s="360"/>
      <c r="AE317" s="360"/>
      <c r="AF317" s="360"/>
      <c r="AG317" s="360" t="s">
        <v>1582</v>
      </c>
      <c r="AH317" s="360"/>
      <c r="AI317" s="360"/>
      <c r="AJ317" s="360" t="s">
        <v>1589</v>
      </c>
      <c r="AK317" s="360"/>
      <c r="AL317" s="360" t="s">
        <v>5878</v>
      </c>
      <c r="AM317" s="360"/>
      <c r="AN317" s="360"/>
      <c r="AO317" s="360"/>
      <c r="AP317" s="360"/>
      <c r="AQ317" s="360"/>
      <c r="AR317" s="360"/>
      <c r="AS317" s="360"/>
      <c r="AT317" s="360"/>
      <c r="AU317" s="360" t="s">
        <v>22</v>
      </c>
      <c r="AV317" s="360"/>
      <c r="AW317" s="264"/>
      <c r="AX317" s="264"/>
      <c r="AY317" s="264"/>
      <c r="AZ317" s="264"/>
      <c r="BA317" s="264"/>
      <c r="BB317" s="264"/>
      <c r="BC317" s="264"/>
      <c r="BD317" s="264"/>
      <c r="BE317" s="264"/>
    </row>
    <row r="318">
      <c r="A318" s="264"/>
      <c r="B318" s="264"/>
      <c r="C318" s="264"/>
      <c r="D318" s="264"/>
      <c r="E318" s="264"/>
      <c r="F318" s="264"/>
      <c r="G318" s="264"/>
      <c r="H318" s="264"/>
      <c r="I318" s="264"/>
      <c r="J318" s="264"/>
      <c r="K318" s="264"/>
      <c r="L318" s="264"/>
      <c r="M318" s="264" t="s">
        <v>22</v>
      </c>
      <c r="N318" s="264"/>
      <c r="O318" s="264" t="s">
        <v>22</v>
      </c>
      <c r="P318" s="264"/>
      <c r="Q318" s="264"/>
      <c r="R318" s="264"/>
      <c r="S318" s="264"/>
      <c r="T318" s="264"/>
      <c r="U318" s="360"/>
      <c r="V318" s="360"/>
      <c r="W318" s="360"/>
      <c r="X318" s="360"/>
      <c r="Y318" s="360"/>
      <c r="Z318" s="360"/>
      <c r="AA318" s="360"/>
      <c r="AB318" s="360"/>
      <c r="AC318" s="360"/>
      <c r="AD318" s="360"/>
      <c r="AE318" s="360"/>
      <c r="AF318" s="360"/>
      <c r="AG318" s="360" t="s">
        <v>1582</v>
      </c>
      <c r="AH318" s="360"/>
      <c r="AI318" s="360"/>
      <c r="AJ318" s="360" t="s">
        <v>1589</v>
      </c>
      <c r="AK318" s="360"/>
      <c r="AL318" s="360" t="s">
        <v>5878</v>
      </c>
      <c r="AM318" s="360"/>
      <c r="AN318" s="360"/>
      <c r="AO318" s="360"/>
      <c r="AP318" s="360"/>
      <c r="AQ318" s="360"/>
      <c r="AR318" s="360"/>
      <c r="AS318" s="360"/>
      <c r="AT318" s="360"/>
      <c r="AU318" s="360" t="s">
        <v>22</v>
      </c>
      <c r="AV318" s="360"/>
      <c r="AW318" s="264"/>
      <c r="AX318" s="264"/>
      <c r="AY318" s="264"/>
      <c r="AZ318" s="264"/>
      <c r="BA318" s="264"/>
      <c r="BB318" s="264"/>
      <c r="BC318" s="264"/>
      <c r="BD318" s="264"/>
      <c r="BE318" s="264"/>
    </row>
    <row r="319">
      <c r="A319" s="264"/>
      <c r="B319" s="264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 t="s">
        <v>22</v>
      </c>
      <c r="N319" s="264"/>
      <c r="O319" s="264" t="s">
        <v>22</v>
      </c>
      <c r="P319" s="264"/>
      <c r="Q319" s="264"/>
      <c r="R319" s="264"/>
      <c r="S319" s="264"/>
      <c r="T319" s="264"/>
      <c r="U319" s="360"/>
      <c r="V319" s="360"/>
      <c r="W319" s="360"/>
      <c r="X319" s="360"/>
      <c r="Y319" s="360"/>
      <c r="Z319" s="360"/>
      <c r="AA319" s="360"/>
      <c r="AB319" s="360"/>
      <c r="AC319" s="360"/>
      <c r="AD319" s="360"/>
      <c r="AE319" s="360"/>
      <c r="AF319" s="360"/>
      <c r="AG319" s="360" t="s">
        <v>1582</v>
      </c>
      <c r="AH319" s="360"/>
      <c r="AI319" s="360"/>
      <c r="AJ319" s="360" t="s">
        <v>1589</v>
      </c>
      <c r="AK319" s="360"/>
      <c r="AL319" s="360" t="s">
        <v>5878</v>
      </c>
      <c r="AM319" s="360"/>
      <c r="AN319" s="360"/>
      <c r="AO319" s="360"/>
      <c r="AP319" s="360"/>
      <c r="AQ319" s="360"/>
      <c r="AR319" s="360"/>
      <c r="AS319" s="360"/>
      <c r="AT319" s="360"/>
      <c r="AU319" s="360" t="s">
        <v>22</v>
      </c>
      <c r="AV319" s="360"/>
      <c r="AW319" s="264"/>
      <c r="AX319" s="264"/>
      <c r="AY319" s="264"/>
      <c r="AZ319" s="264"/>
      <c r="BA319" s="264"/>
      <c r="BB319" s="264"/>
      <c r="BC319" s="264"/>
      <c r="BD319" s="264"/>
      <c r="BE319" s="264"/>
    </row>
    <row r="320">
      <c r="A320" s="264"/>
      <c r="B320" s="264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 t="s">
        <v>22</v>
      </c>
      <c r="N320" s="264"/>
      <c r="O320" s="264" t="s">
        <v>22</v>
      </c>
      <c r="P320" s="264"/>
      <c r="Q320" s="264"/>
      <c r="R320" s="264"/>
      <c r="S320" s="264"/>
      <c r="T320" s="264"/>
      <c r="U320" s="360"/>
      <c r="V320" s="360"/>
      <c r="W320" s="360"/>
      <c r="X320" s="360"/>
      <c r="Y320" s="360"/>
      <c r="Z320" s="360"/>
      <c r="AA320" s="360"/>
      <c r="AB320" s="360"/>
      <c r="AC320" s="360"/>
      <c r="AD320" s="360"/>
      <c r="AE320" s="360"/>
      <c r="AF320" s="360"/>
      <c r="AG320" s="360" t="s">
        <v>1582</v>
      </c>
      <c r="AH320" s="360"/>
      <c r="AI320" s="360"/>
      <c r="AJ320" s="360" t="s">
        <v>1589</v>
      </c>
      <c r="AK320" s="360"/>
      <c r="AL320" s="360" t="s">
        <v>5878</v>
      </c>
      <c r="AM320" s="360"/>
      <c r="AN320" s="360"/>
      <c r="AO320" s="360"/>
      <c r="AP320" s="360"/>
      <c r="AQ320" s="360"/>
      <c r="AR320" s="360"/>
      <c r="AS320" s="360"/>
      <c r="AT320" s="360"/>
      <c r="AU320" s="360" t="s">
        <v>22</v>
      </c>
      <c r="AV320" s="360"/>
      <c r="AW320" s="264"/>
      <c r="AX320" s="264"/>
      <c r="AY320" s="264"/>
      <c r="AZ320" s="264"/>
      <c r="BA320" s="264"/>
      <c r="BB320" s="264"/>
      <c r="BC320" s="264"/>
      <c r="BD320" s="264"/>
      <c r="BE320" s="264"/>
    </row>
    <row r="321">
      <c r="A321" s="264"/>
      <c r="B321" s="264"/>
      <c r="C321" s="264"/>
      <c r="D321" s="264"/>
      <c r="E321" s="264"/>
      <c r="F321" s="264"/>
      <c r="G321" s="264"/>
      <c r="H321" s="264"/>
      <c r="I321" s="264"/>
      <c r="J321" s="264"/>
      <c r="K321" s="264"/>
      <c r="L321" s="264"/>
      <c r="M321" s="264" t="s">
        <v>22</v>
      </c>
      <c r="N321" s="264"/>
      <c r="O321" s="264" t="s">
        <v>22</v>
      </c>
      <c r="P321" s="264"/>
      <c r="Q321" s="264"/>
      <c r="R321" s="264"/>
      <c r="S321" s="264"/>
      <c r="T321" s="264"/>
      <c r="U321" s="360"/>
      <c r="V321" s="360"/>
      <c r="W321" s="360"/>
      <c r="X321" s="360"/>
      <c r="Y321" s="360"/>
      <c r="Z321" s="360"/>
      <c r="AA321" s="360"/>
      <c r="AB321" s="360"/>
      <c r="AC321" s="360"/>
      <c r="AD321" s="360"/>
      <c r="AE321" s="360"/>
      <c r="AF321" s="360"/>
      <c r="AG321" s="360" t="s">
        <v>1582</v>
      </c>
      <c r="AH321" s="360"/>
      <c r="AI321" s="360"/>
      <c r="AJ321" s="360" t="s">
        <v>1589</v>
      </c>
      <c r="AK321" s="360"/>
      <c r="AL321" s="360" t="s">
        <v>5878</v>
      </c>
      <c r="AM321" s="360"/>
      <c r="AN321" s="360"/>
      <c r="AO321" s="360"/>
      <c r="AP321" s="360"/>
      <c r="AQ321" s="360"/>
      <c r="AR321" s="360"/>
      <c r="AS321" s="360"/>
      <c r="AT321" s="360"/>
      <c r="AU321" s="360" t="s">
        <v>22</v>
      </c>
      <c r="AV321" s="360"/>
      <c r="AW321" s="264"/>
      <c r="AX321" s="264"/>
      <c r="AY321" s="264"/>
      <c r="AZ321" s="264"/>
      <c r="BA321" s="264"/>
      <c r="BB321" s="264"/>
      <c r="BC321" s="264"/>
      <c r="BD321" s="264"/>
      <c r="BE321" s="264"/>
    </row>
    <row r="322">
      <c r="A322" s="264"/>
      <c r="B322" s="264"/>
      <c r="C322" s="264"/>
      <c r="D322" s="264"/>
      <c r="E322" s="264"/>
      <c r="F322" s="264"/>
      <c r="G322" s="264"/>
      <c r="H322" s="264"/>
      <c r="I322" s="264"/>
      <c r="J322" s="264"/>
      <c r="K322" s="264"/>
      <c r="L322" s="264"/>
      <c r="M322" s="264" t="s">
        <v>22</v>
      </c>
      <c r="N322" s="264"/>
      <c r="O322" s="264" t="s">
        <v>22</v>
      </c>
      <c r="P322" s="264"/>
      <c r="Q322" s="264"/>
      <c r="R322" s="264"/>
      <c r="S322" s="264"/>
      <c r="T322" s="264"/>
      <c r="U322" s="360"/>
      <c r="V322" s="360"/>
      <c r="W322" s="360"/>
      <c r="X322" s="360"/>
      <c r="Y322" s="360"/>
      <c r="Z322" s="360"/>
      <c r="AA322" s="360"/>
      <c r="AB322" s="360"/>
      <c r="AC322" s="360"/>
      <c r="AD322" s="360"/>
      <c r="AE322" s="360"/>
      <c r="AF322" s="360"/>
      <c r="AG322" s="360" t="s">
        <v>1582</v>
      </c>
      <c r="AH322" s="360"/>
      <c r="AI322" s="360"/>
      <c r="AJ322" s="360" t="s">
        <v>1589</v>
      </c>
      <c r="AK322" s="360"/>
      <c r="AL322" s="360" t="s">
        <v>5878</v>
      </c>
      <c r="AM322" s="360"/>
      <c r="AN322" s="360"/>
      <c r="AO322" s="360"/>
      <c r="AP322" s="360"/>
      <c r="AQ322" s="360"/>
      <c r="AR322" s="360"/>
      <c r="AS322" s="360"/>
      <c r="AT322" s="360"/>
      <c r="AU322" s="360" t="s">
        <v>22</v>
      </c>
      <c r="AV322" s="360"/>
      <c r="AW322" s="264"/>
      <c r="AX322" s="264"/>
      <c r="AY322" s="264"/>
      <c r="AZ322" s="264"/>
      <c r="BA322" s="264"/>
      <c r="BB322" s="264"/>
      <c r="BC322" s="264"/>
      <c r="BD322" s="264"/>
      <c r="BE322" s="264"/>
    </row>
    <row r="323">
      <c r="A323" s="264"/>
      <c r="B323" s="264"/>
      <c r="C323" s="264"/>
      <c r="D323" s="264"/>
      <c r="E323" s="264"/>
      <c r="F323" s="264"/>
      <c r="G323" s="264"/>
      <c r="H323" s="264"/>
      <c r="I323" s="264"/>
      <c r="J323" s="264"/>
      <c r="K323" s="264"/>
      <c r="L323" s="264"/>
      <c r="M323" s="264" t="s">
        <v>22</v>
      </c>
      <c r="N323" s="264"/>
      <c r="O323" s="264" t="s">
        <v>22</v>
      </c>
      <c r="P323" s="264"/>
      <c r="Q323" s="264"/>
      <c r="R323" s="264"/>
      <c r="S323" s="264"/>
      <c r="T323" s="264"/>
      <c r="U323" s="360"/>
      <c r="V323" s="360"/>
      <c r="W323" s="360"/>
      <c r="X323" s="360"/>
      <c r="Y323" s="360"/>
      <c r="Z323" s="360"/>
      <c r="AA323" s="360"/>
      <c r="AB323" s="360"/>
      <c r="AC323" s="360"/>
      <c r="AD323" s="360"/>
      <c r="AE323" s="360"/>
      <c r="AF323" s="360"/>
      <c r="AG323" s="360" t="s">
        <v>1582</v>
      </c>
      <c r="AH323" s="360"/>
      <c r="AI323" s="360"/>
      <c r="AJ323" s="360" t="s">
        <v>1589</v>
      </c>
      <c r="AK323" s="360"/>
      <c r="AL323" s="360" t="s">
        <v>5878</v>
      </c>
      <c r="AM323" s="360"/>
      <c r="AN323" s="360"/>
      <c r="AO323" s="360"/>
      <c r="AP323" s="360"/>
      <c r="AQ323" s="360"/>
      <c r="AR323" s="360"/>
      <c r="AS323" s="360"/>
      <c r="AT323" s="360"/>
      <c r="AU323" s="360" t="s">
        <v>22</v>
      </c>
      <c r="AV323" s="360"/>
      <c r="AW323" s="264"/>
      <c r="AX323" s="264"/>
      <c r="AY323" s="264"/>
      <c r="AZ323" s="264"/>
      <c r="BA323" s="264"/>
      <c r="BB323" s="264"/>
      <c r="BC323" s="264"/>
      <c r="BD323" s="264"/>
      <c r="BE323" s="264"/>
    </row>
    <row r="324">
      <c r="A324" s="264"/>
      <c r="B324" s="264"/>
      <c r="C324" s="264"/>
      <c r="D324" s="264"/>
      <c r="E324" s="264"/>
      <c r="F324" s="264"/>
      <c r="G324" s="264"/>
      <c r="H324" s="264"/>
      <c r="I324" s="264"/>
      <c r="J324" s="264"/>
      <c r="K324" s="264"/>
      <c r="L324" s="264"/>
      <c r="M324" s="264" t="s">
        <v>22</v>
      </c>
      <c r="N324" s="264"/>
      <c r="O324" s="264" t="s">
        <v>22</v>
      </c>
      <c r="P324" s="264"/>
      <c r="Q324" s="264"/>
      <c r="R324" s="264"/>
      <c r="S324" s="264"/>
      <c r="T324" s="264"/>
      <c r="U324" s="360"/>
      <c r="V324" s="360"/>
      <c r="W324" s="360"/>
      <c r="X324" s="360"/>
      <c r="Y324" s="360"/>
      <c r="Z324" s="360"/>
      <c r="AA324" s="360"/>
      <c r="AB324" s="360"/>
      <c r="AC324" s="360"/>
      <c r="AD324" s="360"/>
      <c r="AE324" s="360"/>
      <c r="AF324" s="360"/>
      <c r="AG324" s="360" t="s">
        <v>1582</v>
      </c>
      <c r="AH324" s="360"/>
      <c r="AI324" s="360"/>
      <c r="AJ324" s="360" t="s">
        <v>1589</v>
      </c>
      <c r="AK324" s="360"/>
      <c r="AL324" s="360" t="s">
        <v>5878</v>
      </c>
      <c r="AM324" s="360"/>
      <c r="AN324" s="360"/>
      <c r="AO324" s="360"/>
      <c r="AP324" s="360"/>
      <c r="AQ324" s="360"/>
      <c r="AR324" s="360"/>
      <c r="AS324" s="360"/>
      <c r="AT324" s="360"/>
      <c r="AU324" s="360" t="s">
        <v>22</v>
      </c>
      <c r="AV324" s="360"/>
      <c r="AW324" s="264"/>
      <c r="AX324" s="264"/>
      <c r="AY324" s="264"/>
      <c r="AZ324" s="264"/>
      <c r="BA324" s="264"/>
      <c r="BB324" s="264"/>
      <c r="BC324" s="264"/>
      <c r="BD324" s="264"/>
      <c r="BE324" s="264"/>
    </row>
    <row r="325">
      <c r="A325" s="264"/>
      <c r="B325" s="264"/>
      <c r="C325" s="264"/>
      <c r="D325" s="264"/>
      <c r="E325" s="264"/>
      <c r="F325" s="264"/>
      <c r="G325" s="264"/>
      <c r="H325" s="264"/>
      <c r="I325" s="264"/>
      <c r="J325" s="264"/>
      <c r="K325" s="264"/>
      <c r="L325" s="264"/>
      <c r="M325" s="264" t="s">
        <v>22</v>
      </c>
      <c r="N325" s="264"/>
      <c r="O325" s="264" t="s">
        <v>22</v>
      </c>
      <c r="P325" s="264"/>
      <c r="Q325" s="264"/>
      <c r="R325" s="264"/>
      <c r="S325" s="264"/>
      <c r="T325" s="264"/>
      <c r="U325" s="360"/>
      <c r="V325" s="360"/>
      <c r="W325" s="360"/>
      <c r="X325" s="360"/>
      <c r="Y325" s="360"/>
      <c r="Z325" s="360"/>
      <c r="AA325" s="360"/>
      <c r="AB325" s="360"/>
      <c r="AC325" s="360"/>
      <c r="AD325" s="360"/>
      <c r="AE325" s="360"/>
      <c r="AF325" s="360"/>
      <c r="AG325" s="360" t="s">
        <v>1582</v>
      </c>
      <c r="AH325" s="360"/>
      <c r="AI325" s="360"/>
      <c r="AJ325" s="360" t="s">
        <v>1589</v>
      </c>
      <c r="AK325" s="360"/>
      <c r="AL325" s="360" t="s">
        <v>5878</v>
      </c>
      <c r="AM325" s="360"/>
      <c r="AN325" s="360"/>
      <c r="AO325" s="360"/>
      <c r="AP325" s="360"/>
      <c r="AQ325" s="360"/>
      <c r="AR325" s="360"/>
      <c r="AS325" s="360"/>
      <c r="AT325" s="360"/>
      <c r="AU325" s="360" t="s">
        <v>22</v>
      </c>
      <c r="AV325" s="360"/>
      <c r="AW325" s="264"/>
      <c r="AX325" s="264"/>
      <c r="AY325" s="264"/>
      <c r="AZ325" s="264"/>
      <c r="BA325" s="264"/>
      <c r="BB325" s="264"/>
      <c r="BC325" s="264"/>
      <c r="BD325" s="264"/>
      <c r="BE325" s="264"/>
    </row>
    <row r="326">
      <c r="A326" s="264"/>
      <c r="B326" s="264"/>
      <c r="C326" s="264"/>
      <c r="D326" s="264"/>
      <c r="E326" s="264"/>
      <c r="F326" s="264"/>
      <c r="G326" s="264"/>
      <c r="H326" s="264"/>
      <c r="I326" s="264"/>
      <c r="J326" s="264"/>
      <c r="K326" s="264"/>
      <c r="L326" s="264"/>
      <c r="M326" s="264" t="s">
        <v>22</v>
      </c>
      <c r="N326" s="264"/>
      <c r="O326" s="264" t="s">
        <v>22</v>
      </c>
      <c r="P326" s="264"/>
      <c r="Q326" s="264"/>
      <c r="R326" s="264"/>
      <c r="S326" s="264"/>
      <c r="T326" s="264"/>
      <c r="U326" s="360"/>
      <c r="V326" s="360"/>
      <c r="W326" s="360"/>
      <c r="X326" s="360"/>
      <c r="Y326" s="360"/>
      <c r="Z326" s="360"/>
      <c r="AA326" s="360"/>
      <c r="AB326" s="360"/>
      <c r="AC326" s="360"/>
      <c r="AD326" s="360"/>
      <c r="AE326" s="360"/>
      <c r="AF326" s="360"/>
      <c r="AG326" s="360" t="s">
        <v>1582</v>
      </c>
      <c r="AH326" s="360"/>
      <c r="AI326" s="360"/>
      <c r="AJ326" s="360" t="s">
        <v>1589</v>
      </c>
      <c r="AK326" s="360"/>
      <c r="AL326" s="360" t="s">
        <v>5878</v>
      </c>
      <c r="AM326" s="360"/>
      <c r="AN326" s="360"/>
      <c r="AO326" s="360"/>
      <c r="AP326" s="360"/>
      <c r="AQ326" s="360"/>
      <c r="AR326" s="360"/>
      <c r="AS326" s="360"/>
      <c r="AT326" s="360"/>
      <c r="AU326" s="360" t="s">
        <v>22</v>
      </c>
      <c r="AV326" s="360"/>
      <c r="AW326" s="264"/>
      <c r="AX326" s="264"/>
      <c r="AY326" s="264"/>
      <c r="AZ326" s="264"/>
      <c r="BA326" s="264"/>
      <c r="BB326" s="264"/>
      <c r="BC326" s="264"/>
      <c r="BD326" s="264"/>
      <c r="BE326" s="264"/>
    </row>
    <row r="327">
      <c r="A327" s="264"/>
      <c r="B327" s="264"/>
      <c r="C327" s="264"/>
      <c r="D327" s="264"/>
      <c r="E327" s="264"/>
      <c r="F327" s="264"/>
      <c r="G327" s="264"/>
      <c r="H327" s="264"/>
      <c r="I327" s="264"/>
      <c r="J327" s="264"/>
      <c r="K327" s="264"/>
      <c r="L327" s="264"/>
      <c r="M327" s="264" t="s">
        <v>22</v>
      </c>
      <c r="N327" s="264"/>
      <c r="O327" s="264" t="s">
        <v>22</v>
      </c>
      <c r="P327" s="264"/>
      <c r="Q327" s="264"/>
      <c r="R327" s="264"/>
      <c r="S327" s="264"/>
      <c r="T327" s="264"/>
      <c r="U327" s="360"/>
      <c r="V327" s="360"/>
      <c r="W327" s="360"/>
      <c r="X327" s="360"/>
      <c r="Y327" s="360"/>
      <c r="Z327" s="360"/>
      <c r="AA327" s="360"/>
      <c r="AB327" s="360"/>
      <c r="AC327" s="360"/>
      <c r="AD327" s="360"/>
      <c r="AE327" s="360"/>
      <c r="AF327" s="360"/>
      <c r="AG327" s="360" t="s">
        <v>1582</v>
      </c>
      <c r="AH327" s="360"/>
      <c r="AI327" s="360"/>
      <c r="AJ327" s="360" t="s">
        <v>1589</v>
      </c>
      <c r="AK327" s="360"/>
      <c r="AL327" s="360" t="s">
        <v>5878</v>
      </c>
      <c r="AM327" s="360"/>
      <c r="AN327" s="360"/>
      <c r="AO327" s="360"/>
      <c r="AP327" s="360"/>
      <c r="AQ327" s="360"/>
      <c r="AR327" s="360"/>
      <c r="AS327" s="360"/>
      <c r="AT327" s="360"/>
      <c r="AU327" s="360" t="s">
        <v>22</v>
      </c>
      <c r="AV327" s="360"/>
      <c r="AW327" s="264"/>
      <c r="AX327" s="264"/>
      <c r="AY327" s="264"/>
      <c r="AZ327" s="264"/>
      <c r="BA327" s="264"/>
      <c r="BB327" s="264"/>
      <c r="BC327" s="264"/>
      <c r="BD327" s="264"/>
      <c r="BE327" s="264"/>
    </row>
    <row r="328">
      <c r="A328" s="264"/>
      <c r="B328" s="264"/>
      <c r="C328" s="264"/>
      <c r="D328" s="264"/>
      <c r="E328" s="264"/>
      <c r="F328" s="264"/>
      <c r="G328" s="264"/>
      <c r="H328" s="264"/>
      <c r="I328" s="264"/>
      <c r="J328" s="264"/>
      <c r="K328" s="264"/>
      <c r="L328" s="264"/>
      <c r="M328" s="264" t="s">
        <v>22</v>
      </c>
      <c r="N328" s="264"/>
      <c r="O328" s="264" t="s">
        <v>22</v>
      </c>
      <c r="P328" s="264"/>
      <c r="Q328" s="264"/>
      <c r="R328" s="264"/>
      <c r="S328" s="264"/>
      <c r="T328" s="264"/>
      <c r="U328" s="360"/>
      <c r="V328" s="360"/>
      <c r="W328" s="360"/>
      <c r="X328" s="360"/>
      <c r="Y328" s="360"/>
      <c r="Z328" s="360"/>
      <c r="AA328" s="360"/>
      <c r="AB328" s="360"/>
      <c r="AC328" s="360"/>
      <c r="AD328" s="360"/>
      <c r="AE328" s="360"/>
      <c r="AF328" s="360"/>
      <c r="AG328" s="360" t="s">
        <v>1582</v>
      </c>
      <c r="AH328" s="360"/>
      <c r="AI328" s="360"/>
      <c r="AJ328" s="360" t="s">
        <v>1589</v>
      </c>
      <c r="AK328" s="360"/>
      <c r="AL328" s="360" t="s">
        <v>5878</v>
      </c>
      <c r="AM328" s="360"/>
      <c r="AN328" s="360"/>
      <c r="AO328" s="360"/>
      <c r="AP328" s="360"/>
      <c r="AQ328" s="360"/>
      <c r="AR328" s="360"/>
      <c r="AS328" s="360"/>
      <c r="AT328" s="360"/>
      <c r="AU328" s="360" t="s">
        <v>22</v>
      </c>
      <c r="AV328" s="360"/>
      <c r="AW328" s="264"/>
      <c r="AX328" s="264"/>
      <c r="AY328" s="264"/>
      <c r="AZ328" s="264"/>
      <c r="BA328" s="264"/>
      <c r="BB328" s="264"/>
      <c r="BC328" s="264"/>
      <c r="BD328" s="264"/>
      <c r="BE328" s="264"/>
    </row>
    <row r="329">
      <c r="A329" s="264"/>
      <c r="B329" s="264"/>
      <c r="C329" s="264"/>
      <c r="D329" s="264"/>
      <c r="E329" s="264"/>
      <c r="F329" s="264"/>
      <c r="G329" s="264"/>
      <c r="H329" s="264"/>
      <c r="I329" s="264"/>
      <c r="J329" s="264"/>
      <c r="K329" s="264"/>
      <c r="L329" s="264"/>
      <c r="M329" s="264" t="s">
        <v>22</v>
      </c>
      <c r="N329" s="264"/>
      <c r="O329" s="264" t="s">
        <v>22</v>
      </c>
      <c r="P329" s="264"/>
      <c r="Q329" s="264"/>
      <c r="R329" s="264"/>
      <c r="S329" s="264"/>
      <c r="T329" s="264"/>
      <c r="U329" s="360"/>
      <c r="V329" s="360"/>
      <c r="W329" s="360"/>
      <c r="X329" s="360"/>
      <c r="Y329" s="360"/>
      <c r="Z329" s="360"/>
      <c r="AA329" s="360"/>
      <c r="AB329" s="360"/>
      <c r="AC329" s="360"/>
      <c r="AD329" s="360"/>
      <c r="AE329" s="360"/>
      <c r="AF329" s="360"/>
      <c r="AG329" s="360" t="s">
        <v>1582</v>
      </c>
      <c r="AH329" s="360"/>
      <c r="AI329" s="360"/>
      <c r="AJ329" s="360" t="s">
        <v>1589</v>
      </c>
      <c r="AK329" s="360"/>
      <c r="AL329" s="360" t="s">
        <v>5878</v>
      </c>
      <c r="AM329" s="360"/>
      <c r="AN329" s="360"/>
      <c r="AO329" s="360"/>
      <c r="AP329" s="360"/>
      <c r="AQ329" s="360"/>
      <c r="AR329" s="360"/>
      <c r="AS329" s="360"/>
      <c r="AT329" s="360"/>
      <c r="AU329" s="360" t="s">
        <v>22</v>
      </c>
      <c r="AV329" s="360"/>
      <c r="AW329" s="264"/>
      <c r="AX329" s="264"/>
      <c r="AY329" s="264"/>
      <c r="AZ329" s="264"/>
      <c r="BA329" s="264"/>
      <c r="BB329" s="264"/>
      <c r="BC329" s="264"/>
      <c r="BD329" s="264"/>
      <c r="BE329" s="264"/>
    </row>
    <row r="330">
      <c r="A330" s="264"/>
      <c r="B330" s="264"/>
      <c r="C330" s="264"/>
      <c r="D330" s="264"/>
      <c r="E330" s="264"/>
      <c r="F330" s="264"/>
      <c r="G330" s="264"/>
      <c r="H330" s="264"/>
      <c r="I330" s="264"/>
      <c r="J330" s="264"/>
      <c r="K330" s="264"/>
      <c r="L330" s="264"/>
      <c r="M330" s="264" t="s">
        <v>22</v>
      </c>
      <c r="N330" s="264"/>
      <c r="O330" s="264" t="s">
        <v>22</v>
      </c>
      <c r="P330" s="264"/>
      <c r="Q330" s="264"/>
      <c r="R330" s="264"/>
      <c r="S330" s="264"/>
      <c r="T330" s="264"/>
      <c r="U330" s="360"/>
      <c r="V330" s="360"/>
      <c r="W330" s="360"/>
      <c r="X330" s="360"/>
      <c r="Y330" s="360"/>
      <c r="Z330" s="360"/>
      <c r="AA330" s="360"/>
      <c r="AB330" s="360"/>
      <c r="AC330" s="360"/>
      <c r="AD330" s="360"/>
      <c r="AE330" s="360"/>
      <c r="AF330" s="360"/>
      <c r="AG330" s="360" t="s">
        <v>1582</v>
      </c>
      <c r="AH330" s="360"/>
      <c r="AI330" s="360"/>
      <c r="AJ330" s="360" t="s">
        <v>1589</v>
      </c>
      <c r="AK330" s="360"/>
      <c r="AL330" s="360" t="s">
        <v>5878</v>
      </c>
      <c r="AM330" s="360"/>
      <c r="AN330" s="360"/>
      <c r="AO330" s="360"/>
      <c r="AP330" s="360"/>
      <c r="AQ330" s="360"/>
      <c r="AR330" s="360"/>
      <c r="AS330" s="360"/>
      <c r="AT330" s="360"/>
      <c r="AU330" s="360" t="s">
        <v>22</v>
      </c>
      <c r="AV330" s="360"/>
      <c r="AW330" s="264"/>
      <c r="AX330" s="264"/>
      <c r="AY330" s="264"/>
      <c r="AZ330" s="264"/>
      <c r="BA330" s="264"/>
      <c r="BB330" s="264"/>
      <c r="BC330" s="264"/>
      <c r="BD330" s="264"/>
      <c r="BE330" s="264"/>
    </row>
    <row r="331">
      <c r="A331" s="264"/>
      <c r="B331" s="264"/>
      <c r="C331" s="264"/>
      <c r="D331" s="264"/>
      <c r="E331" s="264"/>
      <c r="F331" s="264"/>
      <c r="G331" s="264"/>
      <c r="H331" s="264"/>
      <c r="I331" s="264"/>
      <c r="J331" s="264"/>
      <c r="K331" s="264"/>
      <c r="L331" s="264"/>
      <c r="M331" s="264" t="s">
        <v>22</v>
      </c>
      <c r="N331" s="264"/>
      <c r="O331" s="264" t="s">
        <v>22</v>
      </c>
      <c r="P331" s="264"/>
      <c r="Q331" s="264"/>
      <c r="R331" s="264"/>
      <c r="S331" s="264"/>
      <c r="T331" s="264"/>
      <c r="U331" s="360"/>
      <c r="V331" s="360"/>
      <c r="W331" s="360"/>
      <c r="X331" s="360"/>
      <c r="Y331" s="360"/>
      <c r="Z331" s="360"/>
      <c r="AA331" s="360"/>
      <c r="AB331" s="360"/>
      <c r="AC331" s="360"/>
      <c r="AD331" s="360"/>
      <c r="AE331" s="360"/>
      <c r="AF331" s="360"/>
      <c r="AG331" s="360" t="s">
        <v>1582</v>
      </c>
      <c r="AH331" s="360"/>
      <c r="AI331" s="360"/>
      <c r="AJ331" s="360" t="s">
        <v>1589</v>
      </c>
      <c r="AK331" s="360"/>
      <c r="AL331" s="360" t="s">
        <v>5878</v>
      </c>
      <c r="AM331" s="360"/>
      <c r="AN331" s="360"/>
      <c r="AO331" s="360"/>
      <c r="AP331" s="360"/>
      <c r="AQ331" s="360"/>
      <c r="AR331" s="360"/>
      <c r="AS331" s="360"/>
      <c r="AT331" s="360"/>
      <c r="AU331" s="360" t="s">
        <v>22</v>
      </c>
      <c r="AV331" s="360"/>
      <c r="AW331" s="264"/>
      <c r="AX331" s="264"/>
      <c r="AY331" s="264"/>
      <c r="AZ331" s="264"/>
      <c r="BA331" s="264"/>
      <c r="BB331" s="264"/>
      <c r="BC331" s="264"/>
      <c r="BD331" s="264"/>
      <c r="BE331" s="264"/>
    </row>
    <row r="332">
      <c r="A332" s="264"/>
      <c r="B332" s="264"/>
      <c r="C332" s="264"/>
      <c r="D332" s="264"/>
      <c r="E332" s="264"/>
      <c r="F332" s="264"/>
      <c r="G332" s="264"/>
      <c r="H332" s="264"/>
      <c r="I332" s="264"/>
      <c r="J332" s="264"/>
      <c r="K332" s="264"/>
      <c r="L332" s="264"/>
      <c r="M332" s="264" t="s">
        <v>22</v>
      </c>
      <c r="N332" s="264"/>
      <c r="O332" s="264" t="s">
        <v>22</v>
      </c>
      <c r="P332" s="264"/>
      <c r="Q332" s="264"/>
      <c r="R332" s="264"/>
      <c r="S332" s="264"/>
      <c r="T332" s="264"/>
      <c r="U332" s="360"/>
      <c r="V332" s="360"/>
      <c r="W332" s="360"/>
      <c r="X332" s="360"/>
      <c r="Y332" s="360"/>
      <c r="Z332" s="360"/>
      <c r="AA332" s="360"/>
      <c r="AB332" s="360"/>
      <c r="AC332" s="360"/>
      <c r="AD332" s="360"/>
      <c r="AE332" s="360"/>
      <c r="AF332" s="360"/>
      <c r="AG332" s="360" t="s">
        <v>1582</v>
      </c>
      <c r="AH332" s="360"/>
      <c r="AI332" s="360"/>
      <c r="AJ332" s="360" t="s">
        <v>1589</v>
      </c>
      <c r="AK332" s="360"/>
      <c r="AL332" s="360" t="s">
        <v>5878</v>
      </c>
      <c r="AM332" s="360"/>
      <c r="AN332" s="360"/>
      <c r="AO332" s="360"/>
      <c r="AP332" s="360"/>
      <c r="AQ332" s="360"/>
      <c r="AR332" s="360"/>
      <c r="AS332" s="360"/>
      <c r="AT332" s="360"/>
      <c r="AU332" s="360" t="s">
        <v>22</v>
      </c>
      <c r="AV332" s="360"/>
      <c r="AW332" s="264"/>
      <c r="AX332" s="264"/>
      <c r="AY332" s="264"/>
      <c r="AZ332" s="264"/>
      <c r="BA332" s="264"/>
      <c r="BB332" s="264"/>
      <c r="BC332" s="264"/>
      <c r="BD332" s="264"/>
      <c r="BE332" s="264"/>
    </row>
    <row r="333">
      <c r="A333" s="264"/>
      <c r="B333" s="264"/>
      <c r="C333" s="264"/>
      <c r="D333" s="264"/>
      <c r="E333" s="264"/>
      <c r="F333" s="264"/>
      <c r="G333" s="264"/>
      <c r="H333" s="264"/>
      <c r="I333" s="264"/>
      <c r="J333" s="264"/>
      <c r="K333" s="264"/>
      <c r="L333" s="264"/>
      <c r="M333" s="264" t="s">
        <v>22</v>
      </c>
      <c r="N333" s="264"/>
      <c r="O333" s="264" t="s">
        <v>22</v>
      </c>
      <c r="P333" s="264"/>
      <c r="Q333" s="264"/>
      <c r="R333" s="264"/>
      <c r="S333" s="264"/>
      <c r="T333" s="264"/>
      <c r="U333" s="360"/>
      <c r="V333" s="360"/>
      <c r="W333" s="360"/>
      <c r="X333" s="360"/>
      <c r="Y333" s="360"/>
      <c r="Z333" s="360"/>
      <c r="AA333" s="360"/>
      <c r="AB333" s="360"/>
      <c r="AC333" s="360"/>
      <c r="AD333" s="360"/>
      <c r="AE333" s="360"/>
      <c r="AF333" s="360"/>
      <c r="AG333" s="360" t="s">
        <v>1582</v>
      </c>
      <c r="AH333" s="360"/>
      <c r="AI333" s="360"/>
      <c r="AJ333" s="360" t="s">
        <v>1589</v>
      </c>
      <c r="AK333" s="360"/>
      <c r="AL333" s="360" t="s">
        <v>5878</v>
      </c>
      <c r="AM333" s="360"/>
      <c r="AN333" s="360"/>
      <c r="AO333" s="360"/>
      <c r="AP333" s="360"/>
      <c r="AQ333" s="360"/>
      <c r="AR333" s="360"/>
      <c r="AS333" s="360"/>
      <c r="AT333" s="360"/>
      <c r="AU333" s="360" t="s">
        <v>22</v>
      </c>
      <c r="AV333" s="360"/>
      <c r="AW333" s="264"/>
      <c r="AX333" s="264"/>
      <c r="AY333" s="264"/>
      <c r="AZ333" s="264"/>
      <c r="BA333" s="264"/>
      <c r="BB333" s="264"/>
      <c r="BC333" s="264"/>
      <c r="BD333" s="264"/>
      <c r="BE333" s="264"/>
    </row>
    <row r="334">
      <c r="A334" s="264"/>
      <c r="B334" s="264"/>
      <c r="C334" s="264"/>
      <c r="D334" s="264"/>
      <c r="E334" s="264"/>
      <c r="F334" s="264"/>
      <c r="G334" s="264"/>
      <c r="H334" s="264"/>
      <c r="I334" s="264"/>
      <c r="J334" s="264"/>
      <c r="K334" s="264"/>
      <c r="L334" s="264"/>
      <c r="M334" s="264" t="s">
        <v>22</v>
      </c>
      <c r="N334" s="264"/>
      <c r="O334" s="264" t="s">
        <v>22</v>
      </c>
      <c r="P334" s="264"/>
      <c r="Q334" s="264"/>
      <c r="R334" s="264"/>
      <c r="S334" s="264"/>
      <c r="T334" s="264"/>
      <c r="U334" s="360"/>
      <c r="V334" s="360"/>
      <c r="W334" s="360"/>
      <c r="X334" s="360"/>
      <c r="Y334" s="360"/>
      <c r="Z334" s="360"/>
      <c r="AA334" s="360"/>
      <c r="AB334" s="360"/>
      <c r="AC334" s="360"/>
      <c r="AD334" s="360"/>
      <c r="AE334" s="360"/>
      <c r="AF334" s="360"/>
      <c r="AG334" s="360" t="s">
        <v>1582</v>
      </c>
      <c r="AH334" s="360"/>
      <c r="AI334" s="360"/>
      <c r="AJ334" s="360" t="s">
        <v>1589</v>
      </c>
      <c r="AK334" s="360"/>
      <c r="AL334" s="360" t="s">
        <v>5878</v>
      </c>
      <c r="AM334" s="360"/>
      <c r="AN334" s="360"/>
      <c r="AO334" s="360"/>
      <c r="AP334" s="360"/>
      <c r="AQ334" s="360"/>
      <c r="AR334" s="360"/>
      <c r="AS334" s="360"/>
      <c r="AT334" s="360"/>
      <c r="AU334" s="360" t="s">
        <v>22</v>
      </c>
      <c r="AV334" s="360"/>
      <c r="AW334" s="264"/>
      <c r="AX334" s="264"/>
      <c r="AY334" s="264"/>
      <c r="AZ334" s="264"/>
      <c r="BA334" s="264"/>
      <c r="BB334" s="264"/>
      <c r="BC334" s="264"/>
      <c r="BD334" s="264"/>
      <c r="BE334" s="264"/>
    </row>
    <row r="335">
      <c r="A335" s="264"/>
      <c r="B335" s="264"/>
      <c r="C335" s="264"/>
      <c r="D335" s="264"/>
      <c r="E335" s="264"/>
      <c r="F335" s="264"/>
      <c r="G335" s="264"/>
      <c r="H335" s="264"/>
      <c r="I335" s="264"/>
      <c r="J335" s="264"/>
      <c r="K335" s="264"/>
      <c r="L335" s="264"/>
      <c r="M335" s="264" t="s">
        <v>22</v>
      </c>
      <c r="N335" s="264"/>
      <c r="O335" s="264" t="s">
        <v>22</v>
      </c>
      <c r="P335" s="264"/>
      <c r="Q335" s="264"/>
      <c r="R335" s="264"/>
      <c r="S335" s="264"/>
      <c r="T335" s="264"/>
      <c r="U335" s="360"/>
      <c r="V335" s="360"/>
      <c r="W335" s="360"/>
      <c r="X335" s="360"/>
      <c r="Y335" s="360"/>
      <c r="Z335" s="360"/>
      <c r="AA335" s="360"/>
      <c r="AB335" s="360"/>
      <c r="AC335" s="360"/>
      <c r="AD335" s="360"/>
      <c r="AE335" s="360"/>
      <c r="AF335" s="360"/>
      <c r="AG335" s="360" t="s">
        <v>1582</v>
      </c>
      <c r="AH335" s="360"/>
      <c r="AI335" s="360"/>
      <c r="AJ335" s="360" t="s">
        <v>1589</v>
      </c>
      <c r="AK335" s="360"/>
      <c r="AL335" s="360" t="s">
        <v>5878</v>
      </c>
      <c r="AM335" s="360"/>
      <c r="AN335" s="360"/>
      <c r="AO335" s="360"/>
      <c r="AP335" s="360"/>
      <c r="AQ335" s="360"/>
      <c r="AR335" s="360"/>
      <c r="AS335" s="360"/>
      <c r="AT335" s="360"/>
      <c r="AU335" s="360" t="s">
        <v>22</v>
      </c>
      <c r="AV335" s="360"/>
      <c r="AW335" s="264"/>
      <c r="AX335" s="264"/>
      <c r="AY335" s="264"/>
      <c r="AZ335" s="264"/>
      <c r="BA335" s="264"/>
      <c r="BB335" s="264"/>
      <c r="BC335" s="264"/>
      <c r="BD335" s="264"/>
      <c r="BE335" s="264"/>
    </row>
    <row r="336">
      <c r="A336" s="264"/>
      <c r="B336" s="264"/>
      <c r="C336" s="264"/>
      <c r="D336" s="264"/>
      <c r="E336" s="264"/>
      <c r="F336" s="264"/>
      <c r="G336" s="264"/>
      <c r="H336" s="264"/>
      <c r="I336" s="264"/>
      <c r="J336" s="264"/>
      <c r="K336" s="264"/>
      <c r="L336" s="264"/>
      <c r="M336" s="264" t="s">
        <v>22</v>
      </c>
      <c r="N336" s="264"/>
      <c r="O336" s="264" t="s">
        <v>22</v>
      </c>
      <c r="P336" s="264"/>
      <c r="Q336" s="264"/>
      <c r="R336" s="264"/>
      <c r="S336" s="264"/>
      <c r="T336" s="264"/>
      <c r="U336" s="360"/>
      <c r="V336" s="360"/>
      <c r="W336" s="360"/>
      <c r="X336" s="360"/>
      <c r="Y336" s="360"/>
      <c r="Z336" s="360"/>
      <c r="AA336" s="360"/>
      <c r="AB336" s="360"/>
      <c r="AC336" s="360"/>
      <c r="AD336" s="360"/>
      <c r="AE336" s="360"/>
      <c r="AF336" s="360"/>
      <c r="AG336" s="360" t="s">
        <v>1582</v>
      </c>
      <c r="AH336" s="360"/>
      <c r="AI336" s="360"/>
      <c r="AJ336" s="360" t="s">
        <v>1589</v>
      </c>
      <c r="AK336" s="360"/>
      <c r="AL336" s="360" t="s">
        <v>5878</v>
      </c>
      <c r="AM336" s="360"/>
      <c r="AN336" s="360"/>
      <c r="AO336" s="360"/>
      <c r="AP336" s="360"/>
      <c r="AQ336" s="360"/>
      <c r="AR336" s="360"/>
      <c r="AS336" s="360"/>
      <c r="AT336" s="360"/>
      <c r="AU336" s="360" t="s">
        <v>22</v>
      </c>
      <c r="AV336" s="360"/>
      <c r="AW336" s="264"/>
      <c r="AX336" s="264"/>
      <c r="AY336" s="264"/>
      <c r="AZ336" s="264"/>
      <c r="BA336" s="264"/>
      <c r="BB336" s="264"/>
      <c r="BC336" s="264"/>
      <c r="BD336" s="264"/>
      <c r="BE336" s="264"/>
    </row>
    <row r="337">
      <c r="A337" s="264"/>
      <c r="B337" s="264"/>
      <c r="C337" s="264"/>
      <c r="D337" s="264"/>
      <c r="E337" s="264"/>
      <c r="F337" s="264"/>
      <c r="G337" s="264"/>
      <c r="H337" s="264"/>
      <c r="I337" s="264"/>
      <c r="J337" s="264"/>
      <c r="K337" s="264"/>
      <c r="L337" s="264"/>
      <c r="M337" s="264" t="s">
        <v>22</v>
      </c>
      <c r="N337" s="264"/>
      <c r="O337" s="264" t="s">
        <v>22</v>
      </c>
      <c r="P337" s="264"/>
      <c r="Q337" s="264"/>
      <c r="R337" s="264"/>
      <c r="S337" s="264"/>
      <c r="T337" s="264"/>
      <c r="U337" s="360"/>
      <c r="V337" s="360"/>
      <c r="W337" s="360"/>
      <c r="X337" s="360"/>
      <c r="Y337" s="360"/>
      <c r="Z337" s="360"/>
      <c r="AA337" s="360"/>
      <c r="AB337" s="360"/>
      <c r="AC337" s="360"/>
      <c r="AD337" s="360"/>
      <c r="AE337" s="360"/>
      <c r="AF337" s="360"/>
      <c r="AG337" s="360" t="s">
        <v>1582</v>
      </c>
      <c r="AH337" s="360"/>
      <c r="AI337" s="360"/>
      <c r="AJ337" s="360" t="s">
        <v>1589</v>
      </c>
      <c r="AK337" s="360"/>
      <c r="AL337" s="360" t="s">
        <v>5878</v>
      </c>
      <c r="AM337" s="360"/>
      <c r="AN337" s="360"/>
      <c r="AO337" s="360"/>
      <c r="AP337" s="360"/>
      <c r="AQ337" s="360"/>
      <c r="AR337" s="360"/>
      <c r="AS337" s="360"/>
      <c r="AT337" s="360"/>
      <c r="AU337" s="360" t="s">
        <v>22</v>
      </c>
      <c r="AV337" s="360"/>
      <c r="AW337" s="264"/>
      <c r="AX337" s="264"/>
      <c r="AY337" s="264"/>
      <c r="AZ337" s="264"/>
      <c r="BA337" s="264"/>
      <c r="BB337" s="264"/>
      <c r="BC337" s="264"/>
      <c r="BD337" s="264"/>
      <c r="BE337" s="264"/>
    </row>
    <row r="338">
      <c r="A338" s="264"/>
      <c r="B338" s="264"/>
      <c r="C338" s="264"/>
      <c r="D338" s="264"/>
      <c r="E338" s="264"/>
      <c r="F338" s="264"/>
      <c r="G338" s="264"/>
      <c r="H338" s="264"/>
      <c r="I338" s="264"/>
      <c r="J338" s="264"/>
      <c r="K338" s="264"/>
      <c r="L338" s="264"/>
      <c r="M338" s="264" t="s">
        <v>22</v>
      </c>
      <c r="N338" s="264"/>
      <c r="O338" s="264" t="s">
        <v>22</v>
      </c>
      <c r="P338" s="264"/>
      <c r="Q338" s="264"/>
      <c r="R338" s="264"/>
      <c r="S338" s="264"/>
      <c r="T338" s="264"/>
      <c r="U338" s="360"/>
      <c r="V338" s="360"/>
      <c r="W338" s="360"/>
      <c r="X338" s="360"/>
      <c r="Y338" s="360"/>
      <c r="Z338" s="360"/>
      <c r="AA338" s="360"/>
      <c r="AB338" s="360"/>
      <c r="AC338" s="360"/>
      <c r="AD338" s="360"/>
      <c r="AE338" s="360"/>
      <c r="AF338" s="360"/>
      <c r="AG338" s="360" t="s">
        <v>1582</v>
      </c>
      <c r="AH338" s="360"/>
      <c r="AI338" s="360"/>
      <c r="AJ338" s="360" t="s">
        <v>1589</v>
      </c>
      <c r="AK338" s="360"/>
      <c r="AL338" s="360" t="s">
        <v>5878</v>
      </c>
      <c r="AM338" s="360"/>
      <c r="AN338" s="360"/>
      <c r="AO338" s="360"/>
      <c r="AP338" s="360"/>
      <c r="AQ338" s="360"/>
      <c r="AR338" s="360"/>
      <c r="AS338" s="360"/>
      <c r="AT338" s="360"/>
      <c r="AU338" s="360" t="s">
        <v>22</v>
      </c>
      <c r="AV338" s="360"/>
      <c r="AW338" s="264"/>
      <c r="AX338" s="264"/>
      <c r="AY338" s="264"/>
      <c r="AZ338" s="264"/>
      <c r="BA338" s="264"/>
      <c r="BB338" s="264"/>
      <c r="BC338" s="264"/>
      <c r="BD338" s="264"/>
      <c r="BE338" s="264"/>
    </row>
    <row r="339">
      <c r="A339" s="264"/>
      <c r="B339" s="264"/>
      <c r="C339" s="264"/>
      <c r="D339" s="264"/>
      <c r="E339" s="264"/>
      <c r="F339" s="264"/>
      <c r="G339" s="264"/>
      <c r="H339" s="264"/>
      <c r="I339" s="264"/>
      <c r="J339" s="264"/>
      <c r="K339" s="264"/>
      <c r="L339" s="264"/>
      <c r="M339" s="264" t="s">
        <v>22</v>
      </c>
      <c r="N339" s="264"/>
      <c r="O339" s="264" t="s">
        <v>22</v>
      </c>
      <c r="P339" s="264"/>
      <c r="Q339" s="264"/>
      <c r="R339" s="264"/>
      <c r="S339" s="264"/>
      <c r="T339" s="264"/>
      <c r="U339" s="360"/>
      <c r="V339" s="360"/>
      <c r="W339" s="360"/>
      <c r="X339" s="360"/>
      <c r="Y339" s="360"/>
      <c r="Z339" s="360"/>
      <c r="AA339" s="360"/>
      <c r="AB339" s="360"/>
      <c r="AC339" s="360"/>
      <c r="AD339" s="360"/>
      <c r="AE339" s="360"/>
      <c r="AF339" s="360"/>
      <c r="AG339" s="360" t="s">
        <v>1582</v>
      </c>
      <c r="AH339" s="360"/>
      <c r="AI339" s="360"/>
      <c r="AJ339" s="360" t="s">
        <v>1589</v>
      </c>
      <c r="AK339" s="360"/>
      <c r="AL339" s="360" t="s">
        <v>5878</v>
      </c>
      <c r="AM339" s="360"/>
      <c r="AN339" s="360"/>
      <c r="AO339" s="360"/>
      <c r="AP339" s="360"/>
      <c r="AQ339" s="360"/>
      <c r="AR339" s="360"/>
      <c r="AS339" s="360"/>
      <c r="AT339" s="360"/>
      <c r="AU339" s="360" t="s">
        <v>22</v>
      </c>
      <c r="AV339" s="360"/>
      <c r="AW339" s="264"/>
      <c r="AX339" s="264"/>
      <c r="AY339" s="264"/>
      <c r="AZ339" s="264"/>
      <c r="BA339" s="264"/>
      <c r="BB339" s="264"/>
      <c r="BC339" s="264"/>
      <c r="BD339" s="264"/>
      <c r="BE339" s="264"/>
    </row>
    <row r="340">
      <c r="A340" s="264"/>
      <c r="B340" s="264"/>
      <c r="C340" s="264"/>
      <c r="D340" s="264"/>
      <c r="E340" s="264"/>
      <c r="F340" s="264"/>
      <c r="G340" s="264"/>
      <c r="H340" s="264"/>
      <c r="I340" s="264"/>
      <c r="J340" s="264"/>
      <c r="K340" s="264"/>
      <c r="L340" s="264"/>
      <c r="M340" s="264" t="s">
        <v>22</v>
      </c>
      <c r="N340" s="264"/>
      <c r="O340" s="264" t="s">
        <v>22</v>
      </c>
      <c r="P340" s="264"/>
      <c r="Q340" s="264"/>
      <c r="R340" s="264"/>
      <c r="S340" s="264"/>
      <c r="T340" s="264"/>
      <c r="U340" s="360"/>
      <c r="V340" s="360"/>
      <c r="W340" s="360"/>
      <c r="X340" s="360"/>
      <c r="Y340" s="360"/>
      <c r="Z340" s="360"/>
      <c r="AA340" s="360"/>
      <c r="AB340" s="360"/>
      <c r="AC340" s="360"/>
      <c r="AD340" s="360"/>
      <c r="AE340" s="360"/>
      <c r="AF340" s="360"/>
      <c r="AG340" s="360" t="s">
        <v>1582</v>
      </c>
      <c r="AH340" s="360"/>
      <c r="AI340" s="360"/>
      <c r="AJ340" s="360" t="s">
        <v>1589</v>
      </c>
      <c r="AK340" s="360"/>
      <c r="AL340" s="360" t="s">
        <v>5878</v>
      </c>
      <c r="AM340" s="360"/>
      <c r="AN340" s="360"/>
      <c r="AO340" s="360"/>
      <c r="AP340" s="360"/>
      <c r="AQ340" s="360"/>
      <c r="AR340" s="360"/>
      <c r="AS340" s="360"/>
      <c r="AT340" s="360"/>
      <c r="AU340" s="360" t="s">
        <v>22</v>
      </c>
      <c r="AV340" s="360"/>
      <c r="AW340" s="264"/>
      <c r="AX340" s="264"/>
      <c r="AY340" s="264"/>
      <c r="AZ340" s="264"/>
      <c r="BA340" s="264"/>
      <c r="BB340" s="264"/>
      <c r="BC340" s="264"/>
      <c r="BD340" s="264"/>
      <c r="BE340" s="264"/>
    </row>
    <row r="341">
      <c r="A341" s="264"/>
      <c r="B341" s="264"/>
      <c r="C341" s="264"/>
      <c r="D341" s="264"/>
      <c r="E341" s="264"/>
      <c r="F341" s="264"/>
      <c r="G341" s="264"/>
      <c r="H341" s="264"/>
      <c r="I341" s="264"/>
      <c r="J341" s="264"/>
      <c r="K341" s="264"/>
      <c r="L341" s="264"/>
      <c r="M341" s="264" t="s">
        <v>22</v>
      </c>
      <c r="N341" s="264"/>
      <c r="O341" s="264" t="s">
        <v>22</v>
      </c>
      <c r="P341" s="264"/>
      <c r="Q341" s="264"/>
      <c r="R341" s="264"/>
      <c r="S341" s="264"/>
      <c r="T341" s="264"/>
      <c r="U341" s="360"/>
      <c r="V341" s="360"/>
      <c r="W341" s="360"/>
      <c r="X341" s="360"/>
      <c r="Y341" s="360"/>
      <c r="Z341" s="360"/>
      <c r="AA341" s="360"/>
      <c r="AB341" s="360"/>
      <c r="AC341" s="360"/>
      <c r="AD341" s="360"/>
      <c r="AE341" s="360"/>
      <c r="AF341" s="360"/>
      <c r="AG341" s="360" t="s">
        <v>1582</v>
      </c>
      <c r="AH341" s="360"/>
      <c r="AI341" s="360"/>
      <c r="AJ341" s="360" t="s">
        <v>1589</v>
      </c>
      <c r="AK341" s="360"/>
      <c r="AL341" s="360" t="s">
        <v>5878</v>
      </c>
      <c r="AM341" s="360"/>
      <c r="AN341" s="360"/>
      <c r="AO341" s="360"/>
      <c r="AP341" s="360"/>
      <c r="AQ341" s="360"/>
      <c r="AR341" s="360"/>
      <c r="AS341" s="360"/>
      <c r="AT341" s="360"/>
      <c r="AU341" s="360" t="s">
        <v>22</v>
      </c>
      <c r="AV341" s="360"/>
      <c r="AW341" s="264"/>
      <c r="AX341" s="264"/>
      <c r="AY341" s="264"/>
      <c r="AZ341" s="264"/>
      <c r="BA341" s="264"/>
      <c r="BB341" s="264"/>
      <c r="BC341" s="264"/>
      <c r="BD341" s="264"/>
      <c r="BE341" s="264"/>
    </row>
    <row r="342">
      <c r="A342" s="264"/>
      <c r="B342" s="264"/>
      <c r="C342" s="264"/>
      <c r="D342" s="264"/>
      <c r="E342" s="264"/>
      <c r="F342" s="264"/>
      <c r="G342" s="264"/>
      <c r="H342" s="264"/>
      <c r="I342" s="264"/>
      <c r="J342" s="264"/>
      <c r="K342" s="264"/>
      <c r="L342" s="264"/>
      <c r="M342" s="264" t="s">
        <v>22</v>
      </c>
      <c r="N342" s="264"/>
      <c r="O342" s="264" t="s">
        <v>22</v>
      </c>
      <c r="P342" s="264"/>
      <c r="Q342" s="264"/>
      <c r="R342" s="264"/>
      <c r="S342" s="264"/>
      <c r="T342" s="264"/>
      <c r="U342" s="360"/>
      <c r="V342" s="360"/>
      <c r="W342" s="360"/>
      <c r="X342" s="360"/>
      <c r="Y342" s="360"/>
      <c r="Z342" s="360"/>
      <c r="AA342" s="360"/>
      <c r="AB342" s="360"/>
      <c r="AC342" s="360"/>
      <c r="AD342" s="360"/>
      <c r="AE342" s="360"/>
      <c r="AF342" s="360"/>
      <c r="AG342" s="360" t="s">
        <v>1582</v>
      </c>
      <c r="AH342" s="360"/>
      <c r="AI342" s="360"/>
      <c r="AJ342" s="360" t="s">
        <v>1589</v>
      </c>
      <c r="AK342" s="360"/>
      <c r="AL342" s="360" t="s">
        <v>5878</v>
      </c>
      <c r="AM342" s="360"/>
      <c r="AN342" s="360"/>
      <c r="AO342" s="360"/>
      <c r="AP342" s="360"/>
      <c r="AQ342" s="360"/>
      <c r="AR342" s="360"/>
      <c r="AS342" s="360"/>
      <c r="AT342" s="360"/>
      <c r="AU342" s="360" t="s">
        <v>22</v>
      </c>
      <c r="AV342" s="360"/>
      <c r="AW342" s="264"/>
      <c r="AX342" s="264"/>
      <c r="AY342" s="264"/>
      <c r="AZ342" s="264"/>
      <c r="BA342" s="264"/>
      <c r="BB342" s="264"/>
      <c r="BC342" s="264"/>
      <c r="BD342" s="264"/>
      <c r="BE342" s="264"/>
    </row>
    <row r="343">
      <c r="A343" s="264"/>
      <c r="B343" s="264"/>
      <c r="C343" s="264"/>
      <c r="D343" s="264"/>
      <c r="E343" s="264"/>
      <c r="F343" s="264"/>
      <c r="G343" s="264"/>
      <c r="H343" s="264"/>
      <c r="I343" s="264"/>
      <c r="J343" s="264"/>
      <c r="K343" s="264"/>
      <c r="L343" s="264"/>
      <c r="M343" s="264" t="s">
        <v>22</v>
      </c>
      <c r="N343" s="264"/>
      <c r="O343" s="264" t="s">
        <v>22</v>
      </c>
      <c r="P343" s="264"/>
      <c r="Q343" s="264"/>
      <c r="R343" s="264"/>
      <c r="S343" s="264"/>
      <c r="T343" s="264"/>
      <c r="U343" s="360"/>
      <c r="V343" s="360"/>
      <c r="W343" s="360"/>
      <c r="X343" s="360"/>
      <c r="Y343" s="360"/>
      <c r="Z343" s="360"/>
      <c r="AA343" s="360"/>
      <c r="AB343" s="360"/>
      <c r="AC343" s="360"/>
      <c r="AD343" s="360"/>
      <c r="AE343" s="360"/>
      <c r="AF343" s="360"/>
      <c r="AG343" s="360" t="s">
        <v>1582</v>
      </c>
      <c r="AH343" s="360"/>
      <c r="AI343" s="360"/>
      <c r="AJ343" s="360" t="s">
        <v>1589</v>
      </c>
      <c r="AK343" s="360"/>
      <c r="AL343" s="360" t="s">
        <v>5878</v>
      </c>
      <c r="AM343" s="360"/>
      <c r="AN343" s="360"/>
      <c r="AO343" s="360"/>
      <c r="AP343" s="360"/>
      <c r="AQ343" s="360"/>
      <c r="AR343" s="360"/>
      <c r="AS343" s="360"/>
      <c r="AT343" s="360"/>
      <c r="AU343" s="360" t="s">
        <v>22</v>
      </c>
      <c r="AV343" s="360"/>
      <c r="AW343" s="264"/>
      <c r="AX343" s="264"/>
      <c r="AY343" s="264"/>
      <c r="AZ343" s="264"/>
      <c r="BA343" s="264"/>
      <c r="BB343" s="264"/>
      <c r="BC343" s="264"/>
      <c r="BD343" s="264"/>
      <c r="BE343" s="264"/>
    </row>
    <row r="344">
      <c r="A344" s="264"/>
      <c r="B344" s="264"/>
      <c r="C344" s="264"/>
      <c r="D344" s="264"/>
      <c r="E344" s="264"/>
      <c r="F344" s="264"/>
      <c r="G344" s="264"/>
      <c r="H344" s="264"/>
      <c r="I344" s="264"/>
      <c r="J344" s="264"/>
      <c r="K344" s="264"/>
      <c r="L344" s="264"/>
      <c r="M344" s="264" t="s">
        <v>22</v>
      </c>
      <c r="N344" s="264"/>
      <c r="O344" s="264" t="s">
        <v>22</v>
      </c>
      <c r="P344" s="264"/>
      <c r="Q344" s="264"/>
      <c r="R344" s="264"/>
      <c r="S344" s="264"/>
      <c r="T344" s="264"/>
      <c r="U344" s="360"/>
      <c r="V344" s="360"/>
      <c r="W344" s="360"/>
      <c r="X344" s="360"/>
      <c r="Y344" s="360"/>
      <c r="Z344" s="360"/>
      <c r="AA344" s="360"/>
      <c r="AB344" s="360"/>
      <c r="AC344" s="360"/>
      <c r="AD344" s="360"/>
      <c r="AE344" s="360"/>
      <c r="AF344" s="360"/>
      <c r="AG344" s="360" t="s">
        <v>1582</v>
      </c>
      <c r="AH344" s="360"/>
      <c r="AI344" s="360"/>
      <c r="AJ344" s="360" t="s">
        <v>1589</v>
      </c>
      <c r="AK344" s="360"/>
      <c r="AL344" s="360" t="s">
        <v>5878</v>
      </c>
      <c r="AM344" s="360"/>
      <c r="AN344" s="360"/>
      <c r="AO344" s="360"/>
      <c r="AP344" s="360"/>
      <c r="AQ344" s="360"/>
      <c r="AR344" s="360"/>
      <c r="AS344" s="360"/>
      <c r="AT344" s="360"/>
      <c r="AU344" s="360" t="s">
        <v>22</v>
      </c>
      <c r="AV344" s="360"/>
      <c r="AW344" s="264"/>
      <c r="AX344" s="264"/>
      <c r="AY344" s="264"/>
      <c r="AZ344" s="264"/>
      <c r="BA344" s="264"/>
      <c r="BB344" s="264"/>
      <c r="BC344" s="264"/>
      <c r="BD344" s="264"/>
      <c r="BE344" s="264"/>
    </row>
    <row r="345">
      <c r="A345" s="264"/>
      <c r="B345" s="264"/>
      <c r="C345" s="264"/>
      <c r="D345" s="264"/>
      <c r="E345" s="264"/>
      <c r="F345" s="264"/>
      <c r="G345" s="264"/>
      <c r="H345" s="264"/>
      <c r="I345" s="264"/>
      <c r="J345" s="264"/>
      <c r="K345" s="264"/>
      <c r="L345" s="264"/>
      <c r="M345" s="264" t="s">
        <v>22</v>
      </c>
      <c r="N345" s="264"/>
      <c r="O345" s="264" t="s">
        <v>22</v>
      </c>
      <c r="P345" s="264"/>
      <c r="Q345" s="264"/>
      <c r="R345" s="264"/>
      <c r="S345" s="264"/>
      <c r="T345" s="264"/>
      <c r="U345" s="360"/>
      <c r="V345" s="360"/>
      <c r="W345" s="360"/>
      <c r="X345" s="360"/>
      <c r="Y345" s="360"/>
      <c r="Z345" s="360"/>
      <c r="AA345" s="360"/>
      <c r="AB345" s="360"/>
      <c r="AC345" s="360"/>
      <c r="AD345" s="360"/>
      <c r="AE345" s="360"/>
      <c r="AF345" s="360"/>
      <c r="AG345" s="360" t="s">
        <v>1582</v>
      </c>
      <c r="AH345" s="360"/>
      <c r="AI345" s="360"/>
      <c r="AJ345" s="360" t="s">
        <v>1589</v>
      </c>
      <c r="AK345" s="360"/>
      <c r="AL345" s="360" t="s">
        <v>5878</v>
      </c>
      <c r="AM345" s="360"/>
      <c r="AN345" s="360"/>
      <c r="AO345" s="360"/>
      <c r="AP345" s="360"/>
      <c r="AQ345" s="360"/>
      <c r="AR345" s="360"/>
      <c r="AS345" s="360"/>
      <c r="AT345" s="360"/>
      <c r="AU345" s="360" t="s">
        <v>22</v>
      </c>
      <c r="AV345" s="360"/>
      <c r="AW345" s="264"/>
      <c r="AX345" s="264"/>
      <c r="AY345" s="264"/>
      <c r="AZ345" s="264"/>
      <c r="BA345" s="264"/>
      <c r="BB345" s="264"/>
      <c r="BC345" s="264"/>
      <c r="BD345" s="264"/>
      <c r="BE345" s="264"/>
    </row>
    <row r="346">
      <c r="A346" s="264"/>
      <c r="B346" s="264"/>
      <c r="C346" s="264"/>
      <c r="D346" s="264"/>
      <c r="E346" s="264"/>
      <c r="F346" s="264"/>
      <c r="G346" s="264"/>
      <c r="H346" s="264"/>
      <c r="I346" s="264"/>
      <c r="J346" s="264"/>
      <c r="K346" s="264"/>
      <c r="L346" s="264"/>
      <c r="M346" s="264" t="s">
        <v>22</v>
      </c>
      <c r="N346" s="264"/>
      <c r="O346" s="264" t="s">
        <v>22</v>
      </c>
      <c r="P346" s="264"/>
      <c r="Q346" s="264"/>
      <c r="R346" s="264"/>
      <c r="S346" s="264"/>
      <c r="T346" s="264"/>
      <c r="U346" s="360"/>
      <c r="V346" s="360"/>
      <c r="W346" s="360"/>
      <c r="X346" s="360"/>
      <c r="Y346" s="360"/>
      <c r="Z346" s="360"/>
      <c r="AA346" s="360"/>
      <c r="AB346" s="360"/>
      <c r="AC346" s="360"/>
      <c r="AD346" s="360"/>
      <c r="AE346" s="360"/>
      <c r="AF346" s="360"/>
      <c r="AG346" s="360" t="s">
        <v>1582</v>
      </c>
      <c r="AH346" s="360"/>
      <c r="AI346" s="360"/>
      <c r="AJ346" s="360" t="s">
        <v>1589</v>
      </c>
      <c r="AK346" s="360"/>
      <c r="AL346" s="360" t="s">
        <v>5878</v>
      </c>
      <c r="AM346" s="360"/>
      <c r="AN346" s="360"/>
      <c r="AO346" s="360"/>
      <c r="AP346" s="360"/>
      <c r="AQ346" s="360"/>
      <c r="AR346" s="360"/>
      <c r="AS346" s="360"/>
      <c r="AT346" s="360"/>
      <c r="AU346" s="360" t="s">
        <v>22</v>
      </c>
      <c r="AV346" s="360"/>
      <c r="AW346" s="264"/>
      <c r="AX346" s="264"/>
      <c r="AY346" s="264"/>
      <c r="AZ346" s="264"/>
      <c r="BA346" s="264"/>
      <c r="BB346" s="264"/>
      <c r="BC346" s="264"/>
      <c r="BD346" s="264"/>
      <c r="BE346" s="264"/>
    </row>
    <row r="347">
      <c r="A347" s="264"/>
      <c r="B347" s="264"/>
      <c r="C347" s="264"/>
      <c r="D347" s="264"/>
      <c r="E347" s="264"/>
      <c r="F347" s="264"/>
      <c r="G347" s="264"/>
      <c r="H347" s="264"/>
      <c r="I347" s="264"/>
      <c r="J347" s="264"/>
      <c r="K347" s="264"/>
      <c r="L347" s="264"/>
      <c r="M347" s="264" t="s">
        <v>22</v>
      </c>
      <c r="N347" s="264"/>
      <c r="O347" s="264" t="s">
        <v>22</v>
      </c>
      <c r="P347" s="264"/>
      <c r="Q347" s="264"/>
      <c r="R347" s="264"/>
      <c r="S347" s="264"/>
      <c r="T347" s="264"/>
      <c r="U347" s="360"/>
      <c r="V347" s="360"/>
      <c r="W347" s="360"/>
      <c r="X347" s="360"/>
      <c r="Y347" s="360"/>
      <c r="Z347" s="360"/>
      <c r="AA347" s="360"/>
      <c r="AB347" s="360"/>
      <c r="AC347" s="360"/>
      <c r="AD347" s="360"/>
      <c r="AE347" s="360"/>
      <c r="AF347" s="360"/>
      <c r="AG347" s="360" t="s">
        <v>1582</v>
      </c>
      <c r="AH347" s="360"/>
      <c r="AI347" s="360"/>
      <c r="AJ347" s="360" t="s">
        <v>1589</v>
      </c>
      <c r="AK347" s="360"/>
      <c r="AL347" s="360" t="s">
        <v>5878</v>
      </c>
      <c r="AM347" s="360"/>
      <c r="AN347" s="360"/>
      <c r="AO347" s="360"/>
      <c r="AP347" s="360"/>
      <c r="AQ347" s="360"/>
      <c r="AR347" s="360"/>
      <c r="AS347" s="360"/>
      <c r="AT347" s="360"/>
      <c r="AU347" s="360" t="s">
        <v>22</v>
      </c>
      <c r="AV347" s="360"/>
      <c r="AW347" s="264"/>
      <c r="AX347" s="264"/>
      <c r="AY347" s="264"/>
      <c r="AZ347" s="264"/>
      <c r="BA347" s="264"/>
      <c r="BB347" s="264"/>
      <c r="BC347" s="264"/>
      <c r="BD347" s="264"/>
      <c r="BE347" s="264"/>
    </row>
    <row r="348">
      <c r="A348" s="264"/>
      <c r="B348" s="264"/>
      <c r="C348" s="264"/>
      <c r="D348" s="264"/>
      <c r="E348" s="264"/>
      <c r="F348" s="264"/>
      <c r="G348" s="264"/>
      <c r="H348" s="264"/>
      <c r="I348" s="264"/>
      <c r="J348" s="264"/>
      <c r="K348" s="264"/>
      <c r="L348" s="264"/>
      <c r="M348" s="264" t="s">
        <v>22</v>
      </c>
      <c r="N348" s="264"/>
      <c r="O348" s="264" t="s">
        <v>22</v>
      </c>
      <c r="P348" s="264"/>
      <c r="Q348" s="264"/>
      <c r="R348" s="264"/>
      <c r="S348" s="264"/>
      <c r="T348" s="264"/>
      <c r="U348" s="360"/>
      <c r="V348" s="360"/>
      <c r="W348" s="360"/>
      <c r="X348" s="360"/>
      <c r="Y348" s="360"/>
      <c r="Z348" s="360"/>
      <c r="AA348" s="360"/>
      <c r="AB348" s="360"/>
      <c r="AC348" s="360"/>
      <c r="AD348" s="360"/>
      <c r="AE348" s="360"/>
      <c r="AF348" s="360"/>
      <c r="AG348" s="360" t="s">
        <v>1582</v>
      </c>
      <c r="AH348" s="360"/>
      <c r="AI348" s="360"/>
      <c r="AJ348" s="360" t="s">
        <v>1589</v>
      </c>
      <c r="AK348" s="360"/>
      <c r="AL348" s="360" t="s">
        <v>5878</v>
      </c>
      <c r="AM348" s="360"/>
      <c r="AN348" s="360"/>
      <c r="AO348" s="360"/>
      <c r="AP348" s="360"/>
      <c r="AQ348" s="360"/>
      <c r="AR348" s="360"/>
      <c r="AS348" s="360"/>
      <c r="AT348" s="360"/>
      <c r="AU348" s="360" t="s">
        <v>22</v>
      </c>
      <c r="AV348" s="360"/>
      <c r="AW348" s="264"/>
      <c r="AX348" s="264"/>
      <c r="AY348" s="264"/>
      <c r="AZ348" s="264"/>
      <c r="BA348" s="264"/>
      <c r="BB348" s="264"/>
      <c r="BC348" s="264"/>
      <c r="BD348" s="264"/>
      <c r="BE348" s="264"/>
    </row>
    <row r="349">
      <c r="A349" s="264"/>
      <c r="B349" s="264"/>
      <c r="C349" s="264"/>
      <c r="D349" s="264"/>
      <c r="E349" s="264"/>
      <c r="F349" s="264"/>
      <c r="G349" s="264"/>
      <c r="H349" s="264"/>
      <c r="I349" s="264"/>
      <c r="J349" s="264"/>
      <c r="K349" s="264"/>
      <c r="L349" s="264"/>
      <c r="M349" s="264" t="s">
        <v>22</v>
      </c>
      <c r="N349" s="264"/>
      <c r="O349" s="264" t="s">
        <v>22</v>
      </c>
      <c r="P349" s="264"/>
      <c r="Q349" s="264"/>
      <c r="R349" s="264"/>
      <c r="S349" s="264"/>
      <c r="T349" s="264"/>
      <c r="U349" s="360"/>
      <c r="V349" s="360"/>
      <c r="W349" s="360"/>
      <c r="X349" s="360"/>
      <c r="Y349" s="360"/>
      <c r="Z349" s="360"/>
      <c r="AA349" s="360"/>
      <c r="AB349" s="360"/>
      <c r="AC349" s="360"/>
      <c r="AD349" s="360"/>
      <c r="AE349" s="360"/>
      <c r="AF349" s="360"/>
      <c r="AG349" s="360" t="s">
        <v>1582</v>
      </c>
      <c r="AH349" s="360"/>
      <c r="AI349" s="360"/>
      <c r="AJ349" s="360" t="s">
        <v>1589</v>
      </c>
      <c r="AK349" s="360"/>
      <c r="AL349" s="360" t="s">
        <v>5878</v>
      </c>
      <c r="AM349" s="360"/>
      <c r="AN349" s="360"/>
      <c r="AO349" s="360"/>
      <c r="AP349" s="360"/>
      <c r="AQ349" s="360"/>
      <c r="AR349" s="360"/>
      <c r="AS349" s="360"/>
      <c r="AT349" s="360"/>
      <c r="AU349" s="360" t="s">
        <v>22</v>
      </c>
      <c r="AV349" s="360"/>
      <c r="AW349" s="264"/>
      <c r="AX349" s="264"/>
      <c r="AY349" s="264"/>
      <c r="AZ349" s="264"/>
      <c r="BA349" s="264"/>
      <c r="BB349" s="264"/>
      <c r="BC349" s="264"/>
      <c r="BD349" s="264"/>
      <c r="BE349" s="264"/>
    </row>
    <row r="350">
      <c r="A350" s="264"/>
      <c r="B350" s="264"/>
      <c r="C350" s="264"/>
      <c r="D350" s="264"/>
      <c r="E350" s="264"/>
      <c r="F350" s="264"/>
      <c r="G350" s="264"/>
      <c r="H350" s="264"/>
      <c r="I350" s="264"/>
      <c r="J350" s="264"/>
      <c r="K350" s="264"/>
      <c r="L350" s="264"/>
      <c r="M350" s="264" t="s">
        <v>22</v>
      </c>
      <c r="N350" s="264"/>
      <c r="O350" s="264" t="s">
        <v>22</v>
      </c>
      <c r="P350" s="264"/>
      <c r="Q350" s="264"/>
      <c r="R350" s="264"/>
      <c r="S350" s="264"/>
      <c r="T350" s="264"/>
      <c r="U350" s="360"/>
      <c r="V350" s="360"/>
      <c r="W350" s="360"/>
      <c r="X350" s="360"/>
      <c r="Y350" s="360"/>
      <c r="Z350" s="360"/>
      <c r="AA350" s="360"/>
      <c r="AB350" s="360"/>
      <c r="AC350" s="360"/>
      <c r="AD350" s="360"/>
      <c r="AE350" s="360"/>
      <c r="AF350" s="360"/>
      <c r="AG350" s="360" t="s">
        <v>1582</v>
      </c>
      <c r="AH350" s="360"/>
      <c r="AI350" s="360"/>
      <c r="AJ350" s="360" t="s">
        <v>1589</v>
      </c>
      <c r="AK350" s="360"/>
      <c r="AL350" s="360" t="s">
        <v>5878</v>
      </c>
      <c r="AM350" s="360"/>
      <c r="AN350" s="360"/>
      <c r="AO350" s="360"/>
      <c r="AP350" s="360"/>
      <c r="AQ350" s="360"/>
      <c r="AR350" s="360"/>
      <c r="AS350" s="360"/>
      <c r="AT350" s="360"/>
      <c r="AU350" s="360" t="s">
        <v>22</v>
      </c>
      <c r="AV350" s="360"/>
      <c r="AW350" s="264"/>
      <c r="AX350" s="264"/>
      <c r="AY350" s="264"/>
      <c r="AZ350" s="264"/>
      <c r="BA350" s="264"/>
      <c r="BB350" s="264"/>
      <c r="BC350" s="264"/>
      <c r="BD350" s="264"/>
      <c r="BE350" s="264"/>
    </row>
    <row r="351">
      <c r="A351" s="264"/>
      <c r="B351" s="264"/>
      <c r="C351" s="264"/>
      <c r="D351" s="264"/>
      <c r="E351" s="264"/>
      <c r="F351" s="264"/>
      <c r="G351" s="264"/>
      <c r="H351" s="264"/>
      <c r="I351" s="264"/>
      <c r="J351" s="264"/>
      <c r="K351" s="264"/>
      <c r="L351" s="264"/>
      <c r="M351" s="264" t="s">
        <v>22</v>
      </c>
      <c r="N351" s="264"/>
      <c r="O351" s="264" t="s">
        <v>22</v>
      </c>
      <c r="P351" s="264"/>
      <c r="Q351" s="264"/>
      <c r="R351" s="264"/>
      <c r="S351" s="264"/>
      <c r="T351" s="264"/>
      <c r="U351" s="360"/>
      <c r="V351" s="360"/>
      <c r="W351" s="360"/>
      <c r="X351" s="360"/>
      <c r="Y351" s="360"/>
      <c r="Z351" s="360"/>
      <c r="AA351" s="360"/>
      <c r="AB351" s="360"/>
      <c r="AC351" s="360"/>
      <c r="AD351" s="360"/>
      <c r="AE351" s="360"/>
      <c r="AF351" s="360"/>
      <c r="AG351" s="360" t="s">
        <v>1582</v>
      </c>
      <c r="AH351" s="360"/>
      <c r="AI351" s="360"/>
      <c r="AJ351" s="360" t="s">
        <v>1589</v>
      </c>
      <c r="AK351" s="360"/>
      <c r="AL351" s="360" t="s">
        <v>5878</v>
      </c>
      <c r="AM351" s="360"/>
      <c r="AN351" s="360"/>
      <c r="AO351" s="360"/>
      <c r="AP351" s="360"/>
      <c r="AQ351" s="360"/>
      <c r="AR351" s="360"/>
      <c r="AS351" s="360"/>
      <c r="AT351" s="360"/>
      <c r="AU351" s="360" t="s">
        <v>22</v>
      </c>
      <c r="AV351" s="360"/>
      <c r="AW351" s="264"/>
      <c r="AX351" s="264"/>
      <c r="AY351" s="264"/>
      <c r="AZ351" s="264"/>
      <c r="BA351" s="264"/>
      <c r="BB351" s="264"/>
      <c r="BC351" s="264"/>
      <c r="BD351" s="264"/>
      <c r="BE351" s="264"/>
    </row>
    <row r="352">
      <c r="A352" s="264"/>
      <c r="B352" s="264"/>
      <c r="C352" s="264"/>
      <c r="D352" s="264"/>
      <c r="E352" s="264"/>
      <c r="F352" s="264"/>
      <c r="G352" s="264"/>
      <c r="H352" s="264"/>
      <c r="I352" s="264"/>
      <c r="J352" s="264"/>
      <c r="K352" s="264"/>
      <c r="L352" s="264"/>
      <c r="M352" s="264" t="s">
        <v>22</v>
      </c>
      <c r="N352" s="264"/>
      <c r="O352" s="264" t="s">
        <v>22</v>
      </c>
      <c r="P352" s="264"/>
      <c r="Q352" s="264"/>
      <c r="R352" s="264"/>
      <c r="S352" s="264"/>
      <c r="T352" s="264"/>
      <c r="U352" s="360"/>
      <c r="V352" s="360"/>
      <c r="W352" s="360"/>
      <c r="X352" s="360"/>
      <c r="Y352" s="360"/>
      <c r="Z352" s="360"/>
      <c r="AA352" s="360"/>
      <c r="AB352" s="360"/>
      <c r="AC352" s="360"/>
      <c r="AD352" s="360"/>
      <c r="AE352" s="360"/>
      <c r="AF352" s="360"/>
      <c r="AG352" s="360" t="s">
        <v>1582</v>
      </c>
      <c r="AH352" s="360"/>
      <c r="AI352" s="360"/>
      <c r="AJ352" s="360" t="s">
        <v>1589</v>
      </c>
      <c r="AK352" s="360"/>
      <c r="AL352" s="360" t="s">
        <v>5878</v>
      </c>
      <c r="AM352" s="360"/>
      <c r="AN352" s="360"/>
      <c r="AO352" s="360"/>
      <c r="AP352" s="360"/>
      <c r="AQ352" s="360"/>
      <c r="AR352" s="360"/>
      <c r="AS352" s="360"/>
      <c r="AT352" s="360"/>
      <c r="AU352" s="360" t="s">
        <v>22</v>
      </c>
      <c r="AV352" s="360"/>
      <c r="AW352" s="264"/>
      <c r="AX352" s="264"/>
      <c r="AY352" s="264"/>
      <c r="AZ352" s="264"/>
      <c r="BA352" s="264"/>
      <c r="BB352" s="264"/>
      <c r="BC352" s="264"/>
      <c r="BD352" s="264"/>
      <c r="BE352" s="264"/>
    </row>
    <row r="353">
      <c r="A353" s="264"/>
      <c r="B353" s="264"/>
      <c r="C353" s="264"/>
      <c r="D353" s="264"/>
      <c r="E353" s="264"/>
      <c r="F353" s="264"/>
      <c r="G353" s="264"/>
      <c r="H353" s="264"/>
      <c r="I353" s="264"/>
      <c r="J353" s="264"/>
      <c r="K353" s="264"/>
      <c r="L353" s="264"/>
      <c r="M353" s="264" t="s">
        <v>22</v>
      </c>
      <c r="N353" s="264"/>
      <c r="O353" s="264" t="s">
        <v>22</v>
      </c>
      <c r="P353" s="264"/>
      <c r="Q353" s="264"/>
      <c r="R353" s="264"/>
      <c r="S353" s="264"/>
      <c r="T353" s="264"/>
      <c r="U353" s="360"/>
      <c r="V353" s="360"/>
      <c r="W353" s="360"/>
      <c r="X353" s="360"/>
      <c r="Y353" s="360"/>
      <c r="Z353" s="360"/>
      <c r="AA353" s="360"/>
      <c r="AB353" s="360"/>
      <c r="AC353" s="360"/>
      <c r="AD353" s="360"/>
      <c r="AE353" s="360"/>
      <c r="AF353" s="360"/>
      <c r="AG353" s="360" t="s">
        <v>1582</v>
      </c>
      <c r="AH353" s="360"/>
      <c r="AI353" s="360"/>
      <c r="AJ353" s="360" t="s">
        <v>1589</v>
      </c>
      <c r="AK353" s="360"/>
      <c r="AL353" s="360" t="s">
        <v>5878</v>
      </c>
      <c r="AM353" s="360"/>
      <c r="AN353" s="360"/>
      <c r="AO353" s="360"/>
      <c r="AP353" s="360"/>
      <c r="AQ353" s="360"/>
      <c r="AR353" s="360"/>
      <c r="AS353" s="360"/>
      <c r="AT353" s="360"/>
      <c r="AU353" s="360" t="s">
        <v>22</v>
      </c>
      <c r="AV353" s="360"/>
      <c r="AW353" s="264"/>
      <c r="AX353" s="264"/>
      <c r="AY353" s="264"/>
      <c r="AZ353" s="264"/>
      <c r="BA353" s="264"/>
      <c r="BB353" s="264"/>
      <c r="BC353" s="264"/>
      <c r="BD353" s="264"/>
      <c r="BE353" s="264"/>
    </row>
    <row r="354">
      <c r="A354" s="264"/>
      <c r="B354" s="264"/>
      <c r="C354" s="264"/>
      <c r="D354" s="264"/>
      <c r="E354" s="264"/>
      <c r="F354" s="264"/>
      <c r="G354" s="264"/>
      <c r="H354" s="264"/>
      <c r="I354" s="264"/>
      <c r="J354" s="264"/>
      <c r="K354" s="264"/>
      <c r="L354" s="264"/>
      <c r="M354" s="264" t="s">
        <v>22</v>
      </c>
      <c r="N354" s="264"/>
      <c r="O354" s="264" t="s">
        <v>22</v>
      </c>
      <c r="P354" s="264"/>
      <c r="Q354" s="264"/>
      <c r="R354" s="264"/>
      <c r="S354" s="264"/>
      <c r="T354" s="264"/>
      <c r="U354" s="360"/>
      <c r="V354" s="360"/>
      <c r="W354" s="360"/>
      <c r="X354" s="360"/>
      <c r="Y354" s="360"/>
      <c r="Z354" s="360"/>
      <c r="AA354" s="360"/>
      <c r="AB354" s="360"/>
      <c r="AC354" s="360"/>
      <c r="AD354" s="360"/>
      <c r="AE354" s="360"/>
      <c r="AF354" s="360"/>
      <c r="AG354" s="360" t="s">
        <v>1582</v>
      </c>
      <c r="AH354" s="360"/>
      <c r="AI354" s="360"/>
      <c r="AJ354" s="360" t="s">
        <v>1589</v>
      </c>
      <c r="AK354" s="360"/>
      <c r="AL354" s="360" t="s">
        <v>5878</v>
      </c>
      <c r="AM354" s="360"/>
      <c r="AN354" s="360"/>
      <c r="AO354" s="360"/>
      <c r="AP354" s="360"/>
      <c r="AQ354" s="360"/>
      <c r="AR354" s="360"/>
      <c r="AS354" s="360"/>
      <c r="AT354" s="360"/>
      <c r="AU354" s="360" t="s">
        <v>22</v>
      </c>
      <c r="AV354" s="360"/>
      <c r="AW354" s="264"/>
      <c r="AX354" s="264"/>
      <c r="AY354" s="264"/>
      <c r="AZ354" s="264"/>
      <c r="BA354" s="264"/>
      <c r="BB354" s="264"/>
      <c r="BC354" s="264"/>
      <c r="BD354" s="264"/>
      <c r="BE354" s="264"/>
    </row>
    <row r="355">
      <c r="A355" s="264"/>
      <c r="B355" s="264"/>
      <c r="C355" s="264"/>
      <c r="D355" s="264"/>
      <c r="E355" s="264"/>
      <c r="F355" s="264"/>
      <c r="G355" s="264"/>
      <c r="H355" s="264"/>
      <c r="I355" s="264"/>
      <c r="J355" s="264"/>
      <c r="K355" s="264"/>
      <c r="L355" s="264"/>
      <c r="M355" s="264" t="s">
        <v>22</v>
      </c>
      <c r="N355" s="264"/>
      <c r="O355" s="264" t="s">
        <v>22</v>
      </c>
      <c r="P355" s="264"/>
      <c r="Q355" s="264"/>
      <c r="R355" s="264"/>
      <c r="S355" s="264"/>
      <c r="T355" s="264"/>
      <c r="U355" s="360"/>
      <c r="V355" s="360"/>
      <c r="W355" s="360"/>
      <c r="X355" s="360"/>
      <c r="Y355" s="360"/>
      <c r="Z355" s="360"/>
      <c r="AA355" s="360"/>
      <c r="AB355" s="360"/>
      <c r="AC355" s="360"/>
      <c r="AD355" s="360"/>
      <c r="AE355" s="360"/>
      <c r="AF355" s="360"/>
      <c r="AG355" s="360" t="s">
        <v>1582</v>
      </c>
      <c r="AH355" s="360"/>
      <c r="AI355" s="360"/>
      <c r="AJ355" s="360" t="s">
        <v>1589</v>
      </c>
      <c r="AK355" s="360"/>
      <c r="AL355" s="360" t="s">
        <v>5878</v>
      </c>
      <c r="AM355" s="360"/>
      <c r="AN355" s="360"/>
      <c r="AO355" s="360"/>
      <c r="AP355" s="360"/>
      <c r="AQ355" s="360"/>
      <c r="AR355" s="360"/>
      <c r="AS355" s="360"/>
      <c r="AT355" s="360"/>
      <c r="AU355" s="360" t="s">
        <v>22</v>
      </c>
      <c r="AV355" s="360"/>
      <c r="AW355" s="264"/>
      <c r="AX355" s="264"/>
      <c r="AY355" s="264"/>
      <c r="AZ355" s="264"/>
      <c r="BA355" s="264"/>
      <c r="BB355" s="264"/>
      <c r="BC355" s="264"/>
      <c r="BD355" s="264"/>
      <c r="BE355" s="264"/>
    </row>
    <row r="356">
      <c r="A356" s="264"/>
      <c r="B356" s="264"/>
      <c r="C356" s="264"/>
      <c r="D356" s="264"/>
      <c r="E356" s="264"/>
      <c r="F356" s="264"/>
      <c r="G356" s="264"/>
      <c r="H356" s="264"/>
      <c r="I356" s="264"/>
      <c r="J356" s="264"/>
      <c r="K356" s="264"/>
      <c r="L356" s="264"/>
      <c r="M356" s="264" t="s">
        <v>22</v>
      </c>
      <c r="N356" s="264"/>
      <c r="O356" s="264" t="s">
        <v>22</v>
      </c>
      <c r="P356" s="264"/>
      <c r="Q356" s="264"/>
      <c r="R356" s="264"/>
      <c r="S356" s="264"/>
      <c r="T356" s="264"/>
      <c r="U356" s="360"/>
      <c r="V356" s="360"/>
      <c r="W356" s="360"/>
      <c r="X356" s="360"/>
      <c r="Y356" s="360"/>
      <c r="Z356" s="360"/>
      <c r="AA356" s="360"/>
      <c r="AB356" s="360"/>
      <c r="AC356" s="360"/>
      <c r="AD356" s="360"/>
      <c r="AE356" s="360"/>
      <c r="AF356" s="360"/>
      <c r="AG356" s="360" t="s">
        <v>1582</v>
      </c>
      <c r="AH356" s="360"/>
      <c r="AI356" s="360"/>
      <c r="AJ356" s="360" t="s">
        <v>1589</v>
      </c>
      <c r="AK356" s="360"/>
      <c r="AL356" s="360" t="s">
        <v>5878</v>
      </c>
      <c r="AM356" s="360"/>
      <c r="AN356" s="360"/>
      <c r="AO356" s="360"/>
      <c r="AP356" s="360"/>
      <c r="AQ356" s="360"/>
      <c r="AR356" s="360"/>
      <c r="AS356" s="360"/>
      <c r="AT356" s="360"/>
      <c r="AU356" s="360" t="s">
        <v>22</v>
      </c>
      <c r="AV356" s="360"/>
      <c r="AW356" s="264"/>
      <c r="AX356" s="264"/>
      <c r="AY356" s="264"/>
      <c r="AZ356" s="264"/>
      <c r="BA356" s="264"/>
      <c r="BB356" s="264"/>
      <c r="BC356" s="264"/>
      <c r="BD356" s="264"/>
      <c r="BE356" s="264"/>
    </row>
    <row r="357">
      <c r="A357" s="264"/>
      <c r="B357" s="264"/>
      <c r="C357" s="264"/>
      <c r="D357" s="264"/>
      <c r="E357" s="264"/>
      <c r="F357" s="264"/>
      <c r="G357" s="264"/>
      <c r="H357" s="264"/>
      <c r="I357" s="264"/>
      <c r="J357" s="264"/>
      <c r="K357" s="264"/>
      <c r="L357" s="264"/>
      <c r="M357" s="264" t="s">
        <v>22</v>
      </c>
      <c r="N357" s="264"/>
      <c r="O357" s="264" t="s">
        <v>22</v>
      </c>
      <c r="P357" s="264"/>
      <c r="Q357" s="264"/>
      <c r="R357" s="264"/>
      <c r="S357" s="264"/>
      <c r="T357" s="264"/>
      <c r="U357" s="360"/>
      <c r="V357" s="360"/>
      <c r="W357" s="360"/>
      <c r="X357" s="360"/>
      <c r="Y357" s="360"/>
      <c r="Z357" s="360"/>
      <c r="AA357" s="360"/>
      <c r="AB357" s="360"/>
      <c r="AC357" s="360"/>
      <c r="AD357" s="360"/>
      <c r="AE357" s="360"/>
      <c r="AF357" s="360"/>
      <c r="AG357" s="360" t="s">
        <v>1582</v>
      </c>
      <c r="AH357" s="360"/>
      <c r="AI357" s="360"/>
      <c r="AJ357" s="360" t="s">
        <v>1589</v>
      </c>
      <c r="AK357" s="360"/>
      <c r="AL357" s="360" t="s">
        <v>5878</v>
      </c>
      <c r="AM357" s="360"/>
      <c r="AN357" s="360"/>
      <c r="AO357" s="360"/>
      <c r="AP357" s="360"/>
      <c r="AQ357" s="360"/>
      <c r="AR357" s="360"/>
      <c r="AS357" s="360"/>
      <c r="AT357" s="360"/>
      <c r="AU357" s="360" t="s">
        <v>22</v>
      </c>
      <c r="AV357" s="360"/>
      <c r="AW357" s="264"/>
      <c r="AX357" s="264"/>
      <c r="AY357" s="264"/>
      <c r="AZ357" s="264"/>
      <c r="BA357" s="264"/>
      <c r="BB357" s="264"/>
      <c r="BC357" s="264"/>
      <c r="BD357" s="264"/>
      <c r="BE357" s="264"/>
    </row>
    <row r="358">
      <c r="A358" s="264"/>
      <c r="B358" s="264"/>
      <c r="C358" s="264"/>
      <c r="D358" s="264"/>
      <c r="E358" s="264"/>
      <c r="F358" s="264"/>
      <c r="G358" s="264"/>
      <c r="H358" s="264"/>
      <c r="I358" s="264"/>
      <c r="J358" s="264"/>
      <c r="K358" s="264"/>
      <c r="L358" s="264"/>
      <c r="M358" s="264" t="s">
        <v>22</v>
      </c>
      <c r="N358" s="264"/>
      <c r="O358" s="264" t="s">
        <v>22</v>
      </c>
      <c r="P358" s="264"/>
      <c r="Q358" s="264"/>
      <c r="R358" s="264"/>
      <c r="S358" s="264"/>
      <c r="T358" s="264"/>
      <c r="U358" s="360"/>
      <c r="V358" s="360"/>
      <c r="W358" s="360"/>
      <c r="X358" s="360"/>
      <c r="Y358" s="360"/>
      <c r="Z358" s="360"/>
      <c r="AA358" s="360"/>
      <c r="AB358" s="360"/>
      <c r="AC358" s="360"/>
      <c r="AD358" s="360"/>
      <c r="AE358" s="360"/>
      <c r="AF358" s="360"/>
      <c r="AG358" s="360" t="s">
        <v>1582</v>
      </c>
      <c r="AH358" s="360"/>
      <c r="AI358" s="360"/>
      <c r="AJ358" s="360" t="s">
        <v>1589</v>
      </c>
      <c r="AK358" s="360"/>
      <c r="AL358" s="360" t="s">
        <v>5878</v>
      </c>
      <c r="AM358" s="360"/>
      <c r="AN358" s="360"/>
      <c r="AO358" s="360"/>
      <c r="AP358" s="360"/>
      <c r="AQ358" s="360"/>
      <c r="AR358" s="360"/>
      <c r="AS358" s="360"/>
      <c r="AT358" s="360"/>
      <c r="AU358" s="360" t="s">
        <v>22</v>
      </c>
      <c r="AV358" s="360"/>
      <c r="AW358" s="264"/>
      <c r="AX358" s="264"/>
      <c r="AY358" s="264"/>
      <c r="AZ358" s="264"/>
      <c r="BA358" s="264"/>
      <c r="BB358" s="264"/>
      <c r="BC358" s="264"/>
      <c r="BD358" s="264"/>
      <c r="BE358" s="264"/>
    </row>
    <row r="359">
      <c r="A359" s="264"/>
      <c r="B359" s="264"/>
      <c r="C359" s="264"/>
      <c r="D359" s="264"/>
      <c r="E359" s="264"/>
      <c r="F359" s="264"/>
      <c r="G359" s="264"/>
      <c r="H359" s="264"/>
      <c r="I359" s="264"/>
      <c r="J359" s="264"/>
      <c r="K359" s="264"/>
      <c r="L359" s="264"/>
      <c r="M359" s="264" t="s">
        <v>22</v>
      </c>
      <c r="N359" s="264"/>
      <c r="O359" s="264" t="s">
        <v>22</v>
      </c>
      <c r="P359" s="264"/>
      <c r="Q359" s="264"/>
      <c r="R359" s="264"/>
      <c r="S359" s="264"/>
      <c r="T359" s="264"/>
      <c r="U359" s="360"/>
      <c r="V359" s="360"/>
      <c r="W359" s="360"/>
      <c r="X359" s="360"/>
      <c r="Y359" s="360"/>
      <c r="Z359" s="360"/>
      <c r="AA359" s="360"/>
      <c r="AB359" s="360"/>
      <c r="AC359" s="360"/>
      <c r="AD359" s="360"/>
      <c r="AE359" s="360"/>
      <c r="AF359" s="360"/>
      <c r="AG359" s="360" t="s">
        <v>1582</v>
      </c>
      <c r="AH359" s="360"/>
      <c r="AI359" s="360"/>
      <c r="AJ359" s="360" t="s">
        <v>1589</v>
      </c>
      <c r="AK359" s="360"/>
      <c r="AL359" s="360" t="s">
        <v>5878</v>
      </c>
      <c r="AM359" s="360"/>
      <c r="AN359" s="360"/>
      <c r="AO359" s="360"/>
      <c r="AP359" s="360"/>
      <c r="AQ359" s="360"/>
      <c r="AR359" s="360"/>
      <c r="AS359" s="360"/>
      <c r="AT359" s="360"/>
      <c r="AU359" s="360" t="s">
        <v>22</v>
      </c>
      <c r="AV359" s="360"/>
      <c r="AW359" s="264"/>
      <c r="AX359" s="264"/>
      <c r="AY359" s="264"/>
      <c r="AZ359" s="264"/>
      <c r="BA359" s="264"/>
      <c r="BB359" s="264"/>
      <c r="BC359" s="264"/>
      <c r="BD359" s="264"/>
      <c r="BE359" s="264"/>
    </row>
    <row r="360">
      <c r="A360" s="264"/>
      <c r="B360" s="264"/>
      <c r="C360" s="264"/>
      <c r="D360" s="264"/>
      <c r="E360" s="264"/>
      <c r="F360" s="264"/>
      <c r="G360" s="264"/>
      <c r="H360" s="264"/>
      <c r="I360" s="264"/>
      <c r="J360" s="264"/>
      <c r="K360" s="264"/>
      <c r="L360" s="264"/>
      <c r="M360" s="264" t="s">
        <v>22</v>
      </c>
      <c r="N360" s="264"/>
      <c r="O360" s="264" t="s">
        <v>22</v>
      </c>
      <c r="P360" s="264"/>
      <c r="Q360" s="264"/>
      <c r="R360" s="264"/>
      <c r="S360" s="264"/>
      <c r="T360" s="264"/>
      <c r="U360" s="360"/>
      <c r="V360" s="360"/>
      <c r="W360" s="360"/>
      <c r="X360" s="360"/>
      <c r="Y360" s="360"/>
      <c r="Z360" s="360"/>
      <c r="AA360" s="360"/>
      <c r="AB360" s="360"/>
      <c r="AC360" s="360"/>
      <c r="AD360" s="360"/>
      <c r="AE360" s="360"/>
      <c r="AF360" s="360"/>
      <c r="AG360" s="360" t="s">
        <v>1582</v>
      </c>
      <c r="AH360" s="360"/>
      <c r="AI360" s="360"/>
      <c r="AJ360" s="360" t="s">
        <v>1589</v>
      </c>
      <c r="AK360" s="360"/>
      <c r="AL360" s="360" t="s">
        <v>5878</v>
      </c>
      <c r="AM360" s="360"/>
      <c r="AN360" s="360"/>
      <c r="AO360" s="360"/>
      <c r="AP360" s="360"/>
      <c r="AQ360" s="360"/>
      <c r="AR360" s="360"/>
      <c r="AS360" s="360"/>
      <c r="AT360" s="360"/>
      <c r="AU360" s="360" t="s">
        <v>22</v>
      </c>
      <c r="AV360" s="360"/>
      <c r="AW360" s="264"/>
      <c r="AX360" s="264"/>
      <c r="AY360" s="264"/>
      <c r="AZ360" s="264"/>
      <c r="BA360" s="264"/>
      <c r="BB360" s="264"/>
      <c r="BC360" s="264"/>
      <c r="BD360" s="264"/>
      <c r="BE360" s="264"/>
    </row>
    <row r="361">
      <c r="A361" s="264"/>
      <c r="B361" s="264"/>
      <c r="C361" s="264"/>
      <c r="D361" s="264"/>
      <c r="E361" s="264"/>
      <c r="F361" s="264"/>
      <c r="G361" s="264"/>
      <c r="H361" s="264"/>
      <c r="I361" s="264"/>
      <c r="J361" s="264"/>
      <c r="K361" s="264"/>
      <c r="L361" s="264"/>
      <c r="M361" s="264" t="s">
        <v>22</v>
      </c>
      <c r="N361" s="264"/>
      <c r="O361" s="264" t="s">
        <v>22</v>
      </c>
      <c r="P361" s="264"/>
      <c r="Q361" s="264"/>
      <c r="R361" s="264"/>
      <c r="S361" s="264"/>
      <c r="T361" s="264"/>
      <c r="U361" s="360"/>
      <c r="V361" s="360"/>
      <c r="W361" s="360"/>
      <c r="X361" s="360"/>
      <c r="Y361" s="360"/>
      <c r="Z361" s="360"/>
      <c r="AA361" s="360"/>
      <c r="AB361" s="360"/>
      <c r="AC361" s="360"/>
      <c r="AD361" s="360"/>
      <c r="AE361" s="360"/>
      <c r="AF361" s="360"/>
      <c r="AG361" s="360" t="s">
        <v>1582</v>
      </c>
      <c r="AH361" s="360"/>
      <c r="AI361" s="360"/>
      <c r="AJ361" s="360" t="s">
        <v>1589</v>
      </c>
      <c r="AK361" s="360"/>
      <c r="AL361" s="360" t="s">
        <v>5878</v>
      </c>
      <c r="AM361" s="360"/>
      <c r="AN361" s="360"/>
      <c r="AO361" s="360"/>
      <c r="AP361" s="360"/>
      <c r="AQ361" s="360"/>
      <c r="AR361" s="360"/>
      <c r="AS361" s="360"/>
      <c r="AT361" s="360"/>
      <c r="AU361" s="360" t="s">
        <v>22</v>
      </c>
      <c r="AV361" s="360"/>
      <c r="AW361" s="264"/>
      <c r="AX361" s="264"/>
      <c r="AY361" s="264"/>
      <c r="AZ361" s="264"/>
      <c r="BA361" s="264"/>
      <c r="BB361" s="264"/>
      <c r="BC361" s="264"/>
      <c r="BD361" s="264"/>
      <c r="BE361" s="264"/>
    </row>
    <row r="362">
      <c r="A362" s="264"/>
      <c r="B362" s="264"/>
      <c r="C362" s="264"/>
      <c r="D362" s="264"/>
      <c r="E362" s="264"/>
      <c r="F362" s="264"/>
      <c r="G362" s="264"/>
      <c r="H362" s="264"/>
      <c r="I362" s="264"/>
      <c r="J362" s="264"/>
      <c r="K362" s="264"/>
      <c r="L362" s="264"/>
      <c r="M362" s="264" t="s">
        <v>22</v>
      </c>
      <c r="N362" s="264"/>
      <c r="O362" s="264" t="s">
        <v>22</v>
      </c>
      <c r="P362" s="264"/>
      <c r="Q362" s="264"/>
      <c r="R362" s="264"/>
      <c r="S362" s="264"/>
      <c r="T362" s="264"/>
      <c r="U362" s="360"/>
      <c r="V362" s="360"/>
      <c r="W362" s="360"/>
      <c r="X362" s="360"/>
      <c r="Y362" s="360"/>
      <c r="Z362" s="360"/>
      <c r="AA362" s="360"/>
      <c r="AB362" s="360"/>
      <c r="AC362" s="360"/>
      <c r="AD362" s="360"/>
      <c r="AE362" s="360"/>
      <c r="AF362" s="360"/>
      <c r="AG362" s="360" t="s">
        <v>1582</v>
      </c>
      <c r="AH362" s="360"/>
      <c r="AI362" s="360"/>
      <c r="AJ362" s="360" t="s">
        <v>1589</v>
      </c>
      <c r="AK362" s="360"/>
      <c r="AL362" s="360" t="s">
        <v>5878</v>
      </c>
      <c r="AM362" s="360"/>
      <c r="AN362" s="360"/>
      <c r="AO362" s="360"/>
      <c r="AP362" s="360"/>
      <c r="AQ362" s="360"/>
      <c r="AR362" s="360"/>
      <c r="AS362" s="360"/>
      <c r="AT362" s="360"/>
      <c r="AU362" s="360" t="s">
        <v>22</v>
      </c>
      <c r="AV362" s="360"/>
      <c r="AW362" s="264"/>
      <c r="AX362" s="264"/>
      <c r="AY362" s="264"/>
      <c r="AZ362" s="264"/>
      <c r="BA362" s="264"/>
      <c r="BB362" s="264"/>
      <c r="BC362" s="264"/>
      <c r="BD362" s="264"/>
      <c r="BE362" s="264"/>
    </row>
    <row r="363">
      <c r="A363" s="264"/>
      <c r="B363" s="264"/>
      <c r="C363" s="264"/>
      <c r="D363" s="264"/>
      <c r="E363" s="264"/>
      <c r="F363" s="264"/>
      <c r="G363" s="264"/>
      <c r="H363" s="264"/>
      <c r="I363" s="264"/>
      <c r="J363" s="264"/>
      <c r="K363" s="264"/>
      <c r="L363" s="264"/>
      <c r="M363" s="264" t="s">
        <v>22</v>
      </c>
      <c r="N363" s="264"/>
      <c r="O363" s="264" t="s">
        <v>22</v>
      </c>
      <c r="P363" s="264"/>
      <c r="Q363" s="264"/>
      <c r="R363" s="264"/>
      <c r="S363" s="264"/>
      <c r="T363" s="264"/>
      <c r="U363" s="360"/>
      <c r="V363" s="360"/>
      <c r="W363" s="360"/>
      <c r="X363" s="360"/>
      <c r="Y363" s="360"/>
      <c r="Z363" s="360"/>
      <c r="AA363" s="360"/>
      <c r="AB363" s="360"/>
      <c r="AC363" s="360"/>
      <c r="AD363" s="360"/>
      <c r="AE363" s="360"/>
      <c r="AF363" s="360"/>
      <c r="AG363" s="360" t="s">
        <v>1582</v>
      </c>
      <c r="AH363" s="360"/>
      <c r="AI363" s="360"/>
      <c r="AJ363" s="360" t="s">
        <v>1589</v>
      </c>
      <c r="AK363" s="360"/>
      <c r="AL363" s="360" t="s">
        <v>5878</v>
      </c>
      <c r="AM363" s="360"/>
      <c r="AN363" s="360"/>
      <c r="AO363" s="360"/>
      <c r="AP363" s="360"/>
      <c r="AQ363" s="360"/>
      <c r="AR363" s="360"/>
      <c r="AS363" s="360"/>
      <c r="AT363" s="360"/>
      <c r="AU363" s="360" t="s">
        <v>22</v>
      </c>
      <c r="AV363" s="360"/>
      <c r="AW363" s="264"/>
      <c r="AX363" s="264"/>
      <c r="AY363" s="264"/>
      <c r="AZ363" s="264"/>
      <c r="BA363" s="264"/>
      <c r="BB363" s="264"/>
      <c r="BC363" s="264"/>
      <c r="BD363" s="264"/>
      <c r="BE363" s="264"/>
    </row>
    <row r="364">
      <c r="A364" s="264"/>
      <c r="B364" s="264"/>
      <c r="C364" s="264"/>
      <c r="D364" s="264"/>
      <c r="E364" s="264"/>
      <c r="F364" s="264"/>
      <c r="G364" s="264"/>
      <c r="H364" s="264"/>
      <c r="I364" s="264"/>
      <c r="J364" s="264"/>
      <c r="K364" s="264"/>
      <c r="L364" s="264"/>
      <c r="M364" s="264" t="s">
        <v>22</v>
      </c>
      <c r="N364" s="264"/>
      <c r="O364" s="264" t="s">
        <v>22</v>
      </c>
      <c r="P364" s="264"/>
      <c r="Q364" s="264"/>
      <c r="R364" s="264"/>
      <c r="S364" s="264"/>
      <c r="T364" s="264"/>
      <c r="U364" s="360"/>
      <c r="V364" s="360"/>
      <c r="W364" s="360"/>
      <c r="X364" s="360"/>
      <c r="Y364" s="360"/>
      <c r="Z364" s="360"/>
      <c r="AA364" s="360"/>
      <c r="AB364" s="360"/>
      <c r="AC364" s="360"/>
      <c r="AD364" s="360"/>
      <c r="AE364" s="360"/>
      <c r="AF364" s="360"/>
      <c r="AG364" s="360" t="s">
        <v>1582</v>
      </c>
      <c r="AH364" s="360"/>
      <c r="AI364" s="360"/>
      <c r="AJ364" s="360" t="s">
        <v>1589</v>
      </c>
      <c r="AK364" s="360"/>
      <c r="AL364" s="360" t="s">
        <v>5878</v>
      </c>
      <c r="AM364" s="360"/>
      <c r="AN364" s="360"/>
      <c r="AO364" s="360"/>
      <c r="AP364" s="360"/>
      <c r="AQ364" s="360"/>
      <c r="AR364" s="360"/>
      <c r="AS364" s="360"/>
      <c r="AT364" s="360"/>
      <c r="AU364" s="360" t="s">
        <v>22</v>
      </c>
      <c r="AV364" s="360"/>
      <c r="AW364" s="264"/>
      <c r="AX364" s="264"/>
      <c r="AY364" s="264"/>
      <c r="AZ364" s="264"/>
      <c r="BA364" s="264"/>
      <c r="BB364" s="264"/>
      <c r="BC364" s="264"/>
      <c r="BD364" s="264"/>
      <c r="BE364" s="264"/>
    </row>
    <row r="365">
      <c r="A365" s="264"/>
      <c r="B365" s="264"/>
      <c r="C365" s="264"/>
      <c r="D365" s="264"/>
      <c r="E365" s="264"/>
      <c r="F365" s="264"/>
      <c r="G365" s="264"/>
      <c r="H365" s="264"/>
      <c r="I365" s="264"/>
      <c r="J365" s="264"/>
      <c r="K365" s="264"/>
      <c r="L365" s="264"/>
      <c r="M365" s="264" t="s">
        <v>22</v>
      </c>
      <c r="N365" s="264"/>
      <c r="O365" s="264" t="s">
        <v>22</v>
      </c>
      <c r="P365" s="264"/>
      <c r="Q365" s="264"/>
      <c r="R365" s="264"/>
      <c r="S365" s="264"/>
      <c r="T365" s="264"/>
      <c r="U365" s="360"/>
      <c r="V365" s="360"/>
      <c r="W365" s="360"/>
      <c r="X365" s="360"/>
      <c r="Y365" s="360"/>
      <c r="Z365" s="360"/>
      <c r="AA365" s="360"/>
      <c r="AB365" s="360"/>
      <c r="AC365" s="360"/>
      <c r="AD365" s="360"/>
      <c r="AE365" s="360"/>
      <c r="AF365" s="360"/>
      <c r="AG365" s="360" t="s">
        <v>1582</v>
      </c>
      <c r="AH365" s="360"/>
      <c r="AI365" s="360"/>
      <c r="AJ365" s="360" t="s">
        <v>1589</v>
      </c>
      <c r="AK365" s="360"/>
      <c r="AL365" s="360" t="s">
        <v>5878</v>
      </c>
      <c r="AM365" s="360"/>
      <c r="AN365" s="360"/>
      <c r="AO365" s="360"/>
      <c r="AP365" s="360"/>
      <c r="AQ365" s="360"/>
      <c r="AR365" s="360"/>
      <c r="AS365" s="360"/>
      <c r="AT365" s="360"/>
      <c r="AU365" s="360" t="s">
        <v>22</v>
      </c>
      <c r="AV365" s="360"/>
      <c r="AW365" s="264"/>
      <c r="AX365" s="264"/>
      <c r="AY365" s="264"/>
      <c r="AZ365" s="264"/>
      <c r="BA365" s="264"/>
      <c r="BB365" s="264"/>
      <c r="BC365" s="264"/>
      <c r="BD365" s="264"/>
      <c r="BE365" s="264"/>
    </row>
    <row r="366">
      <c r="A366" s="264"/>
      <c r="B366" s="264"/>
      <c r="C366" s="264"/>
      <c r="D366" s="264"/>
      <c r="E366" s="264"/>
      <c r="F366" s="264"/>
      <c r="G366" s="264"/>
      <c r="H366" s="264"/>
      <c r="I366" s="264"/>
      <c r="J366" s="264"/>
      <c r="K366" s="264"/>
      <c r="L366" s="264"/>
      <c r="M366" s="264" t="s">
        <v>22</v>
      </c>
      <c r="N366" s="264"/>
      <c r="O366" s="264" t="s">
        <v>22</v>
      </c>
      <c r="P366" s="264"/>
      <c r="Q366" s="264"/>
      <c r="R366" s="264"/>
      <c r="S366" s="264"/>
      <c r="T366" s="264"/>
      <c r="U366" s="360"/>
      <c r="V366" s="360"/>
      <c r="W366" s="360"/>
      <c r="X366" s="360"/>
      <c r="Y366" s="360"/>
      <c r="Z366" s="360"/>
      <c r="AA366" s="360"/>
      <c r="AB366" s="360"/>
      <c r="AC366" s="360"/>
      <c r="AD366" s="360"/>
      <c r="AE366" s="360"/>
      <c r="AF366" s="360"/>
      <c r="AG366" s="360" t="s">
        <v>1582</v>
      </c>
      <c r="AH366" s="360"/>
      <c r="AI366" s="360"/>
      <c r="AJ366" s="360" t="s">
        <v>1589</v>
      </c>
      <c r="AK366" s="360"/>
      <c r="AL366" s="360" t="s">
        <v>5878</v>
      </c>
      <c r="AM366" s="360"/>
      <c r="AN366" s="360"/>
      <c r="AO366" s="360"/>
      <c r="AP366" s="360"/>
      <c r="AQ366" s="360"/>
      <c r="AR366" s="360"/>
      <c r="AS366" s="360"/>
      <c r="AT366" s="360"/>
      <c r="AU366" s="360" t="s">
        <v>22</v>
      </c>
      <c r="AV366" s="360"/>
      <c r="AW366" s="264"/>
      <c r="AX366" s="264"/>
      <c r="AY366" s="264"/>
      <c r="AZ366" s="264"/>
      <c r="BA366" s="264"/>
      <c r="BB366" s="264"/>
      <c r="BC366" s="264"/>
      <c r="BD366" s="264"/>
      <c r="BE366" s="264"/>
    </row>
    <row r="367">
      <c r="A367" s="264"/>
      <c r="B367" s="264"/>
      <c r="C367" s="264"/>
      <c r="D367" s="264"/>
      <c r="E367" s="264"/>
      <c r="F367" s="264"/>
      <c r="G367" s="264"/>
      <c r="H367" s="264"/>
      <c r="I367" s="264"/>
      <c r="J367" s="264"/>
      <c r="K367" s="264"/>
      <c r="L367" s="264"/>
      <c r="M367" s="264" t="s">
        <v>22</v>
      </c>
      <c r="N367" s="264"/>
      <c r="O367" s="264" t="s">
        <v>22</v>
      </c>
      <c r="P367" s="264"/>
      <c r="Q367" s="264"/>
      <c r="R367" s="264"/>
      <c r="S367" s="264"/>
      <c r="T367" s="264"/>
      <c r="U367" s="360"/>
      <c r="V367" s="360"/>
      <c r="W367" s="360"/>
      <c r="X367" s="360"/>
      <c r="Y367" s="360"/>
      <c r="Z367" s="360"/>
      <c r="AA367" s="360"/>
      <c r="AB367" s="360"/>
      <c r="AC367" s="360"/>
      <c r="AD367" s="360"/>
      <c r="AE367" s="360"/>
      <c r="AF367" s="360"/>
      <c r="AG367" s="360" t="s">
        <v>1582</v>
      </c>
      <c r="AH367" s="360"/>
      <c r="AI367" s="360"/>
      <c r="AJ367" s="360" t="s">
        <v>1589</v>
      </c>
      <c r="AK367" s="360"/>
      <c r="AL367" s="360" t="s">
        <v>5878</v>
      </c>
      <c r="AM367" s="360"/>
      <c r="AN367" s="360"/>
      <c r="AO367" s="360"/>
      <c r="AP367" s="360"/>
      <c r="AQ367" s="360"/>
      <c r="AR367" s="360"/>
      <c r="AS367" s="360"/>
      <c r="AT367" s="360"/>
      <c r="AU367" s="360" t="s">
        <v>22</v>
      </c>
      <c r="AV367" s="360"/>
      <c r="AW367" s="264"/>
      <c r="AX367" s="264"/>
      <c r="AY367" s="264"/>
      <c r="AZ367" s="264"/>
      <c r="BA367" s="264"/>
      <c r="BB367" s="264"/>
      <c r="BC367" s="264"/>
      <c r="BD367" s="264"/>
      <c r="BE367" s="264"/>
    </row>
    <row r="368">
      <c r="A368" s="264"/>
      <c r="B368" s="264"/>
      <c r="C368" s="264"/>
      <c r="D368" s="264"/>
      <c r="E368" s="264"/>
      <c r="F368" s="264"/>
      <c r="G368" s="264"/>
      <c r="H368" s="264"/>
      <c r="I368" s="264"/>
      <c r="J368" s="264"/>
      <c r="K368" s="264"/>
      <c r="L368" s="264"/>
      <c r="M368" s="264" t="s">
        <v>22</v>
      </c>
      <c r="N368" s="264"/>
      <c r="O368" s="264" t="s">
        <v>22</v>
      </c>
      <c r="P368" s="264"/>
      <c r="Q368" s="264"/>
      <c r="R368" s="264"/>
      <c r="S368" s="264"/>
      <c r="T368" s="264"/>
      <c r="U368" s="360"/>
      <c r="V368" s="360"/>
      <c r="W368" s="360"/>
      <c r="X368" s="360"/>
      <c r="Y368" s="360"/>
      <c r="Z368" s="360"/>
      <c r="AA368" s="360"/>
      <c r="AB368" s="360"/>
      <c r="AC368" s="360"/>
      <c r="AD368" s="360"/>
      <c r="AE368" s="360"/>
      <c r="AF368" s="360"/>
      <c r="AG368" s="360" t="s">
        <v>1582</v>
      </c>
      <c r="AH368" s="360"/>
      <c r="AI368" s="360"/>
      <c r="AJ368" s="360" t="s">
        <v>1589</v>
      </c>
      <c r="AK368" s="360"/>
      <c r="AL368" s="360" t="s">
        <v>5878</v>
      </c>
      <c r="AM368" s="360"/>
      <c r="AN368" s="360"/>
      <c r="AO368" s="360"/>
      <c r="AP368" s="360"/>
      <c r="AQ368" s="360"/>
      <c r="AR368" s="360"/>
      <c r="AS368" s="360"/>
      <c r="AT368" s="360"/>
      <c r="AU368" s="360" t="s">
        <v>22</v>
      </c>
      <c r="AV368" s="360"/>
      <c r="AW368" s="264"/>
      <c r="AX368" s="264"/>
      <c r="AY368" s="264"/>
      <c r="AZ368" s="264"/>
      <c r="BA368" s="264"/>
      <c r="BB368" s="264"/>
      <c r="BC368" s="264"/>
      <c r="BD368" s="264"/>
      <c r="BE368" s="264"/>
    </row>
    <row r="369">
      <c r="A369" s="264"/>
      <c r="B369" s="264"/>
      <c r="C369" s="264"/>
      <c r="D369" s="264"/>
      <c r="E369" s="264"/>
      <c r="F369" s="264"/>
      <c r="G369" s="264"/>
      <c r="H369" s="264"/>
      <c r="I369" s="264"/>
      <c r="J369" s="264"/>
      <c r="K369" s="264"/>
      <c r="L369" s="264"/>
      <c r="M369" s="264" t="s">
        <v>22</v>
      </c>
      <c r="N369" s="264"/>
      <c r="O369" s="264" t="s">
        <v>22</v>
      </c>
      <c r="P369" s="264"/>
      <c r="Q369" s="264"/>
      <c r="R369" s="264"/>
      <c r="S369" s="264"/>
      <c r="T369" s="264"/>
      <c r="U369" s="360"/>
      <c r="V369" s="360"/>
      <c r="W369" s="360"/>
      <c r="X369" s="360"/>
      <c r="Y369" s="360"/>
      <c r="Z369" s="360"/>
      <c r="AA369" s="360"/>
      <c r="AB369" s="360"/>
      <c r="AC369" s="360"/>
      <c r="AD369" s="360"/>
      <c r="AE369" s="360"/>
      <c r="AF369" s="360"/>
      <c r="AG369" s="360" t="s">
        <v>1582</v>
      </c>
      <c r="AH369" s="360"/>
      <c r="AI369" s="360"/>
      <c r="AJ369" s="360" t="s">
        <v>1589</v>
      </c>
      <c r="AK369" s="360"/>
      <c r="AL369" s="360" t="s">
        <v>5878</v>
      </c>
      <c r="AM369" s="360"/>
      <c r="AN369" s="360"/>
      <c r="AO369" s="360"/>
      <c r="AP369" s="360"/>
      <c r="AQ369" s="360"/>
      <c r="AR369" s="360"/>
      <c r="AS369" s="360"/>
      <c r="AT369" s="360"/>
      <c r="AU369" s="360" t="s">
        <v>22</v>
      </c>
      <c r="AV369" s="360"/>
      <c r="AW369" s="264"/>
      <c r="AX369" s="264"/>
      <c r="AY369" s="264"/>
      <c r="AZ369" s="264"/>
      <c r="BA369" s="264"/>
      <c r="BB369" s="264"/>
      <c r="BC369" s="264"/>
      <c r="BD369" s="264"/>
      <c r="BE369" s="264"/>
    </row>
    <row r="370">
      <c r="A370" s="264"/>
      <c r="B370" s="264"/>
      <c r="C370" s="264"/>
      <c r="D370" s="264"/>
      <c r="E370" s="264"/>
      <c r="F370" s="264"/>
      <c r="G370" s="264"/>
      <c r="H370" s="264"/>
      <c r="I370" s="264"/>
      <c r="J370" s="264"/>
      <c r="K370" s="264"/>
      <c r="L370" s="264"/>
      <c r="M370" s="264" t="s">
        <v>22</v>
      </c>
      <c r="N370" s="264"/>
      <c r="O370" s="264" t="s">
        <v>22</v>
      </c>
      <c r="P370" s="264"/>
      <c r="Q370" s="264"/>
      <c r="R370" s="264"/>
      <c r="S370" s="264"/>
      <c r="T370" s="264"/>
      <c r="U370" s="360"/>
      <c r="V370" s="360"/>
      <c r="W370" s="360"/>
      <c r="X370" s="360"/>
      <c r="Y370" s="360"/>
      <c r="Z370" s="360"/>
      <c r="AA370" s="360"/>
      <c r="AB370" s="360"/>
      <c r="AC370" s="360"/>
      <c r="AD370" s="360"/>
      <c r="AE370" s="360"/>
      <c r="AF370" s="360"/>
      <c r="AG370" s="360" t="s">
        <v>1582</v>
      </c>
      <c r="AH370" s="360"/>
      <c r="AI370" s="360"/>
      <c r="AJ370" s="360" t="s">
        <v>1589</v>
      </c>
      <c r="AK370" s="360"/>
      <c r="AL370" s="360" t="s">
        <v>5878</v>
      </c>
      <c r="AM370" s="360"/>
      <c r="AN370" s="360"/>
      <c r="AO370" s="360"/>
      <c r="AP370" s="360"/>
      <c r="AQ370" s="360"/>
      <c r="AR370" s="360"/>
      <c r="AS370" s="360"/>
      <c r="AT370" s="360"/>
      <c r="AU370" s="360" t="s">
        <v>22</v>
      </c>
      <c r="AV370" s="360"/>
      <c r="AW370" s="264"/>
      <c r="AX370" s="264"/>
      <c r="AY370" s="264"/>
      <c r="AZ370" s="264"/>
      <c r="BA370" s="264"/>
      <c r="BB370" s="264"/>
      <c r="BC370" s="264"/>
      <c r="BD370" s="264"/>
      <c r="BE370" s="264"/>
    </row>
    <row r="371">
      <c r="A371" s="264"/>
      <c r="B371" s="264"/>
      <c r="C371" s="264"/>
      <c r="D371" s="264"/>
      <c r="E371" s="264"/>
      <c r="F371" s="264"/>
      <c r="G371" s="264"/>
      <c r="H371" s="264"/>
      <c r="I371" s="264"/>
      <c r="J371" s="264"/>
      <c r="K371" s="264"/>
      <c r="L371" s="264"/>
      <c r="M371" s="264" t="s">
        <v>22</v>
      </c>
      <c r="N371" s="264"/>
      <c r="O371" s="264" t="s">
        <v>22</v>
      </c>
      <c r="P371" s="264"/>
      <c r="Q371" s="264"/>
      <c r="R371" s="264"/>
      <c r="S371" s="264"/>
      <c r="T371" s="264"/>
      <c r="U371" s="360"/>
      <c r="V371" s="360"/>
      <c r="W371" s="360"/>
      <c r="X371" s="360"/>
      <c r="Y371" s="360"/>
      <c r="Z371" s="360"/>
      <c r="AA371" s="360"/>
      <c r="AB371" s="360"/>
      <c r="AC371" s="360"/>
      <c r="AD371" s="360"/>
      <c r="AE371" s="360"/>
      <c r="AF371" s="360"/>
      <c r="AG371" s="360" t="s">
        <v>1582</v>
      </c>
      <c r="AH371" s="360"/>
      <c r="AI371" s="360"/>
      <c r="AJ371" s="360" t="s">
        <v>1589</v>
      </c>
      <c r="AK371" s="360"/>
      <c r="AL371" s="360" t="s">
        <v>5878</v>
      </c>
      <c r="AM371" s="360"/>
      <c r="AN371" s="360"/>
      <c r="AO371" s="360"/>
      <c r="AP371" s="360"/>
      <c r="AQ371" s="360"/>
      <c r="AR371" s="360"/>
      <c r="AS371" s="360"/>
      <c r="AT371" s="360"/>
      <c r="AU371" s="360" t="s">
        <v>22</v>
      </c>
      <c r="AV371" s="360"/>
      <c r="AW371" s="264"/>
      <c r="AX371" s="264"/>
      <c r="AY371" s="264"/>
      <c r="AZ371" s="264"/>
      <c r="BA371" s="264"/>
      <c r="BB371" s="264"/>
      <c r="BC371" s="264"/>
      <c r="BD371" s="264"/>
      <c r="BE371" s="264"/>
    </row>
    <row r="372">
      <c r="A372" s="264"/>
      <c r="B372" s="264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 t="s">
        <v>22</v>
      </c>
      <c r="N372" s="264"/>
      <c r="O372" s="264" t="s">
        <v>22</v>
      </c>
      <c r="P372" s="264"/>
      <c r="Q372" s="264"/>
      <c r="R372" s="264"/>
      <c r="S372" s="264"/>
      <c r="T372" s="264"/>
      <c r="U372" s="360"/>
      <c r="V372" s="360"/>
      <c r="W372" s="360"/>
      <c r="X372" s="360"/>
      <c r="Y372" s="360"/>
      <c r="Z372" s="360"/>
      <c r="AA372" s="360"/>
      <c r="AB372" s="360"/>
      <c r="AC372" s="360"/>
      <c r="AD372" s="360"/>
      <c r="AE372" s="360"/>
      <c r="AF372" s="360"/>
      <c r="AG372" s="360" t="s">
        <v>1582</v>
      </c>
      <c r="AH372" s="360"/>
      <c r="AI372" s="360"/>
      <c r="AJ372" s="360" t="s">
        <v>1589</v>
      </c>
      <c r="AK372" s="360"/>
      <c r="AL372" s="360" t="s">
        <v>5878</v>
      </c>
      <c r="AM372" s="360"/>
      <c r="AN372" s="360"/>
      <c r="AO372" s="360"/>
      <c r="AP372" s="360"/>
      <c r="AQ372" s="360"/>
      <c r="AR372" s="360"/>
      <c r="AS372" s="360"/>
      <c r="AT372" s="360"/>
      <c r="AU372" s="360" t="s">
        <v>22</v>
      </c>
      <c r="AV372" s="360"/>
      <c r="AW372" s="264"/>
      <c r="AX372" s="264"/>
      <c r="AY372" s="264"/>
      <c r="AZ372" s="264"/>
      <c r="BA372" s="264"/>
      <c r="BB372" s="264"/>
      <c r="BC372" s="264"/>
      <c r="BD372" s="264"/>
      <c r="BE372" s="264"/>
    </row>
    <row r="373">
      <c r="A373" s="264"/>
      <c r="B373" s="264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 t="s">
        <v>22</v>
      </c>
      <c r="N373" s="264"/>
      <c r="O373" s="264" t="s">
        <v>22</v>
      </c>
      <c r="P373" s="264"/>
      <c r="Q373" s="264"/>
      <c r="R373" s="264"/>
      <c r="S373" s="264"/>
      <c r="T373" s="264"/>
      <c r="U373" s="360"/>
      <c r="V373" s="360"/>
      <c r="W373" s="360"/>
      <c r="X373" s="360"/>
      <c r="Y373" s="360"/>
      <c r="Z373" s="360"/>
      <c r="AA373" s="360"/>
      <c r="AB373" s="360"/>
      <c r="AC373" s="360"/>
      <c r="AD373" s="360"/>
      <c r="AE373" s="360"/>
      <c r="AF373" s="360"/>
      <c r="AG373" s="360" t="s">
        <v>1582</v>
      </c>
      <c r="AH373" s="360"/>
      <c r="AI373" s="360"/>
      <c r="AJ373" s="360" t="s">
        <v>1589</v>
      </c>
      <c r="AK373" s="360"/>
      <c r="AL373" s="360" t="s">
        <v>5878</v>
      </c>
      <c r="AM373" s="360"/>
      <c r="AN373" s="360"/>
      <c r="AO373" s="360"/>
      <c r="AP373" s="360"/>
      <c r="AQ373" s="360"/>
      <c r="AR373" s="360"/>
      <c r="AS373" s="360"/>
      <c r="AT373" s="360"/>
      <c r="AU373" s="360" t="s">
        <v>22</v>
      </c>
      <c r="AV373" s="360"/>
      <c r="AW373" s="264"/>
      <c r="AX373" s="264"/>
      <c r="AY373" s="264"/>
      <c r="AZ373" s="264"/>
      <c r="BA373" s="264"/>
      <c r="BB373" s="264"/>
      <c r="BC373" s="264"/>
      <c r="BD373" s="264"/>
      <c r="BE373" s="264"/>
    </row>
    <row r="374">
      <c r="A374" s="264"/>
      <c r="B374" s="264"/>
      <c r="C374" s="264"/>
      <c r="D374" s="264"/>
      <c r="E374" s="264"/>
      <c r="F374" s="264"/>
      <c r="G374" s="264"/>
      <c r="H374" s="264"/>
      <c r="I374" s="264"/>
      <c r="J374" s="264"/>
      <c r="K374" s="264"/>
      <c r="L374" s="264"/>
      <c r="M374" s="264" t="s">
        <v>22</v>
      </c>
      <c r="N374" s="264"/>
      <c r="O374" s="264" t="s">
        <v>22</v>
      </c>
      <c r="P374" s="264"/>
      <c r="Q374" s="264"/>
      <c r="R374" s="264"/>
      <c r="S374" s="264"/>
      <c r="T374" s="264"/>
      <c r="U374" s="360"/>
      <c r="V374" s="360"/>
      <c r="W374" s="360"/>
      <c r="X374" s="360"/>
      <c r="Y374" s="360"/>
      <c r="Z374" s="360"/>
      <c r="AA374" s="360"/>
      <c r="AB374" s="360"/>
      <c r="AC374" s="360"/>
      <c r="AD374" s="360"/>
      <c r="AE374" s="360"/>
      <c r="AF374" s="360"/>
      <c r="AG374" s="360" t="s">
        <v>1582</v>
      </c>
      <c r="AH374" s="360"/>
      <c r="AI374" s="360"/>
      <c r="AJ374" s="360" t="s">
        <v>1589</v>
      </c>
      <c r="AK374" s="360"/>
      <c r="AL374" s="360" t="s">
        <v>5878</v>
      </c>
      <c r="AM374" s="360"/>
      <c r="AN374" s="360"/>
      <c r="AO374" s="360"/>
      <c r="AP374" s="360"/>
      <c r="AQ374" s="360"/>
      <c r="AR374" s="360"/>
      <c r="AS374" s="360"/>
      <c r="AT374" s="360"/>
      <c r="AU374" s="360" t="s">
        <v>22</v>
      </c>
      <c r="AV374" s="360"/>
      <c r="AW374" s="264"/>
      <c r="AX374" s="264"/>
      <c r="AY374" s="264"/>
      <c r="AZ374" s="264"/>
      <c r="BA374" s="264"/>
      <c r="BB374" s="264"/>
      <c r="BC374" s="264"/>
      <c r="BD374" s="264"/>
      <c r="BE374" s="264"/>
    </row>
    <row r="375">
      <c r="A375" s="264"/>
      <c r="B375" s="264"/>
      <c r="C375" s="264"/>
      <c r="D375" s="264"/>
      <c r="E375" s="264"/>
      <c r="F375" s="264"/>
      <c r="G375" s="264"/>
      <c r="H375" s="264"/>
      <c r="I375" s="264"/>
      <c r="J375" s="264"/>
      <c r="K375" s="264"/>
      <c r="L375" s="264"/>
      <c r="M375" s="264" t="s">
        <v>22</v>
      </c>
      <c r="N375" s="264"/>
      <c r="O375" s="264" t="s">
        <v>22</v>
      </c>
      <c r="P375" s="264"/>
      <c r="Q375" s="264"/>
      <c r="R375" s="264"/>
      <c r="S375" s="264"/>
      <c r="T375" s="264"/>
      <c r="U375" s="360"/>
      <c r="V375" s="360"/>
      <c r="W375" s="360"/>
      <c r="X375" s="360"/>
      <c r="Y375" s="360"/>
      <c r="Z375" s="360"/>
      <c r="AA375" s="360"/>
      <c r="AB375" s="360"/>
      <c r="AC375" s="360"/>
      <c r="AD375" s="360"/>
      <c r="AE375" s="360"/>
      <c r="AF375" s="360"/>
      <c r="AG375" s="360" t="s">
        <v>1582</v>
      </c>
      <c r="AH375" s="360"/>
      <c r="AI375" s="360"/>
      <c r="AJ375" s="360" t="s">
        <v>1589</v>
      </c>
      <c r="AK375" s="360"/>
      <c r="AL375" s="360" t="s">
        <v>5878</v>
      </c>
      <c r="AM375" s="360"/>
      <c r="AN375" s="360"/>
      <c r="AO375" s="360"/>
      <c r="AP375" s="360"/>
      <c r="AQ375" s="360"/>
      <c r="AR375" s="360"/>
      <c r="AS375" s="360"/>
      <c r="AT375" s="360"/>
      <c r="AU375" s="360" t="s">
        <v>22</v>
      </c>
      <c r="AV375" s="360"/>
      <c r="AW375" s="264"/>
      <c r="AX375" s="264"/>
      <c r="AY375" s="264"/>
      <c r="AZ375" s="264"/>
      <c r="BA375" s="264"/>
      <c r="BB375" s="264"/>
      <c r="BC375" s="264"/>
      <c r="BD375" s="264"/>
      <c r="BE375" s="264"/>
    </row>
    <row r="376">
      <c r="A376" s="264"/>
      <c r="B376" s="264"/>
      <c r="C376" s="264"/>
      <c r="D376" s="264"/>
      <c r="E376" s="264"/>
      <c r="F376" s="264"/>
      <c r="G376" s="264"/>
      <c r="H376" s="264"/>
      <c r="I376" s="264"/>
      <c r="J376" s="264"/>
      <c r="K376" s="264"/>
      <c r="L376" s="264"/>
      <c r="M376" s="264" t="s">
        <v>22</v>
      </c>
      <c r="N376" s="264"/>
      <c r="O376" s="264" t="s">
        <v>22</v>
      </c>
      <c r="P376" s="264"/>
      <c r="Q376" s="264"/>
      <c r="R376" s="264"/>
      <c r="S376" s="264"/>
      <c r="T376" s="264"/>
      <c r="U376" s="360"/>
      <c r="V376" s="360"/>
      <c r="W376" s="360"/>
      <c r="X376" s="360"/>
      <c r="Y376" s="360"/>
      <c r="Z376" s="360"/>
      <c r="AA376" s="360"/>
      <c r="AB376" s="360"/>
      <c r="AC376" s="360"/>
      <c r="AD376" s="360"/>
      <c r="AE376" s="360"/>
      <c r="AF376" s="360"/>
      <c r="AG376" s="360" t="s">
        <v>1582</v>
      </c>
      <c r="AH376" s="360"/>
      <c r="AI376" s="360"/>
      <c r="AJ376" s="360" t="s">
        <v>1589</v>
      </c>
      <c r="AK376" s="360"/>
      <c r="AL376" s="360" t="s">
        <v>5878</v>
      </c>
      <c r="AM376" s="360"/>
      <c r="AN376" s="360"/>
      <c r="AO376" s="360"/>
      <c r="AP376" s="360"/>
      <c r="AQ376" s="360"/>
      <c r="AR376" s="360"/>
      <c r="AS376" s="360"/>
      <c r="AT376" s="360"/>
      <c r="AU376" s="360" t="s">
        <v>22</v>
      </c>
      <c r="AV376" s="360"/>
      <c r="AW376" s="264"/>
      <c r="AX376" s="264"/>
      <c r="AY376" s="264"/>
      <c r="AZ376" s="264"/>
      <c r="BA376" s="264"/>
      <c r="BB376" s="264"/>
      <c r="BC376" s="264"/>
      <c r="BD376" s="264"/>
      <c r="BE376" s="264"/>
    </row>
    <row r="377">
      <c r="A377" s="264"/>
      <c r="B377" s="264"/>
      <c r="C377" s="264"/>
      <c r="D377" s="264"/>
      <c r="E377" s="264"/>
      <c r="F377" s="264"/>
      <c r="G377" s="264"/>
      <c r="H377" s="264"/>
      <c r="I377" s="264"/>
      <c r="J377" s="264"/>
      <c r="K377" s="264"/>
      <c r="L377" s="264"/>
      <c r="M377" s="264" t="s">
        <v>22</v>
      </c>
      <c r="N377" s="264"/>
      <c r="O377" s="264" t="s">
        <v>22</v>
      </c>
      <c r="P377" s="264"/>
      <c r="Q377" s="264"/>
      <c r="R377" s="264"/>
      <c r="S377" s="264"/>
      <c r="T377" s="264"/>
      <c r="U377" s="360"/>
      <c r="V377" s="360"/>
      <c r="W377" s="360"/>
      <c r="X377" s="360"/>
      <c r="Y377" s="360"/>
      <c r="Z377" s="360"/>
      <c r="AA377" s="360"/>
      <c r="AB377" s="360"/>
      <c r="AC377" s="360"/>
      <c r="AD377" s="360"/>
      <c r="AE377" s="360"/>
      <c r="AF377" s="360"/>
      <c r="AG377" s="360" t="s">
        <v>1582</v>
      </c>
      <c r="AH377" s="360"/>
      <c r="AI377" s="360"/>
      <c r="AJ377" s="360" t="s">
        <v>1589</v>
      </c>
      <c r="AK377" s="360"/>
      <c r="AL377" s="360" t="s">
        <v>5878</v>
      </c>
      <c r="AM377" s="360"/>
      <c r="AN377" s="360"/>
      <c r="AO377" s="360"/>
      <c r="AP377" s="360"/>
      <c r="AQ377" s="360"/>
      <c r="AR377" s="360"/>
      <c r="AS377" s="360"/>
      <c r="AT377" s="360"/>
      <c r="AU377" s="360" t="s">
        <v>22</v>
      </c>
      <c r="AV377" s="360"/>
      <c r="AW377" s="264"/>
      <c r="AX377" s="264"/>
      <c r="AY377" s="264"/>
      <c r="AZ377" s="264"/>
      <c r="BA377" s="264"/>
      <c r="BB377" s="264"/>
      <c r="BC377" s="264"/>
      <c r="BD377" s="264"/>
      <c r="BE377" s="264"/>
    </row>
    <row r="378">
      <c r="A378" s="264"/>
      <c r="B378" s="264"/>
      <c r="C378" s="264"/>
      <c r="D378" s="264"/>
      <c r="E378" s="264"/>
      <c r="F378" s="264"/>
      <c r="G378" s="264"/>
      <c r="H378" s="264"/>
      <c r="I378" s="264"/>
      <c r="J378" s="264"/>
      <c r="K378" s="264"/>
      <c r="L378" s="264"/>
      <c r="M378" s="264" t="s">
        <v>22</v>
      </c>
      <c r="N378" s="264"/>
      <c r="O378" s="264" t="s">
        <v>22</v>
      </c>
      <c r="P378" s="264"/>
      <c r="Q378" s="264"/>
      <c r="R378" s="264"/>
      <c r="S378" s="264"/>
      <c r="T378" s="264"/>
      <c r="U378" s="360"/>
      <c r="V378" s="360"/>
      <c r="W378" s="360"/>
      <c r="X378" s="360"/>
      <c r="Y378" s="360"/>
      <c r="Z378" s="360"/>
      <c r="AA378" s="360"/>
      <c r="AB378" s="360"/>
      <c r="AC378" s="360"/>
      <c r="AD378" s="360"/>
      <c r="AE378" s="360"/>
      <c r="AF378" s="360"/>
      <c r="AG378" s="360" t="s">
        <v>1582</v>
      </c>
      <c r="AH378" s="360"/>
      <c r="AI378" s="360"/>
      <c r="AJ378" s="360" t="s">
        <v>1589</v>
      </c>
      <c r="AK378" s="360"/>
      <c r="AL378" s="360" t="s">
        <v>5878</v>
      </c>
      <c r="AM378" s="360"/>
      <c r="AN378" s="360"/>
      <c r="AO378" s="360"/>
      <c r="AP378" s="360"/>
      <c r="AQ378" s="360"/>
      <c r="AR378" s="360"/>
      <c r="AS378" s="360"/>
      <c r="AT378" s="360"/>
      <c r="AU378" s="360" t="s">
        <v>22</v>
      </c>
      <c r="AV378" s="360"/>
      <c r="AW378" s="264"/>
      <c r="AX378" s="264"/>
      <c r="AY378" s="264"/>
      <c r="AZ378" s="264"/>
      <c r="BA378" s="264"/>
      <c r="BB378" s="264"/>
      <c r="BC378" s="264"/>
      <c r="BD378" s="264"/>
      <c r="BE378" s="264"/>
    </row>
    <row r="379">
      <c r="A379" s="264"/>
      <c r="B379" s="264"/>
      <c r="C379" s="264"/>
      <c r="D379" s="264"/>
      <c r="E379" s="264"/>
      <c r="F379" s="264"/>
      <c r="G379" s="264"/>
      <c r="H379" s="264"/>
      <c r="I379" s="264"/>
      <c r="J379" s="264"/>
      <c r="K379" s="264"/>
      <c r="L379" s="264"/>
      <c r="M379" s="264" t="s">
        <v>22</v>
      </c>
      <c r="N379" s="264"/>
      <c r="O379" s="264" t="s">
        <v>22</v>
      </c>
      <c r="P379" s="264"/>
      <c r="Q379" s="264"/>
      <c r="R379" s="264"/>
      <c r="S379" s="264"/>
      <c r="T379" s="264"/>
      <c r="U379" s="360"/>
      <c r="V379" s="360"/>
      <c r="W379" s="360"/>
      <c r="X379" s="360"/>
      <c r="Y379" s="360"/>
      <c r="Z379" s="360"/>
      <c r="AA379" s="360"/>
      <c r="AB379" s="360"/>
      <c r="AC379" s="360"/>
      <c r="AD379" s="360"/>
      <c r="AE379" s="360"/>
      <c r="AF379" s="360"/>
      <c r="AG379" s="360" t="s">
        <v>1582</v>
      </c>
      <c r="AH379" s="360"/>
      <c r="AI379" s="360"/>
      <c r="AJ379" s="360" t="s">
        <v>1589</v>
      </c>
      <c r="AK379" s="360"/>
      <c r="AL379" s="360" t="s">
        <v>5878</v>
      </c>
      <c r="AM379" s="360"/>
      <c r="AN379" s="360"/>
      <c r="AO379" s="360"/>
      <c r="AP379" s="360"/>
      <c r="AQ379" s="360"/>
      <c r="AR379" s="360"/>
      <c r="AS379" s="360"/>
      <c r="AT379" s="360"/>
      <c r="AU379" s="360" t="s">
        <v>22</v>
      </c>
      <c r="AV379" s="360"/>
      <c r="AW379" s="264"/>
      <c r="AX379" s="264"/>
      <c r="AY379" s="264"/>
      <c r="AZ379" s="264"/>
      <c r="BA379" s="264"/>
      <c r="BB379" s="264"/>
      <c r="BC379" s="264"/>
      <c r="BD379" s="264"/>
      <c r="BE379" s="264"/>
    </row>
    <row r="380">
      <c r="A380" s="264"/>
      <c r="B380" s="264"/>
      <c r="C380" s="264"/>
      <c r="D380" s="264"/>
      <c r="E380" s="264"/>
      <c r="F380" s="264"/>
      <c r="G380" s="264"/>
      <c r="H380" s="264"/>
      <c r="I380" s="264"/>
      <c r="J380" s="264"/>
      <c r="K380" s="264"/>
      <c r="L380" s="264"/>
      <c r="M380" s="264" t="s">
        <v>22</v>
      </c>
      <c r="N380" s="264"/>
      <c r="O380" s="264" t="s">
        <v>22</v>
      </c>
      <c r="P380" s="264"/>
      <c r="Q380" s="264"/>
      <c r="R380" s="264"/>
      <c r="S380" s="264"/>
      <c r="T380" s="264"/>
      <c r="U380" s="360"/>
      <c r="V380" s="360"/>
      <c r="W380" s="360"/>
      <c r="X380" s="360"/>
      <c r="Y380" s="360"/>
      <c r="Z380" s="360"/>
      <c r="AA380" s="360"/>
      <c r="AB380" s="360"/>
      <c r="AC380" s="360"/>
      <c r="AD380" s="360"/>
      <c r="AE380" s="360"/>
      <c r="AF380" s="360"/>
      <c r="AG380" s="360" t="s">
        <v>1582</v>
      </c>
      <c r="AH380" s="360"/>
      <c r="AI380" s="360"/>
      <c r="AJ380" s="360" t="s">
        <v>1589</v>
      </c>
      <c r="AK380" s="360"/>
      <c r="AL380" s="360" t="s">
        <v>5878</v>
      </c>
      <c r="AM380" s="360"/>
      <c r="AN380" s="360"/>
      <c r="AO380" s="360"/>
      <c r="AP380" s="360"/>
      <c r="AQ380" s="360"/>
      <c r="AR380" s="360"/>
      <c r="AS380" s="360"/>
      <c r="AT380" s="360"/>
      <c r="AU380" s="360" t="s">
        <v>22</v>
      </c>
      <c r="AV380" s="360"/>
      <c r="AW380" s="264"/>
      <c r="AX380" s="264"/>
      <c r="AY380" s="264"/>
      <c r="AZ380" s="264"/>
      <c r="BA380" s="264"/>
      <c r="BB380" s="264"/>
      <c r="BC380" s="264"/>
      <c r="BD380" s="264"/>
      <c r="BE380" s="264"/>
    </row>
    <row r="381">
      <c r="A381" s="264"/>
      <c r="B381" s="264"/>
      <c r="C381" s="264"/>
      <c r="D381" s="264"/>
      <c r="E381" s="264"/>
      <c r="F381" s="264"/>
      <c r="G381" s="264"/>
      <c r="H381" s="264"/>
      <c r="I381" s="264"/>
      <c r="J381" s="264"/>
      <c r="K381" s="264"/>
      <c r="L381" s="264"/>
      <c r="M381" s="264" t="s">
        <v>22</v>
      </c>
      <c r="N381" s="264"/>
      <c r="O381" s="264" t="s">
        <v>22</v>
      </c>
      <c r="P381" s="264"/>
      <c r="Q381" s="264"/>
      <c r="R381" s="264"/>
      <c r="S381" s="264"/>
      <c r="T381" s="264"/>
      <c r="U381" s="360"/>
      <c r="V381" s="360"/>
      <c r="W381" s="360"/>
      <c r="X381" s="360"/>
      <c r="Y381" s="360"/>
      <c r="Z381" s="360"/>
      <c r="AA381" s="360"/>
      <c r="AB381" s="360"/>
      <c r="AC381" s="360"/>
      <c r="AD381" s="360"/>
      <c r="AE381" s="360"/>
      <c r="AF381" s="360"/>
      <c r="AG381" s="360" t="s">
        <v>1582</v>
      </c>
      <c r="AH381" s="360"/>
      <c r="AI381" s="360"/>
      <c r="AJ381" s="360" t="s">
        <v>1589</v>
      </c>
      <c r="AK381" s="360"/>
      <c r="AL381" s="360" t="s">
        <v>5878</v>
      </c>
      <c r="AM381" s="360"/>
      <c r="AN381" s="360"/>
      <c r="AO381" s="360"/>
      <c r="AP381" s="360"/>
      <c r="AQ381" s="360"/>
      <c r="AR381" s="360"/>
      <c r="AS381" s="360"/>
      <c r="AT381" s="360"/>
      <c r="AU381" s="360" t="s">
        <v>22</v>
      </c>
      <c r="AV381" s="360"/>
      <c r="AW381" s="264"/>
      <c r="AX381" s="264"/>
      <c r="AY381" s="264"/>
      <c r="AZ381" s="264"/>
      <c r="BA381" s="264"/>
      <c r="BB381" s="264"/>
      <c r="BC381" s="264"/>
      <c r="BD381" s="264"/>
      <c r="BE381" s="264"/>
    </row>
    <row r="382">
      <c r="A382" s="264"/>
      <c r="B382" s="264"/>
      <c r="C382" s="264"/>
      <c r="D382" s="264"/>
      <c r="E382" s="264"/>
      <c r="F382" s="264"/>
      <c r="G382" s="264"/>
      <c r="H382" s="264"/>
      <c r="I382" s="264"/>
      <c r="J382" s="264"/>
      <c r="K382" s="264"/>
      <c r="L382" s="264"/>
      <c r="M382" s="264" t="s">
        <v>22</v>
      </c>
      <c r="N382" s="264"/>
      <c r="O382" s="264" t="s">
        <v>22</v>
      </c>
      <c r="P382" s="264"/>
      <c r="Q382" s="264"/>
      <c r="R382" s="264"/>
      <c r="S382" s="264"/>
      <c r="T382" s="264"/>
      <c r="U382" s="360"/>
      <c r="V382" s="360"/>
      <c r="W382" s="360"/>
      <c r="X382" s="360"/>
      <c r="Y382" s="360"/>
      <c r="Z382" s="360"/>
      <c r="AA382" s="360"/>
      <c r="AB382" s="360"/>
      <c r="AC382" s="360"/>
      <c r="AD382" s="360"/>
      <c r="AE382" s="360"/>
      <c r="AF382" s="360"/>
      <c r="AG382" s="360" t="s">
        <v>1582</v>
      </c>
      <c r="AH382" s="360"/>
      <c r="AI382" s="360"/>
      <c r="AJ382" s="360" t="s">
        <v>1589</v>
      </c>
      <c r="AK382" s="360"/>
      <c r="AL382" s="360" t="s">
        <v>5878</v>
      </c>
      <c r="AM382" s="360"/>
      <c r="AN382" s="360"/>
      <c r="AO382" s="360"/>
      <c r="AP382" s="360"/>
      <c r="AQ382" s="360"/>
      <c r="AR382" s="360"/>
      <c r="AS382" s="360"/>
      <c r="AT382" s="360"/>
      <c r="AU382" s="360" t="s">
        <v>22</v>
      </c>
      <c r="AV382" s="360"/>
      <c r="AW382" s="264"/>
      <c r="AX382" s="264"/>
      <c r="AY382" s="264"/>
      <c r="AZ382" s="264"/>
      <c r="BA382" s="264"/>
      <c r="BB382" s="264"/>
      <c r="BC382" s="264"/>
      <c r="BD382" s="264"/>
      <c r="BE382" s="264"/>
    </row>
    <row r="383">
      <c r="A383" s="264"/>
      <c r="B383" s="264"/>
      <c r="C383" s="264"/>
      <c r="D383" s="264"/>
      <c r="E383" s="264"/>
      <c r="F383" s="264"/>
      <c r="G383" s="264"/>
      <c r="H383" s="264"/>
      <c r="I383" s="264"/>
      <c r="J383" s="264"/>
      <c r="K383" s="264"/>
      <c r="L383" s="264"/>
      <c r="M383" s="264" t="s">
        <v>22</v>
      </c>
      <c r="N383" s="264"/>
      <c r="O383" s="264" t="s">
        <v>22</v>
      </c>
      <c r="P383" s="264"/>
      <c r="Q383" s="264"/>
      <c r="R383" s="264"/>
      <c r="S383" s="264"/>
      <c r="T383" s="264"/>
      <c r="U383" s="360"/>
      <c r="V383" s="360"/>
      <c r="W383" s="360"/>
      <c r="X383" s="360"/>
      <c r="Y383" s="360"/>
      <c r="Z383" s="360"/>
      <c r="AA383" s="360"/>
      <c r="AB383" s="360"/>
      <c r="AC383" s="360"/>
      <c r="AD383" s="360"/>
      <c r="AE383" s="360"/>
      <c r="AF383" s="360"/>
      <c r="AG383" s="360" t="s">
        <v>1582</v>
      </c>
      <c r="AH383" s="360"/>
      <c r="AI383" s="360"/>
      <c r="AJ383" s="360" t="s">
        <v>1589</v>
      </c>
      <c r="AK383" s="360"/>
      <c r="AL383" s="360" t="s">
        <v>5878</v>
      </c>
      <c r="AM383" s="360"/>
      <c r="AN383" s="360"/>
      <c r="AO383" s="360"/>
      <c r="AP383" s="360"/>
      <c r="AQ383" s="360"/>
      <c r="AR383" s="360"/>
      <c r="AS383" s="360"/>
      <c r="AT383" s="360"/>
      <c r="AU383" s="360" t="s">
        <v>22</v>
      </c>
      <c r="AV383" s="360"/>
      <c r="AW383" s="264"/>
      <c r="AX383" s="264"/>
      <c r="AY383" s="264"/>
      <c r="AZ383" s="264"/>
      <c r="BA383" s="264"/>
      <c r="BB383" s="264"/>
      <c r="BC383" s="264"/>
      <c r="BD383" s="264"/>
      <c r="BE383" s="264"/>
    </row>
    <row r="384">
      <c r="A384" s="264"/>
      <c r="B384" s="264"/>
      <c r="C384" s="264"/>
      <c r="D384" s="264"/>
      <c r="E384" s="264"/>
      <c r="F384" s="264"/>
      <c r="G384" s="264"/>
      <c r="H384" s="264"/>
      <c r="I384" s="264"/>
      <c r="J384" s="264"/>
      <c r="K384" s="264"/>
      <c r="L384" s="264"/>
      <c r="M384" s="264" t="s">
        <v>22</v>
      </c>
      <c r="N384" s="264"/>
      <c r="O384" s="264" t="s">
        <v>22</v>
      </c>
      <c r="P384" s="264"/>
      <c r="Q384" s="264"/>
      <c r="R384" s="264"/>
      <c r="S384" s="264"/>
      <c r="T384" s="264"/>
      <c r="U384" s="360"/>
      <c r="V384" s="360"/>
      <c r="W384" s="360"/>
      <c r="X384" s="360"/>
      <c r="Y384" s="360"/>
      <c r="Z384" s="360"/>
      <c r="AA384" s="360"/>
      <c r="AB384" s="360"/>
      <c r="AC384" s="360"/>
      <c r="AD384" s="360"/>
      <c r="AE384" s="360"/>
      <c r="AF384" s="360"/>
      <c r="AG384" s="360" t="s">
        <v>1582</v>
      </c>
      <c r="AH384" s="360"/>
      <c r="AI384" s="360"/>
      <c r="AJ384" s="360" t="s">
        <v>1589</v>
      </c>
      <c r="AK384" s="360"/>
      <c r="AL384" s="360" t="s">
        <v>5878</v>
      </c>
      <c r="AM384" s="360"/>
      <c r="AN384" s="360"/>
      <c r="AO384" s="360"/>
      <c r="AP384" s="360"/>
      <c r="AQ384" s="360"/>
      <c r="AR384" s="360"/>
      <c r="AS384" s="360"/>
      <c r="AT384" s="360"/>
      <c r="AU384" s="360" t="s">
        <v>22</v>
      </c>
      <c r="AV384" s="360"/>
      <c r="AW384" s="264"/>
      <c r="AX384" s="264"/>
      <c r="AY384" s="264"/>
      <c r="AZ384" s="264"/>
      <c r="BA384" s="264"/>
      <c r="BB384" s="264"/>
      <c r="BC384" s="264"/>
      <c r="BD384" s="264"/>
      <c r="BE384" s="264"/>
    </row>
    <row r="385">
      <c r="A385" s="264"/>
      <c r="B385" s="264"/>
      <c r="C385" s="264"/>
      <c r="D385" s="264"/>
      <c r="E385" s="264"/>
      <c r="F385" s="264"/>
      <c r="G385" s="264"/>
      <c r="H385" s="264"/>
      <c r="I385" s="264"/>
      <c r="J385" s="264"/>
      <c r="K385" s="264"/>
      <c r="L385" s="264"/>
      <c r="M385" s="264" t="s">
        <v>22</v>
      </c>
      <c r="N385" s="264"/>
      <c r="O385" s="264" t="s">
        <v>22</v>
      </c>
      <c r="P385" s="264"/>
      <c r="Q385" s="264"/>
      <c r="R385" s="264"/>
      <c r="S385" s="264"/>
      <c r="T385" s="264"/>
      <c r="U385" s="360"/>
      <c r="V385" s="360"/>
      <c r="W385" s="360"/>
      <c r="X385" s="360"/>
      <c r="Y385" s="360"/>
      <c r="Z385" s="360"/>
      <c r="AA385" s="360"/>
      <c r="AB385" s="360"/>
      <c r="AC385" s="360"/>
      <c r="AD385" s="360"/>
      <c r="AE385" s="360"/>
      <c r="AF385" s="360"/>
      <c r="AG385" s="360" t="s">
        <v>1582</v>
      </c>
      <c r="AH385" s="360"/>
      <c r="AI385" s="360"/>
      <c r="AJ385" s="360" t="s">
        <v>1589</v>
      </c>
      <c r="AK385" s="360"/>
      <c r="AL385" s="360" t="s">
        <v>5878</v>
      </c>
      <c r="AM385" s="360"/>
      <c r="AN385" s="360"/>
      <c r="AO385" s="360"/>
      <c r="AP385" s="360"/>
      <c r="AQ385" s="360"/>
      <c r="AR385" s="360"/>
      <c r="AS385" s="360"/>
      <c r="AT385" s="360"/>
      <c r="AU385" s="360" t="s">
        <v>22</v>
      </c>
      <c r="AV385" s="360"/>
      <c r="AW385" s="264"/>
      <c r="AX385" s="264"/>
      <c r="AY385" s="264"/>
      <c r="AZ385" s="264"/>
      <c r="BA385" s="264"/>
      <c r="BB385" s="264"/>
      <c r="BC385" s="264"/>
      <c r="BD385" s="264"/>
      <c r="BE385" s="264"/>
    </row>
    <row r="386">
      <c r="A386" s="264"/>
      <c r="B386" s="264"/>
      <c r="C386" s="264"/>
      <c r="D386" s="264"/>
      <c r="E386" s="264"/>
      <c r="F386" s="264"/>
      <c r="G386" s="264"/>
      <c r="H386" s="264"/>
      <c r="I386" s="264"/>
      <c r="J386" s="264"/>
      <c r="K386" s="264"/>
      <c r="L386" s="264"/>
      <c r="M386" s="264" t="s">
        <v>22</v>
      </c>
      <c r="N386" s="264"/>
      <c r="O386" s="264" t="s">
        <v>22</v>
      </c>
      <c r="P386" s="264"/>
      <c r="Q386" s="264"/>
      <c r="R386" s="264"/>
      <c r="S386" s="264"/>
      <c r="T386" s="264"/>
      <c r="U386" s="360"/>
      <c r="V386" s="360"/>
      <c r="W386" s="360"/>
      <c r="X386" s="360"/>
      <c r="Y386" s="360"/>
      <c r="Z386" s="360"/>
      <c r="AA386" s="360"/>
      <c r="AB386" s="360"/>
      <c r="AC386" s="360"/>
      <c r="AD386" s="360"/>
      <c r="AE386" s="360"/>
      <c r="AF386" s="360"/>
      <c r="AG386" s="360" t="s">
        <v>1582</v>
      </c>
      <c r="AH386" s="360"/>
      <c r="AI386" s="360"/>
      <c r="AJ386" s="360" t="s">
        <v>1589</v>
      </c>
      <c r="AK386" s="360"/>
      <c r="AL386" s="360" t="s">
        <v>5878</v>
      </c>
      <c r="AM386" s="360"/>
      <c r="AN386" s="360"/>
      <c r="AO386" s="360"/>
      <c r="AP386" s="360"/>
      <c r="AQ386" s="360"/>
      <c r="AR386" s="360"/>
      <c r="AS386" s="360"/>
      <c r="AT386" s="360"/>
      <c r="AU386" s="360" t="s">
        <v>22</v>
      </c>
      <c r="AV386" s="360"/>
      <c r="AW386" s="264"/>
      <c r="AX386" s="264"/>
      <c r="AY386" s="264"/>
      <c r="AZ386" s="264"/>
      <c r="BA386" s="264"/>
      <c r="BB386" s="264"/>
      <c r="BC386" s="264"/>
      <c r="BD386" s="264"/>
      <c r="BE386" s="264"/>
    </row>
    <row r="387">
      <c r="A387" s="264"/>
      <c r="B387" s="264"/>
      <c r="C387" s="264"/>
      <c r="D387" s="264"/>
      <c r="E387" s="264"/>
      <c r="F387" s="264"/>
      <c r="G387" s="264"/>
      <c r="H387" s="264"/>
      <c r="I387" s="264"/>
      <c r="J387" s="264"/>
      <c r="K387" s="264"/>
      <c r="L387" s="264"/>
      <c r="M387" s="264" t="s">
        <v>22</v>
      </c>
      <c r="N387" s="264"/>
      <c r="O387" s="264" t="s">
        <v>22</v>
      </c>
      <c r="P387" s="264"/>
      <c r="Q387" s="264"/>
      <c r="R387" s="264"/>
      <c r="S387" s="264"/>
      <c r="T387" s="264"/>
      <c r="U387" s="360"/>
      <c r="V387" s="360"/>
      <c r="W387" s="360"/>
      <c r="X387" s="360"/>
      <c r="Y387" s="360"/>
      <c r="Z387" s="360"/>
      <c r="AA387" s="360"/>
      <c r="AB387" s="360"/>
      <c r="AC387" s="360"/>
      <c r="AD387" s="360"/>
      <c r="AE387" s="360"/>
      <c r="AF387" s="360"/>
      <c r="AG387" s="360" t="s">
        <v>1582</v>
      </c>
      <c r="AH387" s="360"/>
      <c r="AI387" s="360"/>
      <c r="AJ387" s="360" t="s">
        <v>1589</v>
      </c>
      <c r="AK387" s="360"/>
      <c r="AL387" s="360" t="s">
        <v>5878</v>
      </c>
      <c r="AM387" s="360"/>
      <c r="AN387" s="360"/>
      <c r="AO387" s="360"/>
      <c r="AP387" s="360"/>
      <c r="AQ387" s="360"/>
      <c r="AR387" s="360"/>
      <c r="AS387" s="360"/>
      <c r="AT387" s="360"/>
      <c r="AU387" s="360" t="s">
        <v>22</v>
      </c>
      <c r="AV387" s="360"/>
      <c r="AW387" s="264"/>
      <c r="AX387" s="264"/>
      <c r="AY387" s="264"/>
      <c r="AZ387" s="264"/>
      <c r="BA387" s="264"/>
      <c r="BB387" s="264"/>
      <c r="BC387" s="264"/>
      <c r="BD387" s="264"/>
      <c r="BE387" s="264"/>
    </row>
    <row r="388">
      <c r="A388" s="264"/>
      <c r="B388" s="264"/>
      <c r="C388" s="264"/>
      <c r="D388" s="264"/>
      <c r="E388" s="264"/>
      <c r="F388" s="264"/>
      <c r="G388" s="264"/>
      <c r="H388" s="264"/>
      <c r="I388" s="264"/>
      <c r="J388" s="264"/>
      <c r="K388" s="264"/>
      <c r="L388" s="264"/>
      <c r="M388" s="264" t="s">
        <v>22</v>
      </c>
      <c r="N388" s="264"/>
      <c r="O388" s="264" t="s">
        <v>22</v>
      </c>
      <c r="P388" s="264"/>
      <c r="Q388" s="264"/>
      <c r="R388" s="264"/>
      <c r="S388" s="264"/>
      <c r="T388" s="264"/>
      <c r="U388" s="360"/>
      <c r="V388" s="360"/>
      <c r="W388" s="360"/>
      <c r="X388" s="360"/>
      <c r="Y388" s="360"/>
      <c r="Z388" s="360"/>
      <c r="AA388" s="360"/>
      <c r="AB388" s="360"/>
      <c r="AC388" s="360"/>
      <c r="AD388" s="360"/>
      <c r="AE388" s="360"/>
      <c r="AF388" s="360"/>
      <c r="AG388" s="360" t="s">
        <v>1582</v>
      </c>
      <c r="AH388" s="360"/>
      <c r="AI388" s="360"/>
      <c r="AJ388" s="360" t="s">
        <v>1589</v>
      </c>
      <c r="AK388" s="360"/>
      <c r="AL388" s="360" t="s">
        <v>5878</v>
      </c>
      <c r="AM388" s="360"/>
      <c r="AN388" s="360"/>
      <c r="AO388" s="360"/>
      <c r="AP388" s="360"/>
      <c r="AQ388" s="360"/>
      <c r="AR388" s="360"/>
      <c r="AS388" s="360"/>
      <c r="AT388" s="360"/>
      <c r="AU388" s="360" t="s">
        <v>22</v>
      </c>
      <c r="AV388" s="360"/>
      <c r="AW388" s="264"/>
      <c r="AX388" s="264"/>
      <c r="AY388" s="264"/>
      <c r="AZ388" s="264"/>
      <c r="BA388" s="264"/>
      <c r="BB388" s="264"/>
      <c r="BC388" s="264"/>
      <c r="BD388" s="264"/>
      <c r="BE388" s="264"/>
    </row>
    <row r="389">
      <c r="A389" s="264"/>
      <c r="B389" s="264"/>
      <c r="C389" s="264"/>
      <c r="D389" s="264"/>
      <c r="E389" s="264"/>
      <c r="F389" s="264"/>
      <c r="G389" s="264"/>
      <c r="H389" s="264"/>
      <c r="I389" s="264"/>
      <c r="J389" s="264"/>
      <c r="K389" s="264"/>
      <c r="L389" s="264"/>
      <c r="M389" s="264" t="s">
        <v>22</v>
      </c>
      <c r="N389" s="264"/>
      <c r="O389" s="264" t="s">
        <v>22</v>
      </c>
      <c r="P389" s="264"/>
      <c r="Q389" s="264"/>
      <c r="R389" s="264"/>
      <c r="S389" s="264"/>
      <c r="T389" s="264"/>
      <c r="U389" s="360"/>
      <c r="V389" s="360"/>
      <c r="W389" s="360"/>
      <c r="X389" s="360"/>
      <c r="Y389" s="360"/>
      <c r="Z389" s="360"/>
      <c r="AA389" s="360"/>
      <c r="AB389" s="360"/>
      <c r="AC389" s="360"/>
      <c r="AD389" s="360"/>
      <c r="AE389" s="360"/>
      <c r="AF389" s="360"/>
      <c r="AG389" s="360" t="s">
        <v>1582</v>
      </c>
      <c r="AH389" s="360"/>
      <c r="AI389" s="360"/>
      <c r="AJ389" s="360" t="s">
        <v>1589</v>
      </c>
      <c r="AK389" s="360"/>
      <c r="AL389" s="360" t="s">
        <v>5878</v>
      </c>
      <c r="AM389" s="360"/>
      <c r="AN389" s="360"/>
      <c r="AO389" s="360"/>
      <c r="AP389" s="360"/>
      <c r="AQ389" s="360"/>
      <c r="AR389" s="360"/>
      <c r="AS389" s="360"/>
      <c r="AT389" s="360"/>
      <c r="AU389" s="360" t="s">
        <v>22</v>
      </c>
      <c r="AV389" s="360"/>
      <c r="AW389" s="264"/>
      <c r="AX389" s="264"/>
      <c r="AY389" s="264"/>
      <c r="AZ389" s="264"/>
      <c r="BA389" s="264"/>
      <c r="BB389" s="264"/>
      <c r="BC389" s="264"/>
      <c r="BD389" s="264"/>
      <c r="BE389" s="264"/>
    </row>
    <row r="390">
      <c r="A390" s="264"/>
      <c r="B390" s="264"/>
      <c r="C390" s="264"/>
      <c r="D390" s="264"/>
      <c r="E390" s="264"/>
      <c r="F390" s="264"/>
      <c r="G390" s="264"/>
      <c r="H390" s="264"/>
      <c r="I390" s="264"/>
      <c r="J390" s="264"/>
      <c r="K390" s="264"/>
      <c r="L390" s="264"/>
      <c r="M390" s="264" t="s">
        <v>22</v>
      </c>
      <c r="N390" s="264"/>
      <c r="O390" s="264" t="s">
        <v>22</v>
      </c>
      <c r="P390" s="264"/>
      <c r="Q390" s="264"/>
      <c r="R390" s="264"/>
      <c r="S390" s="264"/>
      <c r="T390" s="264"/>
      <c r="U390" s="360"/>
      <c r="V390" s="360"/>
      <c r="W390" s="360"/>
      <c r="X390" s="360"/>
      <c r="Y390" s="360"/>
      <c r="Z390" s="360"/>
      <c r="AA390" s="360"/>
      <c r="AB390" s="360"/>
      <c r="AC390" s="360"/>
      <c r="AD390" s="360"/>
      <c r="AE390" s="360"/>
      <c r="AF390" s="360"/>
      <c r="AG390" s="360" t="s">
        <v>1582</v>
      </c>
      <c r="AH390" s="360"/>
      <c r="AI390" s="360"/>
      <c r="AJ390" s="360" t="s">
        <v>1589</v>
      </c>
      <c r="AK390" s="360"/>
      <c r="AL390" s="360" t="s">
        <v>5878</v>
      </c>
      <c r="AM390" s="360"/>
      <c r="AN390" s="360"/>
      <c r="AO390" s="360"/>
      <c r="AP390" s="360"/>
      <c r="AQ390" s="360"/>
      <c r="AR390" s="360"/>
      <c r="AS390" s="360"/>
      <c r="AT390" s="360"/>
      <c r="AU390" s="360" t="s">
        <v>22</v>
      </c>
      <c r="AV390" s="360"/>
      <c r="AW390" s="264"/>
      <c r="AX390" s="264"/>
      <c r="AY390" s="264"/>
      <c r="AZ390" s="264"/>
      <c r="BA390" s="264"/>
      <c r="BB390" s="264"/>
      <c r="BC390" s="264"/>
      <c r="BD390" s="264"/>
      <c r="BE390" s="264"/>
    </row>
    <row r="391">
      <c r="A391" s="264"/>
      <c r="B391" s="264"/>
      <c r="C391" s="264"/>
      <c r="D391" s="264"/>
      <c r="E391" s="264"/>
      <c r="F391" s="264"/>
      <c r="G391" s="264"/>
      <c r="H391" s="264"/>
      <c r="I391" s="264"/>
      <c r="J391" s="264"/>
      <c r="K391" s="264"/>
      <c r="L391" s="264"/>
      <c r="M391" s="264" t="s">
        <v>22</v>
      </c>
      <c r="N391" s="264"/>
      <c r="O391" s="264" t="s">
        <v>22</v>
      </c>
      <c r="P391" s="264"/>
      <c r="Q391" s="264"/>
      <c r="R391" s="264"/>
      <c r="S391" s="264"/>
      <c r="T391" s="264"/>
      <c r="U391" s="360"/>
      <c r="V391" s="360"/>
      <c r="W391" s="360"/>
      <c r="X391" s="360"/>
      <c r="Y391" s="360"/>
      <c r="Z391" s="360"/>
      <c r="AA391" s="360"/>
      <c r="AB391" s="360"/>
      <c r="AC391" s="360"/>
      <c r="AD391" s="360"/>
      <c r="AE391" s="360"/>
      <c r="AF391" s="360"/>
      <c r="AG391" s="360" t="s">
        <v>1582</v>
      </c>
      <c r="AH391" s="360"/>
      <c r="AI391" s="360"/>
      <c r="AJ391" s="360" t="s">
        <v>1589</v>
      </c>
      <c r="AK391" s="360"/>
      <c r="AL391" s="360" t="s">
        <v>5878</v>
      </c>
      <c r="AM391" s="360"/>
      <c r="AN391" s="360"/>
      <c r="AO391" s="360"/>
      <c r="AP391" s="360"/>
      <c r="AQ391" s="360"/>
      <c r="AR391" s="360"/>
      <c r="AS391" s="360"/>
      <c r="AT391" s="360"/>
      <c r="AU391" s="360" t="s">
        <v>22</v>
      </c>
      <c r="AV391" s="360"/>
      <c r="AW391" s="264"/>
      <c r="AX391" s="264"/>
      <c r="AY391" s="264"/>
      <c r="AZ391" s="264"/>
      <c r="BA391" s="264"/>
      <c r="BB391" s="264"/>
      <c r="BC391" s="264"/>
      <c r="BD391" s="264"/>
      <c r="BE391" s="264"/>
    </row>
    <row r="392">
      <c r="A392" s="264"/>
      <c r="B392" s="264"/>
      <c r="C392" s="264"/>
      <c r="D392" s="264"/>
      <c r="E392" s="264"/>
      <c r="F392" s="264"/>
      <c r="G392" s="264"/>
      <c r="H392" s="264"/>
      <c r="I392" s="264"/>
      <c r="J392" s="264"/>
      <c r="K392" s="264"/>
      <c r="L392" s="264"/>
      <c r="M392" s="264" t="s">
        <v>22</v>
      </c>
      <c r="N392" s="264"/>
      <c r="O392" s="264" t="s">
        <v>22</v>
      </c>
      <c r="P392" s="264"/>
      <c r="Q392" s="264"/>
      <c r="R392" s="264"/>
      <c r="S392" s="264"/>
      <c r="T392" s="264"/>
      <c r="U392" s="360"/>
      <c r="V392" s="360"/>
      <c r="W392" s="360"/>
      <c r="X392" s="360"/>
      <c r="Y392" s="360"/>
      <c r="Z392" s="360"/>
      <c r="AA392" s="360"/>
      <c r="AB392" s="360"/>
      <c r="AC392" s="360"/>
      <c r="AD392" s="360"/>
      <c r="AE392" s="360"/>
      <c r="AF392" s="360"/>
      <c r="AG392" s="360" t="s">
        <v>1582</v>
      </c>
      <c r="AH392" s="360"/>
      <c r="AI392" s="360"/>
      <c r="AJ392" s="360" t="s">
        <v>1589</v>
      </c>
      <c r="AK392" s="360"/>
      <c r="AL392" s="360" t="s">
        <v>5878</v>
      </c>
      <c r="AM392" s="360"/>
      <c r="AN392" s="360"/>
      <c r="AO392" s="360"/>
      <c r="AP392" s="360"/>
      <c r="AQ392" s="360"/>
      <c r="AR392" s="360"/>
      <c r="AS392" s="360"/>
      <c r="AT392" s="360"/>
      <c r="AU392" s="360" t="s">
        <v>22</v>
      </c>
      <c r="AV392" s="360"/>
      <c r="AW392" s="264"/>
      <c r="AX392" s="264"/>
      <c r="AY392" s="264"/>
      <c r="AZ392" s="264"/>
      <c r="BA392" s="264"/>
      <c r="BB392" s="264"/>
      <c r="BC392" s="264"/>
      <c r="BD392" s="264"/>
      <c r="BE392" s="264"/>
    </row>
    <row r="393">
      <c r="A393" s="264"/>
      <c r="B393" s="264"/>
      <c r="C393" s="264"/>
      <c r="D393" s="264"/>
      <c r="E393" s="264"/>
      <c r="F393" s="264"/>
      <c r="G393" s="264"/>
      <c r="H393" s="264"/>
      <c r="I393" s="264"/>
      <c r="J393" s="264"/>
      <c r="K393" s="264"/>
      <c r="L393" s="264"/>
      <c r="M393" s="264" t="s">
        <v>22</v>
      </c>
      <c r="N393" s="264"/>
      <c r="O393" s="264" t="s">
        <v>22</v>
      </c>
      <c r="P393" s="264"/>
      <c r="Q393" s="264"/>
      <c r="R393" s="264"/>
      <c r="S393" s="264"/>
      <c r="T393" s="264"/>
      <c r="U393" s="360"/>
      <c r="V393" s="360"/>
      <c r="W393" s="360"/>
      <c r="X393" s="360"/>
      <c r="Y393" s="360"/>
      <c r="Z393" s="360"/>
      <c r="AA393" s="360"/>
      <c r="AB393" s="360"/>
      <c r="AC393" s="360"/>
      <c r="AD393" s="360"/>
      <c r="AE393" s="360"/>
      <c r="AF393" s="360"/>
      <c r="AG393" s="360" t="s">
        <v>1582</v>
      </c>
      <c r="AH393" s="360"/>
      <c r="AI393" s="360"/>
      <c r="AJ393" s="360" t="s">
        <v>1589</v>
      </c>
      <c r="AK393" s="360"/>
      <c r="AL393" s="360" t="s">
        <v>5878</v>
      </c>
      <c r="AM393" s="360"/>
      <c r="AN393" s="360"/>
      <c r="AO393" s="360"/>
      <c r="AP393" s="360"/>
      <c r="AQ393" s="360"/>
      <c r="AR393" s="360"/>
      <c r="AS393" s="360"/>
      <c r="AT393" s="360"/>
      <c r="AU393" s="360" t="s">
        <v>22</v>
      </c>
      <c r="AV393" s="360"/>
      <c r="AW393" s="264"/>
      <c r="AX393" s="264"/>
      <c r="AY393" s="264"/>
      <c r="AZ393" s="264"/>
      <c r="BA393" s="264"/>
      <c r="BB393" s="264"/>
      <c r="BC393" s="264"/>
      <c r="BD393" s="264"/>
      <c r="BE393" s="264"/>
    </row>
    <row r="394">
      <c r="A394" s="264"/>
      <c r="B394" s="264"/>
      <c r="C394" s="264"/>
      <c r="D394" s="264"/>
      <c r="E394" s="264"/>
      <c r="F394" s="264"/>
      <c r="G394" s="264"/>
      <c r="H394" s="264"/>
      <c r="I394" s="264"/>
      <c r="J394" s="264"/>
      <c r="K394" s="264"/>
      <c r="L394" s="264"/>
      <c r="M394" s="264" t="s">
        <v>22</v>
      </c>
      <c r="N394" s="264"/>
      <c r="O394" s="264" t="s">
        <v>22</v>
      </c>
      <c r="P394" s="264"/>
      <c r="Q394" s="264"/>
      <c r="R394" s="264"/>
      <c r="S394" s="264"/>
      <c r="T394" s="264"/>
      <c r="U394" s="360"/>
      <c r="V394" s="360"/>
      <c r="W394" s="360"/>
      <c r="X394" s="360"/>
      <c r="Y394" s="360"/>
      <c r="Z394" s="360"/>
      <c r="AA394" s="360"/>
      <c r="AB394" s="360"/>
      <c r="AC394" s="360"/>
      <c r="AD394" s="360"/>
      <c r="AE394" s="360"/>
      <c r="AF394" s="360"/>
      <c r="AG394" s="360" t="s">
        <v>1582</v>
      </c>
      <c r="AH394" s="360"/>
      <c r="AI394" s="360"/>
      <c r="AJ394" s="360" t="s">
        <v>1589</v>
      </c>
      <c r="AK394" s="360"/>
      <c r="AL394" s="360" t="s">
        <v>5878</v>
      </c>
      <c r="AM394" s="360"/>
      <c r="AN394" s="360"/>
      <c r="AO394" s="360"/>
      <c r="AP394" s="360"/>
      <c r="AQ394" s="360"/>
      <c r="AR394" s="360"/>
      <c r="AS394" s="360"/>
      <c r="AT394" s="360"/>
      <c r="AU394" s="360" t="s">
        <v>22</v>
      </c>
      <c r="AV394" s="360"/>
      <c r="AW394" s="264"/>
      <c r="AX394" s="264"/>
      <c r="AY394" s="264"/>
      <c r="AZ394" s="264"/>
      <c r="BA394" s="264"/>
      <c r="BB394" s="264"/>
      <c r="BC394" s="264"/>
      <c r="BD394" s="264"/>
      <c r="BE394" s="264"/>
    </row>
    <row r="395">
      <c r="A395" s="264"/>
      <c r="B395" s="264"/>
      <c r="C395" s="264"/>
      <c r="D395" s="264"/>
      <c r="E395" s="264"/>
      <c r="F395" s="264"/>
      <c r="G395" s="264"/>
      <c r="H395" s="264"/>
      <c r="I395" s="264"/>
      <c r="J395" s="264"/>
      <c r="K395" s="264"/>
      <c r="L395" s="264"/>
      <c r="M395" s="264" t="s">
        <v>22</v>
      </c>
      <c r="N395" s="264"/>
      <c r="O395" s="264" t="s">
        <v>22</v>
      </c>
      <c r="P395" s="264"/>
      <c r="Q395" s="264"/>
      <c r="R395" s="264"/>
      <c r="S395" s="264"/>
      <c r="T395" s="264"/>
      <c r="U395" s="360"/>
      <c r="V395" s="360"/>
      <c r="W395" s="360"/>
      <c r="X395" s="360"/>
      <c r="Y395" s="360"/>
      <c r="Z395" s="360"/>
      <c r="AA395" s="360"/>
      <c r="AB395" s="360"/>
      <c r="AC395" s="360"/>
      <c r="AD395" s="360"/>
      <c r="AE395" s="360"/>
      <c r="AF395" s="360"/>
      <c r="AG395" s="360" t="s">
        <v>1582</v>
      </c>
      <c r="AH395" s="360"/>
      <c r="AI395" s="360"/>
      <c r="AJ395" s="360" t="s">
        <v>1589</v>
      </c>
      <c r="AK395" s="360"/>
      <c r="AL395" s="360" t="s">
        <v>5878</v>
      </c>
      <c r="AM395" s="360"/>
      <c r="AN395" s="360"/>
      <c r="AO395" s="360"/>
      <c r="AP395" s="360"/>
      <c r="AQ395" s="360"/>
      <c r="AR395" s="360"/>
      <c r="AS395" s="360"/>
      <c r="AT395" s="360"/>
      <c r="AU395" s="360" t="s">
        <v>22</v>
      </c>
      <c r="AV395" s="360"/>
      <c r="AW395" s="264"/>
      <c r="AX395" s="264"/>
      <c r="AY395" s="264"/>
      <c r="AZ395" s="264"/>
      <c r="BA395" s="264"/>
      <c r="BB395" s="264"/>
      <c r="BC395" s="264"/>
      <c r="BD395" s="264"/>
      <c r="BE395" s="264"/>
    </row>
    <row r="396">
      <c r="A396" s="264"/>
      <c r="B396" s="264"/>
      <c r="C396" s="264"/>
      <c r="D396" s="264"/>
      <c r="E396" s="264"/>
      <c r="F396" s="264"/>
      <c r="G396" s="264"/>
      <c r="H396" s="264"/>
      <c r="I396" s="264"/>
      <c r="J396" s="264"/>
      <c r="K396" s="264"/>
      <c r="L396" s="264"/>
      <c r="M396" s="264" t="s">
        <v>22</v>
      </c>
      <c r="N396" s="264"/>
      <c r="O396" s="264" t="s">
        <v>22</v>
      </c>
      <c r="P396" s="264"/>
      <c r="Q396" s="264"/>
      <c r="R396" s="264"/>
      <c r="S396" s="264"/>
      <c r="T396" s="264"/>
      <c r="U396" s="360"/>
      <c r="V396" s="360"/>
      <c r="W396" s="360"/>
      <c r="X396" s="360"/>
      <c r="Y396" s="360"/>
      <c r="Z396" s="360"/>
      <c r="AA396" s="360"/>
      <c r="AB396" s="360"/>
      <c r="AC396" s="360"/>
      <c r="AD396" s="360"/>
      <c r="AE396" s="360"/>
      <c r="AF396" s="360"/>
      <c r="AG396" s="360" t="s">
        <v>1582</v>
      </c>
      <c r="AH396" s="360"/>
      <c r="AI396" s="360"/>
      <c r="AJ396" s="360" t="s">
        <v>1589</v>
      </c>
      <c r="AK396" s="360"/>
      <c r="AL396" s="360" t="s">
        <v>5878</v>
      </c>
      <c r="AM396" s="360"/>
      <c r="AN396" s="360"/>
      <c r="AO396" s="360"/>
      <c r="AP396" s="360"/>
      <c r="AQ396" s="360"/>
      <c r="AR396" s="360"/>
      <c r="AS396" s="360"/>
      <c r="AT396" s="360"/>
      <c r="AU396" s="360" t="s">
        <v>22</v>
      </c>
      <c r="AV396" s="360"/>
      <c r="AW396" s="264"/>
      <c r="AX396" s="264"/>
      <c r="AY396" s="264"/>
      <c r="AZ396" s="264"/>
      <c r="BA396" s="264"/>
      <c r="BB396" s="264"/>
      <c r="BC396" s="264"/>
      <c r="BD396" s="264"/>
      <c r="BE396" s="264"/>
    </row>
    <row r="397">
      <c r="A397" s="264"/>
      <c r="B397" s="264"/>
      <c r="C397" s="264"/>
      <c r="D397" s="264"/>
      <c r="E397" s="264"/>
      <c r="F397" s="264"/>
      <c r="G397" s="264"/>
      <c r="H397" s="264"/>
      <c r="I397" s="264"/>
      <c r="J397" s="264"/>
      <c r="K397" s="264"/>
      <c r="L397" s="264"/>
      <c r="M397" s="264" t="s">
        <v>22</v>
      </c>
      <c r="N397" s="264"/>
      <c r="O397" s="264" t="s">
        <v>22</v>
      </c>
      <c r="P397" s="264"/>
      <c r="Q397" s="264"/>
      <c r="R397" s="264"/>
      <c r="S397" s="264"/>
      <c r="T397" s="264"/>
      <c r="U397" s="360"/>
      <c r="V397" s="360"/>
      <c r="W397" s="360"/>
      <c r="X397" s="360"/>
      <c r="Y397" s="360"/>
      <c r="Z397" s="360"/>
      <c r="AA397" s="360"/>
      <c r="AB397" s="360"/>
      <c r="AC397" s="360"/>
      <c r="AD397" s="360"/>
      <c r="AE397" s="360"/>
      <c r="AF397" s="360"/>
      <c r="AG397" s="360" t="s">
        <v>1582</v>
      </c>
      <c r="AH397" s="360"/>
      <c r="AI397" s="360"/>
      <c r="AJ397" s="360" t="s">
        <v>1589</v>
      </c>
      <c r="AK397" s="360"/>
      <c r="AL397" s="360" t="s">
        <v>5878</v>
      </c>
      <c r="AM397" s="360"/>
      <c r="AN397" s="360"/>
      <c r="AO397" s="360"/>
      <c r="AP397" s="360"/>
      <c r="AQ397" s="360"/>
      <c r="AR397" s="360"/>
      <c r="AS397" s="360"/>
      <c r="AT397" s="360"/>
      <c r="AU397" s="360" t="s">
        <v>22</v>
      </c>
      <c r="AV397" s="360"/>
      <c r="AW397" s="264"/>
      <c r="AX397" s="264"/>
      <c r="AY397" s="264"/>
      <c r="AZ397" s="264"/>
      <c r="BA397" s="264"/>
      <c r="BB397" s="264"/>
      <c r="BC397" s="264"/>
      <c r="BD397" s="264"/>
      <c r="BE397" s="264"/>
    </row>
    <row r="398">
      <c r="A398" s="264"/>
      <c r="B398" s="264"/>
      <c r="C398" s="264"/>
      <c r="D398" s="264"/>
      <c r="E398" s="264"/>
      <c r="F398" s="264"/>
      <c r="G398" s="264"/>
      <c r="H398" s="264"/>
      <c r="I398" s="264"/>
      <c r="J398" s="264"/>
      <c r="K398" s="264"/>
      <c r="L398" s="264"/>
      <c r="M398" s="264" t="s">
        <v>22</v>
      </c>
      <c r="N398" s="264"/>
      <c r="O398" s="264" t="s">
        <v>22</v>
      </c>
      <c r="P398" s="264"/>
      <c r="Q398" s="264"/>
      <c r="R398" s="264"/>
      <c r="S398" s="264"/>
      <c r="T398" s="264"/>
      <c r="U398" s="360"/>
      <c r="V398" s="360"/>
      <c r="W398" s="360"/>
      <c r="X398" s="360"/>
      <c r="Y398" s="360"/>
      <c r="Z398" s="360"/>
      <c r="AA398" s="360"/>
      <c r="AB398" s="360"/>
      <c r="AC398" s="360"/>
      <c r="AD398" s="360"/>
      <c r="AE398" s="360"/>
      <c r="AF398" s="360"/>
      <c r="AG398" s="360" t="s">
        <v>1582</v>
      </c>
      <c r="AH398" s="360"/>
      <c r="AI398" s="360"/>
      <c r="AJ398" s="360" t="s">
        <v>1589</v>
      </c>
      <c r="AK398" s="360"/>
      <c r="AL398" s="360" t="s">
        <v>5878</v>
      </c>
      <c r="AM398" s="360"/>
      <c r="AN398" s="360"/>
      <c r="AO398" s="360"/>
      <c r="AP398" s="360"/>
      <c r="AQ398" s="360"/>
      <c r="AR398" s="360"/>
      <c r="AS398" s="360"/>
      <c r="AT398" s="360"/>
      <c r="AU398" s="360" t="s">
        <v>22</v>
      </c>
      <c r="AV398" s="360"/>
      <c r="AW398" s="264"/>
      <c r="AX398" s="264"/>
      <c r="AY398" s="264"/>
      <c r="AZ398" s="264"/>
      <c r="BA398" s="264"/>
      <c r="BB398" s="264"/>
      <c r="BC398" s="264"/>
      <c r="BD398" s="264"/>
      <c r="BE398" s="264"/>
    </row>
    <row r="399">
      <c r="A399" s="264"/>
      <c r="B399" s="264"/>
      <c r="C399" s="264"/>
      <c r="D399" s="264"/>
      <c r="E399" s="264"/>
      <c r="F399" s="264"/>
      <c r="G399" s="264"/>
      <c r="H399" s="264"/>
      <c r="I399" s="264"/>
      <c r="J399" s="264"/>
      <c r="K399" s="264"/>
      <c r="L399" s="264"/>
      <c r="M399" s="264" t="s">
        <v>22</v>
      </c>
      <c r="N399" s="264"/>
      <c r="O399" s="264" t="s">
        <v>22</v>
      </c>
      <c r="P399" s="264"/>
      <c r="Q399" s="264"/>
      <c r="R399" s="264"/>
      <c r="S399" s="264"/>
      <c r="T399" s="264"/>
      <c r="U399" s="360"/>
      <c r="V399" s="360"/>
      <c r="W399" s="360"/>
      <c r="X399" s="360"/>
      <c r="Y399" s="360"/>
      <c r="Z399" s="360"/>
      <c r="AA399" s="360"/>
      <c r="AB399" s="360"/>
      <c r="AC399" s="360"/>
      <c r="AD399" s="360"/>
      <c r="AE399" s="360"/>
      <c r="AF399" s="360"/>
      <c r="AG399" s="360" t="s">
        <v>1582</v>
      </c>
      <c r="AH399" s="360"/>
      <c r="AI399" s="360"/>
      <c r="AJ399" s="360" t="s">
        <v>1589</v>
      </c>
      <c r="AK399" s="360"/>
      <c r="AL399" s="360" t="s">
        <v>5878</v>
      </c>
      <c r="AM399" s="360"/>
      <c r="AN399" s="360"/>
      <c r="AO399" s="360"/>
      <c r="AP399" s="360"/>
      <c r="AQ399" s="360"/>
      <c r="AR399" s="360"/>
      <c r="AS399" s="360"/>
      <c r="AT399" s="360"/>
      <c r="AU399" s="360" t="s">
        <v>22</v>
      </c>
      <c r="AV399" s="360"/>
      <c r="AW399" s="264"/>
      <c r="AX399" s="264"/>
      <c r="AY399" s="264"/>
      <c r="AZ399" s="264"/>
      <c r="BA399" s="264"/>
      <c r="BB399" s="264"/>
      <c r="BC399" s="264"/>
      <c r="BD399" s="264"/>
      <c r="BE399" s="264"/>
    </row>
    <row r="400">
      <c r="A400" s="264"/>
      <c r="B400" s="264"/>
      <c r="C400" s="264"/>
      <c r="D400" s="264"/>
      <c r="E400" s="264"/>
      <c r="F400" s="264"/>
      <c r="G400" s="264"/>
      <c r="H400" s="264"/>
      <c r="I400" s="264"/>
      <c r="J400" s="264"/>
      <c r="K400" s="264"/>
      <c r="L400" s="264"/>
      <c r="M400" s="264" t="s">
        <v>22</v>
      </c>
      <c r="N400" s="264"/>
      <c r="O400" s="264" t="s">
        <v>22</v>
      </c>
      <c r="P400" s="264"/>
      <c r="Q400" s="264"/>
      <c r="R400" s="264"/>
      <c r="S400" s="264"/>
      <c r="T400" s="264"/>
      <c r="U400" s="360"/>
      <c r="V400" s="360"/>
      <c r="W400" s="360"/>
      <c r="X400" s="360"/>
      <c r="Y400" s="360"/>
      <c r="Z400" s="360"/>
      <c r="AA400" s="360"/>
      <c r="AB400" s="360"/>
      <c r="AC400" s="360"/>
      <c r="AD400" s="360"/>
      <c r="AE400" s="360"/>
      <c r="AF400" s="360"/>
      <c r="AG400" s="360" t="s">
        <v>1582</v>
      </c>
      <c r="AH400" s="360"/>
      <c r="AI400" s="360"/>
      <c r="AJ400" s="360" t="s">
        <v>1589</v>
      </c>
      <c r="AK400" s="360"/>
      <c r="AL400" s="360" t="s">
        <v>5878</v>
      </c>
      <c r="AM400" s="360"/>
      <c r="AN400" s="360"/>
      <c r="AO400" s="360"/>
      <c r="AP400" s="360"/>
      <c r="AQ400" s="360"/>
      <c r="AR400" s="360"/>
      <c r="AS400" s="360"/>
      <c r="AT400" s="360"/>
      <c r="AU400" s="360" t="s">
        <v>22</v>
      </c>
      <c r="AV400" s="360"/>
      <c r="AW400" s="264"/>
      <c r="AX400" s="264"/>
      <c r="AY400" s="264"/>
      <c r="AZ400" s="264"/>
      <c r="BA400" s="264"/>
      <c r="BB400" s="264"/>
      <c r="BC400" s="264"/>
      <c r="BD400" s="264"/>
      <c r="BE400" s="264"/>
    </row>
    <row r="401">
      <c r="A401" s="264"/>
      <c r="B401" s="264"/>
      <c r="C401" s="264"/>
      <c r="D401" s="264"/>
      <c r="E401" s="264"/>
      <c r="F401" s="264"/>
      <c r="G401" s="264"/>
      <c r="H401" s="264"/>
      <c r="I401" s="264"/>
      <c r="J401" s="264"/>
      <c r="K401" s="264"/>
      <c r="L401" s="264"/>
      <c r="M401" s="264" t="s">
        <v>22</v>
      </c>
      <c r="N401" s="264"/>
      <c r="O401" s="264" t="s">
        <v>22</v>
      </c>
      <c r="P401" s="264"/>
      <c r="Q401" s="264"/>
      <c r="R401" s="264"/>
      <c r="S401" s="264"/>
      <c r="T401" s="264"/>
      <c r="U401" s="360"/>
      <c r="V401" s="360"/>
      <c r="W401" s="360"/>
      <c r="X401" s="360"/>
      <c r="Y401" s="360"/>
      <c r="Z401" s="360"/>
      <c r="AA401" s="360"/>
      <c r="AB401" s="360"/>
      <c r="AC401" s="360"/>
      <c r="AD401" s="360"/>
      <c r="AE401" s="360"/>
      <c r="AF401" s="360"/>
      <c r="AG401" s="360" t="s">
        <v>1582</v>
      </c>
      <c r="AH401" s="360"/>
      <c r="AI401" s="360"/>
      <c r="AJ401" s="360" t="s">
        <v>1589</v>
      </c>
      <c r="AK401" s="360"/>
      <c r="AL401" s="360" t="s">
        <v>5878</v>
      </c>
      <c r="AM401" s="360"/>
      <c r="AN401" s="360"/>
      <c r="AO401" s="360"/>
      <c r="AP401" s="360"/>
      <c r="AQ401" s="360"/>
      <c r="AR401" s="360"/>
      <c r="AS401" s="360"/>
      <c r="AT401" s="360"/>
      <c r="AU401" s="360" t="s">
        <v>22</v>
      </c>
      <c r="AV401" s="360"/>
      <c r="AW401" s="264"/>
      <c r="AX401" s="264"/>
      <c r="AY401" s="264"/>
      <c r="AZ401" s="264"/>
      <c r="BA401" s="264"/>
      <c r="BB401" s="264"/>
      <c r="BC401" s="264"/>
      <c r="BD401" s="264"/>
      <c r="BE401" s="264"/>
    </row>
    <row r="402">
      <c r="A402" s="264"/>
      <c r="B402" s="264"/>
      <c r="C402" s="264"/>
      <c r="D402" s="264"/>
      <c r="E402" s="264"/>
      <c r="F402" s="264"/>
      <c r="G402" s="264"/>
      <c r="H402" s="264"/>
      <c r="I402" s="264"/>
      <c r="J402" s="264"/>
      <c r="K402" s="264"/>
      <c r="L402" s="264"/>
      <c r="M402" s="264" t="s">
        <v>22</v>
      </c>
      <c r="N402" s="264"/>
      <c r="O402" s="264" t="s">
        <v>22</v>
      </c>
      <c r="P402" s="264"/>
      <c r="Q402" s="264"/>
      <c r="R402" s="264"/>
      <c r="S402" s="264"/>
      <c r="T402" s="264"/>
      <c r="U402" s="360"/>
      <c r="V402" s="360"/>
      <c r="W402" s="360"/>
      <c r="X402" s="360"/>
      <c r="Y402" s="360"/>
      <c r="Z402" s="360"/>
      <c r="AA402" s="360"/>
      <c r="AB402" s="360"/>
      <c r="AC402" s="360"/>
      <c r="AD402" s="360"/>
      <c r="AE402" s="360"/>
      <c r="AF402" s="360"/>
      <c r="AG402" s="360" t="s">
        <v>1582</v>
      </c>
      <c r="AH402" s="360"/>
      <c r="AI402" s="360"/>
      <c r="AJ402" s="360" t="s">
        <v>1589</v>
      </c>
      <c r="AK402" s="360"/>
      <c r="AL402" s="360" t="s">
        <v>5878</v>
      </c>
      <c r="AM402" s="360"/>
      <c r="AN402" s="360"/>
      <c r="AO402" s="360"/>
      <c r="AP402" s="360"/>
      <c r="AQ402" s="360"/>
      <c r="AR402" s="360"/>
      <c r="AS402" s="360"/>
      <c r="AT402" s="360"/>
      <c r="AU402" s="360" t="s">
        <v>22</v>
      </c>
      <c r="AV402" s="360"/>
      <c r="AW402" s="264"/>
      <c r="AX402" s="264"/>
      <c r="AY402" s="264"/>
      <c r="AZ402" s="264"/>
      <c r="BA402" s="264"/>
      <c r="BB402" s="264"/>
      <c r="BC402" s="264"/>
      <c r="BD402" s="264"/>
      <c r="BE402" s="264"/>
    </row>
    <row r="403">
      <c r="A403" s="264"/>
      <c r="B403" s="264"/>
      <c r="C403" s="264"/>
      <c r="D403" s="264"/>
      <c r="E403" s="264"/>
      <c r="F403" s="264"/>
      <c r="G403" s="264"/>
      <c r="H403" s="264"/>
      <c r="I403" s="264"/>
      <c r="J403" s="264"/>
      <c r="K403" s="264"/>
      <c r="L403" s="264"/>
      <c r="M403" s="264" t="s">
        <v>22</v>
      </c>
      <c r="N403" s="264"/>
      <c r="O403" s="264" t="s">
        <v>22</v>
      </c>
      <c r="P403" s="264"/>
      <c r="Q403" s="264"/>
      <c r="R403" s="264"/>
      <c r="S403" s="264"/>
      <c r="T403" s="264"/>
      <c r="U403" s="360"/>
      <c r="V403" s="360"/>
      <c r="W403" s="360"/>
      <c r="X403" s="360"/>
      <c r="Y403" s="360"/>
      <c r="Z403" s="360"/>
      <c r="AA403" s="360"/>
      <c r="AB403" s="360"/>
      <c r="AC403" s="360"/>
      <c r="AD403" s="360"/>
      <c r="AE403" s="360"/>
      <c r="AF403" s="360"/>
      <c r="AG403" s="360" t="s">
        <v>1582</v>
      </c>
      <c r="AH403" s="360"/>
      <c r="AI403" s="360"/>
      <c r="AJ403" s="360" t="s">
        <v>1589</v>
      </c>
      <c r="AK403" s="360"/>
      <c r="AL403" s="360" t="s">
        <v>5878</v>
      </c>
      <c r="AM403" s="360"/>
      <c r="AN403" s="360"/>
      <c r="AO403" s="360"/>
      <c r="AP403" s="360"/>
      <c r="AQ403" s="360"/>
      <c r="AR403" s="360"/>
      <c r="AS403" s="360"/>
      <c r="AT403" s="360"/>
      <c r="AU403" s="360" t="s">
        <v>22</v>
      </c>
      <c r="AV403" s="360"/>
      <c r="AW403" s="264"/>
      <c r="AX403" s="264"/>
      <c r="AY403" s="264"/>
      <c r="AZ403" s="264"/>
      <c r="BA403" s="264"/>
      <c r="BB403" s="264"/>
      <c r="BC403" s="264"/>
      <c r="BD403" s="264"/>
      <c r="BE403" s="264"/>
    </row>
    <row r="404">
      <c r="A404" s="264"/>
      <c r="B404" s="264"/>
      <c r="C404" s="264"/>
      <c r="D404" s="264"/>
      <c r="E404" s="264"/>
      <c r="F404" s="264"/>
      <c r="G404" s="264"/>
      <c r="H404" s="264"/>
      <c r="I404" s="264"/>
      <c r="J404" s="264"/>
      <c r="K404" s="264"/>
      <c r="L404" s="264"/>
      <c r="M404" s="264" t="s">
        <v>22</v>
      </c>
      <c r="N404" s="264"/>
      <c r="O404" s="264" t="s">
        <v>22</v>
      </c>
      <c r="P404" s="264"/>
      <c r="Q404" s="264"/>
      <c r="R404" s="264"/>
      <c r="S404" s="264"/>
      <c r="T404" s="264"/>
      <c r="U404" s="360"/>
      <c r="V404" s="360"/>
      <c r="W404" s="360"/>
      <c r="X404" s="360"/>
      <c r="Y404" s="360"/>
      <c r="Z404" s="360"/>
      <c r="AA404" s="360"/>
      <c r="AB404" s="360"/>
      <c r="AC404" s="360"/>
      <c r="AD404" s="360"/>
      <c r="AE404" s="360"/>
      <c r="AF404" s="360"/>
      <c r="AG404" s="360" t="s">
        <v>1582</v>
      </c>
      <c r="AH404" s="360"/>
      <c r="AI404" s="360"/>
      <c r="AJ404" s="360" t="s">
        <v>1589</v>
      </c>
      <c r="AK404" s="360"/>
      <c r="AL404" s="360" t="s">
        <v>5878</v>
      </c>
      <c r="AM404" s="360"/>
      <c r="AN404" s="360"/>
      <c r="AO404" s="360"/>
      <c r="AP404" s="360"/>
      <c r="AQ404" s="360"/>
      <c r="AR404" s="360"/>
      <c r="AS404" s="360"/>
      <c r="AT404" s="360"/>
      <c r="AU404" s="360" t="s">
        <v>22</v>
      </c>
      <c r="AV404" s="360"/>
      <c r="AW404" s="264"/>
      <c r="AX404" s="264"/>
      <c r="AY404" s="264"/>
      <c r="AZ404" s="264"/>
      <c r="BA404" s="264"/>
      <c r="BB404" s="264"/>
      <c r="BC404" s="264"/>
      <c r="BD404" s="264"/>
      <c r="BE404" s="264"/>
    </row>
    <row r="405">
      <c r="A405" s="264"/>
      <c r="B405" s="264"/>
      <c r="C405" s="264"/>
      <c r="D405" s="264"/>
      <c r="E405" s="264"/>
      <c r="F405" s="264"/>
      <c r="G405" s="264"/>
      <c r="H405" s="264"/>
      <c r="I405" s="264"/>
      <c r="J405" s="264"/>
      <c r="K405" s="264"/>
      <c r="L405" s="264"/>
      <c r="M405" s="264" t="s">
        <v>22</v>
      </c>
      <c r="N405" s="264"/>
      <c r="O405" s="264" t="s">
        <v>22</v>
      </c>
      <c r="P405" s="264"/>
      <c r="Q405" s="264"/>
      <c r="R405" s="264"/>
      <c r="S405" s="264"/>
      <c r="T405" s="264"/>
      <c r="U405" s="360"/>
      <c r="V405" s="360"/>
      <c r="W405" s="360"/>
      <c r="X405" s="360"/>
      <c r="Y405" s="360"/>
      <c r="Z405" s="360"/>
      <c r="AA405" s="360"/>
      <c r="AB405" s="360"/>
      <c r="AC405" s="360"/>
      <c r="AD405" s="360"/>
      <c r="AE405" s="360"/>
      <c r="AF405" s="360"/>
      <c r="AG405" s="360" t="s">
        <v>1582</v>
      </c>
      <c r="AH405" s="360"/>
      <c r="AI405" s="360"/>
      <c r="AJ405" s="360" t="s">
        <v>1589</v>
      </c>
      <c r="AK405" s="360"/>
      <c r="AL405" s="360" t="s">
        <v>5878</v>
      </c>
      <c r="AM405" s="360"/>
      <c r="AN405" s="360"/>
      <c r="AO405" s="360"/>
      <c r="AP405" s="360"/>
      <c r="AQ405" s="360"/>
      <c r="AR405" s="360"/>
      <c r="AS405" s="360"/>
      <c r="AT405" s="360"/>
      <c r="AU405" s="360" t="s">
        <v>22</v>
      </c>
      <c r="AV405" s="360"/>
      <c r="AW405" s="264"/>
      <c r="AX405" s="264"/>
      <c r="AY405" s="264"/>
      <c r="AZ405" s="264"/>
      <c r="BA405" s="264"/>
      <c r="BB405" s="264"/>
      <c r="BC405" s="264"/>
      <c r="BD405" s="264"/>
      <c r="BE405" s="264"/>
    </row>
    <row r="406">
      <c r="A406" s="264"/>
      <c r="B406" s="264"/>
      <c r="C406" s="264"/>
      <c r="D406" s="264"/>
      <c r="E406" s="264"/>
      <c r="F406" s="264"/>
      <c r="G406" s="264"/>
      <c r="H406" s="264"/>
      <c r="I406" s="264"/>
      <c r="J406" s="264"/>
      <c r="K406" s="264"/>
      <c r="L406" s="264"/>
      <c r="M406" s="264" t="s">
        <v>22</v>
      </c>
      <c r="N406" s="264"/>
      <c r="O406" s="264" t="s">
        <v>22</v>
      </c>
      <c r="P406" s="264"/>
      <c r="Q406" s="264"/>
      <c r="R406" s="264"/>
      <c r="S406" s="264"/>
      <c r="T406" s="264"/>
      <c r="U406" s="360"/>
      <c r="V406" s="360"/>
      <c r="W406" s="360"/>
      <c r="X406" s="360"/>
      <c r="Y406" s="360"/>
      <c r="Z406" s="360"/>
      <c r="AA406" s="360"/>
      <c r="AB406" s="360"/>
      <c r="AC406" s="360"/>
      <c r="AD406" s="360"/>
      <c r="AE406" s="360"/>
      <c r="AF406" s="360"/>
      <c r="AG406" s="360" t="s">
        <v>1582</v>
      </c>
      <c r="AH406" s="360"/>
      <c r="AI406" s="360"/>
      <c r="AJ406" s="360" t="s">
        <v>1589</v>
      </c>
      <c r="AK406" s="360"/>
      <c r="AL406" s="360" t="s">
        <v>5878</v>
      </c>
      <c r="AM406" s="360"/>
      <c r="AN406" s="360"/>
      <c r="AO406" s="360"/>
      <c r="AP406" s="360"/>
      <c r="AQ406" s="360"/>
      <c r="AR406" s="360"/>
      <c r="AS406" s="360"/>
      <c r="AT406" s="360"/>
      <c r="AU406" s="360" t="s">
        <v>22</v>
      </c>
      <c r="AV406" s="360"/>
      <c r="AW406" s="264"/>
      <c r="AX406" s="264"/>
      <c r="AY406" s="264"/>
      <c r="AZ406" s="264"/>
      <c r="BA406" s="264"/>
      <c r="BB406" s="264"/>
      <c r="BC406" s="264"/>
      <c r="BD406" s="264"/>
      <c r="BE406" s="264"/>
    </row>
    <row r="407">
      <c r="A407" s="264"/>
      <c r="B407" s="264"/>
      <c r="C407" s="264"/>
      <c r="D407" s="264"/>
      <c r="E407" s="264"/>
      <c r="F407" s="264"/>
      <c r="G407" s="264"/>
      <c r="H407" s="264"/>
      <c r="I407" s="264"/>
      <c r="J407" s="264"/>
      <c r="K407" s="264"/>
      <c r="L407" s="264"/>
      <c r="M407" s="264" t="s">
        <v>22</v>
      </c>
      <c r="N407" s="264"/>
      <c r="O407" s="264" t="s">
        <v>22</v>
      </c>
      <c r="P407" s="264"/>
      <c r="Q407" s="264"/>
      <c r="R407" s="264"/>
      <c r="S407" s="264"/>
      <c r="T407" s="264"/>
      <c r="U407" s="360"/>
      <c r="V407" s="360"/>
      <c r="W407" s="360"/>
      <c r="X407" s="360"/>
      <c r="Y407" s="360"/>
      <c r="Z407" s="360"/>
      <c r="AA407" s="360"/>
      <c r="AB407" s="360"/>
      <c r="AC407" s="360"/>
      <c r="AD407" s="360"/>
      <c r="AE407" s="360"/>
      <c r="AF407" s="360"/>
      <c r="AG407" s="360" t="s">
        <v>1582</v>
      </c>
      <c r="AH407" s="360"/>
      <c r="AI407" s="360"/>
      <c r="AJ407" s="360" t="s">
        <v>1589</v>
      </c>
      <c r="AK407" s="360"/>
      <c r="AL407" s="360" t="s">
        <v>5878</v>
      </c>
      <c r="AM407" s="360"/>
      <c r="AN407" s="360"/>
      <c r="AO407" s="360"/>
      <c r="AP407" s="360"/>
      <c r="AQ407" s="360"/>
      <c r="AR407" s="360"/>
      <c r="AS407" s="360"/>
      <c r="AT407" s="360"/>
      <c r="AU407" s="360" t="s">
        <v>22</v>
      </c>
      <c r="AV407" s="360"/>
      <c r="AW407" s="264"/>
      <c r="AX407" s="264"/>
      <c r="AY407" s="264"/>
      <c r="AZ407" s="264"/>
      <c r="BA407" s="264"/>
      <c r="BB407" s="264"/>
      <c r="BC407" s="264"/>
      <c r="BD407" s="264"/>
      <c r="BE407" s="264"/>
    </row>
    <row r="408">
      <c r="A408" s="264"/>
      <c r="B408" s="264"/>
      <c r="C408" s="264"/>
      <c r="D408" s="264"/>
      <c r="E408" s="264"/>
      <c r="F408" s="264"/>
      <c r="G408" s="264"/>
      <c r="H408" s="264"/>
      <c r="I408" s="264"/>
      <c r="J408" s="264"/>
      <c r="K408" s="264"/>
      <c r="L408" s="264"/>
      <c r="M408" s="264" t="s">
        <v>22</v>
      </c>
      <c r="N408" s="264"/>
      <c r="O408" s="264" t="s">
        <v>22</v>
      </c>
      <c r="P408" s="264"/>
      <c r="Q408" s="264"/>
      <c r="R408" s="264"/>
      <c r="S408" s="264"/>
      <c r="T408" s="264"/>
      <c r="U408" s="360"/>
      <c r="V408" s="360"/>
      <c r="W408" s="360"/>
      <c r="X408" s="360"/>
      <c r="Y408" s="360"/>
      <c r="Z408" s="360"/>
      <c r="AA408" s="360"/>
      <c r="AB408" s="360"/>
      <c r="AC408" s="360"/>
      <c r="AD408" s="360"/>
      <c r="AE408" s="360"/>
      <c r="AF408" s="360"/>
      <c r="AG408" s="360" t="s">
        <v>1582</v>
      </c>
      <c r="AH408" s="360"/>
      <c r="AI408" s="360"/>
      <c r="AJ408" s="360" t="s">
        <v>1589</v>
      </c>
      <c r="AK408" s="360"/>
      <c r="AL408" s="360" t="s">
        <v>5878</v>
      </c>
      <c r="AM408" s="360"/>
      <c r="AN408" s="360"/>
      <c r="AO408" s="360"/>
      <c r="AP408" s="360"/>
      <c r="AQ408" s="360"/>
      <c r="AR408" s="360"/>
      <c r="AS408" s="360"/>
      <c r="AT408" s="360"/>
      <c r="AU408" s="360" t="s">
        <v>22</v>
      </c>
      <c r="AV408" s="360"/>
      <c r="AW408" s="264"/>
      <c r="AX408" s="264"/>
      <c r="AY408" s="264"/>
      <c r="AZ408" s="264"/>
      <c r="BA408" s="264"/>
      <c r="BB408" s="264"/>
      <c r="BC408" s="264"/>
      <c r="BD408" s="264"/>
      <c r="BE408" s="264"/>
    </row>
    <row r="409">
      <c r="A409" s="264"/>
      <c r="B409" s="264"/>
      <c r="C409" s="264"/>
      <c r="D409" s="264"/>
      <c r="E409" s="264"/>
      <c r="F409" s="264"/>
      <c r="G409" s="264"/>
      <c r="H409" s="264"/>
      <c r="I409" s="264"/>
      <c r="J409" s="264"/>
      <c r="K409" s="264"/>
      <c r="L409" s="264"/>
      <c r="M409" s="264" t="s">
        <v>22</v>
      </c>
      <c r="N409" s="264"/>
      <c r="O409" s="264" t="s">
        <v>22</v>
      </c>
      <c r="P409" s="264"/>
      <c r="Q409" s="264"/>
      <c r="R409" s="264"/>
      <c r="S409" s="264"/>
      <c r="T409" s="264"/>
      <c r="U409" s="360"/>
      <c r="V409" s="360"/>
      <c r="W409" s="360"/>
      <c r="X409" s="360"/>
      <c r="Y409" s="360"/>
      <c r="Z409" s="360"/>
      <c r="AA409" s="360"/>
      <c r="AB409" s="360"/>
      <c r="AC409" s="360"/>
      <c r="AD409" s="360"/>
      <c r="AE409" s="360"/>
      <c r="AF409" s="360"/>
      <c r="AG409" s="360" t="s">
        <v>1582</v>
      </c>
      <c r="AH409" s="360"/>
      <c r="AI409" s="360"/>
      <c r="AJ409" s="360" t="s">
        <v>1589</v>
      </c>
      <c r="AK409" s="360"/>
      <c r="AL409" s="360" t="s">
        <v>5878</v>
      </c>
      <c r="AM409" s="360"/>
      <c r="AN409" s="360"/>
      <c r="AO409" s="360"/>
      <c r="AP409" s="360"/>
      <c r="AQ409" s="360"/>
      <c r="AR409" s="360"/>
      <c r="AS409" s="360"/>
      <c r="AT409" s="360"/>
      <c r="AU409" s="360" t="s">
        <v>22</v>
      </c>
      <c r="AV409" s="360"/>
      <c r="AW409" s="264"/>
      <c r="AX409" s="264"/>
      <c r="AY409" s="264"/>
      <c r="AZ409" s="264"/>
      <c r="BA409" s="264"/>
      <c r="BB409" s="264"/>
      <c r="BC409" s="264"/>
      <c r="BD409" s="264"/>
      <c r="BE409" s="264"/>
    </row>
    <row r="410">
      <c r="A410" s="264"/>
      <c r="B410" s="264"/>
      <c r="C410" s="264"/>
      <c r="D410" s="264"/>
      <c r="E410" s="264"/>
      <c r="F410" s="264"/>
      <c r="G410" s="264"/>
      <c r="H410" s="264"/>
      <c r="I410" s="264"/>
      <c r="J410" s="264"/>
      <c r="K410" s="264"/>
      <c r="L410" s="264"/>
      <c r="M410" s="264" t="s">
        <v>22</v>
      </c>
      <c r="N410" s="264"/>
      <c r="O410" s="264" t="s">
        <v>22</v>
      </c>
      <c r="P410" s="264"/>
      <c r="Q410" s="264"/>
      <c r="R410" s="264"/>
      <c r="S410" s="264"/>
      <c r="T410" s="264"/>
      <c r="U410" s="360"/>
      <c r="V410" s="360"/>
      <c r="W410" s="360"/>
      <c r="X410" s="360"/>
      <c r="Y410" s="360"/>
      <c r="Z410" s="360"/>
      <c r="AA410" s="360"/>
      <c r="AB410" s="360"/>
      <c r="AC410" s="360"/>
      <c r="AD410" s="360"/>
      <c r="AE410" s="360"/>
      <c r="AF410" s="360"/>
      <c r="AG410" s="360" t="s">
        <v>1582</v>
      </c>
      <c r="AH410" s="360"/>
      <c r="AI410" s="360"/>
      <c r="AJ410" s="360" t="s">
        <v>1589</v>
      </c>
      <c r="AK410" s="360"/>
      <c r="AL410" s="360" t="s">
        <v>5878</v>
      </c>
      <c r="AM410" s="360"/>
      <c r="AN410" s="360"/>
      <c r="AO410" s="360"/>
      <c r="AP410" s="360"/>
      <c r="AQ410" s="360"/>
      <c r="AR410" s="360"/>
      <c r="AS410" s="360"/>
      <c r="AT410" s="360"/>
      <c r="AU410" s="360" t="s">
        <v>22</v>
      </c>
      <c r="AV410" s="360"/>
      <c r="AW410" s="264"/>
      <c r="AX410" s="264"/>
      <c r="AY410" s="264"/>
      <c r="AZ410" s="264"/>
      <c r="BA410" s="264"/>
      <c r="BB410" s="264"/>
      <c r="BC410" s="264"/>
      <c r="BD410" s="264"/>
      <c r="BE410" s="264"/>
    </row>
    <row r="411">
      <c r="A411" s="264"/>
      <c r="B411" s="264"/>
      <c r="C411" s="264"/>
      <c r="D411" s="264"/>
      <c r="E411" s="264"/>
      <c r="F411" s="264"/>
      <c r="G411" s="264"/>
      <c r="H411" s="264"/>
      <c r="I411" s="264"/>
      <c r="J411" s="264"/>
      <c r="K411" s="264"/>
      <c r="L411" s="264"/>
      <c r="M411" s="264" t="s">
        <v>22</v>
      </c>
      <c r="N411" s="264"/>
      <c r="O411" s="264" t="s">
        <v>22</v>
      </c>
      <c r="P411" s="264"/>
      <c r="Q411" s="264"/>
      <c r="R411" s="264"/>
      <c r="S411" s="264"/>
      <c r="T411" s="264"/>
      <c r="U411" s="360"/>
      <c r="V411" s="360"/>
      <c r="W411" s="360"/>
      <c r="X411" s="360"/>
      <c r="Y411" s="360"/>
      <c r="Z411" s="360"/>
      <c r="AA411" s="360"/>
      <c r="AB411" s="360"/>
      <c r="AC411" s="360"/>
      <c r="AD411" s="360"/>
      <c r="AE411" s="360"/>
      <c r="AF411" s="360"/>
      <c r="AG411" s="360" t="s">
        <v>1582</v>
      </c>
      <c r="AH411" s="360"/>
      <c r="AI411" s="360"/>
      <c r="AJ411" s="360" t="s">
        <v>1589</v>
      </c>
      <c r="AK411" s="360"/>
      <c r="AL411" s="360" t="s">
        <v>5878</v>
      </c>
      <c r="AM411" s="360"/>
      <c r="AN411" s="360"/>
      <c r="AO411" s="360"/>
      <c r="AP411" s="360"/>
      <c r="AQ411" s="360"/>
      <c r="AR411" s="360"/>
      <c r="AS411" s="360"/>
      <c r="AT411" s="360"/>
      <c r="AU411" s="360" t="s">
        <v>22</v>
      </c>
      <c r="AV411" s="360"/>
      <c r="AW411" s="264"/>
      <c r="AX411" s="264"/>
      <c r="AY411" s="264"/>
      <c r="AZ411" s="264"/>
      <c r="BA411" s="264"/>
      <c r="BB411" s="264"/>
      <c r="BC411" s="264"/>
      <c r="BD411" s="264"/>
      <c r="BE411" s="264"/>
    </row>
    <row r="412">
      <c r="A412" s="264"/>
      <c r="B412" s="264"/>
      <c r="C412" s="264"/>
      <c r="D412" s="264"/>
      <c r="E412" s="264"/>
      <c r="F412" s="264"/>
      <c r="G412" s="264"/>
      <c r="H412" s="264"/>
      <c r="I412" s="264"/>
      <c r="J412" s="264"/>
      <c r="K412" s="264"/>
      <c r="L412" s="264"/>
      <c r="M412" s="264" t="s">
        <v>22</v>
      </c>
      <c r="N412" s="264"/>
      <c r="O412" s="264" t="s">
        <v>22</v>
      </c>
      <c r="P412" s="264"/>
      <c r="Q412" s="264"/>
      <c r="R412" s="264"/>
      <c r="S412" s="264"/>
      <c r="T412" s="264"/>
      <c r="U412" s="360"/>
      <c r="V412" s="360"/>
      <c r="W412" s="360"/>
      <c r="X412" s="360"/>
      <c r="Y412" s="360"/>
      <c r="Z412" s="360"/>
      <c r="AA412" s="360"/>
      <c r="AB412" s="360"/>
      <c r="AC412" s="360"/>
      <c r="AD412" s="360"/>
      <c r="AE412" s="360"/>
      <c r="AF412" s="360"/>
      <c r="AG412" s="360" t="s">
        <v>1582</v>
      </c>
      <c r="AH412" s="360"/>
      <c r="AI412" s="360"/>
      <c r="AJ412" s="360" t="s">
        <v>1589</v>
      </c>
      <c r="AK412" s="360"/>
      <c r="AL412" s="360" t="s">
        <v>5878</v>
      </c>
      <c r="AM412" s="360"/>
      <c r="AN412" s="360"/>
      <c r="AO412" s="360"/>
      <c r="AP412" s="360"/>
      <c r="AQ412" s="360"/>
      <c r="AR412" s="360"/>
      <c r="AS412" s="360"/>
      <c r="AT412" s="360"/>
      <c r="AU412" s="360" t="s">
        <v>22</v>
      </c>
      <c r="AV412" s="360"/>
      <c r="AW412" s="264"/>
      <c r="AX412" s="264"/>
      <c r="AY412" s="264"/>
      <c r="AZ412" s="264"/>
      <c r="BA412" s="264"/>
      <c r="BB412" s="264"/>
      <c r="BC412" s="264"/>
      <c r="BD412" s="264"/>
      <c r="BE412" s="264"/>
    </row>
    <row r="413">
      <c r="A413" s="264"/>
      <c r="B413" s="264"/>
      <c r="C413" s="264"/>
      <c r="D413" s="264"/>
      <c r="E413" s="264"/>
      <c r="F413" s="264"/>
      <c r="G413" s="264"/>
      <c r="H413" s="264"/>
      <c r="I413" s="264"/>
      <c r="J413" s="264"/>
      <c r="K413" s="264"/>
      <c r="L413" s="264"/>
      <c r="M413" s="264" t="s">
        <v>22</v>
      </c>
      <c r="N413" s="264"/>
      <c r="O413" s="264" t="s">
        <v>22</v>
      </c>
      <c r="P413" s="264"/>
      <c r="Q413" s="264"/>
      <c r="R413" s="264"/>
      <c r="S413" s="264"/>
      <c r="T413" s="264"/>
      <c r="U413" s="360"/>
      <c r="V413" s="360"/>
      <c r="W413" s="360"/>
      <c r="X413" s="360"/>
      <c r="Y413" s="360"/>
      <c r="Z413" s="360"/>
      <c r="AA413" s="360"/>
      <c r="AB413" s="360"/>
      <c r="AC413" s="360"/>
      <c r="AD413" s="360"/>
      <c r="AE413" s="360"/>
      <c r="AF413" s="360"/>
      <c r="AG413" s="360" t="s">
        <v>1582</v>
      </c>
      <c r="AH413" s="360"/>
      <c r="AI413" s="360"/>
      <c r="AJ413" s="360" t="s">
        <v>1589</v>
      </c>
      <c r="AK413" s="360"/>
      <c r="AL413" s="360" t="s">
        <v>5878</v>
      </c>
      <c r="AM413" s="360"/>
      <c r="AN413" s="360"/>
      <c r="AO413" s="360"/>
      <c r="AP413" s="360"/>
      <c r="AQ413" s="360"/>
      <c r="AR413" s="360"/>
      <c r="AS413" s="360"/>
      <c r="AT413" s="360"/>
      <c r="AU413" s="360" t="s">
        <v>22</v>
      </c>
      <c r="AV413" s="360"/>
      <c r="AW413" s="264"/>
      <c r="AX413" s="264"/>
      <c r="AY413" s="264"/>
      <c r="AZ413" s="264"/>
      <c r="BA413" s="264"/>
      <c r="BB413" s="264"/>
      <c r="BC413" s="264"/>
      <c r="BD413" s="264"/>
      <c r="BE413" s="264"/>
    </row>
    <row r="414">
      <c r="A414" s="264"/>
      <c r="B414" s="264"/>
      <c r="C414" s="264"/>
      <c r="D414" s="264"/>
      <c r="E414" s="264"/>
      <c r="F414" s="264"/>
      <c r="G414" s="264"/>
      <c r="H414" s="264"/>
      <c r="I414" s="264"/>
      <c r="J414" s="264"/>
      <c r="K414" s="264"/>
      <c r="L414" s="264"/>
      <c r="M414" s="264" t="s">
        <v>22</v>
      </c>
      <c r="N414" s="264"/>
      <c r="O414" s="264" t="s">
        <v>22</v>
      </c>
      <c r="P414" s="264"/>
      <c r="Q414" s="264"/>
      <c r="R414" s="264"/>
      <c r="S414" s="264"/>
      <c r="T414" s="264"/>
      <c r="U414" s="360"/>
      <c r="V414" s="360"/>
      <c r="W414" s="360"/>
      <c r="X414" s="360"/>
      <c r="Y414" s="360"/>
      <c r="Z414" s="360"/>
      <c r="AA414" s="360"/>
      <c r="AB414" s="360"/>
      <c r="AC414" s="360"/>
      <c r="AD414" s="360"/>
      <c r="AE414" s="360"/>
      <c r="AF414" s="360"/>
      <c r="AG414" s="360" t="s">
        <v>1582</v>
      </c>
      <c r="AH414" s="360"/>
      <c r="AI414" s="360"/>
      <c r="AJ414" s="360" t="s">
        <v>1589</v>
      </c>
      <c r="AK414" s="360"/>
      <c r="AL414" s="360" t="s">
        <v>5878</v>
      </c>
      <c r="AM414" s="360"/>
      <c r="AN414" s="360"/>
      <c r="AO414" s="360"/>
      <c r="AP414" s="360"/>
      <c r="AQ414" s="360"/>
      <c r="AR414" s="360"/>
      <c r="AS414" s="360"/>
      <c r="AT414" s="360"/>
      <c r="AU414" s="360" t="s">
        <v>22</v>
      </c>
      <c r="AV414" s="360"/>
      <c r="AW414" s="264"/>
      <c r="AX414" s="264"/>
      <c r="AY414" s="264"/>
      <c r="AZ414" s="264"/>
      <c r="BA414" s="264"/>
      <c r="BB414" s="264"/>
      <c r="BC414" s="264"/>
      <c r="BD414" s="264"/>
      <c r="BE414" s="264"/>
    </row>
    <row r="415">
      <c r="A415" s="264"/>
      <c r="B415" s="264"/>
      <c r="C415" s="264"/>
      <c r="D415" s="264"/>
      <c r="E415" s="264"/>
      <c r="F415" s="264"/>
      <c r="G415" s="264"/>
      <c r="H415" s="264"/>
      <c r="I415" s="264"/>
      <c r="J415" s="264"/>
      <c r="K415" s="264"/>
      <c r="L415" s="264"/>
      <c r="M415" s="264" t="s">
        <v>22</v>
      </c>
      <c r="N415" s="264"/>
      <c r="O415" s="264" t="s">
        <v>22</v>
      </c>
      <c r="P415" s="264"/>
      <c r="Q415" s="264"/>
      <c r="R415" s="264"/>
      <c r="S415" s="264"/>
      <c r="T415" s="264"/>
      <c r="U415" s="360"/>
      <c r="V415" s="360"/>
      <c r="W415" s="360"/>
      <c r="X415" s="360"/>
      <c r="Y415" s="360"/>
      <c r="Z415" s="360"/>
      <c r="AA415" s="360"/>
      <c r="AB415" s="360"/>
      <c r="AC415" s="360"/>
      <c r="AD415" s="360"/>
      <c r="AE415" s="360"/>
      <c r="AF415" s="360"/>
      <c r="AG415" s="360" t="s">
        <v>1582</v>
      </c>
      <c r="AH415" s="360"/>
      <c r="AI415" s="360"/>
      <c r="AJ415" s="360" t="s">
        <v>1589</v>
      </c>
      <c r="AK415" s="360"/>
      <c r="AL415" s="360" t="s">
        <v>5878</v>
      </c>
      <c r="AM415" s="360"/>
      <c r="AN415" s="360"/>
      <c r="AO415" s="360"/>
      <c r="AP415" s="360"/>
      <c r="AQ415" s="360"/>
      <c r="AR415" s="360"/>
      <c r="AS415" s="360"/>
      <c r="AT415" s="360"/>
      <c r="AU415" s="360" t="s">
        <v>22</v>
      </c>
      <c r="AV415" s="360"/>
      <c r="AW415" s="264"/>
      <c r="AX415" s="264"/>
      <c r="AY415" s="264"/>
      <c r="AZ415" s="264"/>
      <c r="BA415" s="264"/>
      <c r="BB415" s="264"/>
      <c r="BC415" s="264"/>
      <c r="BD415" s="264"/>
      <c r="BE415" s="264"/>
    </row>
    <row r="416">
      <c r="A416" s="264"/>
      <c r="B416" s="264"/>
      <c r="C416" s="264"/>
      <c r="D416" s="264"/>
      <c r="E416" s="264"/>
      <c r="F416" s="264"/>
      <c r="G416" s="264"/>
      <c r="H416" s="264"/>
      <c r="I416" s="264"/>
      <c r="J416" s="264"/>
      <c r="K416" s="264"/>
      <c r="L416" s="264"/>
      <c r="M416" s="264" t="s">
        <v>22</v>
      </c>
      <c r="N416" s="264"/>
      <c r="O416" s="264" t="s">
        <v>22</v>
      </c>
      <c r="P416" s="264"/>
      <c r="Q416" s="264"/>
      <c r="R416" s="264"/>
      <c r="S416" s="264"/>
      <c r="T416" s="264"/>
      <c r="U416" s="360"/>
      <c r="V416" s="360"/>
      <c r="W416" s="360"/>
      <c r="X416" s="360"/>
      <c r="Y416" s="360"/>
      <c r="Z416" s="360"/>
      <c r="AA416" s="360"/>
      <c r="AB416" s="360"/>
      <c r="AC416" s="360"/>
      <c r="AD416" s="360"/>
      <c r="AE416" s="360"/>
      <c r="AF416" s="360"/>
      <c r="AG416" s="360" t="s">
        <v>1582</v>
      </c>
      <c r="AH416" s="360"/>
      <c r="AI416" s="360"/>
      <c r="AJ416" s="360" t="s">
        <v>1589</v>
      </c>
      <c r="AK416" s="360"/>
      <c r="AL416" s="360" t="s">
        <v>5878</v>
      </c>
      <c r="AM416" s="360"/>
      <c r="AN416" s="360"/>
      <c r="AO416" s="360"/>
      <c r="AP416" s="360"/>
      <c r="AQ416" s="360"/>
      <c r="AR416" s="360"/>
      <c r="AS416" s="360"/>
      <c r="AT416" s="360"/>
      <c r="AU416" s="360" t="s">
        <v>22</v>
      </c>
      <c r="AV416" s="360"/>
      <c r="AW416" s="264"/>
      <c r="AX416" s="264"/>
      <c r="AY416" s="264"/>
      <c r="AZ416" s="264"/>
      <c r="BA416" s="264"/>
      <c r="BB416" s="264"/>
      <c r="BC416" s="264"/>
      <c r="BD416" s="264"/>
      <c r="BE416" s="264"/>
    </row>
    <row r="417">
      <c r="A417" s="264"/>
      <c r="B417" s="264"/>
      <c r="C417" s="264"/>
      <c r="D417" s="264"/>
      <c r="E417" s="264"/>
      <c r="F417" s="264"/>
      <c r="G417" s="264"/>
      <c r="H417" s="264"/>
      <c r="I417" s="264"/>
      <c r="J417" s="264"/>
      <c r="K417" s="264"/>
      <c r="L417" s="264"/>
      <c r="M417" s="264" t="s">
        <v>22</v>
      </c>
      <c r="N417" s="264"/>
      <c r="O417" s="264" t="s">
        <v>22</v>
      </c>
      <c r="P417" s="264"/>
      <c r="Q417" s="264"/>
      <c r="R417" s="264"/>
      <c r="S417" s="264"/>
      <c r="T417" s="264"/>
      <c r="U417" s="360"/>
      <c r="V417" s="360"/>
      <c r="W417" s="360"/>
      <c r="X417" s="360"/>
      <c r="Y417" s="360"/>
      <c r="Z417" s="360"/>
      <c r="AA417" s="360"/>
      <c r="AB417" s="360"/>
      <c r="AC417" s="360"/>
      <c r="AD417" s="360"/>
      <c r="AE417" s="360"/>
      <c r="AF417" s="360"/>
      <c r="AG417" s="360" t="s">
        <v>1582</v>
      </c>
      <c r="AH417" s="360"/>
      <c r="AI417" s="360"/>
      <c r="AJ417" s="360" t="s">
        <v>1589</v>
      </c>
      <c r="AK417" s="360"/>
      <c r="AL417" s="360" t="s">
        <v>5878</v>
      </c>
      <c r="AM417" s="360"/>
      <c r="AN417" s="360"/>
      <c r="AO417" s="360"/>
      <c r="AP417" s="360"/>
      <c r="AQ417" s="360"/>
      <c r="AR417" s="360"/>
      <c r="AS417" s="360"/>
      <c r="AT417" s="360"/>
      <c r="AU417" s="360" t="s">
        <v>22</v>
      </c>
      <c r="AV417" s="360"/>
      <c r="AW417" s="264"/>
      <c r="AX417" s="264"/>
      <c r="AY417" s="264"/>
      <c r="AZ417" s="264"/>
      <c r="BA417" s="264"/>
      <c r="BB417" s="264"/>
      <c r="BC417" s="264"/>
      <c r="BD417" s="264"/>
      <c r="BE417" s="264"/>
    </row>
    <row r="418">
      <c r="A418" s="264"/>
      <c r="B418" s="264"/>
      <c r="C418" s="264"/>
      <c r="D418" s="264"/>
      <c r="E418" s="264"/>
      <c r="F418" s="264"/>
      <c r="G418" s="264"/>
      <c r="H418" s="264"/>
      <c r="I418" s="264"/>
      <c r="J418" s="264"/>
      <c r="K418" s="264"/>
      <c r="L418" s="264"/>
      <c r="M418" s="264" t="s">
        <v>22</v>
      </c>
      <c r="N418" s="264"/>
      <c r="O418" s="264" t="s">
        <v>22</v>
      </c>
      <c r="P418" s="264"/>
      <c r="Q418" s="264"/>
      <c r="R418" s="264"/>
      <c r="S418" s="264"/>
      <c r="T418" s="264"/>
      <c r="U418" s="360"/>
      <c r="V418" s="360"/>
      <c r="W418" s="360"/>
      <c r="X418" s="360"/>
      <c r="Y418" s="360"/>
      <c r="Z418" s="360"/>
      <c r="AA418" s="360"/>
      <c r="AB418" s="360"/>
      <c r="AC418" s="360"/>
      <c r="AD418" s="360"/>
      <c r="AE418" s="360"/>
      <c r="AF418" s="360"/>
      <c r="AG418" s="360" t="s">
        <v>1582</v>
      </c>
      <c r="AH418" s="360"/>
      <c r="AI418" s="360"/>
      <c r="AJ418" s="360" t="s">
        <v>1589</v>
      </c>
      <c r="AK418" s="360"/>
      <c r="AL418" s="360" t="s">
        <v>5878</v>
      </c>
      <c r="AM418" s="360"/>
      <c r="AN418" s="360"/>
      <c r="AO418" s="360"/>
      <c r="AP418" s="360"/>
      <c r="AQ418" s="360"/>
      <c r="AR418" s="360"/>
      <c r="AS418" s="360"/>
      <c r="AT418" s="360"/>
      <c r="AU418" s="360" t="s">
        <v>22</v>
      </c>
      <c r="AV418" s="360"/>
      <c r="AW418" s="264"/>
      <c r="AX418" s="264"/>
      <c r="AY418" s="264"/>
      <c r="AZ418" s="264"/>
      <c r="BA418" s="264"/>
      <c r="BB418" s="264"/>
      <c r="BC418" s="264"/>
      <c r="BD418" s="264"/>
      <c r="BE418" s="264"/>
    </row>
    <row r="419">
      <c r="A419" s="264"/>
      <c r="B419" s="264"/>
      <c r="C419" s="264"/>
      <c r="D419" s="264"/>
      <c r="E419" s="264"/>
      <c r="F419" s="264"/>
      <c r="G419" s="264"/>
      <c r="H419" s="264"/>
      <c r="I419" s="264"/>
      <c r="J419" s="264"/>
      <c r="K419" s="264"/>
      <c r="L419" s="264"/>
      <c r="M419" s="264" t="s">
        <v>22</v>
      </c>
      <c r="N419" s="264"/>
      <c r="O419" s="264" t="s">
        <v>22</v>
      </c>
      <c r="P419" s="264"/>
      <c r="Q419" s="264"/>
      <c r="R419" s="264"/>
      <c r="S419" s="264"/>
      <c r="T419" s="264"/>
      <c r="U419" s="360"/>
      <c r="V419" s="360"/>
      <c r="W419" s="360"/>
      <c r="X419" s="360"/>
      <c r="Y419" s="360"/>
      <c r="Z419" s="360"/>
      <c r="AA419" s="360"/>
      <c r="AB419" s="360"/>
      <c r="AC419" s="360"/>
      <c r="AD419" s="360"/>
      <c r="AE419" s="360"/>
      <c r="AF419" s="360"/>
      <c r="AG419" s="360" t="s">
        <v>1582</v>
      </c>
      <c r="AH419" s="360"/>
      <c r="AI419" s="360"/>
      <c r="AJ419" s="360" t="s">
        <v>1589</v>
      </c>
      <c r="AK419" s="360"/>
      <c r="AL419" s="360" t="s">
        <v>5878</v>
      </c>
      <c r="AM419" s="360"/>
      <c r="AN419" s="360"/>
      <c r="AO419" s="360"/>
      <c r="AP419" s="360"/>
      <c r="AQ419" s="360"/>
      <c r="AR419" s="360"/>
      <c r="AS419" s="360"/>
      <c r="AT419" s="360"/>
      <c r="AU419" s="360" t="s">
        <v>22</v>
      </c>
      <c r="AV419" s="360"/>
      <c r="AW419" s="264"/>
      <c r="AX419" s="264"/>
      <c r="AY419" s="264"/>
      <c r="AZ419" s="264"/>
      <c r="BA419" s="264"/>
      <c r="BB419" s="264"/>
      <c r="BC419" s="264"/>
      <c r="BD419" s="264"/>
      <c r="BE419" s="264"/>
    </row>
    <row r="420">
      <c r="A420" s="264"/>
      <c r="B420" s="264"/>
      <c r="C420" s="264"/>
      <c r="D420" s="264"/>
      <c r="E420" s="264"/>
      <c r="F420" s="264"/>
      <c r="G420" s="264"/>
      <c r="H420" s="264"/>
      <c r="I420" s="264"/>
      <c r="J420" s="264"/>
      <c r="K420" s="264"/>
      <c r="L420" s="264"/>
      <c r="M420" s="264" t="s">
        <v>22</v>
      </c>
      <c r="N420" s="264"/>
      <c r="O420" s="264" t="s">
        <v>22</v>
      </c>
      <c r="P420" s="264"/>
      <c r="Q420" s="264"/>
      <c r="R420" s="264"/>
      <c r="S420" s="264"/>
      <c r="T420" s="264"/>
      <c r="U420" s="360"/>
      <c r="V420" s="360"/>
      <c r="W420" s="360"/>
      <c r="X420" s="360"/>
      <c r="Y420" s="360"/>
      <c r="Z420" s="360"/>
      <c r="AA420" s="360"/>
      <c r="AB420" s="360"/>
      <c r="AC420" s="360"/>
      <c r="AD420" s="360"/>
      <c r="AE420" s="360"/>
      <c r="AF420" s="360"/>
      <c r="AG420" s="360" t="s">
        <v>1582</v>
      </c>
      <c r="AH420" s="360"/>
      <c r="AI420" s="360"/>
      <c r="AJ420" s="360" t="s">
        <v>1589</v>
      </c>
      <c r="AK420" s="360"/>
      <c r="AL420" s="360" t="s">
        <v>5878</v>
      </c>
      <c r="AM420" s="360"/>
      <c r="AN420" s="360"/>
      <c r="AO420" s="360"/>
      <c r="AP420" s="360"/>
      <c r="AQ420" s="360"/>
      <c r="AR420" s="360"/>
      <c r="AS420" s="360"/>
      <c r="AT420" s="360"/>
      <c r="AU420" s="360" t="s">
        <v>22</v>
      </c>
      <c r="AV420" s="360"/>
      <c r="AW420" s="264"/>
      <c r="AX420" s="264"/>
      <c r="AY420" s="264"/>
      <c r="AZ420" s="264"/>
      <c r="BA420" s="264"/>
      <c r="BB420" s="264"/>
      <c r="BC420" s="264"/>
      <c r="BD420" s="264"/>
      <c r="BE420" s="264"/>
    </row>
    <row r="421">
      <c r="A421" s="264"/>
      <c r="B421" s="264"/>
      <c r="C421" s="264"/>
      <c r="D421" s="264"/>
      <c r="E421" s="264"/>
      <c r="F421" s="264"/>
      <c r="G421" s="264"/>
      <c r="H421" s="264"/>
      <c r="I421" s="264"/>
      <c r="J421" s="264"/>
      <c r="K421" s="264"/>
      <c r="L421" s="264"/>
      <c r="M421" s="264" t="s">
        <v>22</v>
      </c>
      <c r="N421" s="264"/>
      <c r="O421" s="264" t="s">
        <v>22</v>
      </c>
      <c r="P421" s="264"/>
      <c r="Q421" s="264"/>
      <c r="R421" s="264"/>
      <c r="S421" s="264"/>
      <c r="T421" s="264"/>
      <c r="U421" s="360"/>
      <c r="V421" s="360"/>
      <c r="W421" s="360"/>
      <c r="X421" s="360"/>
      <c r="Y421" s="360"/>
      <c r="Z421" s="360"/>
      <c r="AA421" s="360"/>
      <c r="AB421" s="360"/>
      <c r="AC421" s="360"/>
      <c r="AD421" s="360"/>
      <c r="AE421" s="360"/>
      <c r="AF421" s="360"/>
      <c r="AG421" s="360" t="s">
        <v>1582</v>
      </c>
      <c r="AH421" s="360"/>
      <c r="AI421" s="360"/>
      <c r="AJ421" s="360" t="s">
        <v>1589</v>
      </c>
      <c r="AK421" s="360"/>
      <c r="AL421" s="360" t="s">
        <v>5878</v>
      </c>
      <c r="AM421" s="360"/>
      <c r="AN421" s="360"/>
      <c r="AO421" s="360"/>
      <c r="AP421" s="360"/>
      <c r="AQ421" s="360"/>
      <c r="AR421" s="360"/>
      <c r="AS421" s="360"/>
      <c r="AT421" s="360"/>
      <c r="AU421" s="360" t="s">
        <v>22</v>
      </c>
      <c r="AV421" s="360"/>
      <c r="AW421" s="264"/>
      <c r="AX421" s="264"/>
      <c r="AY421" s="264"/>
      <c r="AZ421" s="264"/>
      <c r="BA421" s="264"/>
      <c r="BB421" s="264"/>
      <c r="BC421" s="264"/>
      <c r="BD421" s="264"/>
      <c r="BE421" s="264"/>
    </row>
    <row r="422">
      <c r="A422" s="264"/>
      <c r="B422" s="264"/>
      <c r="C422" s="264"/>
      <c r="D422" s="264"/>
      <c r="E422" s="264"/>
      <c r="F422" s="264"/>
      <c r="G422" s="264"/>
      <c r="H422" s="264"/>
      <c r="I422" s="264"/>
      <c r="J422" s="264"/>
      <c r="K422" s="264"/>
      <c r="L422" s="264"/>
      <c r="M422" s="264" t="s">
        <v>22</v>
      </c>
      <c r="N422" s="264"/>
      <c r="O422" s="264" t="s">
        <v>22</v>
      </c>
      <c r="P422" s="264"/>
      <c r="Q422" s="264"/>
      <c r="R422" s="264"/>
      <c r="S422" s="264"/>
      <c r="T422" s="264"/>
      <c r="U422" s="360"/>
      <c r="V422" s="360"/>
      <c r="W422" s="360"/>
      <c r="X422" s="360"/>
      <c r="Y422" s="360"/>
      <c r="Z422" s="360"/>
      <c r="AA422" s="360"/>
      <c r="AB422" s="360"/>
      <c r="AC422" s="360"/>
      <c r="AD422" s="360"/>
      <c r="AE422" s="360"/>
      <c r="AF422" s="360"/>
      <c r="AG422" s="360" t="s">
        <v>1582</v>
      </c>
      <c r="AH422" s="360"/>
      <c r="AI422" s="360"/>
      <c r="AJ422" s="360" t="s">
        <v>1589</v>
      </c>
      <c r="AK422" s="360"/>
      <c r="AL422" s="360" t="s">
        <v>5878</v>
      </c>
      <c r="AM422" s="360"/>
      <c r="AN422" s="360"/>
      <c r="AO422" s="360"/>
      <c r="AP422" s="360"/>
      <c r="AQ422" s="360"/>
      <c r="AR422" s="360"/>
      <c r="AS422" s="360"/>
      <c r="AT422" s="360"/>
      <c r="AU422" s="360" t="s">
        <v>22</v>
      </c>
      <c r="AV422" s="360"/>
      <c r="AW422" s="264"/>
      <c r="AX422" s="264"/>
      <c r="AY422" s="264"/>
      <c r="AZ422" s="264"/>
      <c r="BA422" s="264"/>
      <c r="BB422" s="264"/>
      <c r="BC422" s="264"/>
      <c r="BD422" s="264"/>
      <c r="BE422" s="264"/>
    </row>
    <row r="423">
      <c r="A423" s="264"/>
      <c r="B423" s="264"/>
      <c r="C423" s="264"/>
      <c r="D423" s="264"/>
      <c r="E423" s="264"/>
      <c r="F423" s="264"/>
      <c r="G423" s="264"/>
      <c r="H423" s="264"/>
      <c r="I423" s="264"/>
      <c r="J423" s="264"/>
      <c r="K423" s="264"/>
      <c r="L423" s="264"/>
      <c r="M423" s="264" t="s">
        <v>22</v>
      </c>
      <c r="N423" s="264"/>
      <c r="O423" s="264" t="s">
        <v>22</v>
      </c>
      <c r="P423" s="264"/>
      <c r="Q423" s="264"/>
      <c r="R423" s="264"/>
      <c r="S423" s="264"/>
      <c r="T423" s="264"/>
      <c r="U423" s="360"/>
      <c r="V423" s="360"/>
      <c r="W423" s="360"/>
      <c r="X423" s="360"/>
      <c r="Y423" s="360"/>
      <c r="Z423" s="360"/>
      <c r="AA423" s="360"/>
      <c r="AB423" s="360"/>
      <c r="AC423" s="360"/>
      <c r="AD423" s="360"/>
      <c r="AE423" s="360"/>
      <c r="AF423" s="360"/>
      <c r="AG423" s="360" t="s">
        <v>1582</v>
      </c>
      <c r="AH423" s="360"/>
      <c r="AI423" s="360"/>
      <c r="AJ423" s="360" t="s">
        <v>1589</v>
      </c>
      <c r="AK423" s="360"/>
      <c r="AL423" s="360" t="s">
        <v>5878</v>
      </c>
      <c r="AM423" s="360"/>
      <c r="AN423" s="360"/>
      <c r="AO423" s="360"/>
      <c r="AP423" s="360"/>
      <c r="AQ423" s="360"/>
      <c r="AR423" s="360"/>
      <c r="AS423" s="360"/>
      <c r="AT423" s="360"/>
      <c r="AU423" s="360" t="s">
        <v>22</v>
      </c>
      <c r="AV423" s="360"/>
      <c r="AW423" s="264"/>
      <c r="AX423" s="264"/>
      <c r="AY423" s="264"/>
      <c r="AZ423" s="264"/>
      <c r="BA423" s="264"/>
      <c r="BB423" s="264"/>
      <c r="BC423" s="264"/>
      <c r="BD423" s="264"/>
      <c r="BE423" s="264"/>
    </row>
    <row r="424">
      <c r="A424" s="264"/>
      <c r="B424" s="264"/>
      <c r="C424" s="264"/>
      <c r="D424" s="264"/>
      <c r="E424" s="264"/>
      <c r="F424" s="264"/>
      <c r="G424" s="264"/>
      <c r="H424" s="264"/>
      <c r="I424" s="264"/>
      <c r="J424" s="264"/>
      <c r="K424" s="264"/>
      <c r="L424" s="264"/>
      <c r="M424" s="264" t="s">
        <v>22</v>
      </c>
      <c r="N424" s="264"/>
      <c r="O424" s="264" t="s">
        <v>22</v>
      </c>
      <c r="P424" s="264"/>
      <c r="Q424" s="264"/>
      <c r="R424" s="264"/>
      <c r="S424" s="264"/>
      <c r="T424" s="264"/>
      <c r="U424" s="360"/>
      <c r="V424" s="360"/>
      <c r="W424" s="360"/>
      <c r="X424" s="360"/>
      <c r="Y424" s="360"/>
      <c r="Z424" s="360"/>
      <c r="AA424" s="360"/>
      <c r="AB424" s="360"/>
      <c r="AC424" s="360"/>
      <c r="AD424" s="360"/>
      <c r="AE424" s="360"/>
      <c r="AF424" s="360"/>
      <c r="AG424" s="360" t="s">
        <v>1582</v>
      </c>
      <c r="AH424" s="360"/>
      <c r="AI424" s="360"/>
      <c r="AJ424" s="360" t="s">
        <v>1589</v>
      </c>
      <c r="AK424" s="360"/>
      <c r="AL424" s="360" t="s">
        <v>5878</v>
      </c>
      <c r="AM424" s="360"/>
      <c r="AN424" s="360"/>
      <c r="AO424" s="360"/>
      <c r="AP424" s="360"/>
      <c r="AQ424" s="360"/>
      <c r="AR424" s="360"/>
      <c r="AS424" s="360"/>
      <c r="AT424" s="360"/>
      <c r="AU424" s="360" t="s">
        <v>22</v>
      </c>
      <c r="AV424" s="360"/>
      <c r="AW424" s="264"/>
      <c r="AX424" s="264"/>
      <c r="AY424" s="264"/>
      <c r="AZ424" s="264"/>
      <c r="BA424" s="264"/>
      <c r="BB424" s="264"/>
      <c r="BC424" s="264"/>
      <c r="BD424" s="264"/>
      <c r="BE424" s="264"/>
    </row>
    <row r="425">
      <c r="A425" s="264"/>
      <c r="B425" s="264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 t="s">
        <v>22</v>
      </c>
      <c r="N425" s="264"/>
      <c r="O425" s="264" t="s">
        <v>22</v>
      </c>
      <c r="P425" s="264"/>
      <c r="Q425" s="264"/>
      <c r="R425" s="264"/>
      <c r="S425" s="264"/>
      <c r="T425" s="264"/>
      <c r="U425" s="360"/>
      <c r="V425" s="360"/>
      <c r="W425" s="360"/>
      <c r="X425" s="360"/>
      <c r="Y425" s="360"/>
      <c r="Z425" s="360"/>
      <c r="AA425" s="360"/>
      <c r="AB425" s="360"/>
      <c r="AC425" s="360"/>
      <c r="AD425" s="360"/>
      <c r="AE425" s="360"/>
      <c r="AF425" s="360"/>
      <c r="AG425" s="360" t="s">
        <v>1582</v>
      </c>
      <c r="AH425" s="360"/>
      <c r="AI425" s="360"/>
      <c r="AJ425" s="360" t="s">
        <v>1589</v>
      </c>
      <c r="AK425" s="360"/>
      <c r="AL425" s="360" t="s">
        <v>5878</v>
      </c>
      <c r="AM425" s="360"/>
      <c r="AN425" s="360"/>
      <c r="AO425" s="360"/>
      <c r="AP425" s="360"/>
      <c r="AQ425" s="360"/>
      <c r="AR425" s="360"/>
      <c r="AS425" s="360"/>
      <c r="AT425" s="360"/>
      <c r="AU425" s="360" t="s">
        <v>22</v>
      </c>
      <c r="AV425" s="360"/>
      <c r="AW425" s="264"/>
      <c r="AX425" s="264"/>
      <c r="AY425" s="264"/>
      <c r="AZ425" s="264"/>
      <c r="BA425" s="264"/>
      <c r="BB425" s="264"/>
      <c r="BC425" s="264"/>
      <c r="BD425" s="264"/>
      <c r="BE425" s="264"/>
    </row>
    <row r="426">
      <c r="A426" s="264"/>
      <c r="B426" s="264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 t="s">
        <v>22</v>
      </c>
      <c r="N426" s="264"/>
      <c r="O426" s="264" t="s">
        <v>22</v>
      </c>
      <c r="P426" s="264"/>
      <c r="Q426" s="264"/>
      <c r="R426" s="264"/>
      <c r="S426" s="264"/>
      <c r="T426" s="264"/>
      <c r="U426" s="360"/>
      <c r="V426" s="360"/>
      <c r="W426" s="360"/>
      <c r="X426" s="360"/>
      <c r="Y426" s="360"/>
      <c r="Z426" s="360"/>
      <c r="AA426" s="360"/>
      <c r="AB426" s="360"/>
      <c r="AC426" s="360"/>
      <c r="AD426" s="360"/>
      <c r="AE426" s="360"/>
      <c r="AF426" s="360"/>
      <c r="AG426" s="360" t="s">
        <v>1582</v>
      </c>
      <c r="AH426" s="360"/>
      <c r="AI426" s="360"/>
      <c r="AJ426" s="360" t="s">
        <v>1589</v>
      </c>
      <c r="AK426" s="360"/>
      <c r="AL426" s="360" t="s">
        <v>5878</v>
      </c>
      <c r="AM426" s="360"/>
      <c r="AN426" s="360"/>
      <c r="AO426" s="360"/>
      <c r="AP426" s="360"/>
      <c r="AQ426" s="360"/>
      <c r="AR426" s="360"/>
      <c r="AS426" s="360"/>
      <c r="AT426" s="360"/>
      <c r="AU426" s="360" t="s">
        <v>22</v>
      </c>
      <c r="AV426" s="360"/>
      <c r="AW426" s="264"/>
      <c r="AX426" s="264"/>
      <c r="AY426" s="264"/>
      <c r="AZ426" s="264"/>
      <c r="BA426" s="264"/>
      <c r="BB426" s="264"/>
      <c r="BC426" s="264"/>
      <c r="BD426" s="264"/>
      <c r="BE426" s="264"/>
    </row>
    <row r="427">
      <c r="A427" s="264"/>
      <c r="B427" s="264"/>
      <c r="C427" s="264"/>
      <c r="D427" s="264"/>
      <c r="E427" s="264"/>
      <c r="F427" s="264"/>
      <c r="G427" s="264"/>
      <c r="H427" s="264"/>
      <c r="I427" s="264"/>
      <c r="J427" s="264"/>
      <c r="K427" s="264"/>
      <c r="L427" s="264"/>
      <c r="M427" s="264" t="s">
        <v>22</v>
      </c>
      <c r="N427" s="264"/>
      <c r="O427" s="264" t="s">
        <v>22</v>
      </c>
      <c r="P427" s="264"/>
      <c r="Q427" s="264"/>
      <c r="R427" s="264"/>
      <c r="S427" s="264"/>
      <c r="T427" s="264"/>
      <c r="U427" s="360"/>
      <c r="V427" s="360"/>
      <c r="W427" s="360"/>
      <c r="X427" s="360"/>
      <c r="Y427" s="360"/>
      <c r="Z427" s="360"/>
      <c r="AA427" s="360"/>
      <c r="AB427" s="360"/>
      <c r="AC427" s="360"/>
      <c r="AD427" s="360"/>
      <c r="AE427" s="360"/>
      <c r="AF427" s="360"/>
      <c r="AG427" s="360" t="s">
        <v>1582</v>
      </c>
      <c r="AH427" s="360"/>
      <c r="AI427" s="360"/>
      <c r="AJ427" s="360" t="s">
        <v>1589</v>
      </c>
      <c r="AK427" s="360"/>
      <c r="AL427" s="360" t="s">
        <v>5878</v>
      </c>
      <c r="AM427" s="360"/>
      <c r="AN427" s="360"/>
      <c r="AO427" s="360"/>
      <c r="AP427" s="360"/>
      <c r="AQ427" s="360"/>
      <c r="AR427" s="360"/>
      <c r="AS427" s="360"/>
      <c r="AT427" s="360"/>
      <c r="AU427" s="360" t="s">
        <v>22</v>
      </c>
      <c r="AV427" s="360"/>
      <c r="AW427" s="264"/>
      <c r="AX427" s="264"/>
      <c r="AY427" s="264"/>
      <c r="AZ427" s="264"/>
      <c r="BA427" s="264"/>
      <c r="BB427" s="264"/>
      <c r="BC427" s="264"/>
      <c r="BD427" s="264"/>
      <c r="BE427" s="264"/>
    </row>
    <row r="428">
      <c r="A428" s="264"/>
      <c r="B428" s="264"/>
      <c r="C428" s="264"/>
      <c r="D428" s="264"/>
      <c r="E428" s="264"/>
      <c r="F428" s="264"/>
      <c r="G428" s="264"/>
      <c r="H428" s="264"/>
      <c r="I428" s="264"/>
      <c r="J428" s="264"/>
      <c r="K428" s="264"/>
      <c r="L428" s="264"/>
      <c r="M428" s="264" t="s">
        <v>22</v>
      </c>
      <c r="N428" s="264"/>
      <c r="O428" s="264" t="s">
        <v>22</v>
      </c>
      <c r="P428" s="264"/>
      <c r="Q428" s="264"/>
      <c r="R428" s="264"/>
      <c r="S428" s="264"/>
      <c r="T428" s="264"/>
      <c r="U428" s="360"/>
      <c r="V428" s="360"/>
      <c r="W428" s="360"/>
      <c r="X428" s="360"/>
      <c r="Y428" s="360"/>
      <c r="Z428" s="360"/>
      <c r="AA428" s="360"/>
      <c r="AB428" s="360"/>
      <c r="AC428" s="360"/>
      <c r="AD428" s="360"/>
      <c r="AE428" s="360"/>
      <c r="AF428" s="360"/>
      <c r="AG428" s="360" t="s">
        <v>1582</v>
      </c>
      <c r="AH428" s="360"/>
      <c r="AI428" s="360"/>
      <c r="AJ428" s="360" t="s">
        <v>1589</v>
      </c>
      <c r="AK428" s="360"/>
      <c r="AL428" s="360" t="s">
        <v>5878</v>
      </c>
      <c r="AM428" s="360"/>
      <c r="AN428" s="360"/>
      <c r="AO428" s="360"/>
      <c r="AP428" s="360"/>
      <c r="AQ428" s="360"/>
      <c r="AR428" s="360"/>
      <c r="AS428" s="360"/>
      <c r="AT428" s="360"/>
      <c r="AU428" s="360" t="s">
        <v>22</v>
      </c>
      <c r="AV428" s="360"/>
      <c r="AW428" s="264"/>
      <c r="AX428" s="264"/>
      <c r="AY428" s="264"/>
      <c r="AZ428" s="264"/>
      <c r="BA428" s="264"/>
      <c r="BB428" s="264"/>
      <c r="BC428" s="264"/>
      <c r="BD428" s="264"/>
      <c r="BE428" s="264"/>
    </row>
    <row r="429">
      <c r="A429" s="264"/>
      <c r="B429" s="264"/>
      <c r="C429" s="264"/>
      <c r="D429" s="264"/>
      <c r="E429" s="264"/>
      <c r="F429" s="264"/>
      <c r="G429" s="264"/>
      <c r="H429" s="264"/>
      <c r="I429" s="264"/>
      <c r="J429" s="264"/>
      <c r="K429" s="264"/>
      <c r="L429" s="264"/>
      <c r="M429" s="264" t="s">
        <v>22</v>
      </c>
      <c r="N429" s="264"/>
      <c r="O429" s="264" t="s">
        <v>22</v>
      </c>
      <c r="P429" s="264"/>
      <c r="Q429" s="264"/>
      <c r="R429" s="264"/>
      <c r="S429" s="264"/>
      <c r="T429" s="264"/>
      <c r="U429" s="360"/>
      <c r="V429" s="360"/>
      <c r="W429" s="360"/>
      <c r="X429" s="360"/>
      <c r="Y429" s="360"/>
      <c r="Z429" s="360"/>
      <c r="AA429" s="360"/>
      <c r="AB429" s="360"/>
      <c r="AC429" s="360"/>
      <c r="AD429" s="360"/>
      <c r="AE429" s="360"/>
      <c r="AF429" s="360"/>
      <c r="AG429" s="360" t="s">
        <v>1582</v>
      </c>
      <c r="AH429" s="360"/>
      <c r="AI429" s="360"/>
      <c r="AJ429" s="360" t="s">
        <v>1589</v>
      </c>
      <c r="AK429" s="360"/>
      <c r="AL429" s="360" t="s">
        <v>5878</v>
      </c>
      <c r="AM429" s="360"/>
      <c r="AN429" s="360"/>
      <c r="AO429" s="360"/>
      <c r="AP429" s="360"/>
      <c r="AQ429" s="360"/>
      <c r="AR429" s="360"/>
      <c r="AS429" s="360"/>
      <c r="AT429" s="360"/>
      <c r="AU429" s="360" t="s">
        <v>22</v>
      </c>
      <c r="AV429" s="360"/>
      <c r="AW429" s="264"/>
      <c r="AX429" s="264"/>
      <c r="AY429" s="264"/>
      <c r="AZ429" s="264"/>
      <c r="BA429" s="264"/>
      <c r="BB429" s="264"/>
      <c r="BC429" s="264"/>
      <c r="BD429" s="264"/>
      <c r="BE429" s="264"/>
    </row>
    <row r="430">
      <c r="A430" s="264"/>
      <c r="B430" s="264"/>
      <c r="C430" s="264"/>
      <c r="D430" s="264"/>
      <c r="E430" s="264"/>
      <c r="F430" s="264"/>
      <c r="G430" s="264"/>
      <c r="H430" s="264"/>
      <c r="I430" s="264"/>
      <c r="J430" s="264"/>
      <c r="K430" s="264"/>
      <c r="L430" s="264"/>
      <c r="M430" s="264" t="s">
        <v>22</v>
      </c>
      <c r="N430" s="264"/>
      <c r="O430" s="264" t="s">
        <v>22</v>
      </c>
      <c r="P430" s="264"/>
      <c r="Q430" s="264"/>
      <c r="R430" s="264"/>
      <c r="S430" s="264"/>
      <c r="T430" s="264"/>
      <c r="U430" s="360"/>
      <c r="V430" s="360"/>
      <c r="W430" s="360"/>
      <c r="X430" s="360"/>
      <c r="Y430" s="360"/>
      <c r="Z430" s="360"/>
      <c r="AA430" s="360"/>
      <c r="AB430" s="360"/>
      <c r="AC430" s="360"/>
      <c r="AD430" s="360"/>
      <c r="AE430" s="360"/>
      <c r="AF430" s="360"/>
      <c r="AG430" s="360" t="s">
        <v>1582</v>
      </c>
      <c r="AH430" s="360"/>
      <c r="AI430" s="360"/>
      <c r="AJ430" s="360" t="s">
        <v>1589</v>
      </c>
      <c r="AK430" s="360"/>
      <c r="AL430" s="360" t="s">
        <v>5878</v>
      </c>
      <c r="AM430" s="360"/>
      <c r="AN430" s="360"/>
      <c r="AO430" s="360"/>
      <c r="AP430" s="360"/>
      <c r="AQ430" s="360"/>
      <c r="AR430" s="360"/>
      <c r="AS430" s="360"/>
      <c r="AT430" s="360"/>
      <c r="AU430" s="360" t="s">
        <v>22</v>
      </c>
      <c r="AV430" s="360"/>
      <c r="AW430" s="264"/>
      <c r="AX430" s="264"/>
      <c r="AY430" s="264"/>
      <c r="AZ430" s="264"/>
      <c r="BA430" s="264"/>
      <c r="BB430" s="264"/>
      <c r="BC430" s="264"/>
      <c r="BD430" s="264"/>
      <c r="BE430" s="264"/>
    </row>
    <row r="431">
      <c r="A431" s="264"/>
      <c r="B431" s="264"/>
      <c r="C431" s="264"/>
      <c r="D431" s="264"/>
      <c r="E431" s="264"/>
      <c r="F431" s="264"/>
      <c r="G431" s="264"/>
      <c r="H431" s="264"/>
      <c r="I431" s="264"/>
      <c r="J431" s="264"/>
      <c r="K431" s="264"/>
      <c r="L431" s="264"/>
      <c r="M431" s="264" t="s">
        <v>22</v>
      </c>
      <c r="N431" s="264"/>
      <c r="O431" s="264" t="s">
        <v>22</v>
      </c>
      <c r="P431" s="264"/>
      <c r="Q431" s="264"/>
      <c r="R431" s="264"/>
      <c r="S431" s="264"/>
      <c r="T431" s="264"/>
      <c r="U431" s="360"/>
      <c r="V431" s="360"/>
      <c r="W431" s="360"/>
      <c r="X431" s="360"/>
      <c r="Y431" s="360"/>
      <c r="Z431" s="360"/>
      <c r="AA431" s="360"/>
      <c r="AB431" s="360"/>
      <c r="AC431" s="360"/>
      <c r="AD431" s="360"/>
      <c r="AE431" s="360"/>
      <c r="AF431" s="360"/>
      <c r="AG431" s="360" t="s">
        <v>1582</v>
      </c>
      <c r="AH431" s="360"/>
      <c r="AI431" s="360"/>
      <c r="AJ431" s="360" t="s">
        <v>1589</v>
      </c>
      <c r="AK431" s="360"/>
      <c r="AL431" s="360" t="s">
        <v>5878</v>
      </c>
      <c r="AM431" s="360"/>
      <c r="AN431" s="360"/>
      <c r="AO431" s="360"/>
      <c r="AP431" s="360"/>
      <c r="AQ431" s="360"/>
      <c r="AR431" s="360"/>
      <c r="AS431" s="360"/>
      <c r="AT431" s="360"/>
      <c r="AU431" s="360" t="s">
        <v>22</v>
      </c>
      <c r="AV431" s="360"/>
      <c r="AW431" s="264"/>
      <c r="AX431" s="264"/>
      <c r="AY431" s="264"/>
      <c r="AZ431" s="264"/>
      <c r="BA431" s="264"/>
      <c r="BB431" s="264"/>
      <c r="BC431" s="264"/>
      <c r="BD431" s="264"/>
      <c r="BE431" s="264"/>
    </row>
    <row r="432">
      <c r="A432" s="264"/>
      <c r="B432" s="264"/>
      <c r="C432" s="264"/>
      <c r="D432" s="264"/>
      <c r="E432" s="264"/>
      <c r="F432" s="264"/>
      <c r="G432" s="264"/>
      <c r="H432" s="264"/>
      <c r="I432" s="264"/>
      <c r="J432" s="264"/>
      <c r="K432" s="264"/>
      <c r="L432" s="264"/>
      <c r="M432" s="264" t="s">
        <v>22</v>
      </c>
      <c r="N432" s="264"/>
      <c r="O432" s="264" t="s">
        <v>22</v>
      </c>
      <c r="P432" s="264"/>
      <c r="Q432" s="264"/>
      <c r="R432" s="264"/>
      <c r="S432" s="264"/>
      <c r="T432" s="264"/>
      <c r="U432" s="360"/>
      <c r="V432" s="360"/>
      <c r="W432" s="360"/>
      <c r="X432" s="360"/>
      <c r="Y432" s="360"/>
      <c r="Z432" s="360"/>
      <c r="AA432" s="360"/>
      <c r="AB432" s="360"/>
      <c r="AC432" s="360"/>
      <c r="AD432" s="360"/>
      <c r="AE432" s="360"/>
      <c r="AF432" s="360"/>
      <c r="AG432" s="360" t="s">
        <v>1582</v>
      </c>
      <c r="AH432" s="360"/>
      <c r="AI432" s="360"/>
      <c r="AJ432" s="360" t="s">
        <v>1589</v>
      </c>
      <c r="AK432" s="360"/>
      <c r="AL432" s="360" t="s">
        <v>5878</v>
      </c>
      <c r="AM432" s="360"/>
      <c r="AN432" s="360"/>
      <c r="AO432" s="360"/>
      <c r="AP432" s="360"/>
      <c r="AQ432" s="360"/>
      <c r="AR432" s="360"/>
      <c r="AS432" s="360"/>
      <c r="AT432" s="360"/>
      <c r="AU432" s="360" t="s">
        <v>22</v>
      </c>
      <c r="AV432" s="360"/>
      <c r="AW432" s="264"/>
      <c r="AX432" s="264"/>
      <c r="AY432" s="264"/>
      <c r="AZ432" s="264"/>
      <c r="BA432" s="264"/>
      <c r="BB432" s="264"/>
      <c r="BC432" s="264"/>
      <c r="BD432" s="264"/>
      <c r="BE432" s="264"/>
    </row>
    <row r="433">
      <c r="A433" s="264"/>
      <c r="B433" s="264"/>
      <c r="C433" s="264"/>
      <c r="D433" s="264"/>
      <c r="E433" s="264"/>
      <c r="F433" s="264"/>
      <c r="G433" s="264"/>
      <c r="H433" s="264"/>
      <c r="I433" s="264"/>
      <c r="J433" s="264"/>
      <c r="K433" s="264"/>
      <c r="L433" s="264"/>
      <c r="M433" s="264" t="s">
        <v>22</v>
      </c>
      <c r="N433" s="264"/>
      <c r="O433" s="264" t="s">
        <v>22</v>
      </c>
      <c r="P433" s="264"/>
      <c r="Q433" s="264"/>
      <c r="R433" s="264"/>
      <c r="S433" s="264"/>
      <c r="T433" s="264"/>
      <c r="U433" s="360"/>
      <c r="V433" s="360"/>
      <c r="W433" s="360"/>
      <c r="X433" s="360"/>
      <c r="Y433" s="360"/>
      <c r="Z433" s="360"/>
      <c r="AA433" s="360"/>
      <c r="AB433" s="360"/>
      <c r="AC433" s="360"/>
      <c r="AD433" s="360"/>
      <c r="AE433" s="360"/>
      <c r="AF433" s="360"/>
      <c r="AG433" s="360" t="s">
        <v>1582</v>
      </c>
      <c r="AH433" s="360"/>
      <c r="AI433" s="360"/>
      <c r="AJ433" s="360" t="s">
        <v>1589</v>
      </c>
      <c r="AK433" s="360"/>
      <c r="AL433" s="360" t="s">
        <v>5878</v>
      </c>
      <c r="AM433" s="360"/>
      <c r="AN433" s="360"/>
      <c r="AO433" s="360"/>
      <c r="AP433" s="360"/>
      <c r="AQ433" s="360"/>
      <c r="AR433" s="360"/>
      <c r="AS433" s="360"/>
      <c r="AT433" s="360"/>
      <c r="AU433" s="360" t="s">
        <v>22</v>
      </c>
      <c r="AV433" s="360"/>
      <c r="AW433" s="264"/>
      <c r="AX433" s="264"/>
      <c r="AY433" s="264"/>
      <c r="AZ433" s="264"/>
      <c r="BA433" s="264"/>
      <c r="BB433" s="264"/>
      <c r="BC433" s="264"/>
      <c r="BD433" s="264"/>
      <c r="BE433" s="264"/>
    </row>
    <row r="434">
      <c r="A434" s="264"/>
      <c r="B434" s="264"/>
      <c r="C434" s="264"/>
      <c r="D434" s="264"/>
      <c r="E434" s="264"/>
      <c r="F434" s="264"/>
      <c r="G434" s="264"/>
      <c r="H434" s="264"/>
      <c r="I434" s="264"/>
      <c r="J434" s="264"/>
      <c r="K434" s="264"/>
      <c r="L434" s="264"/>
      <c r="M434" s="264" t="s">
        <v>22</v>
      </c>
      <c r="N434" s="264"/>
      <c r="O434" s="264" t="s">
        <v>22</v>
      </c>
      <c r="P434" s="264"/>
      <c r="Q434" s="264"/>
      <c r="R434" s="264"/>
      <c r="S434" s="264"/>
      <c r="T434" s="264"/>
      <c r="U434" s="360"/>
      <c r="V434" s="360"/>
      <c r="W434" s="360"/>
      <c r="X434" s="360"/>
      <c r="Y434" s="360"/>
      <c r="Z434" s="360"/>
      <c r="AA434" s="360"/>
      <c r="AB434" s="360"/>
      <c r="AC434" s="360"/>
      <c r="AD434" s="360"/>
      <c r="AE434" s="360"/>
      <c r="AF434" s="360"/>
      <c r="AG434" s="360" t="s">
        <v>1582</v>
      </c>
      <c r="AH434" s="360"/>
      <c r="AI434" s="360"/>
      <c r="AJ434" s="360" t="s">
        <v>1589</v>
      </c>
      <c r="AK434" s="360"/>
      <c r="AL434" s="360" t="s">
        <v>5878</v>
      </c>
      <c r="AM434" s="360"/>
      <c r="AN434" s="360"/>
      <c r="AO434" s="360"/>
      <c r="AP434" s="360"/>
      <c r="AQ434" s="360"/>
      <c r="AR434" s="360"/>
      <c r="AS434" s="360"/>
      <c r="AT434" s="360"/>
      <c r="AU434" s="360" t="s">
        <v>22</v>
      </c>
      <c r="AV434" s="360"/>
      <c r="AW434" s="264"/>
      <c r="AX434" s="264"/>
      <c r="AY434" s="264"/>
      <c r="AZ434" s="264"/>
      <c r="BA434" s="264"/>
      <c r="BB434" s="264"/>
      <c r="BC434" s="264"/>
      <c r="BD434" s="264"/>
      <c r="BE434" s="264"/>
    </row>
    <row r="435">
      <c r="A435" s="264"/>
      <c r="B435" s="264"/>
      <c r="C435" s="264"/>
      <c r="D435" s="264"/>
      <c r="E435" s="264"/>
      <c r="F435" s="264"/>
      <c r="G435" s="264"/>
      <c r="H435" s="264"/>
      <c r="I435" s="264"/>
      <c r="J435" s="264"/>
      <c r="K435" s="264"/>
      <c r="L435" s="264"/>
      <c r="M435" s="264" t="s">
        <v>22</v>
      </c>
      <c r="N435" s="264"/>
      <c r="O435" s="264" t="s">
        <v>22</v>
      </c>
      <c r="P435" s="264"/>
      <c r="Q435" s="264"/>
      <c r="R435" s="264"/>
      <c r="S435" s="264"/>
      <c r="T435" s="264"/>
      <c r="U435" s="360"/>
      <c r="V435" s="360"/>
      <c r="W435" s="360"/>
      <c r="X435" s="360"/>
      <c r="Y435" s="360"/>
      <c r="Z435" s="360"/>
      <c r="AA435" s="360"/>
      <c r="AB435" s="360"/>
      <c r="AC435" s="360"/>
      <c r="AD435" s="360"/>
      <c r="AE435" s="360"/>
      <c r="AF435" s="360"/>
      <c r="AG435" s="360" t="s">
        <v>1582</v>
      </c>
      <c r="AH435" s="360"/>
      <c r="AI435" s="360"/>
      <c r="AJ435" s="360" t="s">
        <v>1589</v>
      </c>
      <c r="AK435" s="360"/>
      <c r="AL435" s="360" t="s">
        <v>5878</v>
      </c>
      <c r="AM435" s="360"/>
      <c r="AN435" s="360"/>
      <c r="AO435" s="360"/>
      <c r="AP435" s="360"/>
      <c r="AQ435" s="360"/>
      <c r="AR435" s="360"/>
      <c r="AS435" s="360"/>
      <c r="AT435" s="360"/>
      <c r="AU435" s="360" t="s">
        <v>22</v>
      </c>
      <c r="AV435" s="360"/>
      <c r="AW435" s="264"/>
      <c r="AX435" s="264"/>
      <c r="AY435" s="264"/>
      <c r="AZ435" s="264"/>
      <c r="BA435" s="264"/>
      <c r="BB435" s="264"/>
      <c r="BC435" s="264"/>
      <c r="BD435" s="264"/>
      <c r="BE435" s="264"/>
    </row>
    <row r="436">
      <c r="A436" s="264"/>
      <c r="B436" s="264"/>
      <c r="C436" s="264"/>
      <c r="D436" s="264"/>
      <c r="E436" s="264"/>
      <c r="F436" s="264"/>
      <c r="G436" s="264"/>
      <c r="H436" s="264"/>
      <c r="I436" s="264"/>
      <c r="J436" s="264"/>
      <c r="K436" s="264"/>
      <c r="L436" s="264"/>
      <c r="M436" s="264" t="s">
        <v>22</v>
      </c>
      <c r="N436" s="264"/>
      <c r="O436" s="264" t="s">
        <v>22</v>
      </c>
      <c r="P436" s="264"/>
      <c r="Q436" s="264"/>
      <c r="R436" s="264"/>
      <c r="S436" s="264"/>
      <c r="T436" s="264"/>
      <c r="U436" s="360"/>
      <c r="V436" s="360"/>
      <c r="W436" s="360"/>
      <c r="X436" s="360"/>
      <c r="Y436" s="360"/>
      <c r="Z436" s="360"/>
      <c r="AA436" s="360"/>
      <c r="AB436" s="360"/>
      <c r="AC436" s="360"/>
      <c r="AD436" s="360"/>
      <c r="AE436" s="360"/>
      <c r="AF436" s="360"/>
      <c r="AG436" s="360" t="s">
        <v>1582</v>
      </c>
      <c r="AH436" s="360"/>
      <c r="AI436" s="360"/>
      <c r="AJ436" s="360" t="s">
        <v>1589</v>
      </c>
      <c r="AK436" s="360"/>
      <c r="AL436" s="360" t="s">
        <v>5878</v>
      </c>
      <c r="AM436" s="360"/>
      <c r="AN436" s="360"/>
      <c r="AO436" s="360"/>
      <c r="AP436" s="360"/>
      <c r="AQ436" s="360"/>
      <c r="AR436" s="360"/>
      <c r="AS436" s="360"/>
      <c r="AT436" s="360"/>
      <c r="AU436" s="360" t="s">
        <v>22</v>
      </c>
      <c r="AV436" s="360"/>
      <c r="AW436" s="264"/>
      <c r="AX436" s="264"/>
      <c r="AY436" s="264"/>
      <c r="AZ436" s="264"/>
      <c r="BA436" s="264"/>
      <c r="BB436" s="264"/>
      <c r="BC436" s="264"/>
      <c r="BD436" s="264"/>
      <c r="BE436" s="264"/>
    </row>
    <row r="437">
      <c r="A437" s="264"/>
      <c r="B437" s="264"/>
      <c r="C437" s="264"/>
      <c r="D437" s="264"/>
      <c r="E437" s="264"/>
      <c r="F437" s="264"/>
      <c r="G437" s="264"/>
      <c r="H437" s="264"/>
      <c r="I437" s="264"/>
      <c r="J437" s="264"/>
      <c r="K437" s="264"/>
      <c r="L437" s="264"/>
      <c r="M437" s="264" t="s">
        <v>22</v>
      </c>
      <c r="N437" s="264"/>
      <c r="O437" s="264" t="s">
        <v>22</v>
      </c>
      <c r="P437" s="264"/>
      <c r="Q437" s="264"/>
      <c r="R437" s="264"/>
      <c r="S437" s="264"/>
      <c r="T437" s="264"/>
      <c r="U437" s="360"/>
      <c r="V437" s="360"/>
      <c r="W437" s="360"/>
      <c r="X437" s="360"/>
      <c r="Y437" s="360"/>
      <c r="Z437" s="360"/>
      <c r="AA437" s="360"/>
      <c r="AB437" s="360"/>
      <c r="AC437" s="360"/>
      <c r="AD437" s="360"/>
      <c r="AE437" s="360"/>
      <c r="AF437" s="360"/>
      <c r="AG437" s="360" t="s">
        <v>1582</v>
      </c>
      <c r="AH437" s="360"/>
      <c r="AI437" s="360"/>
      <c r="AJ437" s="360" t="s">
        <v>1589</v>
      </c>
      <c r="AK437" s="360"/>
      <c r="AL437" s="360" t="s">
        <v>5878</v>
      </c>
      <c r="AM437" s="360"/>
      <c r="AN437" s="360"/>
      <c r="AO437" s="360"/>
      <c r="AP437" s="360"/>
      <c r="AQ437" s="360"/>
      <c r="AR437" s="360"/>
      <c r="AS437" s="360"/>
      <c r="AT437" s="360"/>
      <c r="AU437" s="360" t="s">
        <v>22</v>
      </c>
      <c r="AV437" s="360"/>
      <c r="AW437" s="264"/>
      <c r="AX437" s="264"/>
      <c r="AY437" s="264"/>
      <c r="AZ437" s="264"/>
      <c r="BA437" s="264"/>
      <c r="BB437" s="264"/>
      <c r="BC437" s="264"/>
      <c r="BD437" s="264"/>
      <c r="BE437" s="264"/>
    </row>
    <row r="438">
      <c r="A438" s="264"/>
      <c r="B438" s="264"/>
      <c r="C438" s="264"/>
      <c r="D438" s="264"/>
      <c r="E438" s="264"/>
      <c r="F438" s="264"/>
      <c r="G438" s="264"/>
      <c r="H438" s="264"/>
      <c r="I438" s="264"/>
      <c r="J438" s="264"/>
      <c r="K438" s="264"/>
      <c r="L438" s="264"/>
      <c r="M438" s="264" t="s">
        <v>22</v>
      </c>
      <c r="N438" s="264"/>
      <c r="O438" s="264" t="s">
        <v>22</v>
      </c>
      <c r="P438" s="264"/>
      <c r="Q438" s="264"/>
      <c r="R438" s="264"/>
      <c r="S438" s="264"/>
      <c r="T438" s="264"/>
      <c r="U438" s="360"/>
      <c r="V438" s="360"/>
      <c r="W438" s="360"/>
      <c r="X438" s="360"/>
      <c r="Y438" s="360"/>
      <c r="Z438" s="360"/>
      <c r="AA438" s="360"/>
      <c r="AB438" s="360"/>
      <c r="AC438" s="360"/>
      <c r="AD438" s="360"/>
      <c r="AE438" s="360"/>
      <c r="AF438" s="360"/>
      <c r="AG438" s="360" t="s">
        <v>1582</v>
      </c>
      <c r="AH438" s="360"/>
      <c r="AI438" s="360"/>
      <c r="AJ438" s="360" t="s">
        <v>1589</v>
      </c>
      <c r="AK438" s="360"/>
      <c r="AL438" s="360" t="s">
        <v>5878</v>
      </c>
      <c r="AM438" s="360"/>
      <c r="AN438" s="360"/>
      <c r="AO438" s="360"/>
      <c r="AP438" s="360"/>
      <c r="AQ438" s="360"/>
      <c r="AR438" s="360"/>
      <c r="AS438" s="360"/>
      <c r="AT438" s="360"/>
      <c r="AU438" s="360" t="s">
        <v>22</v>
      </c>
      <c r="AV438" s="360"/>
      <c r="AW438" s="264"/>
      <c r="AX438" s="264"/>
      <c r="AY438" s="264"/>
      <c r="AZ438" s="264"/>
      <c r="BA438" s="264"/>
      <c r="BB438" s="264"/>
      <c r="BC438" s="264"/>
      <c r="BD438" s="264"/>
      <c r="BE438" s="264"/>
    </row>
    <row r="439">
      <c r="A439" s="264"/>
      <c r="B439" s="264"/>
      <c r="C439" s="264"/>
      <c r="D439" s="264"/>
      <c r="E439" s="264"/>
      <c r="F439" s="264"/>
      <c r="G439" s="264"/>
      <c r="H439" s="264"/>
      <c r="I439" s="264"/>
      <c r="J439" s="264"/>
      <c r="K439" s="264"/>
      <c r="L439" s="264"/>
      <c r="M439" s="264" t="s">
        <v>22</v>
      </c>
      <c r="N439" s="264"/>
      <c r="O439" s="264" t="s">
        <v>22</v>
      </c>
      <c r="P439" s="264"/>
      <c r="Q439" s="264"/>
      <c r="R439" s="264"/>
      <c r="S439" s="264"/>
      <c r="T439" s="264"/>
      <c r="U439" s="360"/>
      <c r="V439" s="360"/>
      <c r="W439" s="360"/>
      <c r="X439" s="360"/>
      <c r="Y439" s="360"/>
      <c r="Z439" s="360"/>
      <c r="AA439" s="360"/>
      <c r="AB439" s="360"/>
      <c r="AC439" s="360"/>
      <c r="AD439" s="360"/>
      <c r="AE439" s="360"/>
      <c r="AF439" s="360"/>
      <c r="AG439" s="360" t="s">
        <v>1582</v>
      </c>
      <c r="AH439" s="360"/>
      <c r="AI439" s="360"/>
      <c r="AJ439" s="360" t="s">
        <v>1589</v>
      </c>
      <c r="AK439" s="360"/>
      <c r="AL439" s="360" t="s">
        <v>5878</v>
      </c>
      <c r="AM439" s="360"/>
      <c r="AN439" s="360"/>
      <c r="AO439" s="360"/>
      <c r="AP439" s="360"/>
      <c r="AQ439" s="360"/>
      <c r="AR439" s="360"/>
      <c r="AS439" s="360"/>
      <c r="AT439" s="360"/>
      <c r="AU439" s="360" t="s">
        <v>22</v>
      </c>
      <c r="AV439" s="360"/>
      <c r="AW439" s="264"/>
      <c r="AX439" s="264"/>
      <c r="AY439" s="264"/>
      <c r="AZ439" s="264"/>
      <c r="BA439" s="264"/>
      <c r="BB439" s="264"/>
      <c r="BC439" s="264"/>
      <c r="BD439" s="264"/>
      <c r="BE439" s="264"/>
    </row>
    <row r="440">
      <c r="A440" s="264"/>
      <c r="B440" s="264"/>
      <c r="C440" s="264"/>
      <c r="D440" s="264"/>
      <c r="E440" s="264"/>
      <c r="F440" s="264"/>
      <c r="G440" s="264"/>
      <c r="H440" s="264"/>
      <c r="I440" s="264"/>
      <c r="J440" s="264"/>
      <c r="K440" s="264"/>
      <c r="L440" s="264"/>
      <c r="M440" s="264" t="s">
        <v>22</v>
      </c>
      <c r="N440" s="264"/>
      <c r="O440" s="264" t="s">
        <v>22</v>
      </c>
      <c r="P440" s="264"/>
      <c r="Q440" s="264"/>
      <c r="R440" s="264"/>
      <c r="S440" s="264"/>
      <c r="T440" s="264"/>
      <c r="U440" s="360"/>
      <c r="V440" s="360"/>
      <c r="W440" s="360"/>
      <c r="X440" s="360"/>
      <c r="Y440" s="360"/>
      <c r="Z440" s="360"/>
      <c r="AA440" s="360"/>
      <c r="AB440" s="360"/>
      <c r="AC440" s="360"/>
      <c r="AD440" s="360"/>
      <c r="AE440" s="360"/>
      <c r="AF440" s="360"/>
      <c r="AG440" s="360" t="s">
        <v>1582</v>
      </c>
      <c r="AH440" s="360"/>
      <c r="AI440" s="360"/>
      <c r="AJ440" s="360" t="s">
        <v>1589</v>
      </c>
      <c r="AK440" s="360"/>
      <c r="AL440" s="360" t="s">
        <v>5878</v>
      </c>
      <c r="AM440" s="360"/>
      <c r="AN440" s="360"/>
      <c r="AO440" s="360"/>
      <c r="AP440" s="360"/>
      <c r="AQ440" s="360"/>
      <c r="AR440" s="360"/>
      <c r="AS440" s="360"/>
      <c r="AT440" s="360"/>
      <c r="AU440" s="360" t="s">
        <v>22</v>
      </c>
      <c r="AV440" s="360"/>
      <c r="AW440" s="264"/>
      <c r="AX440" s="264"/>
      <c r="AY440" s="264"/>
      <c r="AZ440" s="264"/>
      <c r="BA440" s="264"/>
      <c r="BB440" s="264"/>
      <c r="BC440" s="264"/>
      <c r="BD440" s="264"/>
      <c r="BE440" s="264"/>
    </row>
    <row r="441">
      <c r="A441" s="264"/>
      <c r="B441" s="264"/>
      <c r="C441" s="264"/>
      <c r="D441" s="264"/>
      <c r="E441" s="264"/>
      <c r="F441" s="264"/>
      <c r="G441" s="264"/>
      <c r="H441" s="264"/>
      <c r="I441" s="264"/>
      <c r="J441" s="264"/>
      <c r="K441" s="264"/>
      <c r="L441" s="264"/>
      <c r="M441" s="264" t="s">
        <v>22</v>
      </c>
      <c r="N441" s="264"/>
      <c r="O441" s="264" t="s">
        <v>22</v>
      </c>
      <c r="P441" s="264"/>
      <c r="Q441" s="264"/>
      <c r="R441" s="264"/>
      <c r="S441" s="264"/>
      <c r="T441" s="264"/>
      <c r="U441" s="360"/>
      <c r="V441" s="360"/>
      <c r="W441" s="360"/>
      <c r="X441" s="360"/>
      <c r="Y441" s="360"/>
      <c r="Z441" s="360"/>
      <c r="AA441" s="360"/>
      <c r="AB441" s="360"/>
      <c r="AC441" s="360"/>
      <c r="AD441" s="360"/>
      <c r="AE441" s="360"/>
      <c r="AF441" s="360"/>
      <c r="AG441" s="360" t="s">
        <v>1582</v>
      </c>
      <c r="AH441" s="360"/>
      <c r="AI441" s="360"/>
      <c r="AJ441" s="360" t="s">
        <v>1589</v>
      </c>
      <c r="AK441" s="360"/>
      <c r="AL441" s="360" t="s">
        <v>5878</v>
      </c>
      <c r="AM441" s="360"/>
      <c r="AN441" s="360"/>
      <c r="AO441" s="360"/>
      <c r="AP441" s="360"/>
      <c r="AQ441" s="360"/>
      <c r="AR441" s="360"/>
      <c r="AS441" s="360"/>
      <c r="AT441" s="360"/>
      <c r="AU441" s="360" t="s">
        <v>22</v>
      </c>
      <c r="AV441" s="360"/>
      <c r="AW441" s="264"/>
      <c r="AX441" s="264"/>
      <c r="AY441" s="264"/>
      <c r="AZ441" s="264"/>
      <c r="BA441" s="264"/>
      <c r="BB441" s="264"/>
      <c r="BC441" s="264"/>
      <c r="BD441" s="264"/>
      <c r="BE441" s="264"/>
    </row>
    <row r="442">
      <c r="A442" s="264"/>
      <c r="B442" s="264"/>
      <c r="C442" s="264"/>
      <c r="D442" s="264"/>
      <c r="E442" s="264"/>
      <c r="F442" s="264"/>
      <c r="G442" s="264"/>
      <c r="H442" s="264"/>
      <c r="I442" s="264"/>
      <c r="J442" s="264"/>
      <c r="K442" s="264"/>
      <c r="L442" s="264"/>
      <c r="M442" s="264" t="s">
        <v>22</v>
      </c>
      <c r="N442" s="264"/>
      <c r="O442" s="264" t="s">
        <v>22</v>
      </c>
      <c r="P442" s="264"/>
      <c r="Q442" s="264"/>
      <c r="R442" s="264"/>
      <c r="S442" s="264"/>
      <c r="T442" s="264"/>
      <c r="U442" s="360"/>
      <c r="V442" s="360"/>
      <c r="W442" s="360"/>
      <c r="X442" s="360"/>
      <c r="Y442" s="360"/>
      <c r="Z442" s="360"/>
      <c r="AA442" s="360"/>
      <c r="AB442" s="360"/>
      <c r="AC442" s="360"/>
      <c r="AD442" s="360"/>
      <c r="AE442" s="360"/>
      <c r="AF442" s="360"/>
      <c r="AG442" s="360" t="s">
        <v>1582</v>
      </c>
      <c r="AH442" s="360"/>
      <c r="AI442" s="360"/>
      <c r="AJ442" s="360" t="s">
        <v>1589</v>
      </c>
      <c r="AK442" s="360"/>
      <c r="AL442" s="360" t="s">
        <v>5878</v>
      </c>
      <c r="AM442" s="360"/>
      <c r="AN442" s="360"/>
      <c r="AO442" s="360"/>
      <c r="AP442" s="360"/>
      <c r="AQ442" s="360"/>
      <c r="AR442" s="360"/>
      <c r="AS442" s="360"/>
      <c r="AT442" s="360"/>
      <c r="AU442" s="360" t="s">
        <v>22</v>
      </c>
      <c r="AV442" s="360"/>
      <c r="AW442" s="264"/>
      <c r="AX442" s="264"/>
      <c r="AY442" s="264"/>
      <c r="AZ442" s="264"/>
      <c r="BA442" s="264"/>
      <c r="BB442" s="264"/>
      <c r="BC442" s="264"/>
      <c r="BD442" s="264"/>
      <c r="BE442" s="264"/>
    </row>
    <row r="443">
      <c r="A443" s="264"/>
      <c r="B443" s="264"/>
      <c r="C443" s="264"/>
      <c r="D443" s="264"/>
      <c r="E443" s="264"/>
      <c r="F443" s="264"/>
      <c r="G443" s="264"/>
      <c r="H443" s="264"/>
      <c r="I443" s="264"/>
      <c r="J443" s="264"/>
      <c r="K443" s="264"/>
      <c r="L443" s="264"/>
      <c r="M443" s="264" t="s">
        <v>22</v>
      </c>
      <c r="N443" s="264"/>
      <c r="O443" s="264" t="s">
        <v>22</v>
      </c>
      <c r="P443" s="264"/>
      <c r="Q443" s="264"/>
      <c r="R443" s="264"/>
      <c r="S443" s="264"/>
      <c r="T443" s="264"/>
      <c r="U443" s="360"/>
      <c r="V443" s="360"/>
      <c r="W443" s="360"/>
      <c r="X443" s="360"/>
      <c r="Y443" s="360"/>
      <c r="Z443" s="360"/>
      <c r="AA443" s="360"/>
      <c r="AB443" s="360"/>
      <c r="AC443" s="360"/>
      <c r="AD443" s="360"/>
      <c r="AE443" s="360"/>
      <c r="AF443" s="360"/>
      <c r="AG443" s="360" t="s">
        <v>1582</v>
      </c>
      <c r="AH443" s="360"/>
      <c r="AI443" s="360"/>
      <c r="AJ443" s="360" t="s">
        <v>1589</v>
      </c>
      <c r="AK443" s="360"/>
      <c r="AL443" s="360" t="s">
        <v>5878</v>
      </c>
      <c r="AM443" s="360"/>
      <c r="AN443" s="360"/>
      <c r="AO443" s="360"/>
      <c r="AP443" s="360"/>
      <c r="AQ443" s="360"/>
      <c r="AR443" s="360"/>
      <c r="AS443" s="360"/>
      <c r="AT443" s="360"/>
      <c r="AU443" s="360" t="s">
        <v>22</v>
      </c>
      <c r="AV443" s="360"/>
      <c r="AW443" s="264"/>
      <c r="AX443" s="264"/>
      <c r="AY443" s="264"/>
      <c r="AZ443" s="264"/>
      <c r="BA443" s="264"/>
      <c r="BB443" s="264"/>
      <c r="BC443" s="264"/>
      <c r="BD443" s="264"/>
      <c r="BE443" s="264"/>
    </row>
    <row r="444">
      <c r="A444" s="264"/>
      <c r="B444" s="264"/>
      <c r="C444" s="264"/>
      <c r="D444" s="264"/>
      <c r="E444" s="264"/>
      <c r="F444" s="264"/>
      <c r="G444" s="264"/>
      <c r="H444" s="264"/>
      <c r="I444" s="264"/>
      <c r="J444" s="264"/>
      <c r="K444" s="264"/>
      <c r="L444" s="264"/>
      <c r="M444" s="264" t="s">
        <v>22</v>
      </c>
      <c r="N444" s="264"/>
      <c r="O444" s="264" t="s">
        <v>22</v>
      </c>
      <c r="P444" s="264"/>
      <c r="Q444" s="264"/>
      <c r="R444" s="264"/>
      <c r="S444" s="264"/>
      <c r="T444" s="264"/>
      <c r="U444" s="360"/>
      <c r="V444" s="360"/>
      <c r="W444" s="360"/>
      <c r="X444" s="360"/>
      <c r="Y444" s="360"/>
      <c r="Z444" s="360"/>
      <c r="AA444" s="360"/>
      <c r="AB444" s="360"/>
      <c r="AC444" s="360"/>
      <c r="AD444" s="360"/>
      <c r="AE444" s="360"/>
      <c r="AF444" s="360"/>
      <c r="AG444" s="360" t="s">
        <v>1582</v>
      </c>
      <c r="AH444" s="360"/>
      <c r="AI444" s="360"/>
      <c r="AJ444" s="360" t="s">
        <v>1589</v>
      </c>
      <c r="AK444" s="360"/>
      <c r="AL444" s="360" t="s">
        <v>5878</v>
      </c>
      <c r="AM444" s="360"/>
      <c r="AN444" s="360"/>
      <c r="AO444" s="360"/>
      <c r="AP444" s="360"/>
      <c r="AQ444" s="360"/>
      <c r="AR444" s="360"/>
      <c r="AS444" s="360"/>
      <c r="AT444" s="360"/>
      <c r="AU444" s="360" t="s">
        <v>22</v>
      </c>
      <c r="AV444" s="360"/>
      <c r="AW444" s="264"/>
      <c r="AX444" s="264"/>
      <c r="AY444" s="264"/>
      <c r="AZ444" s="264"/>
      <c r="BA444" s="264"/>
      <c r="BB444" s="264"/>
      <c r="BC444" s="264"/>
      <c r="BD444" s="264"/>
      <c r="BE444" s="264"/>
    </row>
    <row r="445">
      <c r="A445" s="264"/>
      <c r="B445" s="264"/>
      <c r="C445" s="264"/>
      <c r="D445" s="264"/>
      <c r="E445" s="264"/>
      <c r="F445" s="264"/>
      <c r="G445" s="264"/>
      <c r="H445" s="264"/>
      <c r="I445" s="264"/>
      <c r="J445" s="264"/>
      <c r="K445" s="264"/>
      <c r="L445" s="264"/>
      <c r="M445" s="264" t="s">
        <v>22</v>
      </c>
      <c r="N445" s="264"/>
      <c r="O445" s="264" t="s">
        <v>22</v>
      </c>
      <c r="P445" s="264"/>
      <c r="Q445" s="264"/>
      <c r="R445" s="264"/>
      <c r="S445" s="264"/>
      <c r="T445" s="264"/>
      <c r="U445" s="360"/>
      <c r="V445" s="360"/>
      <c r="W445" s="360"/>
      <c r="X445" s="360"/>
      <c r="Y445" s="360"/>
      <c r="Z445" s="360"/>
      <c r="AA445" s="360"/>
      <c r="AB445" s="360"/>
      <c r="AC445" s="360"/>
      <c r="AD445" s="360"/>
      <c r="AE445" s="360"/>
      <c r="AF445" s="360"/>
      <c r="AG445" s="360" t="s">
        <v>1582</v>
      </c>
      <c r="AH445" s="360"/>
      <c r="AI445" s="360"/>
      <c r="AJ445" s="360" t="s">
        <v>1589</v>
      </c>
      <c r="AK445" s="360"/>
      <c r="AL445" s="360" t="s">
        <v>5878</v>
      </c>
      <c r="AM445" s="360"/>
      <c r="AN445" s="360"/>
      <c r="AO445" s="360"/>
      <c r="AP445" s="360"/>
      <c r="AQ445" s="360"/>
      <c r="AR445" s="360"/>
      <c r="AS445" s="360"/>
      <c r="AT445" s="360"/>
      <c r="AU445" s="360" t="s">
        <v>22</v>
      </c>
      <c r="AV445" s="360"/>
      <c r="AW445" s="264"/>
      <c r="AX445" s="264"/>
      <c r="AY445" s="264"/>
      <c r="AZ445" s="264"/>
      <c r="BA445" s="264"/>
      <c r="BB445" s="264"/>
      <c r="BC445" s="264"/>
      <c r="BD445" s="264"/>
      <c r="BE445" s="264"/>
    </row>
    <row r="446">
      <c r="A446" s="264"/>
      <c r="B446" s="264"/>
      <c r="C446" s="264"/>
      <c r="D446" s="264"/>
      <c r="E446" s="264"/>
      <c r="F446" s="264"/>
      <c r="G446" s="264"/>
      <c r="H446" s="264"/>
      <c r="I446" s="264"/>
      <c r="J446" s="264"/>
      <c r="K446" s="264"/>
      <c r="L446" s="264"/>
      <c r="M446" s="264" t="s">
        <v>22</v>
      </c>
      <c r="N446" s="264"/>
      <c r="O446" s="264" t="s">
        <v>22</v>
      </c>
      <c r="P446" s="264"/>
      <c r="Q446" s="264"/>
      <c r="R446" s="264"/>
      <c r="S446" s="264"/>
      <c r="T446" s="264"/>
      <c r="U446" s="360"/>
      <c r="V446" s="360"/>
      <c r="W446" s="360"/>
      <c r="X446" s="360"/>
      <c r="Y446" s="360"/>
      <c r="Z446" s="360"/>
      <c r="AA446" s="360"/>
      <c r="AB446" s="360"/>
      <c r="AC446" s="360"/>
      <c r="AD446" s="360"/>
      <c r="AE446" s="360"/>
      <c r="AF446" s="360"/>
      <c r="AG446" s="360" t="s">
        <v>1582</v>
      </c>
      <c r="AH446" s="360"/>
      <c r="AI446" s="360"/>
      <c r="AJ446" s="360" t="s">
        <v>1589</v>
      </c>
      <c r="AK446" s="360"/>
      <c r="AL446" s="360" t="s">
        <v>5878</v>
      </c>
      <c r="AM446" s="360"/>
      <c r="AN446" s="360"/>
      <c r="AO446" s="360"/>
      <c r="AP446" s="360"/>
      <c r="AQ446" s="360"/>
      <c r="AR446" s="360"/>
      <c r="AS446" s="360"/>
      <c r="AT446" s="360"/>
      <c r="AU446" s="360" t="s">
        <v>22</v>
      </c>
      <c r="AV446" s="360"/>
      <c r="AW446" s="264"/>
      <c r="AX446" s="264"/>
      <c r="AY446" s="264"/>
      <c r="AZ446" s="264"/>
      <c r="BA446" s="264"/>
      <c r="BB446" s="264"/>
      <c r="BC446" s="264"/>
      <c r="BD446" s="264"/>
      <c r="BE446" s="264"/>
    </row>
    <row r="447">
      <c r="A447" s="264"/>
      <c r="B447" s="264"/>
      <c r="C447" s="264"/>
      <c r="D447" s="264"/>
      <c r="E447" s="264"/>
      <c r="F447" s="264"/>
      <c r="G447" s="264"/>
      <c r="H447" s="264"/>
      <c r="I447" s="264"/>
      <c r="J447" s="264"/>
      <c r="K447" s="264"/>
      <c r="L447" s="264"/>
      <c r="M447" s="264" t="s">
        <v>22</v>
      </c>
      <c r="N447" s="264"/>
      <c r="O447" s="264" t="s">
        <v>22</v>
      </c>
      <c r="P447" s="264"/>
      <c r="Q447" s="264"/>
      <c r="R447" s="264"/>
      <c r="S447" s="264"/>
      <c r="T447" s="264"/>
      <c r="U447" s="360"/>
      <c r="V447" s="360"/>
      <c r="W447" s="360"/>
      <c r="X447" s="360"/>
      <c r="Y447" s="360"/>
      <c r="Z447" s="360"/>
      <c r="AA447" s="360"/>
      <c r="AB447" s="360"/>
      <c r="AC447" s="360"/>
      <c r="AD447" s="360"/>
      <c r="AE447" s="360"/>
      <c r="AF447" s="360"/>
      <c r="AG447" s="360" t="s">
        <v>1582</v>
      </c>
      <c r="AH447" s="360"/>
      <c r="AI447" s="360"/>
      <c r="AJ447" s="360" t="s">
        <v>1589</v>
      </c>
      <c r="AK447" s="360"/>
      <c r="AL447" s="360" t="s">
        <v>5878</v>
      </c>
      <c r="AM447" s="360"/>
      <c r="AN447" s="360"/>
      <c r="AO447" s="360"/>
      <c r="AP447" s="360"/>
      <c r="AQ447" s="360"/>
      <c r="AR447" s="360"/>
      <c r="AS447" s="360"/>
      <c r="AT447" s="360"/>
      <c r="AU447" s="360" t="s">
        <v>22</v>
      </c>
      <c r="AV447" s="360"/>
      <c r="AW447" s="264"/>
      <c r="AX447" s="264"/>
      <c r="AY447" s="264"/>
      <c r="AZ447" s="264"/>
      <c r="BA447" s="264"/>
      <c r="BB447" s="264"/>
      <c r="BC447" s="264"/>
      <c r="BD447" s="264"/>
      <c r="BE447" s="264"/>
    </row>
    <row r="448">
      <c r="A448" s="264"/>
      <c r="B448" s="264"/>
      <c r="C448" s="264"/>
      <c r="D448" s="264"/>
      <c r="E448" s="264"/>
      <c r="F448" s="264"/>
      <c r="G448" s="264"/>
      <c r="H448" s="264"/>
      <c r="I448" s="264"/>
      <c r="J448" s="264"/>
      <c r="K448" s="264"/>
      <c r="L448" s="264"/>
      <c r="M448" s="264" t="s">
        <v>22</v>
      </c>
      <c r="N448" s="264"/>
      <c r="O448" s="264" t="s">
        <v>22</v>
      </c>
      <c r="P448" s="264"/>
      <c r="Q448" s="264"/>
      <c r="R448" s="264"/>
      <c r="S448" s="264"/>
      <c r="T448" s="264"/>
      <c r="U448" s="360"/>
      <c r="V448" s="360"/>
      <c r="W448" s="360"/>
      <c r="X448" s="360"/>
      <c r="Y448" s="360"/>
      <c r="Z448" s="360"/>
      <c r="AA448" s="360"/>
      <c r="AB448" s="360"/>
      <c r="AC448" s="360"/>
      <c r="AD448" s="360"/>
      <c r="AE448" s="360"/>
      <c r="AF448" s="360"/>
      <c r="AG448" s="360" t="s">
        <v>1582</v>
      </c>
      <c r="AH448" s="360"/>
      <c r="AI448" s="360"/>
      <c r="AJ448" s="360" t="s">
        <v>1589</v>
      </c>
      <c r="AK448" s="360"/>
      <c r="AL448" s="360" t="s">
        <v>5878</v>
      </c>
      <c r="AM448" s="360"/>
      <c r="AN448" s="360"/>
      <c r="AO448" s="360"/>
      <c r="AP448" s="360"/>
      <c r="AQ448" s="360"/>
      <c r="AR448" s="360"/>
      <c r="AS448" s="360"/>
      <c r="AT448" s="360"/>
      <c r="AU448" s="360" t="s">
        <v>22</v>
      </c>
      <c r="AV448" s="360"/>
      <c r="AW448" s="264"/>
      <c r="AX448" s="264"/>
      <c r="AY448" s="264"/>
      <c r="AZ448" s="264"/>
      <c r="BA448" s="264"/>
      <c r="BB448" s="264"/>
      <c r="BC448" s="264"/>
      <c r="BD448" s="264"/>
      <c r="BE448" s="264"/>
    </row>
    <row r="449">
      <c r="A449" s="264"/>
      <c r="B449" s="264"/>
      <c r="C449" s="264"/>
      <c r="D449" s="264"/>
      <c r="E449" s="264"/>
      <c r="F449" s="264"/>
      <c r="G449" s="264"/>
      <c r="H449" s="264"/>
      <c r="I449" s="264"/>
      <c r="J449" s="264"/>
      <c r="K449" s="264"/>
      <c r="L449" s="264"/>
      <c r="M449" s="264" t="s">
        <v>22</v>
      </c>
      <c r="N449" s="264"/>
      <c r="O449" s="264" t="s">
        <v>22</v>
      </c>
      <c r="P449" s="264"/>
      <c r="Q449" s="264"/>
      <c r="R449" s="264"/>
      <c r="S449" s="264"/>
      <c r="T449" s="264"/>
      <c r="U449" s="360"/>
      <c r="V449" s="360"/>
      <c r="W449" s="360"/>
      <c r="X449" s="360"/>
      <c r="Y449" s="360"/>
      <c r="Z449" s="360"/>
      <c r="AA449" s="360"/>
      <c r="AB449" s="360"/>
      <c r="AC449" s="360"/>
      <c r="AD449" s="360"/>
      <c r="AE449" s="360"/>
      <c r="AF449" s="360"/>
      <c r="AG449" s="360" t="s">
        <v>1582</v>
      </c>
      <c r="AH449" s="360"/>
      <c r="AI449" s="360"/>
      <c r="AJ449" s="360" t="s">
        <v>1589</v>
      </c>
      <c r="AK449" s="360"/>
      <c r="AL449" s="360" t="s">
        <v>5878</v>
      </c>
      <c r="AM449" s="360"/>
      <c r="AN449" s="360"/>
      <c r="AO449" s="360"/>
      <c r="AP449" s="360"/>
      <c r="AQ449" s="360"/>
      <c r="AR449" s="360"/>
      <c r="AS449" s="360"/>
      <c r="AT449" s="360"/>
      <c r="AU449" s="360" t="s">
        <v>22</v>
      </c>
      <c r="AV449" s="360"/>
      <c r="AW449" s="264"/>
      <c r="AX449" s="264"/>
      <c r="AY449" s="264"/>
      <c r="AZ449" s="264"/>
      <c r="BA449" s="264"/>
      <c r="BB449" s="264"/>
      <c r="BC449" s="264"/>
      <c r="BD449" s="264"/>
      <c r="BE449" s="264"/>
    </row>
    <row r="450">
      <c r="A450" s="264"/>
      <c r="B450" s="264"/>
      <c r="C450" s="264"/>
      <c r="D450" s="264"/>
      <c r="E450" s="264"/>
      <c r="F450" s="264"/>
      <c r="G450" s="264"/>
      <c r="H450" s="264"/>
      <c r="I450" s="264"/>
      <c r="J450" s="264"/>
      <c r="K450" s="264"/>
      <c r="L450" s="264"/>
      <c r="M450" s="264" t="s">
        <v>22</v>
      </c>
      <c r="N450" s="264"/>
      <c r="O450" s="264" t="s">
        <v>22</v>
      </c>
      <c r="P450" s="264"/>
      <c r="Q450" s="264"/>
      <c r="R450" s="264"/>
      <c r="S450" s="264"/>
      <c r="T450" s="264"/>
      <c r="U450" s="360"/>
      <c r="V450" s="360"/>
      <c r="W450" s="360"/>
      <c r="X450" s="360"/>
      <c r="Y450" s="360"/>
      <c r="Z450" s="360"/>
      <c r="AA450" s="360"/>
      <c r="AB450" s="360"/>
      <c r="AC450" s="360"/>
      <c r="AD450" s="360"/>
      <c r="AE450" s="360"/>
      <c r="AF450" s="360"/>
      <c r="AG450" s="360" t="s">
        <v>1582</v>
      </c>
      <c r="AH450" s="360"/>
      <c r="AI450" s="360"/>
      <c r="AJ450" s="360" t="s">
        <v>1589</v>
      </c>
      <c r="AK450" s="360"/>
      <c r="AL450" s="360" t="s">
        <v>5878</v>
      </c>
      <c r="AM450" s="360"/>
      <c r="AN450" s="360"/>
      <c r="AO450" s="360"/>
      <c r="AP450" s="360"/>
      <c r="AQ450" s="360"/>
      <c r="AR450" s="360"/>
      <c r="AS450" s="360"/>
      <c r="AT450" s="360"/>
      <c r="AU450" s="360" t="s">
        <v>22</v>
      </c>
      <c r="AV450" s="360"/>
      <c r="AW450" s="264"/>
      <c r="AX450" s="264"/>
      <c r="AY450" s="264"/>
      <c r="AZ450" s="264"/>
      <c r="BA450" s="264"/>
      <c r="BB450" s="264"/>
      <c r="BC450" s="264"/>
      <c r="BD450" s="264"/>
      <c r="BE450" s="264"/>
    </row>
    <row r="451">
      <c r="A451" s="264"/>
      <c r="B451" s="264"/>
      <c r="C451" s="264"/>
      <c r="D451" s="264"/>
      <c r="E451" s="264"/>
      <c r="F451" s="264"/>
      <c r="G451" s="264"/>
      <c r="H451" s="264"/>
      <c r="I451" s="264"/>
      <c r="J451" s="264"/>
      <c r="K451" s="264"/>
      <c r="L451" s="264"/>
      <c r="M451" s="264" t="s">
        <v>22</v>
      </c>
      <c r="N451" s="264"/>
      <c r="O451" s="264" t="s">
        <v>22</v>
      </c>
      <c r="P451" s="264"/>
      <c r="Q451" s="264"/>
      <c r="R451" s="264"/>
      <c r="S451" s="264"/>
      <c r="T451" s="264"/>
      <c r="U451" s="360"/>
      <c r="V451" s="360"/>
      <c r="W451" s="360"/>
      <c r="X451" s="360"/>
      <c r="Y451" s="360"/>
      <c r="Z451" s="360"/>
      <c r="AA451" s="360"/>
      <c r="AB451" s="360"/>
      <c r="AC451" s="360"/>
      <c r="AD451" s="360"/>
      <c r="AE451" s="360"/>
      <c r="AF451" s="360"/>
      <c r="AG451" s="360" t="s">
        <v>1582</v>
      </c>
      <c r="AH451" s="360"/>
      <c r="AI451" s="360"/>
      <c r="AJ451" s="360" t="s">
        <v>1589</v>
      </c>
      <c r="AK451" s="360"/>
      <c r="AL451" s="360" t="s">
        <v>5878</v>
      </c>
      <c r="AM451" s="360"/>
      <c r="AN451" s="360"/>
      <c r="AO451" s="360"/>
      <c r="AP451" s="360"/>
      <c r="AQ451" s="360"/>
      <c r="AR451" s="360"/>
      <c r="AS451" s="360"/>
      <c r="AT451" s="360"/>
      <c r="AU451" s="360" t="s">
        <v>22</v>
      </c>
      <c r="AV451" s="360"/>
      <c r="AW451" s="264"/>
      <c r="AX451" s="264"/>
      <c r="AY451" s="264"/>
      <c r="AZ451" s="264"/>
      <c r="BA451" s="264"/>
      <c r="BB451" s="264"/>
      <c r="BC451" s="264"/>
      <c r="BD451" s="264"/>
      <c r="BE451" s="264"/>
    </row>
    <row r="452">
      <c r="A452" s="264"/>
      <c r="B452" s="264"/>
      <c r="C452" s="264"/>
      <c r="D452" s="264"/>
      <c r="E452" s="264"/>
      <c r="F452" s="264"/>
      <c r="G452" s="264"/>
      <c r="H452" s="264"/>
      <c r="I452" s="264"/>
      <c r="J452" s="264"/>
      <c r="K452" s="264"/>
      <c r="L452" s="264"/>
      <c r="M452" s="264" t="s">
        <v>22</v>
      </c>
      <c r="N452" s="264"/>
      <c r="O452" s="264" t="s">
        <v>22</v>
      </c>
      <c r="P452" s="264"/>
      <c r="Q452" s="264"/>
      <c r="R452" s="264"/>
      <c r="S452" s="264"/>
      <c r="T452" s="264"/>
      <c r="U452" s="360"/>
      <c r="V452" s="360"/>
      <c r="W452" s="360"/>
      <c r="X452" s="360"/>
      <c r="Y452" s="360"/>
      <c r="Z452" s="360"/>
      <c r="AA452" s="360"/>
      <c r="AB452" s="360"/>
      <c r="AC452" s="360"/>
      <c r="AD452" s="360"/>
      <c r="AE452" s="360"/>
      <c r="AF452" s="360"/>
      <c r="AG452" s="360" t="s">
        <v>1582</v>
      </c>
      <c r="AH452" s="360"/>
      <c r="AI452" s="360"/>
      <c r="AJ452" s="360" t="s">
        <v>1589</v>
      </c>
      <c r="AK452" s="360"/>
      <c r="AL452" s="360" t="s">
        <v>5878</v>
      </c>
      <c r="AM452" s="360"/>
      <c r="AN452" s="360"/>
      <c r="AO452" s="360"/>
      <c r="AP452" s="360"/>
      <c r="AQ452" s="360"/>
      <c r="AR452" s="360"/>
      <c r="AS452" s="360"/>
      <c r="AT452" s="360"/>
      <c r="AU452" s="360" t="s">
        <v>22</v>
      </c>
      <c r="AV452" s="360"/>
      <c r="AW452" s="264"/>
      <c r="AX452" s="264"/>
      <c r="AY452" s="264"/>
      <c r="AZ452" s="264"/>
      <c r="BA452" s="264"/>
      <c r="BB452" s="264"/>
      <c r="BC452" s="264"/>
      <c r="BD452" s="264"/>
      <c r="BE452" s="264"/>
    </row>
    <row r="453">
      <c r="A453" s="264"/>
      <c r="B453" s="264"/>
      <c r="C453" s="264"/>
      <c r="D453" s="264"/>
      <c r="E453" s="264"/>
      <c r="F453" s="264"/>
      <c r="G453" s="264"/>
      <c r="H453" s="264"/>
      <c r="I453" s="264"/>
      <c r="J453" s="264"/>
      <c r="K453" s="264"/>
      <c r="L453" s="264"/>
      <c r="M453" s="264" t="s">
        <v>22</v>
      </c>
      <c r="N453" s="264"/>
      <c r="O453" s="264" t="s">
        <v>22</v>
      </c>
      <c r="P453" s="264"/>
      <c r="Q453" s="264"/>
      <c r="R453" s="264"/>
      <c r="S453" s="264"/>
      <c r="T453" s="264"/>
      <c r="U453" s="360"/>
      <c r="V453" s="360"/>
      <c r="W453" s="360"/>
      <c r="X453" s="360"/>
      <c r="Y453" s="360"/>
      <c r="Z453" s="360"/>
      <c r="AA453" s="360"/>
      <c r="AB453" s="360"/>
      <c r="AC453" s="360"/>
      <c r="AD453" s="360"/>
      <c r="AE453" s="360"/>
      <c r="AF453" s="360"/>
      <c r="AG453" s="360" t="s">
        <v>1582</v>
      </c>
      <c r="AH453" s="360"/>
      <c r="AI453" s="360"/>
      <c r="AJ453" s="360" t="s">
        <v>1589</v>
      </c>
      <c r="AK453" s="360"/>
      <c r="AL453" s="360" t="s">
        <v>5878</v>
      </c>
      <c r="AM453" s="360"/>
      <c r="AN453" s="360"/>
      <c r="AO453" s="360"/>
      <c r="AP453" s="360"/>
      <c r="AQ453" s="360"/>
      <c r="AR453" s="360"/>
      <c r="AS453" s="360"/>
      <c r="AT453" s="360"/>
      <c r="AU453" s="360" t="s">
        <v>22</v>
      </c>
      <c r="AV453" s="360"/>
      <c r="AW453" s="264"/>
      <c r="AX453" s="264"/>
      <c r="AY453" s="264"/>
      <c r="AZ453" s="264"/>
      <c r="BA453" s="264"/>
      <c r="BB453" s="264"/>
      <c r="BC453" s="264"/>
      <c r="BD453" s="264"/>
      <c r="BE453" s="264"/>
    </row>
    <row r="454">
      <c r="A454" s="264"/>
      <c r="B454" s="264"/>
      <c r="C454" s="264"/>
      <c r="D454" s="264"/>
      <c r="E454" s="264"/>
      <c r="F454" s="264"/>
      <c r="G454" s="264"/>
      <c r="H454" s="264"/>
      <c r="I454" s="264"/>
      <c r="J454" s="264"/>
      <c r="K454" s="264"/>
      <c r="L454" s="264"/>
      <c r="M454" s="264" t="s">
        <v>22</v>
      </c>
      <c r="N454" s="264"/>
      <c r="O454" s="264" t="s">
        <v>22</v>
      </c>
      <c r="P454" s="264"/>
      <c r="Q454" s="264"/>
      <c r="R454" s="264"/>
      <c r="S454" s="264"/>
      <c r="T454" s="264"/>
      <c r="U454" s="360"/>
      <c r="V454" s="360"/>
      <c r="W454" s="360"/>
      <c r="X454" s="360"/>
      <c r="Y454" s="360"/>
      <c r="Z454" s="360"/>
      <c r="AA454" s="360"/>
      <c r="AB454" s="360"/>
      <c r="AC454" s="360"/>
      <c r="AD454" s="360"/>
      <c r="AE454" s="360"/>
      <c r="AF454" s="360"/>
      <c r="AG454" s="360" t="s">
        <v>1582</v>
      </c>
      <c r="AH454" s="360"/>
      <c r="AI454" s="360"/>
      <c r="AJ454" s="360" t="s">
        <v>1589</v>
      </c>
      <c r="AK454" s="360"/>
      <c r="AL454" s="360" t="s">
        <v>5878</v>
      </c>
      <c r="AM454" s="360"/>
      <c r="AN454" s="360"/>
      <c r="AO454" s="360"/>
      <c r="AP454" s="360"/>
      <c r="AQ454" s="360"/>
      <c r="AR454" s="360"/>
      <c r="AS454" s="360"/>
      <c r="AT454" s="360"/>
      <c r="AU454" s="360" t="s">
        <v>22</v>
      </c>
      <c r="AV454" s="360"/>
      <c r="AW454" s="264"/>
      <c r="AX454" s="264"/>
      <c r="AY454" s="264"/>
      <c r="AZ454" s="264"/>
      <c r="BA454" s="264"/>
      <c r="BB454" s="264"/>
      <c r="BC454" s="264"/>
      <c r="BD454" s="264"/>
      <c r="BE454" s="264"/>
    </row>
    <row r="455">
      <c r="A455" s="264"/>
      <c r="B455" s="264"/>
      <c r="C455" s="264"/>
      <c r="D455" s="264"/>
      <c r="E455" s="264"/>
      <c r="F455" s="264"/>
      <c r="G455" s="264"/>
      <c r="H455" s="264"/>
      <c r="I455" s="264"/>
      <c r="J455" s="264"/>
      <c r="K455" s="264"/>
      <c r="L455" s="264"/>
      <c r="M455" s="264" t="s">
        <v>22</v>
      </c>
      <c r="N455" s="264"/>
      <c r="O455" s="264" t="s">
        <v>22</v>
      </c>
      <c r="P455" s="264"/>
      <c r="Q455" s="264"/>
      <c r="R455" s="264"/>
      <c r="S455" s="264"/>
      <c r="T455" s="264"/>
      <c r="U455" s="360"/>
      <c r="V455" s="360"/>
      <c r="W455" s="360"/>
      <c r="X455" s="360"/>
      <c r="Y455" s="360"/>
      <c r="Z455" s="360"/>
      <c r="AA455" s="360"/>
      <c r="AB455" s="360"/>
      <c r="AC455" s="360"/>
      <c r="AD455" s="360"/>
      <c r="AE455" s="360"/>
      <c r="AF455" s="360"/>
      <c r="AG455" s="360" t="s">
        <v>1582</v>
      </c>
      <c r="AH455" s="360"/>
      <c r="AI455" s="360"/>
      <c r="AJ455" s="360" t="s">
        <v>1589</v>
      </c>
      <c r="AK455" s="360"/>
      <c r="AL455" s="360" t="s">
        <v>5878</v>
      </c>
      <c r="AM455" s="360"/>
      <c r="AN455" s="360"/>
      <c r="AO455" s="360"/>
      <c r="AP455" s="360"/>
      <c r="AQ455" s="360"/>
      <c r="AR455" s="360"/>
      <c r="AS455" s="360"/>
      <c r="AT455" s="360"/>
      <c r="AU455" s="360" t="s">
        <v>22</v>
      </c>
      <c r="AV455" s="360"/>
      <c r="AW455" s="264"/>
      <c r="AX455" s="264"/>
      <c r="AY455" s="264"/>
      <c r="AZ455" s="264"/>
      <c r="BA455" s="264"/>
      <c r="BB455" s="264"/>
      <c r="BC455" s="264"/>
      <c r="BD455" s="264"/>
      <c r="BE455" s="264"/>
    </row>
    <row r="456">
      <c r="A456" s="264"/>
      <c r="B456" s="264"/>
      <c r="C456" s="264"/>
      <c r="D456" s="264"/>
      <c r="E456" s="264"/>
      <c r="F456" s="264"/>
      <c r="G456" s="264"/>
      <c r="H456" s="264"/>
      <c r="I456" s="264"/>
      <c r="J456" s="264"/>
      <c r="K456" s="264"/>
      <c r="L456" s="264"/>
      <c r="M456" s="264" t="s">
        <v>22</v>
      </c>
      <c r="N456" s="264"/>
      <c r="O456" s="264" t="s">
        <v>22</v>
      </c>
      <c r="P456" s="264"/>
      <c r="Q456" s="264"/>
      <c r="R456" s="264"/>
      <c r="S456" s="264"/>
      <c r="T456" s="264"/>
      <c r="U456" s="360"/>
      <c r="V456" s="360"/>
      <c r="W456" s="360"/>
      <c r="X456" s="360"/>
      <c r="Y456" s="360"/>
      <c r="Z456" s="360"/>
      <c r="AA456" s="360"/>
      <c r="AB456" s="360"/>
      <c r="AC456" s="360"/>
      <c r="AD456" s="360"/>
      <c r="AE456" s="360"/>
      <c r="AF456" s="360"/>
      <c r="AG456" s="360" t="s">
        <v>1582</v>
      </c>
      <c r="AH456" s="360"/>
      <c r="AI456" s="360"/>
      <c r="AJ456" s="360" t="s">
        <v>1589</v>
      </c>
      <c r="AK456" s="360"/>
      <c r="AL456" s="360" t="s">
        <v>5878</v>
      </c>
      <c r="AM456" s="360"/>
      <c r="AN456" s="360"/>
      <c r="AO456" s="360"/>
      <c r="AP456" s="360"/>
      <c r="AQ456" s="360"/>
      <c r="AR456" s="360"/>
      <c r="AS456" s="360"/>
      <c r="AT456" s="360"/>
      <c r="AU456" s="360" t="s">
        <v>22</v>
      </c>
      <c r="AV456" s="360"/>
      <c r="AW456" s="264"/>
      <c r="AX456" s="264"/>
      <c r="AY456" s="264"/>
      <c r="AZ456" s="264"/>
      <c r="BA456" s="264"/>
      <c r="BB456" s="264"/>
      <c r="BC456" s="264"/>
      <c r="BD456" s="264"/>
      <c r="BE456" s="264"/>
    </row>
    <row r="457">
      <c r="A457" s="264"/>
      <c r="B457" s="264"/>
      <c r="C457" s="264"/>
      <c r="D457" s="264"/>
      <c r="E457" s="264"/>
      <c r="F457" s="264"/>
      <c r="G457" s="264"/>
      <c r="H457" s="264"/>
      <c r="I457" s="264"/>
      <c r="J457" s="264"/>
      <c r="K457" s="264"/>
      <c r="L457" s="264"/>
      <c r="M457" s="264" t="s">
        <v>22</v>
      </c>
      <c r="N457" s="264"/>
      <c r="O457" s="264" t="s">
        <v>22</v>
      </c>
      <c r="P457" s="264"/>
      <c r="Q457" s="264"/>
      <c r="R457" s="264"/>
      <c r="S457" s="264"/>
      <c r="T457" s="264"/>
      <c r="U457" s="360"/>
      <c r="V457" s="360"/>
      <c r="W457" s="360"/>
      <c r="X457" s="360"/>
      <c r="Y457" s="360"/>
      <c r="Z457" s="360"/>
      <c r="AA457" s="360"/>
      <c r="AB457" s="360"/>
      <c r="AC457" s="360"/>
      <c r="AD457" s="360"/>
      <c r="AE457" s="360"/>
      <c r="AF457" s="360"/>
      <c r="AG457" s="360" t="s">
        <v>1582</v>
      </c>
      <c r="AH457" s="360"/>
      <c r="AI457" s="360"/>
      <c r="AJ457" s="360" t="s">
        <v>1589</v>
      </c>
      <c r="AK457" s="360"/>
      <c r="AL457" s="360" t="s">
        <v>5878</v>
      </c>
      <c r="AM457" s="360"/>
      <c r="AN457" s="360"/>
      <c r="AO457" s="360"/>
      <c r="AP457" s="360"/>
      <c r="AQ457" s="360"/>
      <c r="AR457" s="360"/>
      <c r="AS457" s="360"/>
      <c r="AT457" s="360"/>
      <c r="AU457" s="360" t="s">
        <v>22</v>
      </c>
      <c r="AV457" s="360"/>
      <c r="AW457" s="264"/>
      <c r="AX457" s="264"/>
      <c r="AY457" s="264"/>
      <c r="AZ457" s="264"/>
      <c r="BA457" s="264"/>
      <c r="BB457" s="264"/>
      <c r="BC457" s="264"/>
      <c r="BD457" s="264"/>
      <c r="BE457" s="264"/>
    </row>
    <row r="458">
      <c r="A458" s="264"/>
      <c r="B458" s="264"/>
      <c r="C458" s="264"/>
      <c r="D458" s="264"/>
      <c r="E458" s="264"/>
      <c r="F458" s="264"/>
      <c r="G458" s="264"/>
      <c r="H458" s="264"/>
      <c r="I458" s="264"/>
      <c r="J458" s="264"/>
      <c r="K458" s="264"/>
      <c r="L458" s="264"/>
      <c r="M458" s="264" t="s">
        <v>22</v>
      </c>
      <c r="N458" s="264"/>
      <c r="O458" s="264" t="s">
        <v>22</v>
      </c>
      <c r="P458" s="264"/>
      <c r="Q458" s="264"/>
      <c r="R458" s="264"/>
      <c r="S458" s="264"/>
      <c r="T458" s="264"/>
      <c r="U458" s="360"/>
      <c r="V458" s="360"/>
      <c r="W458" s="360"/>
      <c r="X458" s="360"/>
      <c r="Y458" s="360"/>
      <c r="Z458" s="360"/>
      <c r="AA458" s="360"/>
      <c r="AB458" s="360"/>
      <c r="AC458" s="360"/>
      <c r="AD458" s="360"/>
      <c r="AE458" s="360"/>
      <c r="AF458" s="360"/>
      <c r="AG458" s="360" t="s">
        <v>1582</v>
      </c>
      <c r="AH458" s="360"/>
      <c r="AI458" s="360"/>
      <c r="AJ458" s="360" t="s">
        <v>1589</v>
      </c>
      <c r="AK458" s="360"/>
      <c r="AL458" s="360" t="s">
        <v>5878</v>
      </c>
      <c r="AM458" s="360"/>
      <c r="AN458" s="360"/>
      <c r="AO458" s="360"/>
      <c r="AP458" s="360"/>
      <c r="AQ458" s="360"/>
      <c r="AR458" s="360"/>
      <c r="AS458" s="360"/>
      <c r="AT458" s="360"/>
      <c r="AU458" s="360" t="s">
        <v>22</v>
      </c>
      <c r="AV458" s="360"/>
      <c r="AW458" s="264"/>
      <c r="AX458" s="264"/>
      <c r="AY458" s="264"/>
      <c r="AZ458" s="264"/>
      <c r="BA458" s="264"/>
      <c r="BB458" s="264"/>
      <c r="BC458" s="264"/>
      <c r="BD458" s="264"/>
      <c r="BE458" s="264"/>
    </row>
    <row r="459">
      <c r="A459" s="264"/>
      <c r="B459" s="264"/>
      <c r="C459" s="264"/>
      <c r="D459" s="264"/>
      <c r="E459" s="264"/>
      <c r="F459" s="264"/>
      <c r="G459" s="264"/>
      <c r="H459" s="264"/>
      <c r="I459" s="264"/>
      <c r="J459" s="264"/>
      <c r="K459" s="264"/>
      <c r="L459" s="264"/>
      <c r="M459" s="264" t="s">
        <v>22</v>
      </c>
      <c r="N459" s="264"/>
      <c r="O459" s="264" t="s">
        <v>22</v>
      </c>
      <c r="P459" s="264"/>
      <c r="Q459" s="264"/>
      <c r="R459" s="264"/>
      <c r="S459" s="264"/>
      <c r="T459" s="264"/>
      <c r="U459" s="360"/>
      <c r="V459" s="360"/>
      <c r="W459" s="360"/>
      <c r="X459" s="360"/>
      <c r="Y459" s="360"/>
      <c r="Z459" s="360"/>
      <c r="AA459" s="360"/>
      <c r="AB459" s="360"/>
      <c r="AC459" s="360"/>
      <c r="AD459" s="360"/>
      <c r="AE459" s="360"/>
      <c r="AF459" s="360"/>
      <c r="AG459" s="360" t="s">
        <v>1582</v>
      </c>
      <c r="AH459" s="360"/>
      <c r="AI459" s="360"/>
      <c r="AJ459" s="360" t="s">
        <v>1589</v>
      </c>
      <c r="AK459" s="360"/>
      <c r="AL459" s="360" t="s">
        <v>5878</v>
      </c>
      <c r="AM459" s="360"/>
      <c r="AN459" s="360"/>
      <c r="AO459" s="360"/>
      <c r="AP459" s="360"/>
      <c r="AQ459" s="360"/>
      <c r="AR459" s="360"/>
      <c r="AS459" s="360"/>
      <c r="AT459" s="360"/>
      <c r="AU459" s="360" t="s">
        <v>22</v>
      </c>
      <c r="AV459" s="360"/>
      <c r="AW459" s="264"/>
      <c r="AX459" s="264"/>
      <c r="AY459" s="264"/>
      <c r="AZ459" s="264"/>
      <c r="BA459" s="264"/>
      <c r="BB459" s="264"/>
      <c r="BC459" s="264"/>
      <c r="BD459" s="264"/>
      <c r="BE459" s="264"/>
    </row>
    <row r="460">
      <c r="A460" s="264"/>
      <c r="B460" s="264"/>
      <c r="C460" s="264"/>
      <c r="D460" s="264"/>
      <c r="E460" s="264"/>
      <c r="F460" s="264"/>
      <c r="G460" s="264"/>
      <c r="H460" s="264"/>
      <c r="I460" s="264"/>
      <c r="J460" s="264"/>
      <c r="K460" s="264"/>
      <c r="L460" s="264"/>
      <c r="M460" s="264" t="s">
        <v>22</v>
      </c>
      <c r="N460" s="264"/>
      <c r="O460" s="264" t="s">
        <v>22</v>
      </c>
      <c r="P460" s="264"/>
      <c r="Q460" s="264"/>
      <c r="R460" s="264"/>
      <c r="S460" s="264"/>
      <c r="T460" s="264"/>
      <c r="U460" s="360"/>
      <c r="V460" s="360"/>
      <c r="W460" s="360"/>
      <c r="X460" s="360"/>
      <c r="Y460" s="360"/>
      <c r="Z460" s="360"/>
      <c r="AA460" s="360"/>
      <c r="AB460" s="360"/>
      <c r="AC460" s="360"/>
      <c r="AD460" s="360"/>
      <c r="AE460" s="360"/>
      <c r="AF460" s="360"/>
      <c r="AG460" s="360" t="s">
        <v>1582</v>
      </c>
      <c r="AH460" s="360"/>
      <c r="AI460" s="360"/>
      <c r="AJ460" s="360" t="s">
        <v>1589</v>
      </c>
      <c r="AK460" s="360"/>
      <c r="AL460" s="360" t="s">
        <v>5878</v>
      </c>
      <c r="AM460" s="360"/>
      <c r="AN460" s="360"/>
      <c r="AO460" s="360"/>
      <c r="AP460" s="360"/>
      <c r="AQ460" s="360"/>
      <c r="AR460" s="360"/>
      <c r="AS460" s="360"/>
      <c r="AT460" s="360"/>
      <c r="AU460" s="360" t="s">
        <v>22</v>
      </c>
      <c r="AV460" s="360"/>
      <c r="AW460" s="264"/>
      <c r="AX460" s="264"/>
      <c r="AY460" s="264"/>
      <c r="AZ460" s="264"/>
      <c r="BA460" s="264"/>
      <c r="BB460" s="264"/>
      <c r="BC460" s="264"/>
      <c r="BD460" s="264"/>
      <c r="BE460" s="264"/>
    </row>
    <row r="461">
      <c r="A461" s="264"/>
      <c r="B461" s="264"/>
      <c r="C461" s="264"/>
      <c r="D461" s="264"/>
      <c r="E461" s="264"/>
      <c r="F461" s="264"/>
      <c r="G461" s="264"/>
      <c r="H461" s="264"/>
      <c r="I461" s="264"/>
      <c r="J461" s="264"/>
      <c r="K461" s="264"/>
      <c r="L461" s="264"/>
      <c r="M461" s="264" t="s">
        <v>22</v>
      </c>
      <c r="N461" s="264"/>
      <c r="O461" s="264" t="s">
        <v>22</v>
      </c>
      <c r="P461" s="264"/>
      <c r="Q461" s="264"/>
      <c r="R461" s="264"/>
      <c r="S461" s="264"/>
      <c r="T461" s="264"/>
      <c r="U461" s="360"/>
      <c r="V461" s="360"/>
      <c r="W461" s="360"/>
      <c r="X461" s="360"/>
      <c r="Y461" s="360"/>
      <c r="Z461" s="360"/>
      <c r="AA461" s="360"/>
      <c r="AB461" s="360"/>
      <c r="AC461" s="360"/>
      <c r="AD461" s="360"/>
      <c r="AE461" s="360"/>
      <c r="AF461" s="360"/>
      <c r="AG461" s="360" t="s">
        <v>1582</v>
      </c>
      <c r="AH461" s="360"/>
      <c r="AI461" s="360"/>
      <c r="AJ461" s="360" t="s">
        <v>1589</v>
      </c>
      <c r="AK461" s="360"/>
      <c r="AL461" s="360" t="s">
        <v>5878</v>
      </c>
      <c r="AM461" s="360"/>
      <c r="AN461" s="360"/>
      <c r="AO461" s="360"/>
      <c r="AP461" s="360"/>
      <c r="AQ461" s="360"/>
      <c r="AR461" s="360"/>
      <c r="AS461" s="360"/>
      <c r="AT461" s="360"/>
      <c r="AU461" s="360" t="s">
        <v>22</v>
      </c>
      <c r="AV461" s="360"/>
      <c r="AW461" s="264"/>
      <c r="AX461" s="264"/>
      <c r="AY461" s="264"/>
      <c r="AZ461" s="264"/>
      <c r="BA461" s="264"/>
      <c r="BB461" s="264"/>
      <c r="BC461" s="264"/>
      <c r="BD461" s="264"/>
      <c r="BE461" s="264"/>
    </row>
    <row r="462">
      <c r="A462" s="264"/>
      <c r="B462" s="264"/>
      <c r="C462" s="264"/>
      <c r="D462" s="264"/>
      <c r="E462" s="264"/>
      <c r="F462" s="264"/>
      <c r="G462" s="264"/>
      <c r="H462" s="264"/>
      <c r="I462" s="264"/>
      <c r="J462" s="264"/>
      <c r="K462" s="264"/>
      <c r="L462" s="264"/>
      <c r="M462" s="264" t="s">
        <v>22</v>
      </c>
      <c r="N462" s="264"/>
      <c r="O462" s="264" t="s">
        <v>22</v>
      </c>
      <c r="P462" s="264"/>
      <c r="Q462" s="264"/>
      <c r="R462" s="264"/>
      <c r="S462" s="264"/>
      <c r="T462" s="264"/>
      <c r="U462" s="360"/>
      <c r="V462" s="360"/>
      <c r="W462" s="360"/>
      <c r="X462" s="360"/>
      <c r="Y462" s="360"/>
      <c r="Z462" s="360"/>
      <c r="AA462" s="360"/>
      <c r="AB462" s="360"/>
      <c r="AC462" s="360"/>
      <c r="AD462" s="360"/>
      <c r="AE462" s="360"/>
      <c r="AF462" s="360"/>
      <c r="AG462" s="360" t="s">
        <v>1582</v>
      </c>
      <c r="AH462" s="360"/>
      <c r="AI462" s="360"/>
      <c r="AJ462" s="360" t="s">
        <v>1589</v>
      </c>
      <c r="AK462" s="360"/>
      <c r="AL462" s="360" t="s">
        <v>5878</v>
      </c>
      <c r="AM462" s="360"/>
      <c r="AN462" s="360"/>
      <c r="AO462" s="360"/>
      <c r="AP462" s="360"/>
      <c r="AQ462" s="360"/>
      <c r="AR462" s="360"/>
      <c r="AS462" s="360"/>
      <c r="AT462" s="360"/>
      <c r="AU462" s="360" t="s">
        <v>22</v>
      </c>
      <c r="AV462" s="360"/>
      <c r="AW462" s="264"/>
      <c r="AX462" s="264"/>
      <c r="AY462" s="264"/>
      <c r="AZ462" s="264"/>
      <c r="BA462" s="264"/>
      <c r="BB462" s="264"/>
      <c r="BC462" s="264"/>
      <c r="BD462" s="264"/>
      <c r="BE462" s="264"/>
    </row>
    <row r="463">
      <c r="A463" s="264"/>
      <c r="B463" s="264"/>
      <c r="C463" s="264"/>
      <c r="D463" s="264"/>
      <c r="E463" s="264"/>
      <c r="F463" s="264"/>
      <c r="G463" s="264"/>
      <c r="H463" s="264"/>
      <c r="I463" s="264"/>
      <c r="J463" s="264"/>
      <c r="K463" s="264"/>
      <c r="L463" s="264"/>
      <c r="M463" s="264" t="s">
        <v>22</v>
      </c>
      <c r="N463" s="264"/>
      <c r="O463" s="264" t="s">
        <v>22</v>
      </c>
      <c r="P463" s="264"/>
      <c r="Q463" s="264"/>
      <c r="R463" s="264"/>
      <c r="S463" s="264"/>
      <c r="T463" s="264"/>
      <c r="U463" s="360"/>
      <c r="V463" s="360"/>
      <c r="W463" s="360"/>
      <c r="X463" s="360"/>
      <c r="Y463" s="360"/>
      <c r="Z463" s="360"/>
      <c r="AA463" s="360"/>
      <c r="AB463" s="360"/>
      <c r="AC463" s="360"/>
      <c r="AD463" s="360"/>
      <c r="AE463" s="360"/>
      <c r="AF463" s="360"/>
      <c r="AG463" s="360" t="s">
        <v>1582</v>
      </c>
      <c r="AH463" s="360"/>
      <c r="AI463" s="360"/>
      <c r="AJ463" s="360" t="s">
        <v>1589</v>
      </c>
      <c r="AK463" s="360"/>
      <c r="AL463" s="360" t="s">
        <v>5878</v>
      </c>
      <c r="AM463" s="360"/>
      <c r="AN463" s="360"/>
      <c r="AO463" s="360"/>
      <c r="AP463" s="360"/>
      <c r="AQ463" s="360"/>
      <c r="AR463" s="360"/>
      <c r="AS463" s="360"/>
      <c r="AT463" s="360"/>
      <c r="AU463" s="360" t="s">
        <v>22</v>
      </c>
      <c r="AV463" s="360"/>
      <c r="AW463" s="264"/>
      <c r="AX463" s="264"/>
      <c r="AY463" s="264"/>
      <c r="AZ463" s="264"/>
      <c r="BA463" s="264"/>
      <c r="BB463" s="264"/>
      <c r="BC463" s="264"/>
      <c r="BD463" s="264"/>
      <c r="BE463" s="264"/>
    </row>
    <row r="464">
      <c r="A464" s="264"/>
      <c r="B464" s="264"/>
      <c r="C464" s="264"/>
      <c r="D464" s="264"/>
      <c r="E464" s="264"/>
      <c r="F464" s="264"/>
      <c r="G464" s="264"/>
      <c r="H464" s="264"/>
      <c r="I464" s="264"/>
      <c r="J464" s="264"/>
      <c r="K464" s="264"/>
      <c r="L464" s="264"/>
      <c r="M464" s="264" t="s">
        <v>22</v>
      </c>
      <c r="N464" s="264"/>
      <c r="O464" s="264" t="s">
        <v>22</v>
      </c>
      <c r="P464" s="264"/>
      <c r="Q464" s="264"/>
      <c r="R464" s="264"/>
      <c r="S464" s="264"/>
      <c r="T464" s="264"/>
      <c r="U464" s="360"/>
      <c r="V464" s="360"/>
      <c r="W464" s="360"/>
      <c r="X464" s="360"/>
      <c r="Y464" s="360"/>
      <c r="Z464" s="360"/>
      <c r="AA464" s="360"/>
      <c r="AB464" s="360"/>
      <c r="AC464" s="360"/>
      <c r="AD464" s="360"/>
      <c r="AE464" s="360"/>
      <c r="AF464" s="360"/>
      <c r="AG464" s="360" t="s">
        <v>1582</v>
      </c>
      <c r="AH464" s="360"/>
      <c r="AI464" s="360"/>
      <c r="AJ464" s="360" t="s">
        <v>1589</v>
      </c>
      <c r="AK464" s="360"/>
      <c r="AL464" s="360" t="s">
        <v>5878</v>
      </c>
      <c r="AM464" s="360"/>
      <c r="AN464" s="360"/>
      <c r="AO464" s="360"/>
      <c r="AP464" s="360"/>
      <c r="AQ464" s="360"/>
      <c r="AR464" s="360"/>
      <c r="AS464" s="360"/>
      <c r="AT464" s="360"/>
      <c r="AU464" s="360" t="s">
        <v>22</v>
      </c>
      <c r="AV464" s="360"/>
      <c r="AW464" s="264"/>
      <c r="AX464" s="264"/>
      <c r="AY464" s="264"/>
      <c r="AZ464" s="264"/>
      <c r="BA464" s="264"/>
      <c r="BB464" s="264"/>
      <c r="BC464" s="264"/>
      <c r="BD464" s="264"/>
      <c r="BE464" s="264"/>
    </row>
    <row r="465">
      <c r="A465" s="264"/>
      <c r="B465" s="264"/>
      <c r="C465" s="264"/>
      <c r="D465" s="264"/>
      <c r="E465" s="264"/>
      <c r="F465" s="264"/>
      <c r="G465" s="264"/>
      <c r="H465" s="264"/>
      <c r="I465" s="264"/>
      <c r="J465" s="264"/>
      <c r="K465" s="264"/>
      <c r="L465" s="264"/>
      <c r="M465" s="264" t="s">
        <v>22</v>
      </c>
      <c r="N465" s="264"/>
      <c r="O465" s="264" t="s">
        <v>22</v>
      </c>
      <c r="P465" s="264"/>
      <c r="Q465" s="264"/>
      <c r="R465" s="264"/>
      <c r="S465" s="264"/>
      <c r="T465" s="264"/>
      <c r="U465" s="360"/>
      <c r="V465" s="360"/>
      <c r="W465" s="360"/>
      <c r="X465" s="360"/>
      <c r="Y465" s="360"/>
      <c r="Z465" s="360"/>
      <c r="AA465" s="360"/>
      <c r="AB465" s="360"/>
      <c r="AC465" s="360"/>
      <c r="AD465" s="360"/>
      <c r="AE465" s="360"/>
      <c r="AF465" s="360"/>
      <c r="AG465" s="360" t="s">
        <v>1582</v>
      </c>
      <c r="AH465" s="360"/>
      <c r="AI465" s="360"/>
      <c r="AJ465" s="360" t="s">
        <v>1589</v>
      </c>
      <c r="AK465" s="360"/>
      <c r="AL465" s="360" t="s">
        <v>5878</v>
      </c>
      <c r="AM465" s="360"/>
      <c r="AN465" s="360"/>
      <c r="AO465" s="360"/>
      <c r="AP465" s="360"/>
      <c r="AQ465" s="360"/>
      <c r="AR465" s="360"/>
      <c r="AS465" s="360"/>
      <c r="AT465" s="360"/>
      <c r="AU465" s="360" t="s">
        <v>22</v>
      </c>
      <c r="AV465" s="360"/>
      <c r="AW465" s="264"/>
      <c r="AX465" s="264"/>
      <c r="AY465" s="264"/>
      <c r="AZ465" s="264"/>
      <c r="BA465" s="264"/>
      <c r="BB465" s="264"/>
      <c r="BC465" s="264"/>
      <c r="BD465" s="264"/>
      <c r="BE465" s="264"/>
    </row>
    <row r="466">
      <c r="A466" s="264"/>
      <c r="B466" s="264"/>
      <c r="C466" s="264"/>
      <c r="D466" s="264"/>
      <c r="E466" s="264"/>
      <c r="F466" s="264"/>
      <c r="G466" s="264"/>
      <c r="H466" s="264"/>
      <c r="I466" s="264"/>
      <c r="J466" s="264"/>
      <c r="K466" s="264"/>
      <c r="L466" s="264"/>
      <c r="M466" s="264" t="s">
        <v>22</v>
      </c>
      <c r="N466" s="264"/>
      <c r="O466" s="264" t="s">
        <v>22</v>
      </c>
      <c r="P466" s="264"/>
      <c r="Q466" s="264"/>
      <c r="R466" s="264"/>
      <c r="S466" s="264"/>
      <c r="T466" s="264"/>
      <c r="U466" s="360"/>
      <c r="V466" s="360"/>
      <c r="W466" s="360"/>
      <c r="X466" s="360"/>
      <c r="Y466" s="360"/>
      <c r="Z466" s="360"/>
      <c r="AA466" s="360"/>
      <c r="AB466" s="360"/>
      <c r="AC466" s="360"/>
      <c r="AD466" s="360"/>
      <c r="AE466" s="360"/>
      <c r="AF466" s="360"/>
      <c r="AG466" s="360" t="s">
        <v>1582</v>
      </c>
      <c r="AH466" s="360"/>
      <c r="AI466" s="360"/>
      <c r="AJ466" s="360" t="s">
        <v>1589</v>
      </c>
      <c r="AK466" s="360"/>
      <c r="AL466" s="360" t="s">
        <v>5878</v>
      </c>
      <c r="AM466" s="360"/>
      <c r="AN466" s="360"/>
      <c r="AO466" s="360"/>
      <c r="AP466" s="360"/>
      <c r="AQ466" s="360"/>
      <c r="AR466" s="360"/>
      <c r="AS466" s="360"/>
      <c r="AT466" s="360"/>
      <c r="AU466" s="360" t="s">
        <v>22</v>
      </c>
      <c r="AV466" s="360"/>
      <c r="AW466" s="264"/>
      <c r="AX466" s="264"/>
      <c r="AY466" s="264"/>
      <c r="AZ466" s="264"/>
      <c r="BA466" s="264"/>
      <c r="BB466" s="264"/>
      <c r="BC466" s="264"/>
      <c r="BD466" s="264"/>
      <c r="BE466" s="264"/>
    </row>
    <row r="467">
      <c r="A467" s="264"/>
      <c r="B467" s="264"/>
      <c r="C467" s="264"/>
      <c r="D467" s="264"/>
      <c r="E467" s="264"/>
      <c r="F467" s="264"/>
      <c r="G467" s="264"/>
      <c r="H467" s="264"/>
      <c r="I467" s="264"/>
      <c r="J467" s="264"/>
      <c r="K467" s="264"/>
      <c r="L467" s="264"/>
      <c r="M467" s="264" t="s">
        <v>22</v>
      </c>
      <c r="N467" s="264"/>
      <c r="O467" s="264" t="s">
        <v>22</v>
      </c>
      <c r="P467" s="264"/>
      <c r="Q467" s="264"/>
      <c r="R467" s="264"/>
      <c r="S467" s="264"/>
      <c r="T467" s="264"/>
      <c r="U467" s="360"/>
      <c r="V467" s="360"/>
      <c r="W467" s="360"/>
      <c r="X467" s="360"/>
      <c r="Y467" s="360"/>
      <c r="Z467" s="360"/>
      <c r="AA467" s="360"/>
      <c r="AB467" s="360"/>
      <c r="AC467" s="360"/>
      <c r="AD467" s="360"/>
      <c r="AE467" s="360"/>
      <c r="AF467" s="360"/>
      <c r="AG467" s="360" t="s">
        <v>1582</v>
      </c>
      <c r="AH467" s="360"/>
      <c r="AI467" s="360"/>
      <c r="AJ467" s="360" t="s">
        <v>1589</v>
      </c>
      <c r="AK467" s="360"/>
      <c r="AL467" s="360" t="s">
        <v>5878</v>
      </c>
      <c r="AM467" s="360"/>
      <c r="AN467" s="360"/>
      <c r="AO467" s="360"/>
      <c r="AP467" s="360"/>
      <c r="AQ467" s="360"/>
      <c r="AR467" s="360"/>
      <c r="AS467" s="360"/>
      <c r="AT467" s="360"/>
      <c r="AU467" s="360" t="s">
        <v>22</v>
      </c>
      <c r="AV467" s="360"/>
      <c r="AW467" s="264"/>
      <c r="AX467" s="264"/>
      <c r="AY467" s="264"/>
      <c r="AZ467" s="264"/>
      <c r="BA467" s="264"/>
      <c r="BB467" s="264"/>
      <c r="BC467" s="264"/>
      <c r="BD467" s="264"/>
      <c r="BE467" s="264"/>
    </row>
    <row r="468">
      <c r="A468" s="264"/>
      <c r="B468" s="264"/>
      <c r="C468" s="264"/>
      <c r="D468" s="264"/>
      <c r="E468" s="264"/>
      <c r="F468" s="264"/>
      <c r="G468" s="264"/>
      <c r="H468" s="264"/>
      <c r="I468" s="264"/>
      <c r="J468" s="264"/>
      <c r="K468" s="264"/>
      <c r="L468" s="264"/>
      <c r="M468" s="264" t="s">
        <v>22</v>
      </c>
      <c r="N468" s="264"/>
      <c r="O468" s="264" t="s">
        <v>22</v>
      </c>
      <c r="P468" s="264"/>
      <c r="Q468" s="264"/>
      <c r="R468" s="264"/>
      <c r="S468" s="264"/>
      <c r="T468" s="264"/>
      <c r="U468" s="360"/>
      <c r="V468" s="360"/>
      <c r="W468" s="360"/>
      <c r="X468" s="360"/>
      <c r="Y468" s="360"/>
      <c r="Z468" s="360"/>
      <c r="AA468" s="360"/>
      <c r="AB468" s="360"/>
      <c r="AC468" s="360"/>
      <c r="AD468" s="360"/>
      <c r="AE468" s="360"/>
      <c r="AF468" s="360"/>
      <c r="AG468" s="360" t="s">
        <v>1582</v>
      </c>
      <c r="AH468" s="360"/>
      <c r="AI468" s="360"/>
      <c r="AJ468" s="360" t="s">
        <v>1589</v>
      </c>
      <c r="AK468" s="360"/>
      <c r="AL468" s="360" t="s">
        <v>5878</v>
      </c>
      <c r="AM468" s="360"/>
      <c r="AN468" s="360"/>
      <c r="AO468" s="360"/>
      <c r="AP468" s="360"/>
      <c r="AQ468" s="360"/>
      <c r="AR468" s="360"/>
      <c r="AS468" s="360"/>
      <c r="AT468" s="360"/>
      <c r="AU468" s="360" t="s">
        <v>22</v>
      </c>
      <c r="AV468" s="360"/>
      <c r="AW468" s="264"/>
      <c r="AX468" s="264"/>
      <c r="AY468" s="264"/>
      <c r="AZ468" s="264"/>
      <c r="BA468" s="264"/>
      <c r="BB468" s="264"/>
      <c r="BC468" s="264"/>
      <c r="BD468" s="264"/>
      <c r="BE468" s="264"/>
    </row>
    <row r="469">
      <c r="A469" s="264"/>
      <c r="B469" s="264"/>
      <c r="C469" s="264"/>
      <c r="D469" s="264"/>
      <c r="E469" s="264"/>
      <c r="F469" s="264"/>
      <c r="G469" s="264"/>
      <c r="H469" s="264"/>
      <c r="I469" s="264"/>
      <c r="J469" s="264"/>
      <c r="K469" s="264"/>
      <c r="L469" s="264"/>
      <c r="M469" s="264" t="s">
        <v>22</v>
      </c>
      <c r="N469" s="264"/>
      <c r="O469" s="264" t="s">
        <v>22</v>
      </c>
      <c r="P469" s="264"/>
      <c r="Q469" s="264"/>
      <c r="R469" s="264"/>
      <c r="S469" s="264"/>
      <c r="T469" s="264"/>
      <c r="U469" s="360"/>
      <c r="V469" s="360"/>
      <c r="W469" s="360"/>
      <c r="X469" s="360"/>
      <c r="Y469" s="360"/>
      <c r="Z469" s="360"/>
      <c r="AA469" s="360"/>
      <c r="AB469" s="360"/>
      <c r="AC469" s="360"/>
      <c r="AD469" s="360"/>
      <c r="AE469" s="360"/>
      <c r="AF469" s="360"/>
      <c r="AG469" s="360" t="s">
        <v>1582</v>
      </c>
      <c r="AH469" s="360"/>
      <c r="AI469" s="360"/>
      <c r="AJ469" s="360" t="s">
        <v>1589</v>
      </c>
      <c r="AK469" s="360"/>
      <c r="AL469" s="360" t="s">
        <v>5878</v>
      </c>
      <c r="AM469" s="360"/>
      <c r="AN469" s="360"/>
      <c r="AO469" s="360"/>
      <c r="AP469" s="360"/>
      <c r="AQ469" s="360"/>
      <c r="AR469" s="360"/>
      <c r="AS469" s="360"/>
      <c r="AT469" s="360"/>
      <c r="AU469" s="360" t="s">
        <v>22</v>
      </c>
      <c r="AV469" s="360"/>
      <c r="AW469" s="264"/>
      <c r="AX469" s="264"/>
      <c r="AY469" s="264"/>
      <c r="AZ469" s="264"/>
      <c r="BA469" s="264"/>
      <c r="BB469" s="264"/>
      <c r="BC469" s="264"/>
      <c r="BD469" s="264"/>
      <c r="BE469" s="264"/>
    </row>
    <row r="470">
      <c r="A470" s="264"/>
      <c r="B470" s="264"/>
      <c r="C470" s="264"/>
      <c r="D470" s="264"/>
      <c r="E470" s="264"/>
      <c r="F470" s="264"/>
      <c r="G470" s="264"/>
      <c r="H470" s="264"/>
      <c r="I470" s="264"/>
      <c r="J470" s="264"/>
      <c r="K470" s="264"/>
      <c r="L470" s="264"/>
      <c r="M470" s="264" t="s">
        <v>22</v>
      </c>
      <c r="N470" s="264"/>
      <c r="O470" s="264" t="s">
        <v>22</v>
      </c>
      <c r="P470" s="264"/>
      <c r="Q470" s="264"/>
      <c r="R470" s="264"/>
      <c r="S470" s="264"/>
      <c r="T470" s="264"/>
      <c r="U470" s="360"/>
      <c r="V470" s="360"/>
      <c r="W470" s="360"/>
      <c r="X470" s="360"/>
      <c r="Y470" s="360"/>
      <c r="Z470" s="360"/>
      <c r="AA470" s="360"/>
      <c r="AB470" s="360"/>
      <c r="AC470" s="360"/>
      <c r="AD470" s="360"/>
      <c r="AE470" s="360"/>
      <c r="AF470" s="360"/>
      <c r="AG470" s="360" t="s">
        <v>1582</v>
      </c>
      <c r="AH470" s="360"/>
      <c r="AI470" s="360"/>
      <c r="AJ470" s="360" t="s">
        <v>1589</v>
      </c>
      <c r="AK470" s="360"/>
      <c r="AL470" s="360" t="s">
        <v>5878</v>
      </c>
      <c r="AM470" s="360"/>
      <c r="AN470" s="360"/>
      <c r="AO470" s="360"/>
      <c r="AP470" s="360"/>
      <c r="AQ470" s="360"/>
      <c r="AR470" s="360"/>
      <c r="AS470" s="360"/>
      <c r="AT470" s="360"/>
      <c r="AU470" s="360" t="s">
        <v>22</v>
      </c>
      <c r="AV470" s="360"/>
      <c r="AW470" s="264"/>
      <c r="AX470" s="264"/>
      <c r="AY470" s="264"/>
      <c r="AZ470" s="264"/>
      <c r="BA470" s="264"/>
      <c r="BB470" s="264"/>
      <c r="BC470" s="264"/>
      <c r="BD470" s="264"/>
      <c r="BE470" s="264"/>
    </row>
    <row r="471">
      <c r="A471" s="264"/>
      <c r="B471" s="264"/>
      <c r="C471" s="264"/>
      <c r="D471" s="264"/>
      <c r="E471" s="264"/>
      <c r="F471" s="264"/>
      <c r="G471" s="264"/>
      <c r="H471" s="264"/>
      <c r="I471" s="264"/>
      <c r="J471" s="264"/>
      <c r="K471" s="264"/>
      <c r="L471" s="264"/>
      <c r="M471" s="264" t="s">
        <v>22</v>
      </c>
      <c r="N471" s="264"/>
      <c r="O471" s="264" t="s">
        <v>22</v>
      </c>
      <c r="P471" s="264"/>
      <c r="Q471" s="264"/>
      <c r="R471" s="264"/>
      <c r="S471" s="264"/>
      <c r="T471" s="264"/>
      <c r="U471" s="360"/>
      <c r="V471" s="360"/>
      <c r="W471" s="360"/>
      <c r="X471" s="360"/>
      <c r="Y471" s="360"/>
      <c r="Z471" s="360"/>
      <c r="AA471" s="360"/>
      <c r="AB471" s="360"/>
      <c r="AC471" s="360"/>
      <c r="AD471" s="360"/>
      <c r="AE471" s="360"/>
      <c r="AF471" s="360"/>
      <c r="AG471" s="360" t="s">
        <v>1582</v>
      </c>
      <c r="AH471" s="360"/>
      <c r="AI471" s="360"/>
      <c r="AJ471" s="360" t="s">
        <v>1589</v>
      </c>
      <c r="AK471" s="360"/>
      <c r="AL471" s="360" t="s">
        <v>5878</v>
      </c>
      <c r="AM471" s="360"/>
      <c r="AN471" s="360"/>
      <c r="AO471" s="360"/>
      <c r="AP471" s="360"/>
      <c r="AQ471" s="360"/>
      <c r="AR471" s="360"/>
      <c r="AS471" s="360"/>
      <c r="AT471" s="360"/>
      <c r="AU471" s="360" t="s">
        <v>22</v>
      </c>
      <c r="AV471" s="360"/>
      <c r="AW471" s="264"/>
      <c r="AX471" s="264"/>
      <c r="AY471" s="264"/>
      <c r="AZ471" s="264"/>
      <c r="BA471" s="264"/>
      <c r="BB471" s="264"/>
      <c r="BC471" s="264"/>
      <c r="BD471" s="264"/>
      <c r="BE471" s="264"/>
    </row>
    <row r="472">
      <c r="A472" s="264"/>
      <c r="B472" s="264"/>
      <c r="C472" s="264"/>
      <c r="D472" s="264"/>
      <c r="E472" s="264"/>
      <c r="F472" s="264"/>
      <c r="G472" s="264"/>
      <c r="H472" s="264"/>
      <c r="I472" s="264"/>
      <c r="J472" s="264"/>
      <c r="K472" s="264"/>
      <c r="L472" s="264"/>
      <c r="M472" s="264" t="s">
        <v>22</v>
      </c>
      <c r="N472" s="264"/>
      <c r="O472" s="264" t="s">
        <v>22</v>
      </c>
      <c r="P472" s="264"/>
      <c r="Q472" s="264"/>
      <c r="R472" s="264"/>
      <c r="S472" s="264"/>
      <c r="T472" s="264"/>
      <c r="U472" s="360"/>
      <c r="V472" s="360"/>
      <c r="W472" s="360"/>
      <c r="X472" s="360"/>
      <c r="Y472" s="360"/>
      <c r="Z472" s="360"/>
      <c r="AA472" s="360"/>
      <c r="AB472" s="360"/>
      <c r="AC472" s="360"/>
      <c r="AD472" s="360"/>
      <c r="AE472" s="360"/>
      <c r="AF472" s="360"/>
      <c r="AG472" s="360" t="s">
        <v>1582</v>
      </c>
      <c r="AH472" s="360"/>
      <c r="AI472" s="360"/>
      <c r="AJ472" s="360" t="s">
        <v>1589</v>
      </c>
      <c r="AK472" s="360"/>
      <c r="AL472" s="360" t="s">
        <v>5878</v>
      </c>
      <c r="AM472" s="360"/>
      <c r="AN472" s="360"/>
      <c r="AO472" s="360"/>
      <c r="AP472" s="360"/>
      <c r="AQ472" s="360"/>
      <c r="AR472" s="360"/>
      <c r="AS472" s="360"/>
      <c r="AT472" s="360"/>
      <c r="AU472" s="360" t="s">
        <v>22</v>
      </c>
      <c r="AV472" s="360"/>
      <c r="AW472" s="264"/>
      <c r="AX472" s="264"/>
      <c r="AY472" s="264"/>
      <c r="AZ472" s="264"/>
      <c r="BA472" s="264"/>
      <c r="BB472" s="264"/>
      <c r="BC472" s="264"/>
      <c r="BD472" s="264"/>
      <c r="BE472" s="264"/>
    </row>
    <row r="473">
      <c r="A473" s="264"/>
      <c r="B473" s="264"/>
      <c r="C473" s="264"/>
      <c r="D473" s="264"/>
      <c r="E473" s="264"/>
      <c r="F473" s="264"/>
      <c r="G473" s="264"/>
      <c r="H473" s="264"/>
      <c r="I473" s="264"/>
      <c r="J473" s="264"/>
      <c r="K473" s="264"/>
      <c r="L473" s="264"/>
      <c r="M473" s="264" t="s">
        <v>22</v>
      </c>
      <c r="N473" s="264"/>
      <c r="O473" s="264" t="s">
        <v>22</v>
      </c>
      <c r="P473" s="264"/>
      <c r="Q473" s="264"/>
      <c r="R473" s="264"/>
      <c r="S473" s="264"/>
      <c r="T473" s="264"/>
      <c r="U473" s="360"/>
      <c r="V473" s="360"/>
      <c r="W473" s="360"/>
      <c r="X473" s="360"/>
      <c r="Y473" s="360"/>
      <c r="Z473" s="360"/>
      <c r="AA473" s="360"/>
      <c r="AB473" s="360"/>
      <c r="AC473" s="360"/>
      <c r="AD473" s="360"/>
      <c r="AE473" s="360"/>
      <c r="AF473" s="360"/>
      <c r="AG473" s="360" t="s">
        <v>1582</v>
      </c>
      <c r="AH473" s="360"/>
      <c r="AI473" s="360"/>
      <c r="AJ473" s="360" t="s">
        <v>1589</v>
      </c>
      <c r="AK473" s="360"/>
      <c r="AL473" s="360" t="s">
        <v>5878</v>
      </c>
      <c r="AM473" s="360"/>
      <c r="AN473" s="360"/>
      <c r="AO473" s="360"/>
      <c r="AP473" s="360"/>
      <c r="AQ473" s="360"/>
      <c r="AR473" s="360"/>
      <c r="AS473" s="360"/>
      <c r="AT473" s="360"/>
      <c r="AU473" s="360" t="s">
        <v>22</v>
      </c>
      <c r="AV473" s="360"/>
      <c r="AW473" s="264"/>
      <c r="AX473" s="264"/>
      <c r="AY473" s="264"/>
      <c r="AZ473" s="264"/>
      <c r="BA473" s="264"/>
      <c r="BB473" s="264"/>
      <c r="BC473" s="264"/>
      <c r="BD473" s="264"/>
      <c r="BE473" s="264"/>
    </row>
    <row r="474">
      <c r="A474" s="264"/>
      <c r="B474" s="264"/>
      <c r="C474" s="264"/>
      <c r="D474" s="264"/>
      <c r="E474" s="264"/>
      <c r="F474" s="264"/>
      <c r="G474" s="264"/>
      <c r="H474" s="264"/>
      <c r="I474" s="264"/>
      <c r="J474" s="264"/>
      <c r="K474" s="264"/>
      <c r="L474" s="264"/>
      <c r="M474" s="264" t="s">
        <v>22</v>
      </c>
      <c r="N474" s="264"/>
      <c r="O474" s="264" t="s">
        <v>22</v>
      </c>
      <c r="P474" s="264"/>
      <c r="Q474" s="264"/>
      <c r="R474" s="264"/>
      <c r="S474" s="264"/>
      <c r="T474" s="264"/>
      <c r="U474" s="360"/>
      <c r="V474" s="360"/>
      <c r="W474" s="360"/>
      <c r="X474" s="360"/>
      <c r="Y474" s="360"/>
      <c r="Z474" s="360"/>
      <c r="AA474" s="360"/>
      <c r="AB474" s="360"/>
      <c r="AC474" s="360"/>
      <c r="AD474" s="360"/>
      <c r="AE474" s="360"/>
      <c r="AF474" s="360"/>
      <c r="AG474" s="360" t="s">
        <v>1582</v>
      </c>
      <c r="AH474" s="360"/>
      <c r="AI474" s="360"/>
      <c r="AJ474" s="360" t="s">
        <v>1589</v>
      </c>
      <c r="AK474" s="360"/>
      <c r="AL474" s="360" t="s">
        <v>5878</v>
      </c>
      <c r="AM474" s="360"/>
      <c r="AN474" s="360"/>
      <c r="AO474" s="360"/>
      <c r="AP474" s="360"/>
      <c r="AQ474" s="360"/>
      <c r="AR474" s="360"/>
      <c r="AS474" s="360"/>
      <c r="AT474" s="360"/>
      <c r="AU474" s="360" t="s">
        <v>22</v>
      </c>
      <c r="AV474" s="360"/>
      <c r="AW474" s="264"/>
      <c r="AX474" s="264"/>
      <c r="AY474" s="264"/>
      <c r="AZ474" s="264"/>
      <c r="BA474" s="264"/>
      <c r="BB474" s="264"/>
      <c r="BC474" s="264"/>
      <c r="BD474" s="264"/>
      <c r="BE474" s="264"/>
    </row>
    <row r="475">
      <c r="A475" s="264"/>
      <c r="B475" s="264"/>
      <c r="C475" s="264"/>
      <c r="D475" s="264"/>
      <c r="E475" s="264"/>
      <c r="F475" s="264"/>
      <c r="G475" s="264"/>
      <c r="H475" s="264"/>
      <c r="I475" s="264"/>
      <c r="J475" s="264"/>
      <c r="K475" s="264"/>
      <c r="L475" s="264"/>
      <c r="M475" s="264" t="s">
        <v>22</v>
      </c>
      <c r="N475" s="264"/>
      <c r="O475" s="264" t="s">
        <v>22</v>
      </c>
      <c r="P475" s="264"/>
      <c r="Q475" s="264"/>
      <c r="R475" s="264"/>
      <c r="S475" s="264"/>
      <c r="T475" s="264"/>
      <c r="U475" s="360"/>
      <c r="V475" s="360"/>
      <c r="W475" s="360"/>
      <c r="X475" s="360"/>
      <c r="Y475" s="360"/>
      <c r="Z475" s="360"/>
      <c r="AA475" s="360"/>
      <c r="AB475" s="360"/>
      <c r="AC475" s="360"/>
      <c r="AD475" s="360"/>
      <c r="AE475" s="360"/>
      <c r="AF475" s="360"/>
      <c r="AG475" s="360" t="s">
        <v>1582</v>
      </c>
      <c r="AH475" s="360"/>
      <c r="AI475" s="360"/>
      <c r="AJ475" s="360" t="s">
        <v>1589</v>
      </c>
      <c r="AK475" s="360"/>
      <c r="AL475" s="360" t="s">
        <v>5878</v>
      </c>
      <c r="AM475" s="360"/>
      <c r="AN475" s="360"/>
      <c r="AO475" s="360"/>
      <c r="AP475" s="360"/>
      <c r="AQ475" s="360"/>
      <c r="AR475" s="360"/>
      <c r="AS475" s="360"/>
      <c r="AT475" s="360"/>
      <c r="AU475" s="360" t="s">
        <v>22</v>
      </c>
      <c r="AV475" s="360"/>
      <c r="AW475" s="264"/>
      <c r="AX475" s="264"/>
      <c r="AY475" s="264"/>
      <c r="AZ475" s="264"/>
      <c r="BA475" s="264"/>
      <c r="BB475" s="264"/>
      <c r="BC475" s="264"/>
      <c r="BD475" s="264"/>
      <c r="BE475" s="264"/>
    </row>
    <row r="476">
      <c r="A476" s="264"/>
      <c r="B476" s="264"/>
      <c r="C476" s="264"/>
      <c r="D476" s="264"/>
      <c r="E476" s="264"/>
      <c r="F476" s="264"/>
      <c r="G476" s="264"/>
      <c r="H476" s="264"/>
      <c r="I476" s="264"/>
      <c r="J476" s="264"/>
      <c r="K476" s="264"/>
      <c r="L476" s="264"/>
      <c r="M476" s="264" t="s">
        <v>22</v>
      </c>
      <c r="N476" s="264"/>
      <c r="O476" s="264" t="s">
        <v>22</v>
      </c>
      <c r="P476" s="264"/>
      <c r="Q476" s="264"/>
      <c r="R476" s="264"/>
      <c r="S476" s="264"/>
      <c r="T476" s="264"/>
      <c r="U476" s="360"/>
      <c r="V476" s="360"/>
      <c r="W476" s="360"/>
      <c r="X476" s="360"/>
      <c r="Y476" s="360"/>
      <c r="Z476" s="360"/>
      <c r="AA476" s="360"/>
      <c r="AB476" s="360"/>
      <c r="AC476" s="360"/>
      <c r="AD476" s="360"/>
      <c r="AE476" s="360"/>
      <c r="AF476" s="360"/>
      <c r="AG476" s="360" t="s">
        <v>1582</v>
      </c>
      <c r="AH476" s="360"/>
      <c r="AI476" s="360"/>
      <c r="AJ476" s="360" t="s">
        <v>1589</v>
      </c>
      <c r="AK476" s="360"/>
      <c r="AL476" s="360" t="s">
        <v>5878</v>
      </c>
      <c r="AM476" s="360"/>
      <c r="AN476" s="360"/>
      <c r="AO476" s="360"/>
      <c r="AP476" s="360"/>
      <c r="AQ476" s="360"/>
      <c r="AR476" s="360"/>
      <c r="AS476" s="360"/>
      <c r="AT476" s="360"/>
      <c r="AU476" s="360" t="s">
        <v>22</v>
      </c>
      <c r="AV476" s="360"/>
      <c r="AW476" s="264"/>
      <c r="AX476" s="264"/>
      <c r="AY476" s="264"/>
      <c r="AZ476" s="264"/>
      <c r="BA476" s="264"/>
      <c r="BB476" s="264"/>
      <c r="BC476" s="264"/>
      <c r="BD476" s="264"/>
      <c r="BE476" s="264"/>
    </row>
    <row r="477">
      <c r="A477" s="264"/>
      <c r="B477" s="264"/>
      <c r="C477" s="264"/>
      <c r="D477" s="264"/>
      <c r="E477" s="264"/>
      <c r="F477" s="264"/>
      <c r="G477" s="264"/>
      <c r="H477" s="264"/>
      <c r="I477" s="264"/>
      <c r="J477" s="264"/>
      <c r="K477" s="264"/>
      <c r="L477" s="264"/>
      <c r="M477" s="264" t="s">
        <v>22</v>
      </c>
      <c r="N477" s="264"/>
      <c r="O477" s="264" t="s">
        <v>22</v>
      </c>
      <c r="P477" s="264"/>
      <c r="Q477" s="264"/>
      <c r="R477" s="264"/>
      <c r="S477" s="264"/>
      <c r="T477" s="264"/>
      <c r="U477" s="360"/>
      <c r="V477" s="360"/>
      <c r="W477" s="360"/>
      <c r="X477" s="360"/>
      <c r="Y477" s="360"/>
      <c r="Z477" s="360"/>
      <c r="AA477" s="360"/>
      <c r="AB477" s="360"/>
      <c r="AC477" s="360"/>
      <c r="AD477" s="360"/>
      <c r="AE477" s="360"/>
      <c r="AF477" s="360"/>
      <c r="AG477" s="360" t="s">
        <v>1582</v>
      </c>
      <c r="AH477" s="360"/>
      <c r="AI477" s="360"/>
      <c r="AJ477" s="360" t="s">
        <v>1589</v>
      </c>
      <c r="AK477" s="360"/>
      <c r="AL477" s="360" t="s">
        <v>5878</v>
      </c>
      <c r="AM477" s="360"/>
      <c r="AN477" s="360"/>
      <c r="AO477" s="360"/>
      <c r="AP477" s="360"/>
      <c r="AQ477" s="360"/>
      <c r="AR477" s="360"/>
      <c r="AS477" s="360"/>
      <c r="AT477" s="360"/>
      <c r="AU477" s="360" t="s">
        <v>22</v>
      </c>
      <c r="AV477" s="360"/>
      <c r="AW477" s="264"/>
      <c r="AX477" s="264"/>
      <c r="AY477" s="264"/>
      <c r="AZ477" s="264"/>
      <c r="BA477" s="264"/>
      <c r="BB477" s="264"/>
      <c r="BC477" s="264"/>
      <c r="BD477" s="264"/>
      <c r="BE477" s="264"/>
    </row>
    <row r="478">
      <c r="A478" s="264"/>
      <c r="B478" s="264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 t="s">
        <v>22</v>
      </c>
      <c r="N478" s="264"/>
      <c r="O478" s="264" t="s">
        <v>22</v>
      </c>
      <c r="P478" s="264"/>
      <c r="Q478" s="264"/>
      <c r="R478" s="264"/>
      <c r="S478" s="264"/>
      <c r="T478" s="264"/>
      <c r="U478" s="360"/>
      <c r="V478" s="360"/>
      <c r="W478" s="360"/>
      <c r="X478" s="360"/>
      <c r="Y478" s="360"/>
      <c r="Z478" s="360"/>
      <c r="AA478" s="360"/>
      <c r="AB478" s="360"/>
      <c r="AC478" s="360"/>
      <c r="AD478" s="360"/>
      <c r="AE478" s="360"/>
      <c r="AF478" s="360"/>
      <c r="AG478" s="360" t="s">
        <v>1582</v>
      </c>
      <c r="AH478" s="360"/>
      <c r="AI478" s="360"/>
      <c r="AJ478" s="360" t="s">
        <v>1589</v>
      </c>
      <c r="AK478" s="360"/>
      <c r="AL478" s="360" t="s">
        <v>5878</v>
      </c>
      <c r="AM478" s="360"/>
      <c r="AN478" s="360"/>
      <c r="AO478" s="360"/>
      <c r="AP478" s="360"/>
      <c r="AQ478" s="360"/>
      <c r="AR478" s="360"/>
      <c r="AS478" s="360"/>
      <c r="AT478" s="360"/>
      <c r="AU478" s="360" t="s">
        <v>22</v>
      </c>
      <c r="AV478" s="360"/>
      <c r="AW478" s="264"/>
      <c r="AX478" s="264"/>
      <c r="AY478" s="264"/>
      <c r="AZ478" s="264"/>
      <c r="BA478" s="264"/>
      <c r="BB478" s="264"/>
      <c r="BC478" s="264"/>
      <c r="BD478" s="264"/>
      <c r="BE478" s="264"/>
    </row>
    <row r="479">
      <c r="A479" s="264"/>
      <c r="B479" s="264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 t="s">
        <v>22</v>
      </c>
      <c r="N479" s="264"/>
      <c r="O479" s="264" t="s">
        <v>22</v>
      </c>
      <c r="P479" s="264"/>
      <c r="Q479" s="264"/>
      <c r="R479" s="264"/>
      <c r="S479" s="264"/>
      <c r="T479" s="264"/>
      <c r="U479" s="360"/>
      <c r="V479" s="360"/>
      <c r="W479" s="360"/>
      <c r="X479" s="360"/>
      <c r="Y479" s="360"/>
      <c r="Z479" s="360"/>
      <c r="AA479" s="360"/>
      <c r="AB479" s="360"/>
      <c r="AC479" s="360"/>
      <c r="AD479" s="360"/>
      <c r="AE479" s="360"/>
      <c r="AF479" s="360"/>
      <c r="AG479" s="360" t="s">
        <v>1582</v>
      </c>
      <c r="AH479" s="360"/>
      <c r="AI479" s="360"/>
      <c r="AJ479" s="360" t="s">
        <v>1589</v>
      </c>
      <c r="AK479" s="360"/>
      <c r="AL479" s="360" t="s">
        <v>5878</v>
      </c>
      <c r="AM479" s="360"/>
      <c r="AN479" s="360"/>
      <c r="AO479" s="360"/>
      <c r="AP479" s="360"/>
      <c r="AQ479" s="360"/>
      <c r="AR479" s="360"/>
      <c r="AS479" s="360"/>
      <c r="AT479" s="360"/>
      <c r="AU479" s="360" t="s">
        <v>22</v>
      </c>
      <c r="AV479" s="360"/>
      <c r="AW479" s="264"/>
      <c r="AX479" s="264"/>
      <c r="AY479" s="264"/>
      <c r="AZ479" s="264"/>
      <c r="BA479" s="264"/>
      <c r="BB479" s="264"/>
      <c r="BC479" s="264"/>
      <c r="BD479" s="264"/>
      <c r="BE479" s="264"/>
    </row>
    <row r="480">
      <c r="A480" s="264"/>
      <c r="B480" s="264"/>
      <c r="C480" s="264"/>
      <c r="D480" s="264"/>
      <c r="E480" s="264"/>
      <c r="F480" s="264"/>
      <c r="G480" s="264"/>
      <c r="H480" s="264"/>
      <c r="I480" s="264"/>
      <c r="J480" s="264"/>
      <c r="K480" s="264"/>
      <c r="L480" s="264"/>
      <c r="M480" s="264" t="s">
        <v>22</v>
      </c>
      <c r="N480" s="264"/>
      <c r="O480" s="264" t="s">
        <v>22</v>
      </c>
      <c r="P480" s="264"/>
      <c r="Q480" s="264"/>
      <c r="R480" s="264"/>
      <c r="S480" s="264"/>
      <c r="T480" s="264"/>
      <c r="U480" s="360"/>
      <c r="V480" s="360"/>
      <c r="W480" s="360"/>
      <c r="X480" s="360"/>
      <c r="Y480" s="360"/>
      <c r="Z480" s="360"/>
      <c r="AA480" s="360"/>
      <c r="AB480" s="360"/>
      <c r="AC480" s="360"/>
      <c r="AD480" s="360"/>
      <c r="AE480" s="360"/>
      <c r="AF480" s="360"/>
      <c r="AG480" s="360" t="s">
        <v>1582</v>
      </c>
      <c r="AH480" s="360"/>
      <c r="AI480" s="360"/>
      <c r="AJ480" s="360" t="s">
        <v>1589</v>
      </c>
      <c r="AK480" s="360"/>
      <c r="AL480" s="360" t="s">
        <v>5878</v>
      </c>
      <c r="AM480" s="360"/>
      <c r="AN480" s="360"/>
      <c r="AO480" s="360"/>
      <c r="AP480" s="360"/>
      <c r="AQ480" s="360"/>
      <c r="AR480" s="360"/>
      <c r="AS480" s="360"/>
      <c r="AT480" s="360"/>
      <c r="AU480" s="360" t="s">
        <v>22</v>
      </c>
      <c r="AV480" s="360"/>
      <c r="AW480" s="264"/>
      <c r="AX480" s="264"/>
      <c r="AY480" s="264"/>
      <c r="AZ480" s="264"/>
      <c r="BA480" s="264"/>
      <c r="BB480" s="264"/>
      <c r="BC480" s="264"/>
      <c r="BD480" s="264"/>
      <c r="BE480" s="264"/>
    </row>
    <row r="481">
      <c r="A481" s="264"/>
      <c r="B481" s="264"/>
      <c r="C481" s="264"/>
      <c r="D481" s="264"/>
      <c r="E481" s="264"/>
      <c r="F481" s="264"/>
      <c r="G481" s="264"/>
      <c r="H481" s="264"/>
      <c r="I481" s="264"/>
      <c r="J481" s="264"/>
      <c r="K481" s="264"/>
      <c r="L481" s="264"/>
      <c r="M481" s="264" t="s">
        <v>22</v>
      </c>
      <c r="N481" s="264"/>
      <c r="O481" s="264" t="s">
        <v>22</v>
      </c>
      <c r="P481" s="264"/>
      <c r="Q481" s="264"/>
      <c r="R481" s="264"/>
      <c r="S481" s="264"/>
      <c r="T481" s="264"/>
      <c r="U481" s="360"/>
      <c r="V481" s="360"/>
      <c r="W481" s="360"/>
      <c r="X481" s="360"/>
      <c r="Y481" s="360"/>
      <c r="Z481" s="360"/>
      <c r="AA481" s="360"/>
      <c r="AB481" s="360"/>
      <c r="AC481" s="360"/>
      <c r="AD481" s="360"/>
      <c r="AE481" s="360"/>
      <c r="AF481" s="360"/>
      <c r="AG481" s="360" t="s">
        <v>1582</v>
      </c>
      <c r="AH481" s="360"/>
      <c r="AI481" s="360"/>
      <c r="AJ481" s="360" t="s">
        <v>1589</v>
      </c>
      <c r="AK481" s="360"/>
      <c r="AL481" s="360" t="s">
        <v>5878</v>
      </c>
      <c r="AM481" s="360"/>
      <c r="AN481" s="360"/>
      <c r="AO481" s="360"/>
      <c r="AP481" s="360"/>
      <c r="AQ481" s="360"/>
      <c r="AR481" s="360"/>
      <c r="AS481" s="360"/>
      <c r="AT481" s="360"/>
      <c r="AU481" s="360" t="s">
        <v>22</v>
      </c>
      <c r="AV481" s="360"/>
      <c r="AW481" s="264"/>
      <c r="AX481" s="264"/>
      <c r="AY481" s="264"/>
      <c r="AZ481" s="264"/>
      <c r="BA481" s="264"/>
      <c r="BB481" s="264"/>
      <c r="BC481" s="264"/>
      <c r="BD481" s="264"/>
      <c r="BE481" s="264"/>
    </row>
    <row r="482">
      <c r="A482" s="264"/>
      <c r="B482" s="264"/>
      <c r="C482" s="264"/>
      <c r="D482" s="264"/>
      <c r="E482" s="264"/>
      <c r="F482" s="264"/>
      <c r="G482" s="264"/>
      <c r="H482" s="264"/>
      <c r="I482" s="264"/>
      <c r="J482" s="264"/>
      <c r="K482" s="264"/>
      <c r="L482" s="264"/>
      <c r="M482" s="264" t="s">
        <v>22</v>
      </c>
      <c r="N482" s="264"/>
      <c r="O482" s="264" t="s">
        <v>22</v>
      </c>
      <c r="P482" s="264"/>
      <c r="Q482" s="264"/>
      <c r="R482" s="264"/>
      <c r="S482" s="264"/>
      <c r="T482" s="264"/>
      <c r="U482" s="360"/>
      <c r="V482" s="360"/>
      <c r="W482" s="360"/>
      <c r="X482" s="360"/>
      <c r="Y482" s="360"/>
      <c r="Z482" s="360"/>
      <c r="AA482" s="360"/>
      <c r="AB482" s="360"/>
      <c r="AC482" s="360"/>
      <c r="AD482" s="360"/>
      <c r="AE482" s="360"/>
      <c r="AF482" s="360"/>
      <c r="AG482" s="360" t="s">
        <v>1582</v>
      </c>
      <c r="AH482" s="360"/>
      <c r="AI482" s="360"/>
      <c r="AJ482" s="360" t="s">
        <v>1589</v>
      </c>
      <c r="AK482" s="360"/>
      <c r="AL482" s="360" t="s">
        <v>5878</v>
      </c>
      <c r="AM482" s="360"/>
      <c r="AN482" s="360"/>
      <c r="AO482" s="360"/>
      <c r="AP482" s="360"/>
      <c r="AQ482" s="360"/>
      <c r="AR482" s="360"/>
      <c r="AS482" s="360"/>
      <c r="AT482" s="360"/>
      <c r="AU482" s="360" t="s">
        <v>22</v>
      </c>
      <c r="AV482" s="360"/>
      <c r="AW482" s="264"/>
      <c r="AX482" s="264"/>
      <c r="AY482" s="264"/>
      <c r="AZ482" s="264"/>
      <c r="BA482" s="264"/>
      <c r="BB482" s="264"/>
      <c r="BC482" s="264"/>
      <c r="BD482" s="264"/>
      <c r="BE482" s="264"/>
    </row>
    <row r="483">
      <c r="A483" s="264"/>
      <c r="B483" s="264"/>
      <c r="C483" s="264"/>
      <c r="D483" s="264"/>
      <c r="E483" s="264"/>
      <c r="F483" s="264"/>
      <c r="G483" s="264"/>
      <c r="H483" s="264"/>
      <c r="I483" s="264"/>
      <c r="J483" s="264"/>
      <c r="K483" s="264"/>
      <c r="L483" s="264"/>
      <c r="M483" s="264" t="s">
        <v>22</v>
      </c>
      <c r="N483" s="264"/>
      <c r="O483" s="264" t="s">
        <v>22</v>
      </c>
      <c r="P483" s="264"/>
      <c r="Q483" s="264"/>
      <c r="R483" s="264"/>
      <c r="S483" s="264"/>
      <c r="T483" s="264"/>
      <c r="U483" s="360"/>
      <c r="V483" s="360"/>
      <c r="W483" s="360"/>
      <c r="X483" s="360"/>
      <c r="Y483" s="360"/>
      <c r="Z483" s="360"/>
      <c r="AA483" s="360"/>
      <c r="AB483" s="360"/>
      <c r="AC483" s="360"/>
      <c r="AD483" s="360"/>
      <c r="AE483" s="360"/>
      <c r="AF483" s="360"/>
      <c r="AG483" s="360" t="s">
        <v>1582</v>
      </c>
      <c r="AH483" s="360"/>
      <c r="AI483" s="360"/>
      <c r="AJ483" s="360" t="s">
        <v>1589</v>
      </c>
      <c r="AK483" s="360"/>
      <c r="AL483" s="360" t="s">
        <v>5878</v>
      </c>
      <c r="AM483" s="360"/>
      <c r="AN483" s="360"/>
      <c r="AO483" s="360"/>
      <c r="AP483" s="360"/>
      <c r="AQ483" s="360"/>
      <c r="AR483" s="360"/>
      <c r="AS483" s="360"/>
      <c r="AT483" s="360"/>
      <c r="AU483" s="360" t="s">
        <v>22</v>
      </c>
      <c r="AV483" s="360"/>
      <c r="AW483" s="264"/>
      <c r="AX483" s="264"/>
      <c r="AY483" s="264"/>
      <c r="AZ483" s="264"/>
      <c r="BA483" s="264"/>
      <c r="BB483" s="264"/>
      <c r="BC483" s="264"/>
      <c r="BD483" s="264"/>
      <c r="BE483" s="264"/>
    </row>
    <row r="484">
      <c r="A484" s="264"/>
      <c r="B484" s="264"/>
      <c r="C484" s="264"/>
      <c r="D484" s="264"/>
      <c r="E484" s="264"/>
      <c r="F484" s="264"/>
      <c r="G484" s="264"/>
      <c r="H484" s="264"/>
      <c r="I484" s="264"/>
      <c r="J484" s="264"/>
      <c r="K484" s="264"/>
      <c r="L484" s="264"/>
      <c r="M484" s="264" t="s">
        <v>22</v>
      </c>
      <c r="N484" s="264"/>
      <c r="O484" s="264" t="s">
        <v>22</v>
      </c>
      <c r="P484" s="264"/>
      <c r="Q484" s="264"/>
      <c r="R484" s="264"/>
      <c r="S484" s="264"/>
      <c r="T484" s="264"/>
      <c r="U484" s="360"/>
      <c r="V484" s="360"/>
      <c r="W484" s="360"/>
      <c r="X484" s="360"/>
      <c r="Y484" s="360"/>
      <c r="Z484" s="360"/>
      <c r="AA484" s="360"/>
      <c r="AB484" s="360"/>
      <c r="AC484" s="360"/>
      <c r="AD484" s="360"/>
      <c r="AE484" s="360"/>
      <c r="AF484" s="360"/>
      <c r="AG484" s="360" t="s">
        <v>1582</v>
      </c>
      <c r="AH484" s="360"/>
      <c r="AI484" s="360"/>
      <c r="AJ484" s="360" t="s">
        <v>1589</v>
      </c>
      <c r="AK484" s="360"/>
      <c r="AL484" s="360" t="s">
        <v>5878</v>
      </c>
      <c r="AM484" s="360"/>
      <c r="AN484" s="360"/>
      <c r="AO484" s="360"/>
      <c r="AP484" s="360"/>
      <c r="AQ484" s="360"/>
      <c r="AR484" s="360"/>
      <c r="AS484" s="360"/>
      <c r="AT484" s="360"/>
      <c r="AU484" s="360" t="s">
        <v>22</v>
      </c>
      <c r="AV484" s="360"/>
      <c r="AW484" s="264"/>
      <c r="AX484" s="264"/>
      <c r="AY484" s="264"/>
      <c r="AZ484" s="264"/>
      <c r="BA484" s="264"/>
      <c r="BB484" s="264"/>
      <c r="BC484" s="264"/>
      <c r="BD484" s="264"/>
      <c r="BE484" s="264"/>
    </row>
    <row r="485">
      <c r="A485" s="264"/>
      <c r="B485" s="264"/>
      <c r="C485" s="264"/>
      <c r="D485" s="264"/>
      <c r="E485" s="264"/>
      <c r="F485" s="264"/>
      <c r="G485" s="264"/>
      <c r="H485" s="264"/>
      <c r="I485" s="264"/>
      <c r="J485" s="264"/>
      <c r="K485" s="264"/>
      <c r="L485" s="264"/>
      <c r="M485" s="264" t="s">
        <v>22</v>
      </c>
      <c r="N485" s="264"/>
      <c r="O485" s="264" t="s">
        <v>22</v>
      </c>
      <c r="P485" s="264"/>
      <c r="Q485" s="264"/>
      <c r="R485" s="264"/>
      <c r="S485" s="264"/>
      <c r="T485" s="264"/>
      <c r="U485" s="360"/>
      <c r="V485" s="360"/>
      <c r="W485" s="360"/>
      <c r="X485" s="360"/>
      <c r="Y485" s="360"/>
      <c r="Z485" s="360"/>
      <c r="AA485" s="360"/>
      <c r="AB485" s="360"/>
      <c r="AC485" s="360"/>
      <c r="AD485" s="360"/>
      <c r="AE485" s="360"/>
      <c r="AF485" s="360"/>
      <c r="AG485" s="360" t="s">
        <v>1582</v>
      </c>
      <c r="AH485" s="360"/>
      <c r="AI485" s="360"/>
      <c r="AJ485" s="360" t="s">
        <v>1589</v>
      </c>
      <c r="AK485" s="360"/>
      <c r="AL485" s="360" t="s">
        <v>5878</v>
      </c>
      <c r="AM485" s="360"/>
      <c r="AN485" s="360"/>
      <c r="AO485" s="360"/>
      <c r="AP485" s="360"/>
      <c r="AQ485" s="360"/>
      <c r="AR485" s="360"/>
      <c r="AS485" s="360"/>
      <c r="AT485" s="360"/>
      <c r="AU485" s="360" t="s">
        <v>22</v>
      </c>
      <c r="AV485" s="360"/>
      <c r="AW485" s="264"/>
      <c r="AX485" s="264"/>
      <c r="AY485" s="264"/>
      <c r="AZ485" s="264"/>
      <c r="BA485" s="264"/>
      <c r="BB485" s="264"/>
      <c r="BC485" s="264"/>
      <c r="BD485" s="264"/>
      <c r="BE485" s="264"/>
    </row>
    <row r="486">
      <c r="A486" s="264"/>
      <c r="B486" s="264"/>
      <c r="C486" s="264"/>
      <c r="D486" s="264"/>
      <c r="E486" s="264"/>
      <c r="F486" s="264"/>
      <c r="G486" s="264"/>
      <c r="H486" s="264"/>
      <c r="I486" s="264"/>
      <c r="J486" s="264"/>
      <c r="K486" s="264"/>
      <c r="L486" s="264"/>
      <c r="M486" s="264" t="s">
        <v>22</v>
      </c>
      <c r="N486" s="264"/>
      <c r="O486" s="264" t="s">
        <v>22</v>
      </c>
      <c r="P486" s="264"/>
      <c r="Q486" s="264"/>
      <c r="R486" s="264"/>
      <c r="S486" s="264"/>
      <c r="T486" s="264"/>
      <c r="U486" s="360"/>
      <c r="V486" s="360"/>
      <c r="W486" s="360"/>
      <c r="X486" s="360"/>
      <c r="Y486" s="360"/>
      <c r="Z486" s="360"/>
      <c r="AA486" s="360"/>
      <c r="AB486" s="360"/>
      <c r="AC486" s="360"/>
      <c r="AD486" s="360"/>
      <c r="AE486" s="360"/>
      <c r="AF486" s="360"/>
      <c r="AG486" s="360" t="s">
        <v>1582</v>
      </c>
      <c r="AH486" s="360"/>
      <c r="AI486" s="360"/>
      <c r="AJ486" s="360" t="s">
        <v>1589</v>
      </c>
      <c r="AK486" s="360"/>
      <c r="AL486" s="360" t="s">
        <v>5878</v>
      </c>
      <c r="AM486" s="360"/>
      <c r="AN486" s="360"/>
      <c r="AO486" s="360"/>
      <c r="AP486" s="360"/>
      <c r="AQ486" s="360"/>
      <c r="AR486" s="360"/>
      <c r="AS486" s="360"/>
      <c r="AT486" s="360"/>
      <c r="AU486" s="360" t="s">
        <v>22</v>
      </c>
      <c r="AV486" s="360"/>
      <c r="AW486" s="264"/>
      <c r="AX486" s="264"/>
      <c r="AY486" s="264"/>
      <c r="AZ486" s="264"/>
      <c r="BA486" s="264"/>
      <c r="BB486" s="264"/>
      <c r="BC486" s="264"/>
      <c r="BD486" s="264"/>
      <c r="BE486" s="264"/>
    </row>
    <row r="487">
      <c r="A487" s="264"/>
      <c r="B487" s="264"/>
      <c r="C487" s="264"/>
      <c r="D487" s="264"/>
      <c r="E487" s="264"/>
      <c r="F487" s="264"/>
      <c r="G487" s="264"/>
      <c r="H487" s="264"/>
      <c r="I487" s="264"/>
      <c r="J487" s="264"/>
      <c r="K487" s="264"/>
      <c r="L487" s="264"/>
      <c r="M487" s="264" t="s">
        <v>22</v>
      </c>
      <c r="N487" s="264"/>
      <c r="O487" s="264" t="s">
        <v>22</v>
      </c>
      <c r="P487" s="264"/>
      <c r="Q487" s="264"/>
      <c r="R487" s="264"/>
      <c r="S487" s="264"/>
      <c r="T487" s="264"/>
      <c r="U487" s="360"/>
      <c r="V487" s="360"/>
      <c r="W487" s="360"/>
      <c r="X487" s="360"/>
      <c r="Y487" s="360"/>
      <c r="Z487" s="360"/>
      <c r="AA487" s="360"/>
      <c r="AB487" s="360"/>
      <c r="AC487" s="360"/>
      <c r="AD487" s="360"/>
      <c r="AE487" s="360"/>
      <c r="AF487" s="360"/>
      <c r="AG487" s="360" t="s">
        <v>1582</v>
      </c>
      <c r="AH487" s="360"/>
      <c r="AI487" s="360"/>
      <c r="AJ487" s="360" t="s">
        <v>1589</v>
      </c>
      <c r="AK487" s="360"/>
      <c r="AL487" s="360" t="s">
        <v>5878</v>
      </c>
      <c r="AM487" s="360"/>
      <c r="AN487" s="360"/>
      <c r="AO487" s="360"/>
      <c r="AP487" s="360"/>
      <c r="AQ487" s="360"/>
      <c r="AR487" s="360"/>
      <c r="AS487" s="360"/>
      <c r="AT487" s="360"/>
      <c r="AU487" s="360" t="s">
        <v>22</v>
      </c>
      <c r="AV487" s="360"/>
      <c r="AW487" s="264"/>
      <c r="AX487" s="264"/>
      <c r="AY487" s="264"/>
      <c r="AZ487" s="264"/>
      <c r="BA487" s="264"/>
      <c r="BB487" s="264"/>
      <c r="BC487" s="264"/>
      <c r="BD487" s="264"/>
      <c r="BE487" s="264"/>
    </row>
    <row r="488">
      <c r="A488" s="264"/>
      <c r="B488" s="264"/>
      <c r="C488" s="264"/>
      <c r="D488" s="264"/>
      <c r="E488" s="264"/>
      <c r="F488" s="264"/>
      <c r="G488" s="264"/>
      <c r="H488" s="264"/>
      <c r="I488" s="264"/>
      <c r="J488" s="264"/>
      <c r="K488" s="264"/>
      <c r="L488" s="264"/>
      <c r="M488" s="264" t="s">
        <v>22</v>
      </c>
      <c r="N488" s="264"/>
      <c r="O488" s="264" t="s">
        <v>22</v>
      </c>
      <c r="P488" s="264"/>
      <c r="Q488" s="264"/>
      <c r="R488" s="264"/>
      <c r="S488" s="264"/>
      <c r="T488" s="264"/>
      <c r="U488" s="360"/>
      <c r="V488" s="360"/>
      <c r="W488" s="360"/>
      <c r="X488" s="360"/>
      <c r="Y488" s="360"/>
      <c r="Z488" s="360"/>
      <c r="AA488" s="360"/>
      <c r="AB488" s="360"/>
      <c r="AC488" s="360"/>
      <c r="AD488" s="360"/>
      <c r="AE488" s="360"/>
      <c r="AF488" s="360"/>
      <c r="AG488" s="360" t="s">
        <v>1582</v>
      </c>
      <c r="AH488" s="360"/>
      <c r="AI488" s="360"/>
      <c r="AJ488" s="360" t="s">
        <v>1589</v>
      </c>
      <c r="AK488" s="360"/>
      <c r="AL488" s="360" t="s">
        <v>5878</v>
      </c>
      <c r="AM488" s="360"/>
      <c r="AN488" s="360"/>
      <c r="AO488" s="360"/>
      <c r="AP488" s="360"/>
      <c r="AQ488" s="360"/>
      <c r="AR488" s="360"/>
      <c r="AS488" s="360"/>
      <c r="AT488" s="360"/>
      <c r="AU488" s="360" t="s">
        <v>22</v>
      </c>
      <c r="AV488" s="360"/>
      <c r="AW488" s="264"/>
      <c r="AX488" s="264"/>
      <c r="AY488" s="264"/>
      <c r="AZ488" s="264"/>
      <c r="BA488" s="264"/>
      <c r="BB488" s="264"/>
      <c r="BC488" s="264"/>
      <c r="BD488" s="264"/>
      <c r="BE488" s="264"/>
    </row>
    <row r="489">
      <c r="A489" s="264"/>
      <c r="B489" s="264"/>
      <c r="C489" s="264"/>
      <c r="D489" s="264"/>
      <c r="E489" s="264"/>
      <c r="F489" s="264"/>
      <c r="G489" s="264"/>
      <c r="H489" s="264"/>
      <c r="I489" s="264"/>
      <c r="J489" s="264"/>
      <c r="K489" s="264"/>
      <c r="L489" s="264"/>
      <c r="M489" s="264" t="s">
        <v>22</v>
      </c>
      <c r="N489" s="264"/>
      <c r="O489" s="264" t="s">
        <v>22</v>
      </c>
      <c r="P489" s="264"/>
      <c r="Q489" s="264"/>
      <c r="R489" s="264"/>
      <c r="S489" s="264"/>
      <c r="T489" s="264"/>
      <c r="U489" s="360"/>
      <c r="V489" s="360"/>
      <c r="W489" s="360"/>
      <c r="X489" s="360"/>
      <c r="Y489" s="360"/>
      <c r="Z489" s="360"/>
      <c r="AA489" s="360"/>
      <c r="AB489" s="360"/>
      <c r="AC489" s="360"/>
      <c r="AD489" s="360"/>
      <c r="AE489" s="360"/>
      <c r="AF489" s="360"/>
      <c r="AG489" s="360" t="s">
        <v>1582</v>
      </c>
      <c r="AH489" s="360"/>
      <c r="AI489" s="360"/>
      <c r="AJ489" s="360" t="s">
        <v>1589</v>
      </c>
      <c r="AK489" s="360"/>
      <c r="AL489" s="360" t="s">
        <v>5878</v>
      </c>
      <c r="AM489" s="360"/>
      <c r="AN489" s="360"/>
      <c r="AO489" s="360"/>
      <c r="AP489" s="360"/>
      <c r="AQ489" s="360"/>
      <c r="AR489" s="360"/>
      <c r="AS489" s="360"/>
      <c r="AT489" s="360"/>
      <c r="AU489" s="360" t="s">
        <v>22</v>
      </c>
      <c r="AV489" s="360"/>
      <c r="AW489" s="264"/>
      <c r="AX489" s="264"/>
      <c r="AY489" s="264"/>
      <c r="AZ489" s="264"/>
      <c r="BA489" s="264"/>
      <c r="BB489" s="264"/>
      <c r="BC489" s="264"/>
      <c r="BD489" s="264"/>
      <c r="BE489" s="264"/>
    </row>
    <row r="490">
      <c r="A490" s="264"/>
      <c r="B490" s="264"/>
      <c r="C490" s="264"/>
      <c r="D490" s="264"/>
      <c r="E490" s="264"/>
      <c r="F490" s="264"/>
      <c r="G490" s="264"/>
      <c r="H490" s="264"/>
      <c r="I490" s="264"/>
      <c r="J490" s="264"/>
      <c r="K490" s="264"/>
      <c r="L490" s="264"/>
      <c r="M490" s="264" t="s">
        <v>22</v>
      </c>
      <c r="N490" s="264"/>
      <c r="O490" s="264" t="s">
        <v>22</v>
      </c>
      <c r="P490" s="264"/>
      <c r="Q490" s="264"/>
      <c r="R490" s="264"/>
      <c r="S490" s="264"/>
      <c r="T490" s="264"/>
      <c r="U490" s="360"/>
      <c r="V490" s="360"/>
      <c r="W490" s="360"/>
      <c r="X490" s="360"/>
      <c r="Y490" s="360"/>
      <c r="Z490" s="360"/>
      <c r="AA490" s="360"/>
      <c r="AB490" s="360"/>
      <c r="AC490" s="360"/>
      <c r="AD490" s="360"/>
      <c r="AE490" s="360"/>
      <c r="AF490" s="360"/>
      <c r="AG490" s="360" t="s">
        <v>1582</v>
      </c>
      <c r="AH490" s="360"/>
      <c r="AI490" s="360"/>
      <c r="AJ490" s="360" t="s">
        <v>1589</v>
      </c>
      <c r="AK490" s="360"/>
      <c r="AL490" s="360" t="s">
        <v>5878</v>
      </c>
      <c r="AM490" s="360"/>
      <c r="AN490" s="360"/>
      <c r="AO490" s="360"/>
      <c r="AP490" s="360"/>
      <c r="AQ490" s="360"/>
      <c r="AR490" s="360"/>
      <c r="AS490" s="360"/>
      <c r="AT490" s="360"/>
      <c r="AU490" s="360" t="s">
        <v>22</v>
      </c>
      <c r="AV490" s="360"/>
      <c r="AW490" s="264"/>
      <c r="AX490" s="264"/>
      <c r="AY490" s="264"/>
      <c r="AZ490" s="264"/>
      <c r="BA490" s="264"/>
      <c r="BB490" s="264"/>
      <c r="BC490" s="264"/>
      <c r="BD490" s="264"/>
      <c r="BE490" s="264"/>
    </row>
    <row r="491">
      <c r="A491" s="264"/>
      <c r="B491" s="264"/>
      <c r="C491" s="264"/>
      <c r="D491" s="264"/>
      <c r="E491" s="264"/>
      <c r="F491" s="264"/>
      <c r="G491" s="264"/>
      <c r="H491" s="264"/>
      <c r="I491" s="264"/>
      <c r="J491" s="264"/>
      <c r="K491" s="264"/>
      <c r="L491" s="264"/>
      <c r="M491" s="264" t="s">
        <v>22</v>
      </c>
      <c r="N491" s="264"/>
      <c r="O491" s="264" t="s">
        <v>22</v>
      </c>
      <c r="P491" s="264"/>
      <c r="Q491" s="264"/>
      <c r="R491" s="264"/>
      <c r="S491" s="264"/>
      <c r="T491" s="264"/>
      <c r="U491" s="360"/>
      <c r="V491" s="360"/>
      <c r="W491" s="360"/>
      <c r="X491" s="360"/>
      <c r="Y491" s="360"/>
      <c r="Z491" s="360"/>
      <c r="AA491" s="360"/>
      <c r="AB491" s="360"/>
      <c r="AC491" s="360"/>
      <c r="AD491" s="360"/>
      <c r="AE491" s="360"/>
      <c r="AF491" s="360"/>
      <c r="AG491" s="360" t="s">
        <v>1582</v>
      </c>
      <c r="AH491" s="360"/>
      <c r="AI491" s="360"/>
      <c r="AJ491" s="360" t="s">
        <v>1589</v>
      </c>
      <c r="AK491" s="360"/>
      <c r="AL491" s="360" t="s">
        <v>5878</v>
      </c>
      <c r="AM491" s="360"/>
      <c r="AN491" s="360"/>
      <c r="AO491" s="360"/>
      <c r="AP491" s="360"/>
      <c r="AQ491" s="360"/>
      <c r="AR491" s="360"/>
      <c r="AS491" s="360"/>
      <c r="AT491" s="360"/>
      <c r="AU491" s="360" t="s">
        <v>22</v>
      </c>
      <c r="AV491" s="360"/>
      <c r="AW491" s="264"/>
      <c r="AX491" s="264"/>
      <c r="AY491" s="264"/>
      <c r="AZ491" s="264"/>
      <c r="BA491" s="264"/>
      <c r="BB491" s="264"/>
      <c r="BC491" s="264"/>
      <c r="BD491" s="264"/>
      <c r="BE491" s="264"/>
    </row>
    <row r="492">
      <c r="A492" s="264"/>
      <c r="B492" s="264"/>
      <c r="C492" s="264"/>
      <c r="D492" s="264"/>
      <c r="E492" s="264"/>
      <c r="F492" s="264"/>
      <c r="G492" s="264"/>
      <c r="H492" s="264"/>
      <c r="I492" s="264"/>
      <c r="J492" s="264"/>
      <c r="K492" s="264"/>
      <c r="L492" s="264"/>
      <c r="M492" s="264" t="s">
        <v>22</v>
      </c>
      <c r="N492" s="264"/>
      <c r="O492" s="264" t="s">
        <v>22</v>
      </c>
      <c r="P492" s="264"/>
      <c r="Q492" s="264"/>
      <c r="R492" s="264"/>
      <c r="S492" s="264"/>
      <c r="T492" s="264"/>
      <c r="U492" s="360"/>
      <c r="V492" s="360"/>
      <c r="W492" s="360"/>
      <c r="X492" s="360"/>
      <c r="Y492" s="360"/>
      <c r="Z492" s="360"/>
      <c r="AA492" s="360"/>
      <c r="AB492" s="360"/>
      <c r="AC492" s="360"/>
      <c r="AD492" s="360"/>
      <c r="AE492" s="360"/>
      <c r="AF492" s="360"/>
      <c r="AG492" s="360" t="s">
        <v>1582</v>
      </c>
      <c r="AH492" s="360"/>
      <c r="AI492" s="360"/>
      <c r="AJ492" s="360" t="s">
        <v>1589</v>
      </c>
      <c r="AK492" s="360"/>
      <c r="AL492" s="360" t="s">
        <v>5878</v>
      </c>
      <c r="AM492" s="360"/>
      <c r="AN492" s="360"/>
      <c r="AO492" s="360"/>
      <c r="AP492" s="360"/>
      <c r="AQ492" s="360"/>
      <c r="AR492" s="360"/>
      <c r="AS492" s="360"/>
      <c r="AT492" s="360"/>
      <c r="AU492" s="360" t="s">
        <v>22</v>
      </c>
      <c r="AV492" s="360"/>
      <c r="AW492" s="264"/>
      <c r="AX492" s="264"/>
      <c r="AY492" s="264"/>
      <c r="AZ492" s="264"/>
      <c r="BA492" s="264"/>
      <c r="BB492" s="264"/>
      <c r="BC492" s="264"/>
      <c r="BD492" s="264"/>
      <c r="BE492" s="264"/>
    </row>
    <row r="493">
      <c r="A493" s="264"/>
      <c r="B493" s="264"/>
      <c r="C493" s="264"/>
      <c r="D493" s="264"/>
      <c r="E493" s="264"/>
      <c r="F493" s="264"/>
      <c r="G493" s="264"/>
      <c r="H493" s="264"/>
      <c r="I493" s="264"/>
      <c r="J493" s="264"/>
      <c r="K493" s="264"/>
      <c r="L493" s="264"/>
      <c r="M493" s="264" t="s">
        <v>22</v>
      </c>
      <c r="N493" s="264"/>
      <c r="O493" s="264" t="s">
        <v>22</v>
      </c>
      <c r="P493" s="264"/>
      <c r="Q493" s="264"/>
      <c r="R493" s="264"/>
      <c r="S493" s="264"/>
      <c r="T493" s="264"/>
      <c r="U493" s="360"/>
      <c r="V493" s="360"/>
      <c r="W493" s="360"/>
      <c r="X493" s="360"/>
      <c r="Y493" s="360"/>
      <c r="Z493" s="360"/>
      <c r="AA493" s="360"/>
      <c r="AB493" s="360"/>
      <c r="AC493" s="360"/>
      <c r="AD493" s="360"/>
      <c r="AE493" s="360"/>
      <c r="AF493" s="360"/>
      <c r="AG493" s="360" t="s">
        <v>1582</v>
      </c>
      <c r="AH493" s="360"/>
      <c r="AI493" s="360"/>
      <c r="AJ493" s="360" t="s">
        <v>1589</v>
      </c>
      <c r="AK493" s="360"/>
      <c r="AL493" s="360" t="s">
        <v>5878</v>
      </c>
      <c r="AM493" s="360"/>
      <c r="AN493" s="360"/>
      <c r="AO493" s="360"/>
      <c r="AP493" s="360"/>
      <c r="AQ493" s="360"/>
      <c r="AR493" s="360"/>
      <c r="AS493" s="360"/>
      <c r="AT493" s="360"/>
      <c r="AU493" s="360" t="s">
        <v>22</v>
      </c>
      <c r="AV493" s="360"/>
      <c r="AW493" s="264"/>
      <c r="AX493" s="264"/>
      <c r="AY493" s="264"/>
      <c r="AZ493" s="264"/>
      <c r="BA493" s="264"/>
      <c r="BB493" s="264"/>
      <c r="BC493" s="264"/>
      <c r="BD493" s="264"/>
      <c r="BE493" s="264"/>
    </row>
    <row r="494">
      <c r="A494" s="264"/>
      <c r="B494" s="264"/>
      <c r="C494" s="264"/>
      <c r="D494" s="264"/>
      <c r="E494" s="264"/>
      <c r="F494" s="264"/>
      <c r="G494" s="264"/>
      <c r="H494" s="264"/>
      <c r="I494" s="264"/>
      <c r="J494" s="264"/>
      <c r="K494" s="264"/>
      <c r="L494" s="264"/>
      <c r="M494" s="264" t="s">
        <v>22</v>
      </c>
      <c r="N494" s="264"/>
      <c r="O494" s="264" t="s">
        <v>22</v>
      </c>
      <c r="P494" s="264"/>
      <c r="Q494" s="264"/>
      <c r="R494" s="264"/>
      <c r="S494" s="264"/>
      <c r="T494" s="264"/>
      <c r="U494" s="360"/>
      <c r="V494" s="360"/>
      <c r="W494" s="360"/>
      <c r="X494" s="360"/>
      <c r="Y494" s="360"/>
      <c r="Z494" s="360"/>
      <c r="AA494" s="360"/>
      <c r="AB494" s="360"/>
      <c r="AC494" s="360"/>
      <c r="AD494" s="360"/>
      <c r="AE494" s="360"/>
      <c r="AF494" s="360"/>
      <c r="AG494" s="360" t="s">
        <v>1582</v>
      </c>
      <c r="AH494" s="360"/>
      <c r="AI494" s="360"/>
      <c r="AJ494" s="360" t="s">
        <v>1589</v>
      </c>
      <c r="AK494" s="360"/>
      <c r="AL494" s="360" t="s">
        <v>5878</v>
      </c>
      <c r="AM494" s="360"/>
      <c r="AN494" s="360"/>
      <c r="AO494" s="360"/>
      <c r="AP494" s="360"/>
      <c r="AQ494" s="360"/>
      <c r="AR494" s="360"/>
      <c r="AS494" s="360"/>
      <c r="AT494" s="360"/>
      <c r="AU494" s="360" t="s">
        <v>22</v>
      </c>
      <c r="AV494" s="360"/>
      <c r="AW494" s="264"/>
      <c r="AX494" s="264"/>
      <c r="AY494" s="264"/>
      <c r="AZ494" s="264"/>
      <c r="BA494" s="264"/>
      <c r="BB494" s="264"/>
      <c r="BC494" s="264"/>
      <c r="BD494" s="264"/>
      <c r="BE494" s="264"/>
    </row>
    <row r="495">
      <c r="A495" s="264"/>
      <c r="B495" s="264"/>
      <c r="C495" s="264"/>
      <c r="D495" s="264"/>
      <c r="E495" s="264"/>
      <c r="F495" s="264"/>
      <c r="G495" s="264"/>
      <c r="H495" s="264"/>
      <c r="I495" s="264"/>
      <c r="J495" s="264"/>
      <c r="K495" s="264"/>
      <c r="L495" s="264"/>
      <c r="M495" s="264" t="s">
        <v>22</v>
      </c>
      <c r="N495" s="264"/>
      <c r="O495" s="264" t="s">
        <v>22</v>
      </c>
      <c r="P495" s="264"/>
      <c r="Q495" s="264"/>
      <c r="R495" s="264"/>
      <c r="S495" s="264"/>
      <c r="T495" s="264"/>
      <c r="U495" s="360"/>
      <c r="V495" s="360"/>
      <c r="W495" s="360"/>
      <c r="X495" s="360"/>
      <c r="Y495" s="360"/>
      <c r="Z495" s="360"/>
      <c r="AA495" s="360"/>
      <c r="AB495" s="360"/>
      <c r="AC495" s="360"/>
      <c r="AD495" s="360"/>
      <c r="AE495" s="360"/>
      <c r="AF495" s="360"/>
      <c r="AG495" s="360" t="s">
        <v>1582</v>
      </c>
      <c r="AH495" s="360"/>
      <c r="AI495" s="360"/>
      <c r="AJ495" s="360" t="s">
        <v>1589</v>
      </c>
      <c r="AK495" s="360"/>
      <c r="AL495" s="360" t="s">
        <v>5878</v>
      </c>
      <c r="AM495" s="360"/>
      <c r="AN495" s="360"/>
      <c r="AO495" s="360"/>
      <c r="AP495" s="360"/>
      <c r="AQ495" s="360"/>
      <c r="AR495" s="360"/>
      <c r="AS495" s="360"/>
      <c r="AT495" s="360"/>
      <c r="AU495" s="360" t="s">
        <v>22</v>
      </c>
      <c r="AV495" s="360"/>
      <c r="AW495" s="264"/>
      <c r="AX495" s="264"/>
      <c r="AY495" s="264"/>
      <c r="AZ495" s="264"/>
      <c r="BA495" s="264"/>
      <c r="BB495" s="264"/>
      <c r="BC495" s="264"/>
      <c r="BD495" s="264"/>
      <c r="BE495" s="264"/>
    </row>
    <row r="496">
      <c r="A496" s="264"/>
      <c r="B496" s="264"/>
      <c r="C496" s="264"/>
      <c r="D496" s="264"/>
      <c r="E496" s="264"/>
      <c r="F496" s="264"/>
      <c r="G496" s="264"/>
      <c r="H496" s="264"/>
      <c r="I496" s="264"/>
      <c r="J496" s="264"/>
      <c r="K496" s="264"/>
      <c r="L496" s="264"/>
      <c r="M496" s="264" t="s">
        <v>22</v>
      </c>
      <c r="N496" s="264"/>
      <c r="O496" s="264" t="s">
        <v>22</v>
      </c>
      <c r="P496" s="264"/>
      <c r="Q496" s="264"/>
      <c r="R496" s="264"/>
      <c r="S496" s="264"/>
      <c r="T496" s="264"/>
      <c r="U496" s="360"/>
      <c r="V496" s="360"/>
      <c r="W496" s="360"/>
      <c r="X496" s="360"/>
      <c r="Y496" s="360"/>
      <c r="Z496" s="360"/>
      <c r="AA496" s="360"/>
      <c r="AB496" s="360"/>
      <c r="AC496" s="360"/>
      <c r="AD496" s="360"/>
      <c r="AE496" s="360"/>
      <c r="AF496" s="360"/>
      <c r="AG496" s="360" t="s">
        <v>1582</v>
      </c>
      <c r="AH496" s="360"/>
      <c r="AI496" s="360"/>
      <c r="AJ496" s="360" t="s">
        <v>1589</v>
      </c>
      <c r="AK496" s="360"/>
      <c r="AL496" s="360" t="s">
        <v>5878</v>
      </c>
      <c r="AM496" s="360"/>
      <c r="AN496" s="360"/>
      <c r="AO496" s="360"/>
      <c r="AP496" s="360"/>
      <c r="AQ496" s="360"/>
      <c r="AR496" s="360"/>
      <c r="AS496" s="360"/>
      <c r="AT496" s="360"/>
      <c r="AU496" s="360" t="s">
        <v>22</v>
      </c>
      <c r="AV496" s="360"/>
      <c r="AW496" s="264"/>
      <c r="AX496" s="264"/>
      <c r="AY496" s="264"/>
      <c r="AZ496" s="264"/>
      <c r="BA496" s="264"/>
      <c r="BB496" s="264"/>
      <c r="BC496" s="264"/>
      <c r="BD496" s="264"/>
      <c r="BE496" s="264"/>
    </row>
    <row r="497">
      <c r="A497" s="264"/>
      <c r="B497" s="264"/>
      <c r="C497" s="264"/>
      <c r="D497" s="264"/>
      <c r="E497" s="264"/>
      <c r="F497" s="264"/>
      <c r="G497" s="264"/>
      <c r="H497" s="264"/>
      <c r="I497" s="264"/>
      <c r="J497" s="264"/>
      <c r="K497" s="264"/>
      <c r="L497" s="264"/>
      <c r="M497" s="264" t="s">
        <v>22</v>
      </c>
      <c r="N497" s="264"/>
      <c r="O497" s="264" t="s">
        <v>22</v>
      </c>
      <c r="P497" s="264"/>
      <c r="Q497" s="264"/>
      <c r="R497" s="264"/>
      <c r="S497" s="264"/>
      <c r="T497" s="264"/>
      <c r="U497" s="360"/>
      <c r="V497" s="360"/>
      <c r="W497" s="360"/>
      <c r="X497" s="360"/>
      <c r="Y497" s="360"/>
      <c r="Z497" s="360"/>
      <c r="AA497" s="360"/>
      <c r="AB497" s="360"/>
      <c r="AC497" s="360"/>
      <c r="AD497" s="360"/>
      <c r="AE497" s="360"/>
      <c r="AF497" s="360"/>
      <c r="AG497" s="360" t="s">
        <v>1582</v>
      </c>
      <c r="AH497" s="360"/>
      <c r="AI497" s="360"/>
      <c r="AJ497" s="360" t="s">
        <v>1589</v>
      </c>
      <c r="AK497" s="360"/>
      <c r="AL497" s="360" t="s">
        <v>5878</v>
      </c>
      <c r="AM497" s="360"/>
      <c r="AN497" s="360"/>
      <c r="AO497" s="360"/>
      <c r="AP497" s="360"/>
      <c r="AQ497" s="360"/>
      <c r="AR497" s="360"/>
      <c r="AS497" s="360"/>
      <c r="AT497" s="360"/>
      <c r="AU497" s="360" t="s">
        <v>22</v>
      </c>
      <c r="AV497" s="360"/>
      <c r="AW497" s="264"/>
      <c r="AX497" s="264"/>
      <c r="AY497" s="264"/>
      <c r="AZ497" s="264"/>
      <c r="BA497" s="264"/>
      <c r="BB497" s="264"/>
      <c r="BC497" s="264"/>
      <c r="BD497" s="264"/>
      <c r="BE497" s="264"/>
    </row>
    <row r="498">
      <c r="A498" s="264"/>
      <c r="B498" s="264"/>
      <c r="C498" s="264"/>
      <c r="D498" s="264"/>
      <c r="E498" s="264"/>
      <c r="F498" s="264"/>
      <c r="G498" s="264"/>
      <c r="H498" s="264"/>
      <c r="I498" s="264"/>
      <c r="J498" s="264"/>
      <c r="K498" s="264"/>
      <c r="L498" s="264"/>
      <c r="M498" s="264" t="s">
        <v>22</v>
      </c>
      <c r="N498" s="264"/>
      <c r="O498" s="264" t="s">
        <v>22</v>
      </c>
      <c r="P498" s="264"/>
      <c r="Q498" s="264"/>
      <c r="R498" s="264"/>
      <c r="S498" s="264"/>
      <c r="T498" s="264"/>
      <c r="U498" s="360"/>
      <c r="V498" s="360"/>
      <c r="W498" s="360"/>
      <c r="X498" s="360"/>
      <c r="Y498" s="360"/>
      <c r="Z498" s="360"/>
      <c r="AA498" s="360"/>
      <c r="AB498" s="360"/>
      <c r="AC498" s="360"/>
      <c r="AD498" s="360"/>
      <c r="AE498" s="360"/>
      <c r="AF498" s="360"/>
      <c r="AG498" s="360" t="s">
        <v>1582</v>
      </c>
      <c r="AH498" s="360"/>
      <c r="AI498" s="360"/>
      <c r="AJ498" s="360" t="s">
        <v>1589</v>
      </c>
      <c r="AK498" s="360"/>
      <c r="AL498" s="360" t="s">
        <v>5878</v>
      </c>
      <c r="AM498" s="360"/>
      <c r="AN498" s="360"/>
      <c r="AO498" s="360"/>
      <c r="AP498" s="360"/>
      <c r="AQ498" s="360"/>
      <c r="AR498" s="360"/>
      <c r="AS498" s="360"/>
      <c r="AT498" s="360"/>
      <c r="AU498" s="360" t="s">
        <v>22</v>
      </c>
      <c r="AV498" s="360"/>
      <c r="AW498" s="264"/>
      <c r="AX498" s="264"/>
      <c r="AY498" s="264"/>
      <c r="AZ498" s="264"/>
      <c r="BA498" s="264"/>
      <c r="BB498" s="264"/>
      <c r="BC498" s="264"/>
      <c r="BD498" s="264"/>
      <c r="BE498" s="264"/>
    </row>
    <row r="499">
      <c r="A499" s="264"/>
      <c r="B499" s="264"/>
      <c r="C499" s="264"/>
      <c r="D499" s="264"/>
      <c r="E499" s="264"/>
      <c r="F499" s="264"/>
      <c r="G499" s="264"/>
      <c r="H499" s="264"/>
      <c r="I499" s="264"/>
      <c r="J499" s="264"/>
      <c r="K499" s="264"/>
      <c r="L499" s="264"/>
      <c r="M499" s="264" t="s">
        <v>22</v>
      </c>
      <c r="N499" s="264"/>
      <c r="O499" s="264" t="s">
        <v>22</v>
      </c>
      <c r="P499" s="264"/>
      <c r="Q499" s="264"/>
      <c r="R499" s="264"/>
      <c r="S499" s="264"/>
      <c r="T499" s="264"/>
      <c r="U499" s="360"/>
      <c r="V499" s="360"/>
      <c r="W499" s="360"/>
      <c r="X499" s="360"/>
      <c r="Y499" s="360"/>
      <c r="Z499" s="360"/>
      <c r="AA499" s="360"/>
      <c r="AB499" s="360"/>
      <c r="AC499" s="360"/>
      <c r="AD499" s="360"/>
      <c r="AE499" s="360"/>
      <c r="AF499" s="360"/>
      <c r="AG499" s="360" t="s">
        <v>1582</v>
      </c>
      <c r="AH499" s="360"/>
      <c r="AI499" s="360"/>
      <c r="AJ499" s="360" t="s">
        <v>1589</v>
      </c>
      <c r="AK499" s="360"/>
      <c r="AL499" s="360" t="s">
        <v>5878</v>
      </c>
      <c r="AM499" s="360"/>
      <c r="AN499" s="360"/>
      <c r="AO499" s="360"/>
      <c r="AP499" s="360"/>
      <c r="AQ499" s="360"/>
      <c r="AR499" s="360"/>
      <c r="AS499" s="360"/>
      <c r="AT499" s="360"/>
      <c r="AU499" s="360" t="s">
        <v>22</v>
      </c>
      <c r="AV499" s="360"/>
      <c r="AW499" s="264"/>
      <c r="AX499" s="264"/>
      <c r="AY499" s="264"/>
      <c r="AZ499" s="264"/>
      <c r="BA499" s="264"/>
      <c r="BB499" s="264"/>
      <c r="BC499" s="264"/>
      <c r="BD499" s="264"/>
      <c r="BE499" s="264"/>
    </row>
    <row r="500">
      <c r="A500" s="264"/>
      <c r="B500" s="264"/>
      <c r="C500" s="264"/>
      <c r="D500" s="264"/>
      <c r="E500" s="264"/>
      <c r="F500" s="264"/>
      <c r="G500" s="264"/>
      <c r="H500" s="264"/>
      <c r="I500" s="264"/>
      <c r="J500" s="264"/>
      <c r="K500" s="264"/>
      <c r="L500" s="264"/>
      <c r="M500" s="264" t="s">
        <v>22</v>
      </c>
      <c r="N500" s="264"/>
      <c r="O500" s="264" t="s">
        <v>22</v>
      </c>
      <c r="P500" s="264"/>
      <c r="Q500" s="264"/>
      <c r="R500" s="264"/>
      <c r="S500" s="264"/>
      <c r="T500" s="264"/>
      <c r="U500" s="360"/>
      <c r="V500" s="360"/>
      <c r="W500" s="360"/>
      <c r="X500" s="360"/>
      <c r="Y500" s="360"/>
      <c r="Z500" s="360"/>
      <c r="AA500" s="360"/>
      <c r="AB500" s="360"/>
      <c r="AC500" s="360"/>
      <c r="AD500" s="360"/>
      <c r="AE500" s="360"/>
      <c r="AF500" s="360"/>
      <c r="AG500" s="360" t="s">
        <v>1582</v>
      </c>
      <c r="AH500" s="360"/>
      <c r="AI500" s="360"/>
      <c r="AJ500" s="360" t="s">
        <v>1589</v>
      </c>
      <c r="AK500" s="360"/>
      <c r="AL500" s="360" t="s">
        <v>5878</v>
      </c>
      <c r="AM500" s="360"/>
      <c r="AN500" s="360"/>
      <c r="AO500" s="360"/>
      <c r="AP500" s="360"/>
      <c r="AQ500" s="360"/>
      <c r="AR500" s="360"/>
      <c r="AS500" s="360"/>
      <c r="AT500" s="360"/>
      <c r="AU500" s="360" t="s">
        <v>22</v>
      </c>
      <c r="AV500" s="360"/>
      <c r="AW500" s="264"/>
      <c r="AX500" s="264"/>
      <c r="AY500" s="264"/>
      <c r="AZ500" s="264"/>
      <c r="BA500" s="264"/>
      <c r="BB500" s="264"/>
      <c r="BC500" s="264"/>
      <c r="BD500" s="264"/>
      <c r="BE500" s="264"/>
    </row>
    <row r="501">
      <c r="A501" s="264"/>
      <c r="B501" s="264"/>
      <c r="C501" s="264"/>
      <c r="D501" s="264"/>
      <c r="E501" s="264"/>
      <c r="F501" s="264"/>
      <c r="G501" s="264"/>
      <c r="H501" s="264"/>
      <c r="I501" s="264"/>
      <c r="J501" s="264"/>
      <c r="K501" s="264"/>
      <c r="L501" s="264"/>
      <c r="M501" s="264" t="s">
        <v>22</v>
      </c>
      <c r="N501" s="264"/>
      <c r="O501" s="264" t="s">
        <v>22</v>
      </c>
      <c r="P501" s="264"/>
      <c r="Q501" s="264"/>
      <c r="R501" s="264"/>
      <c r="S501" s="264"/>
      <c r="T501" s="264"/>
      <c r="U501" s="360"/>
      <c r="V501" s="360"/>
      <c r="W501" s="360"/>
      <c r="X501" s="360"/>
      <c r="Y501" s="360"/>
      <c r="Z501" s="360"/>
      <c r="AA501" s="360"/>
      <c r="AB501" s="360"/>
      <c r="AC501" s="360"/>
      <c r="AD501" s="360"/>
      <c r="AE501" s="360"/>
      <c r="AF501" s="360"/>
      <c r="AG501" s="360" t="s">
        <v>1582</v>
      </c>
      <c r="AH501" s="360"/>
      <c r="AI501" s="360"/>
      <c r="AJ501" s="360" t="s">
        <v>1589</v>
      </c>
      <c r="AK501" s="360"/>
      <c r="AL501" s="360" t="s">
        <v>5878</v>
      </c>
      <c r="AM501" s="360"/>
      <c r="AN501" s="360"/>
      <c r="AO501" s="360"/>
      <c r="AP501" s="360"/>
      <c r="AQ501" s="360"/>
      <c r="AR501" s="360"/>
      <c r="AS501" s="360"/>
      <c r="AT501" s="360"/>
      <c r="AU501" s="360" t="s">
        <v>22</v>
      </c>
      <c r="AV501" s="360"/>
      <c r="AW501" s="264"/>
      <c r="AX501" s="264"/>
      <c r="AY501" s="264"/>
      <c r="AZ501" s="264"/>
      <c r="BA501" s="264"/>
      <c r="BB501" s="264"/>
      <c r="BC501" s="264"/>
      <c r="BD501" s="264"/>
      <c r="BE501" s="264"/>
    </row>
    <row r="502">
      <c r="A502" s="264"/>
      <c r="B502" s="264"/>
      <c r="C502" s="264"/>
      <c r="D502" s="264"/>
      <c r="E502" s="264"/>
      <c r="F502" s="264"/>
      <c r="G502" s="264"/>
      <c r="H502" s="264"/>
      <c r="I502" s="264"/>
      <c r="J502" s="264"/>
      <c r="K502" s="264"/>
      <c r="L502" s="264"/>
      <c r="M502" s="264" t="s">
        <v>22</v>
      </c>
      <c r="N502" s="264"/>
      <c r="O502" s="264" t="s">
        <v>22</v>
      </c>
      <c r="P502" s="264"/>
      <c r="Q502" s="264"/>
      <c r="R502" s="264"/>
      <c r="S502" s="264"/>
      <c r="T502" s="264"/>
      <c r="U502" s="360"/>
      <c r="V502" s="360"/>
      <c r="W502" s="360"/>
      <c r="X502" s="360"/>
      <c r="Y502" s="360"/>
      <c r="Z502" s="360"/>
      <c r="AA502" s="360"/>
      <c r="AB502" s="360"/>
      <c r="AC502" s="360"/>
      <c r="AD502" s="360"/>
      <c r="AE502" s="360"/>
      <c r="AF502" s="360"/>
      <c r="AG502" s="360" t="s">
        <v>1582</v>
      </c>
      <c r="AH502" s="360"/>
      <c r="AI502" s="360"/>
      <c r="AJ502" s="360" t="s">
        <v>1589</v>
      </c>
      <c r="AK502" s="360"/>
      <c r="AL502" s="360" t="s">
        <v>5878</v>
      </c>
      <c r="AM502" s="360"/>
      <c r="AN502" s="360"/>
      <c r="AO502" s="360"/>
      <c r="AP502" s="360"/>
      <c r="AQ502" s="360"/>
      <c r="AR502" s="360"/>
      <c r="AS502" s="360"/>
      <c r="AT502" s="360"/>
      <c r="AU502" s="360" t="s">
        <v>22</v>
      </c>
      <c r="AV502" s="360"/>
      <c r="AW502" s="264"/>
      <c r="AX502" s="264"/>
      <c r="AY502" s="264"/>
      <c r="AZ502" s="264"/>
      <c r="BA502" s="264"/>
      <c r="BB502" s="264"/>
      <c r="BC502" s="264"/>
      <c r="BD502" s="264"/>
      <c r="BE502" s="264"/>
    </row>
    <row r="503">
      <c r="A503" s="264"/>
      <c r="B503" s="264"/>
      <c r="C503" s="264"/>
      <c r="D503" s="264"/>
      <c r="E503" s="264"/>
      <c r="F503" s="264"/>
      <c r="G503" s="264"/>
      <c r="H503" s="264"/>
      <c r="I503" s="264"/>
      <c r="J503" s="264"/>
      <c r="K503" s="264"/>
      <c r="L503" s="264"/>
      <c r="M503" s="264" t="s">
        <v>22</v>
      </c>
      <c r="N503" s="264"/>
      <c r="O503" s="264" t="s">
        <v>22</v>
      </c>
      <c r="P503" s="264"/>
      <c r="Q503" s="264"/>
      <c r="R503" s="264"/>
      <c r="S503" s="264"/>
      <c r="T503" s="264"/>
      <c r="U503" s="360"/>
      <c r="V503" s="360"/>
      <c r="W503" s="360"/>
      <c r="X503" s="360"/>
      <c r="Y503" s="360"/>
      <c r="Z503" s="360"/>
      <c r="AA503" s="360"/>
      <c r="AB503" s="360"/>
      <c r="AC503" s="360"/>
      <c r="AD503" s="360"/>
      <c r="AE503" s="360"/>
      <c r="AF503" s="360"/>
      <c r="AG503" s="360" t="s">
        <v>1582</v>
      </c>
      <c r="AH503" s="360"/>
      <c r="AI503" s="360"/>
      <c r="AJ503" s="360" t="s">
        <v>1589</v>
      </c>
      <c r="AK503" s="360"/>
      <c r="AL503" s="360" t="s">
        <v>5878</v>
      </c>
      <c r="AM503" s="360"/>
      <c r="AN503" s="360"/>
      <c r="AO503" s="360"/>
      <c r="AP503" s="360"/>
      <c r="AQ503" s="360"/>
      <c r="AR503" s="360"/>
      <c r="AS503" s="360"/>
      <c r="AT503" s="360"/>
      <c r="AU503" s="360" t="s">
        <v>22</v>
      </c>
      <c r="AV503" s="360"/>
      <c r="AW503" s="264"/>
      <c r="AX503" s="264"/>
      <c r="AY503" s="264"/>
      <c r="AZ503" s="264"/>
      <c r="BA503" s="264"/>
      <c r="BB503" s="264"/>
      <c r="BC503" s="264"/>
      <c r="BD503" s="264"/>
      <c r="BE503" s="264"/>
    </row>
    <row r="504">
      <c r="A504" s="264"/>
      <c r="B504" s="264"/>
      <c r="C504" s="264"/>
      <c r="D504" s="264"/>
      <c r="E504" s="264"/>
      <c r="F504" s="264"/>
      <c r="G504" s="264"/>
      <c r="H504" s="264"/>
      <c r="I504" s="264"/>
      <c r="J504" s="264"/>
      <c r="K504" s="264"/>
      <c r="L504" s="264"/>
      <c r="M504" s="264" t="s">
        <v>22</v>
      </c>
      <c r="N504" s="264"/>
      <c r="O504" s="264" t="s">
        <v>22</v>
      </c>
      <c r="P504" s="264"/>
      <c r="Q504" s="264"/>
      <c r="R504" s="264"/>
      <c r="S504" s="264"/>
      <c r="T504" s="264"/>
      <c r="U504" s="360"/>
      <c r="V504" s="360"/>
      <c r="W504" s="360"/>
      <c r="X504" s="360"/>
      <c r="Y504" s="360"/>
      <c r="Z504" s="360"/>
      <c r="AA504" s="360"/>
      <c r="AB504" s="360"/>
      <c r="AC504" s="360"/>
      <c r="AD504" s="360"/>
      <c r="AE504" s="360"/>
      <c r="AF504" s="360"/>
      <c r="AG504" s="360" t="s">
        <v>1582</v>
      </c>
      <c r="AH504" s="360"/>
      <c r="AI504" s="360"/>
      <c r="AJ504" s="360" t="s">
        <v>1589</v>
      </c>
      <c r="AK504" s="360"/>
      <c r="AL504" s="360" t="s">
        <v>5878</v>
      </c>
      <c r="AM504" s="360"/>
      <c r="AN504" s="360"/>
      <c r="AO504" s="360"/>
      <c r="AP504" s="360"/>
      <c r="AQ504" s="360"/>
      <c r="AR504" s="360"/>
      <c r="AS504" s="360"/>
      <c r="AT504" s="360"/>
      <c r="AU504" s="360" t="s">
        <v>22</v>
      </c>
      <c r="AV504" s="360"/>
      <c r="AW504" s="264"/>
      <c r="AX504" s="264"/>
      <c r="AY504" s="264"/>
      <c r="AZ504" s="264"/>
      <c r="BA504" s="264"/>
      <c r="BB504" s="264"/>
      <c r="BC504" s="264"/>
      <c r="BD504" s="264"/>
      <c r="BE504" s="264"/>
    </row>
    <row r="505">
      <c r="A505" s="264"/>
      <c r="B505" s="264"/>
      <c r="C505" s="264"/>
      <c r="D505" s="264"/>
      <c r="E505" s="264"/>
      <c r="F505" s="264"/>
      <c r="G505" s="264"/>
      <c r="H505" s="264"/>
      <c r="I505" s="264"/>
      <c r="J505" s="264"/>
      <c r="K505" s="264"/>
      <c r="L505" s="264"/>
      <c r="M505" s="264" t="s">
        <v>22</v>
      </c>
      <c r="N505" s="264"/>
      <c r="O505" s="264" t="s">
        <v>22</v>
      </c>
      <c r="P505" s="264"/>
      <c r="Q505" s="264"/>
      <c r="R505" s="264"/>
      <c r="S505" s="264"/>
      <c r="T505" s="264"/>
      <c r="U505" s="360"/>
      <c r="V505" s="360"/>
      <c r="W505" s="360"/>
      <c r="X505" s="360"/>
      <c r="Y505" s="360"/>
      <c r="Z505" s="360"/>
      <c r="AA505" s="360"/>
      <c r="AB505" s="360"/>
      <c r="AC505" s="360"/>
      <c r="AD505" s="360"/>
      <c r="AE505" s="360"/>
      <c r="AF505" s="360"/>
      <c r="AG505" s="360" t="s">
        <v>1582</v>
      </c>
      <c r="AH505" s="360"/>
      <c r="AI505" s="360"/>
      <c r="AJ505" s="360" t="s">
        <v>1589</v>
      </c>
      <c r="AK505" s="360"/>
      <c r="AL505" s="360" t="s">
        <v>5878</v>
      </c>
      <c r="AM505" s="360"/>
      <c r="AN505" s="360"/>
      <c r="AO505" s="360"/>
      <c r="AP505" s="360"/>
      <c r="AQ505" s="360"/>
      <c r="AR505" s="360"/>
      <c r="AS505" s="360"/>
      <c r="AT505" s="360"/>
      <c r="AU505" s="360" t="s">
        <v>22</v>
      </c>
      <c r="AV505" s="360"/>
      <c r="AW505" s="264"/>
      <c r="AX505" s="264"/>
      <c r="AY505" s="264"/>
      <c r="AZ505" s="264"/>
      <c r="BA505" s="264"/>
      <c r="BB505" s="264"/>
      <c r="BC505" s="264"/>
      <c r="BD505" s="264"/>
      <c r="BE505" s="264"/>
    </row>
    <row r="506">
      <c r="A506" s="264"/>
      <c r="B506" s="264"/>
      <c r="C506" s="264"/>
      <c r="D506" s="264"/>
      <c r="E506" s="264"/>
      <c r="F506" s="264"/>
      <c r="G506" s="264"/>
      <c r="H506" s="264"/>
      <c r="I506" s="264"/>
      <c r="J506" s="264"/>
      <c r="K506" s="264"/>
      <c r="L506" s="264"/>
      <c r="M506" s="264" t="s">
        <v>22</v>
      </c>
      <c r="N506" s="264"/>
      <c r="O506" s="264" t="s">
        <v>22</v>
      </c>
      <c r="P506" s="264"/>
      <c r="Q506" s="264"/>
      <c r="R506" s="264"/>
      <c r="S506" s="264"/>
      <c r="T506" s="264"/>
      <c r="U506" s="360"/>
      <c r="V506" s="360"/>
      <c r="W506" s="360"/>
      <c r="X506" s="360"/>
      <c r="Y506" s="360"/>
      <c r="Z506" s="360"/>
      <c r="AA506" s="360"/>
      <c r="AB506" s="360"/>
      <c r="AC506" s="360"/>
      <c r="AD506" s="360"/>
      <c r="AE506" s="360"/>
      <c r="AF506" s="360"/>
      <c r="AG506" s="360" t="s">
        <v>1582</v>
      </c>
      <c r="AH506" s="360"/>
      <c r="AI506" s="360"/>
      <c r="AJ506" s="360" t="s">
        <v>1589</v>
      </c>
      <c r="AK506" s="360"/>
      <c r="AL506" s="360" t="s">
        <v>5878</v>
      </c>
      <c r="AM506" s="360"/>
      <c r="AN506" s="360"/>
      <c r="AO506" s="360"/>
      <c r="AP506" s="360"/>
      <c r="AQ506" s="360"/>
      <c r="AR506" s="360"/>
      <c r="AS506" s="360"/>
      <c r="AT506" s="360"/>
      <c r="AU506" s="360" t="s">
        <v>22</v>
      </c>
      <c r="AV506" s="360"/>
      <c r="AW506" s="264"/>
      <c r="AX506" s="264"/>
      <c r="AY506" s="264"/>
      <c r="AZ506" s="264"/>
      <c r="BA506" s="264"/>
      <c r="BB506" s="264"/>
      <c r="BC506" s="264"/>
      <c r="BD506" s="264"/>
      <c r="BE506" s="264"/>
    </row>
    <row r="507">
      <c r="A507" s="264"/>
      <c r="B507" s="264"/>
      <c r="C507" s="264"/>
      <c r="D507" s="264"/>
      <c r="E507" s="264"/>
      <c r="F507" s="264"/>
      <c r="G507" s="264"/>
      <c r="H507" s="264"/>
      <c r="I507" s="264"/>
      <c r="J507" s="264"/>
      <c r="K507" s="264"/>
      <c r="L507" s="264"/>
      <c r="M507" s="264" t="s">
        <v>22</v>
      </c>
      <c r="N507" s="264"/>
      <c r="O507" s="264" t="s">
        <v>22</v>
      </c>
      <c r="P507" s="264"/>
      <c r="Q507" s="264"/>
      <c r="R507" s="264"/>
      <c r="S507" s="264"/>
      <c r="T507" s="264"/>
      <c r="U507" s="360"/>
      <c r="V507" s="360"/>
      <c r="W507" s="360"/>
      <c r="X507" s="360"/>
      <c r="Y507" s="360"/>
      <c r="Z507" s="360"/>
      <c r="AA507" s="360"/>
      <c r="AB507" s="360"/>
      <c r="AC507" s="360"/>
      <c r="AD507" s="360"/>
      <c r="AE507" s="360"/>
      <c r="AF507" s="360"/>
      <c r="AG507" s="360" t="s">
        <v>1582</v>
      </c>
      <c r="AH507" s="360"/>
      <c r="AI507" s="360"/>
      <c r="AJ507" s="360" t="s">
        <v>1589</v>
      </c>
      <c r="AK507" s="360"/>
      <c r="AL507" s="360" t="s">
        <v>5878</v>
      </c>
      <c r="AM507" s="360"/>
      <c r="AN507" s="360"/>
      <c r="AO507" s="360"/>
      <c r="AP507" s="360"/>
      <c r="AQ507" s="360"/>
      <c r="AR507" s="360"/>
      <c r="AS507" s="360"/>
      <c r="AT507" s="360"/>
      <c r="AU507" s="360" t="s">
        <v>22</v>
      </c>
      <c r="AV507" s="360"/>
      <c r="AW507" s="264"/>
      <c r="AX507" s="264"/>
      <c r="AY507" s="264"/>
      <c r="AZ507" s="264"/>
      <c r="BA507" s="264"/>
      <c r="BB507" s="264"/>
      <c r="BC507" s="264"/>
      <c r="BD507" s="264"/>
      <c r="BE507" s="264"/>
    </row>
    <row r="508">
      <c r="A508" s="264"/>
      <c r="B508" s="264"/>
      <c r="C508" s="264"/>
      <c r="D508" s="264"/>
      <c r="E508" s="264"/>
      <c r="F508" s="264"/>
      <c r="G508" s="264"/>
      <c r="H508" s="264"/>
      <c r="I508" s="264"/>
      <c r="J508" s="264"/>
      <c r="K508" s="264"/>
      <c r="L508" s="264"/>
      <c r="M508" s="264" t="s">
        <v>22</v>
      </c>
      <c r="N508" s="264"/>
      <c r="O508" s="264" t="s">
        <v>22</v>
      </c>
      <c r="P508" s="264"/>
      <c r="Q508" s="264"/>
      <c r="R508" s="264"/>
      <c r="S508" s="264"/>
      <c r="T508" s="264"/>
      <c r="U508" s="360"/>
      <c r="V508" s="360"/>
      <c r="W508" s="360"/>
      <c r="X508" s="360"/>
      <c r="Y508" s="360"/>
      <c r="Z508" s="360"/>
      <c r="AA508" s="360"/>
      <c r="AB508" s="360"/>
      <c r="AC508" s="360"/>
      <c r="AD508" s="360"/>
      <c r="AE508" s="360"/>
      <c r="AF508" s="360"/>
      <c r="AG508" s="360" t="s">
        <v>1582</v>
      </c>
      <c r="AH508" s="360"/>
      <c r="AI508" s="360"/>
      <c r="AJ508" s="360" t="s">
        <v>1589</v>
      </c>
      <c r="AK508" s="360"/>
      <c r="AL508" s="360" t="s">
        <v>5878</v>
      </c>
      <c r="AM508" s="360"/>
      <c r="AN508" s="360"/>
      <c r="AO508" s="360"/>
      <c r="AP508" s="360"/>
      <c r="AQ508" s="360"/>
      <c r="AR508" s="360"/>
      <c r="AS508" s="360"/>
      <c r="AT508" s="360"/>
      <c r="AU508" s="360" t="s">
        <v>22</v>
      </c>
      <c r="AV508" s="360"/>
      <c r="AW508" s="264"/>
      <c r="AX508" s="264"/>
      <c r="AY508" s="264"/>
      <c r="AZ508" s="264"/>
      <c r="BA508" s="264"/>
      <c r="BB508" s="264"/>
      <c r="BC508" s="264"/>
      <c r="BD508" s="264"/>
      <c r="BE508" s="264"/>
    </row>
    <row r="509">
      <c r="A509" s="264"/>
      <c r="B509" s="264"/>
      <c r="C509" s="264"/>
      <c r="D509" s="264"/>
      <c r="E509" s="264"/>
      <c r="F509" s="264"/>
      <c r="G509" s="264"/>
      <c r="H509" s="264"/>
      <c r="I509" s="264"/>
      <c r="J509" s="264"/>
      <c r="K509" s="264"/>
      <c r="L509" s="264"/>
      <c r="M509" s="264" t="s">
        <v>22</v>
      </c>
      <c r="N509" s="264"/>
      <c r="O509" s="264" t="s">
        <v>22</v>
      </c>
      <c r="P509" s="264"/>
      <c r="Q509" s="264"/>
      <c r="R509" s="264"/>
      <c r="S509" s="264"/>
      <c r="T509" s="264"/>
      <c r="U509" s="360"/>
      <c r="V509" s="360"/>
      <c r="W509" s="360"/>
      <c r="X509" s="360"/>
      <c r="Y509" s="360"/>
      <c r="Z509" s="360"/>
      <c r="AA509" s="360"/>
      <c r="AB509" s="360"/>
      <c r="AC509" s="360"/>
      <c r="AD509" s="360"/>
      <c r="AE509" s="360"/>
      <c r="AF509" s="360"/>
      <c r="AG509" s="360" t="s">
        <v>1582</v>
      </c>
      <c r="AH509" s="360"/>
      <c r="AI509" s="360"/>
      <c r="AJ509" s="360" t="s">
        <v>1589</v>
      </c>
      <c r="AK509" s="360"/>
      <c r="AL509" s="360" t="s">
        <v>5878</v>
      </c>
      <c r="AM509" s="360"/>
      <c r="AN509" s="360"/>
      <c r="AO509" s="360"/>
      <c r="AP509" s="360"/>
      <c r="AQ509" s="360"/>
      <c r="AR509" s="360"/>
      <c r="AS509" s="360"/>
      <c r="AT509" s="360"/>
      <c r="AU509" s="360" t="s">
        <v>22</v>
      </c>
      <c r="AV509" s="360"/>
      <c r="AW509" s="264"/>
      <c r="AX509" s="264"/>
      <c r="AY509" s="264"/>
      <c r="AZ509" s="264"/>
      <c r="BA509" s="264"/>
      <c r="BB509" s="264"/>
      <c r="BC509" s="264"/>
      <c r="BD509" s="264"/>
      <c r="BE509" s="264"/>
    </row>
    <row r="510">
      <c r="A510" s="264"/>
      <c r="B510" s="264"/>
      <c r="C510" s="264"/>
      <c r="D510" s="264"/>
      <c r="E510" s="264"/>
      <c r="F510" s="264"/>
      <c r="G510" s="264"/>
      <c r="H510" s="264"/>
      <c r="I510" s="264"/>
      <c r="J510" s="264"/>
      <c r="K510" s="264"/>
      <c r="L510" s="264"/>
      <c r="M510" s="264" t="s">
        <v>22</v>
      </c>
      <c r="N510" s="264"/>
      <c r="O510" s="264" t="s">
        <v>22</v>
      </c>
      <c r="P510" s="264"/>
      <c r="Q510" s="264"/>
      <c r="R510" s="264"/>
      <c r="S510" s="264"/>
      <c r="T510" s="264"/>
      <c r="U510" s="360"/>
      <c r="V510" s="360"/>
      <c r="W510" s="360"/>
      <c r="X510" s="360"/>
      <c r="Y510" s="360"/>
      <c r="Z510" s="360"/>
      <c r="AA510" s="360"/>
      <c r="AB510" s="360"/>
      <c r="AC510" s="360"/>
      <c r="AD510" s="360"/>
      <c r="AE510" s="360"/>
      <c r="AF510" s="360"/>
      <c r="AG510" s="360" t="s">
        <v>1582</v>
      </c>
      <c r="AH510" s="360"/>
      <c r="AI510" s="360"/>
      <c r="AJ510" s="360" t="s">
        <v>1589</v>
      </c>
      <c r="AK510" s="360"/>
      <c r="AL510" s="360" t="s">
        <v>5878</v>
      </c>
      <c r="AM510" s="360"/>
      <c r="AN510" s="360"/>
      <c r="AO510" s="360"/>
      <c r="AP510" s="360"/>
      <c r="AQ510" s="360"/>
      <c r="AR510" s="360"/>
      <c r="AS510" s="360"/>
      <c r="AT510" s="360"/>
      <c r="AU510" s="360" t="s">
        <v>22</v>
      </c>
      <c r="AV510" s="360"/>
      <c r="AW510" s="264"/>
      <c r="AX510" s="264"/>
      <c r="AY510" s="264"/>
      <c r="AZ510" s="264"/>
      <c r="BA510" s="264"/>
      <c r="BB510" s="264"/>
      <c r="BC510" s="264"/>
      <c r="BD510" s="264"/>
      <c r="BE510" s="264"/>
    </row>
    <row r="511">
      <c r="A511" s="264"/>
      <c r="B511" s="264"/>
      <c r="C511" s="264"/>
      <c r="D511" s="264"/>
      <c r="E511" s="264"/>
      <c r="F511" s="264"/>
      <c r="G511" s="264"/>
      <c r="H511" s="264"/>
      <c r="I511" s="264"/>
      <c r="J511" s="264"/>
      <c r="K511" s="264"/>
      <c r="L511" s="264"/>
      <c r="M511" s="264" t="s">
        <v>22</v>
      </c>
      <c r="N511" s="264"/>
      <c r="O511" s="264" t="s">
        <v>22</v>
      </c>
      <c r="P511" s="264"/>
      <c r="Q511" s="264"/>
      <c r="R511" s="264"/>
      <c r="S511" s="264"/>
      <c r="T511" s="264"/>
      <c r="U511" s="360"/>
      <c r="V511" s="360"/>
      <c r="W511" s="360"/>
      <c r="X511" s="360"/>
      <c r="Y511" s="360"/>
      <c r="Z511" s="360"/>
      <c r="AA511" s="360"/>
      <c r="AB511" s="360"/>
      <c r="AC511" s="360"/>
      <c r="AD511" s="360"/>
      <c r="AE511" s="360"/>
      <c r="AF511" s="360"/>
      <c r="AG511" s="360" t="s">
        <v>1582</v>
      </c>
      <c r="AH511" s="360"/>
      <c r="AI511" s="360"/>
      <c r="AJ511" s="360" t="s">
        <v>1589</v>
      </c>
      <c r="AK511" s="360"/>
      <c r="AL511" s="360" t="s">
        <v>5878</v>
      </c>
      <c r="AM511" s="360"/>
      <c r="AN511" s="360"/>
      <c r="AO511" s="360"/>
      <c r="AP511" s="360"/>
      <c r="AQ511" s="360"/>
      <c r="AR511" s="360"/>
      <c r="AS511" s="360"/>
      <c r="AT511" s="360"/>
      <c r="AU511" s="360" t="s">
        <v>22</v>
      </c>
      <c r="AV511" s="360"/>
      <c r="AW511" s="264"/>
      <c r="AX511" s="264"/>
      <c r="AY511" s="264"/>
      <c r="AZ511" s="264"/>
      <c r="BA511" s="264"/>
      <c r="BB511" s="264"/>
      <c r="BC511" s="264"/>
      <c r="BD511" s="264"/>
      <c r="BE511" s="264"/>
    </row>
    <row r="512">
      <c r="A512" s="264"/>
      <c r="B512" s="264"/>
      <c r="C512" s="264"/>
      <c r="D512" s="264"/>
      <c r="E512" s="264"/>
      <c r="F512" s="264"/>
      <c r="G512" s="264"/>
      <c r="H512" s="264"/>
      <c r="I512" s="264"/>
      <c r="J512" s="264"/>
      <c r="K512" s="264"/>
      <c r="L512" s="264"/>
      <c r="M512" s="264" t="s">
        <v>22</v>
      </c>
      <c r="N512" s="264"/>
      <c r="O512" s="264" t="s">
        <v>22</v>
      </c>
      <c r="P512" s="264"/>
      <c r="Q512" s="264"/>
      <c r="R512" s="264"/>
      <c r="S512" s="264"/>
      <c r="T512" s="264"/>
      <c r="U512" s="360"/>
      <c r="V512" s="360"/>
      <c r="W512" s="360"/>
      <c r="X512" s="360"/>
      <c r="Y512" s="360"/>
      <c r="Z512" s="360"/>
      <c r="AA512" s="360"/>
      <c r="AB512" s="360"/>
      <c r="AC512" s="360"/>
      <c r="AD512" s="360"/>
      <c r="AE512" s="360"/>
      <c r="AF512" s="360"/>
      <c r="AG512" s="360" t="s">
        <v>1582</v>
      </c>
      <c r="AH512" s="360"/>
      <c r="AI512" s="360"/>
      <c r="AJ512" s="360" t="s">
        <v>1589</v>
      </c>
      <c r="AK512" s="360"/>
      <c r="AL512" s="360" t="s">
        <v>5878</v>
      </c>
      <c r="AM512" s="360"/>
      <c r="AN512" s="360"/>
      <c r="AO512" s="360"/>
      <c r="AP512" s="360"/>
      <c r="AQ512" s="360"/>
      <c r="AR512" s="360"/>
      <c r="AS512" s="360"/>
      <c r="AT512" s="360"/>
      <c r="AU512" s="360" t="s">
        <v>22</v>
      </c>
      <c r="AV512" s="360"/>
      <c r="AW512" s="264"/>
      <c r="AX512" s="264"/>
      <c r="AY512" s="264"/>
      <c r="AZ512" s="264"/>
      <c r="BA512" s="264"/>
      <c r="BB512" s="264"/>
      <c r="BC512" s="264"/>
      <c r="BD512" s="264"/>
      <c r="BE512" s="264"/>
    </row>
    <row r="513">
      <c r="A513" s="264"/>
      <c r="B513" s="264"/>
      <c r="C513" s="264"/>
      <c r="D513" s="264"/>
      <c r="E513" s="264"/>
      <c r="F513" s="264"/>
      <c r="G513" s="264"/>
      <c r="H513" s="264"/>
      <c r="I513" s="264"/>
      <c r="J513" s="264"/>
      <c r="K513" s="264"/>
      <c r="L513" s="264"/>
      <c r="M513" s="264" t="s">
        <v>22</v>
      </c>
      <c r="N513" s="264"/>
      <c r="O513" s="264" t="s">
        <v>22</v>
      </c>
      <c r="P513" s="264"/>
      <c r="Q513" s="264"/>
      <c r="R513" s="264"/>
      <c r="S513" s="264"/>
      <c r="T513" s="264"/>
      <c r="U513" s="360"/>
      <c r="V513" s="360"/>
      <c r="W513" s="360"/>
      <c r="X513" s="360"/>
      <c r="Y513" s="360"/>
      <c r="Z513" s="360"/>
      <c r="AA513" s="360"/>
      <c r="AB513" s="360"/>
      <c r="AC513" s="360"/>
      <c r="AD513" s="360"/>
      <c r="AE513" s="360"/>
      <c r="AF513" s="360"/>
      <c r="AG513" s="360" t="s">
        <v>1582</v>
      </c>
      <c r="AH513" s="360"/>
      <c r="AI513" s="360"/>
      <c r="AJ513" s="360" t="s">
        <v>1589</v>
      </c>
      <c r="AK513" s="360"/>
      <c r="AL513" s="360" t="s">
        <v>5878</v>
      </c>
      <c r="AM513" s="360"/>
      <c r="AN513" s="360"/>
      <c r="AO513" s="360"/>
      <c r="AP513" s="360"/>
      <c r="AQ513" s="360"/>
      <c r="AR513" s="360"/>
      <c r="AS513" s="360"/>
      <c r="AT513" s="360"/>
      <c r="AU513" s="360" t="s">
        <v>22</v>
      </c>
      <c r="AV513" s="360"/>
      <c r="AW513" s="264"/>
      <c r="AX513" s="264"/>
      <c r="AY513" s="264"/>
      <c r="AZ513" s="264"/>
      <c r="BA513" s="264"/>
      <c r="BB513" s="264"/>
      <c r="BC513" s="264"/>
      <c r="BD513" s="264"/>
      <c r="BE513" s="264"/>
    </row>
    <row r="514">
      <c r="A514" s="264"/>
      <c r="B514" s="264"/>
      <c r="C514" s="264"/>
      <c r="D514" s="264"/>
      <c r="E514" s="264"/>
      <c r="F514" s="264"/>
      <c r="G514" s="264"/>
      <c r="H514" s="264"/>
      <c r="I514" s="264"/>
      <c r="J514" s="264"/>
      <c r="K514" s="264"/>
      <c r="L514" s="264"/>
      <c r="M514" s="264" t="s">
        <v>22</v>
      </c>
      <c r="N514" s="264"/>
      <c r="O514" s="264" t="s">
        <v>22</v>
      </c>
      <c r="P514" s="264"/>
      <c r="Q514" s="264"/>
      <c r="R514" s="264"/>
      <c r="S514" s="264"/>
      <c r="T514" s="264"/>
      <c r="U514" s="360"/>
      <c r="V514" s="360"/>
      <c r="W514" s="360"/>
      <c r="X514" s="360"/>
      <c r="Y514" s="360"/>
      <c r="Z514" s="360"/>
      <c r="AA514" s="360"/>
      <c r="AB514" s="360"/>
      <c r="AC514" s="360"/>
      <c r="AD514" s="360"/>
      <c r="AE514" s="360"/>
      <c r="AF514" s="360"/>
      <c r="AG514" s="360" t="s">
        <v>1582</v>
      </c>
      <c r="AH514" s="360"/>
      <c r="AI514" s="360"/>
      <c r="AJ514" s="360" t="s">
        <v>1589</v>
      </c>
      <c r="AK514" s="360"/>
      <c r="AL514" s="360" t="s">
        <v>5878</v>
      </c>
      <c r="AM514" s="360"/>
      <c r="AN514" s="360"/>
      <c r="AO514" s="360"/>
      <c r="AP514" s="360"/>
      <c r="AQ514" s="360"/>
      <c r="AR514" s="360"/>
      <c r="AS514" s="360"/>
      <c r="AT514" s="360"/>
      <c r="AU514" s="360" t="s">
        <v>22</v>
      </c>
      <c r="AV514" s="360"/>
      <c r="AW514" s="264"/>
      <c r="AX514" s="264"/>
      <c r="AY514" s="264"/>
      <c r="AZ514" s="264"/>
      <c r="BA514" s="264"/>
      <c r="BB514" s="264"/>
      <c r="BC514" s="264"/>
      <c r="BD514" s="264"/>
      <c r="BE514" s="264"/>
    </row>
    <row r="515">
      <c r="A515" s="264"/>
      <c r="B515" s="264"/>
      <c r="C515" s="264"/>
      <c r="D515" s="264"/>
      <c r="E515" s="264"/>
      <c r="F515" s="264"/>
      <c r="G515" s="264"/>
      <c r="H515" s="264"/>
      <c r="I515" s="264"/>
      <c r="J515" s="264"/>
      <c r="K515" s="264"/>
      <c r="L515" s="264"/>
      <c r="M515" s="264" t="s">
        <v>22</v>
      </c>
      <c r="N515" s="264"/>
      <c r="O515" s="264" t="s">
        <v>22</v>
      </c>
      <c r="P515" s="264"/>
      <c r="Q515" s="264"/>
      <c r="R515" s="264"/>
      <c r="S515" s="264"/>
      <c r="T515" s="264"/>
      <c r="U515" s="360"/>
      <c r="V515" s="360"/>
      <c r="W515" s="360"/>
      <c r="X515" s="360"/>
      <c r="Y515" s="360"/>
      <c r="Z515" s="360"/>
      <c r="AA515" s="360"/>
      <c r="AB515" s="360"/>
      <c r="AC515" s="360"/>
      <c r="AD515" s="360"/>
      <c r="AE515" s="360"/>
      <c r="AF515" s="360"/>
      <c r="AG515" s="360" t="s">
        <v>1582</v>
      </c>
      <c r="AH515" s="360"/>
      <c r="AI515" s="360"/>
      <c r="AJ515" s="360" t="s">
        <v>1589</v>
      </c>
      <c r="AK515" s="360"/>
      <c r="AL515" s="360" t="s">
        <v>5878</v>
      </c>
      <c r="AM515" s="360"/>
      <c r="AN515" s="360"/>
      <c r="AO515" s="360"/>
      <c r="AP515" s="360"/>
      <c r="AQ515" s="360"/>
      <c r="AR515" s="360"/>
      <c r="AS515" s="360"/>
      <c r="AT515" s="360"/>
      <c r="AU515" s="360" t="s">
        <v>22</v>
      </c>
      <c r="AV515" s="360"/>
      <c r="AW515" s="264"/>
      <c r="AX515" s="264"/>
      <c r="AY515" s="264"/>
      <c r="AZ515" s="264"/>
      <c r="BA515" s="264"/>
      <c r="BB515" s="264"/>
      <c r="BC515" s="264"/>
      <c r="BD515" s="264"/>
      <c r="BE515" s="264"/>
    </row>
    <row r="516">
      <c r="A516" s="264"/>
      <c r="B516" s="264"/>
      <c r="C516" s="264"/>
      <c r="D516" s="264"/>
      <c r="E516" s="264"/>
      <c r="F516" s="264"/>
      <c r="G516" s="264"/>
      <c r="H516" s="264"/>
      <c r="I516" s="264"/>
      <c r="J516" s="264"/>
      <c r="K516" s="264"/>
      <c r="L516" s="264"/>
      <c r="M516" s="264" t="s">
        <v>22</v>
      </c>
      <c r="N516" s="264"/>
      <c r="O516" s="264" t="s">
        <v>22</v>
      </c>
      <c r="P516" s="264"/>
      <c r="Q516" s="264"/>
      <c r="R516" s="264"/>
      <c r="S516" s="264"/>
      <c r="T516" s="264"/>
      <c r="U516" s="360"/>
      <c r="V516" s="360"/>
      <c r="W516" s="360"/>
      <c r="X516" s="360"/>
      <c r="Y516" s="360"/>
      <c r="Z516" s="360"/>
      <c r="AA516" s="360"/>
      <c r="AB516" s="360"/>
      <c r="AC516" s="360"/>
      <c r="AD516" s="360"/>
      <c r="AE516" s="360"/>
      <c r="AF516" s="360"/>
      <c r="AG516" s="360" t="s">
        <v>1582</v>
      </c>
      <c r="AH516" s="360"/>
      <c r="AI516" s="360"/>
      <c r="AJ516" s="360" t="s">
        <v>1589</v>
      </c>
      <c r="AK516" s="360"/>
      <c r="AL516" s="360" t="s">
        <v>5878</v>
      </c>
      <c r="AM516" s="360"/>
      <c r="AN516" s="360"/>
      <c r="AO516" s="360"/>
      <c r="AP516" s="360"/>
      <c r="AQ516" s="360"/>
      <c r="AR516" s="360"/>
      <c r="AS516" s="360"/>
      <c r="AT516" s="360"/>
      <c r="AU516" s="360" t="s">
        <v>22</v>
      </c>
      <c r="AV516" s="360"/>
      <c r="AW516" s="264"/>
      <c r="AX516" s="264"/>
      <c r="AY516" s="264"/>
      <c r="AZ516" s="264"/>
      <c r="BA516" s="264"/>
      <c r="BB516" s="264"/>
      <c r="BC516" s="264"/>
      <c r="BD516" s="264"/>
      <c r="BE516" s="264"/>
    </row>
    <row r="517">
      <c r="A517" s="264"/>
      <c r="B517" s="264"/>
      <c r="C517" s="264"/>
      <c r="D517" s="264"/>
      <c r="E517" s="264"/>
      <c r="F517" s="264"/>
      <c r="G517" s="264"/>
      <c r="H517" s="264"/>
      <c r="I517" s="264"/>
      <c r="J517" s="264"/>
      <c r="K517" s="264"/>
      <c r="L517" s="264"/>
      <c r="M517" s="264" t="s">
        <v>22</v>
      </c>
      <c r="N517" s="264"/>
      <c r="O517" s="264" t="s">
        <v>22</v>
      </c>
      <c r="P517" s="264"/>
      <c r="Q517" s="264"/>
      <c r="R517" s="264"/>
      <c r="S517" s="264"/>
      <c r="T517" s="264"/>
      <c r="U517" s="360"/>
      <c r="V517" s="360"/>
      <c r="W517" s="360"/>
      <c r="X517" s="360"/>
      <c r="Y517" s="360"/>
      <c r="Z517" s="360"/>
      <c r="AA517" s="360"/>
      <c r="AB517" s="360"/>
      <c r="AC517" s="360"/>
      <c r="AD517" s="360"/>
      <c r="AE517" s="360"/>
      <c r="AF517" s="360"/>
      <c r="AG517" s="360" t="s">
        <v>1582</v>
      </c>
      <c r="AH517" s="360"/>
      <c r="AI517" s="360"/>
      <c r="AJ517" s="360" t="s">
        <v>1589</v>
      </c>
      <c r="AK517" s="360"/>
      <c r="AL517" s="360" t="s">
        <v>5878</v>
      </c>
      <c r="AM517" s="360"/>
      <c r="AN517" s="360"/>
      <c r="AO517" s="360"/>
      <c r="AP517" s="360"/>
      <c r="AQ517" s="360"/>
      <c r="AR517" s="360"/>
      <c r="AS517" s="360"/>
      <c r="AT517" s="360"/>
      <c r="AU517" s="360" t="s">
        <v>22</v>
      </c>
      <c r="AV517" s="360"/>
      <c r="AW517" s="264"/>
      <c r="AX517" s="264"/>
      <c r="AY517" s="264"/>
      <c r="AZ517" s="264"/>
      <c r="BA517" s="264"/>
      <c r="BB517" s="264"/>
      <c r="BC517" s="264"/>
      <c r="BD517" s="264"/>
      <c r="BE517" s="264"/>
    </row>
    <row r="518">
      <c r="A518" s="264"/>
      <c r="B518" s="264"/>
      <c r="C518" s="264"/>
      <c r="D518" s="264"/>
      <c r="E518" s="264"/>
      <c r="F518" s="264"/>
      <c r="G518" s="264"/>
      <c r="H518" s="264"/>
      <c r="I518" s="264"/>
      <c r="J518" s="264"/>
      <c r="K518" s="264"/>
      <c r="L518" s="264"/>
      <c r="M518" s="264" t="s">
        <v>22</v>
      </c>
      <c r="N518" s="264"/>
      <c r="O518" s="264" t="s">
        <v>22</v>
      </c>
      <c r="P518" s="264"/>
      <c r="Q518" s="264"/>
      <c r="R518" s="264"/>
      <c r="S518" s="264"/>
      <c r="T518" s="264"/>
      <c r="U518" s="360"/>
      <c r="V518" s="360"/>
      <c r="W518" s="360"/>
      <c r="X518" s="360"/>
      <c r="Y518" s="360"/>
      <c r="Z518" s="360"/>
      <c r="AA518" s="360"/>
      <c r="AB518" s="360"/>
      <c r="AC518" s="360"/>
      <c r="AD518" s="360"/>
      <c r="AE518" s="360"/>
      <c r="AF518" s="360"/>
      <c r="AG518" s="360" t="s">
        <v>1582</v>
      </c>
      <c r="AH518" s="360"/>
      <c r="AI518" s="360"/>
      <c r="AJ518" s="360" t="s">
        <v>1589</v>
      </c>
      <c r="AK518" s="360"/>
      <c r="AL518" s="360" t="s">
        <v>5878</v>
      </c>
      <c r="AM518" s="360"/>
      <c r="AN518" s="360"/>
      <c r="AO518" s="360"/>
      <c r="AP518" s="360"/>
      <c r="AQ518" s="360"/>
      <c r="AR518" s="360"/>
      <c r="AS518" s="360"/>
      <c r="AT518" s="360"/>
      <c r="AU518" s="360" t="s">
        <v>22</v>
      </c>
      <c r="AV518" s="360"/>
      <c r="AW518" s="264"/>
      <c r="AX518" s="264"/>
      <c r="AY518" s="264"/>
      <c r="AZ518" s="264"/>
      <c r="BA518" s="264"/>
      <c r="BB518" s="264"/>
      <c r="BC518" s="264"/>
      <c r="BD518" s="264"/>
      <c r="BE518" s="264"/>
    </row>
    <row r="519">
      <c r="A519" s="264"/>
      <c r="B519" s="264"/>
      <c r="C519" s="264"/>
      <c r="D519" s="264"/>
      <c r="E519" s="264"/>
      <c r="F519" s="264"/>
      <c r="G519" s="264"/>
      <c r="H519" s="264"/>
      <c r="I519" s="264"/>
      <c r="J519" s="264"/>
      <c r="K519" s="264"/>
      <c r="L519" s="264"/>
      <c r="M519" s="264" t="s">
        <v>22</v>
      </c>
      <c r="N519" s="264"/>
      <c r="O519" s="264" t="s">
        <v>22</v>
      </c>
      <c r="P519" s="264"/>
      <c r="Q519" s="264"/>
      <c r="R519" s="264"/>
      <c r="S519" s="264"/>
      <c r="T519" s="264"/>
      <c r="U519" s="360"/>
      <c r="V519" s="360"/>
      <c r="W519" s="360"/>
      <c r="X519" s="360"/>
      <c r="Y519" s="360"/>
      <c r="Z519" s="360"/>
      <c r="AA519" s="360"/>
      <c r="AB519" s="360"/>
      <c r="AC519" s="360"/>
      <c r="AD519" s="360"/>
      <c r="AE519" s="360"/>
      <c r="AF519" s="360"/>
      <c r="AG519" s="360" t="s">
        <v>1582</v>
      </c>
      <c r="AH519" s="360"/>
      <c r="AI519" s="360"/>
      <c r="AJ519" s="360" t="s">
        <v>1589</v>
      </c>
      <c r="AK519" s="360"/>
      <c r="AL519" s="360" t="s">
        <v>5878</v>
      </c>
      <c r="AM519" s="360"/>
      <c r="AN519" s="360"/>
      <c r="AO519" s="360"/>
      <c r="AP519" s="360"/>
      <c r="AQ519" s="360"/>
      <c r="AR519" s="360"/>
      <c r="AS519" s="360"/>
      <c r="AT519" s="360"/>
      <c r="AU519" s="360" t="s">
        <v>22</v>
      </c>
      <c r="AV519" s="360"/>
      <c r="AW519" s="264"/>
      <c r="AX519" s="264"/>
      <c r="AY519" s="264"/>
      <c r="AZ519" s="264"/>
      <c r="BA519" s="264"/>
      <c r="BB519" s="264"/>
      <c r="BC519" s="264"/>
      <c r="BD519" s="264"/>
      <c r="BE519" s="264"/>
    </row>
    <row r="520">
      <c r="A520" s="264"/>
      <c r="B520" s="264"/>
      <c r="C520" s="264"/>
      <c r="D520" s="264"/>
      <c r="E520" s="264"/>
      <c r="F520" s="264"/>
      <c r="G520" s="264"/>
      <c r="H520" s="264"/>
      <c r="I520" s="264"/>
      <c r="J520" s="264"/>
      <c r="K520" s="264"/>
      <c r="L520" s="264"/>
      <c r="M520" s="264" t="s">
        <v>22</v>
      </c>
      <c r="N520" s="264"/>
      <c r="O520" s="264" t="s">
        <v>22</v>
      </c>
      <c r="P520" s="264"/>
      <c r="Q520" s="264"/>
      <c r="R520" s="264"/>
      <c r="S520" s="264"/>
      <c r="T520" s="264"/>
      <c r="U520" s="360"/>
      <c r="V520" s="360"/>
      <c r="W520" s="360"/>
      <c r="X520" s="360"/>
      <c r="Y520" s="360"/>
      <c r="Z520" s="360"/>
      <c r="AA520" s="360"/>
      <c r="AB520" s="360"/>
      <c r="AC520" s="360"/>
      <c r="AD520" s="360"/>
      <c r="AE520" s="360"/>
      <c r="AF520" s="360"/>
      <c r="AG520" s="360" t="s">
        <v>1582</v>
      </c>
      <c r="AH520" s="360"/>
      <c r="AI520" s="360"/>
      <c r="AJ520" s="360" t="s">
        <v>1589</v>
      </c>
      <c r="AK520" s="360"/>
      <c r="AL520" s="360" t="s">
        <v>5878</v>
      </c>
      <c r="AM520" s="360"/>
      <c r="AN520" s="360"/>
      <c r="AO520" s="360"/>
      <c r="AP520" s="360"/>
      <c r="AQ520" s="360"/>
      <c r="AR520" s="360"/>
      <c r="AS520" s="360"/>
      <c r="AT520" s="360"/>
      <c r="AU520" s="360" t="s">
        <v>22</v>
      </c>
      <c r="AV520" s="360"/>
      <c r="AW520" s="264"/>
      <c r="AX520" s="264"/>
      <c r="AY520" s="264"/>
      <c r="AZ520" s="264"/>
      <c r="BA520" s="264"/>
      <c r="BB520" s="264"/>
      <c r="BC520" s="264"/>
      <c r="BD520" s="264"/>
      <c r="BE520" s="264"/>
    </row>
    <row r="521">
      <c r="A521" s="264"/>
      <c r="B521" s="264"/>
      <c r="C521" s="264"/>
      <c r="D521" s="264"/>
      <c r="E521" s="264"/>
      <c r="F521" s="264"/>
      <c r="G521" s="264"/>
      <c r="H521" s="264"/>
      <c r="I521" s="264"/>
      <c r="J521" s="264"/>
      <c r="K521" s="264"/>
      <c r="L521" s="264"/>
      <c r="M521" s="264" t="s">
        <v>22</v>
      </c>
      <c r="N521" s="264"/>
      <c r="O521" s="264" t="s">
        <v>22</v>
      </c>
      <c r="P521" s="264"/>
      <c r="Q521" s="264"/>
      <c r="R521" s="264"/>
      <c r="S521" s="264"/>
      <c r="T521" s="264"/>
      <c r="U521" s="360"/>
      <c r="V521" s="360"/>
      <c r="W521" s="360"/>
      <c r="X521" s="360"/>
      <c r="Y521" s="360"/>
      <c r="Z521" s="360"/>
      <c r="AA521" s="360"/>
      <c r="AB521" s="360"/>
      <c r="AC521" s="360"/>
      <c r="AD521" s="360"/>
      <c r="AE521" s="360"/>
      <c r="AF521" s="360"/>
      <c r="AG521" s="360" t="s">
        <v>1582</v>
      </c>
      <c r="AH521" s="360"/>
      <c r="AI521" s="360"/>
      <c r="AJ521" s="360" t="s">
        <v>1589</v>
      </c>
      <c r="AK521" s="360"/>
      <c r="AL521" s="360" t="s">
        <v>5878</v>
      </c>
      <c r="AM521" s="360"/>
      <c r="AN521" s="360"/>
      <c r="AO521" s="360"/>
      <c r="AP521" s="360"/>
      <c r="AQ521" s="360"/>
      <c r="AR521" s="360"/>
      <c r="AS521" s="360"/>
      <c r="AT521" s="360"/>
      <c r="AU521" s="360" t="s">
        <v>22</v>
      </c>
      <c r="AV521" s="360"/>
      <c r="AW521" s="264"/>
      <c r="AX521" s="264"/>
      <c r="AY521" s="264"/>
      <c r="AZ521" s="264"/>
      <c r="BA521" s="264"/>
      <c r="BB521" s="264"/>
      <c r="BC521" s="264"/>
      <c r="BD521" s="264"/>
      <c r="BE521" s="264"/>
    </row>
    <row r="522">
      <c r="A522" s="264"/>
      <c r="B522" s="264"/>
      <c r="C522" s="264"/>
      <c r="D522" s="264"/>
      <c r="E522" s="264"/>
      <c r="F522" s="264"/>
      <c r="G522" s="264"/>
      <c r="H522" s="264"/>
      <c r="I522" s="264"/>
      <c r="J522" s="264"/>
      <c r="K522" s="264"/>
      <c r="L522" s="264"/>
      <c r="M522" s="264" t="s">
        <v>22</v>
      </c>
      <c r="N522" s="264"/>
      <c r="O522" s="264" t="s">
        <v>22</v>
      </c>
      <c r="P522" s="264"/>
      <c r="Q522" s="264"/>
      <c r="R522" s="264"/>
      <c r="S522" s="264"/>
      <c r="T522" s="264"/>
      <c r="U522" s="360"/>
      <c r="V522" s="360"/>
      <c r="W522" s="360"/>
      <c r="X522" s="360"/>
      <c r="Y522" s="360"/>
      <c r="Z522" s="360"/>
      <c r="AA522" s="360"/>
      <c r="AB522" s="360"/>
      <c r="AC522" s="360"/>
      <c r="AD522" s="360"/>
      <c r="AE522" s="360"/>
      <c r="AF522" s="360"/>
      <c r="AG522" s="360" t="s">
        <v>1582</v>
      </c>
      <c r="AH522" s="360"/>
      <c r="AI522" s="360"/>
      <c r="AJ522" s="360" t="s">
        <v>1589</v>
      </c>
      <c r="AK522" s="360"/>
      <c r="AL522" s="360" t="s">
        <v>5878</v>
      </c>
      <c r="AM522" s="360"/>
      <c r="AN522" s="360"/>
      <c r="AO522" s="360"/>
      <c r="AP522" s="360"/>
      <c r="AQ522" s="360"/>
      <c r="AR522" s="360"/>
      <c r="AS522" s="360"/>
      <c r="AT522" s="360"/>
      <c r="AU522" s="360" t="s">
        <v>22</v>
      </c>
      <c r="AV522" s="360"/>
      <c r="AW522" s="264"/>
      <c r="AX522" s="264"/>
      <c r="AY522" s="264"/>
      <c r="AZ522" s="264"/>
      <c r="BA522" s="264"/>
      <c r="BB522" s="264"/>
      <c r="BC522" s="264"/>
      <c r="BD522" s="264"/>
      <c r="BE522" s="264"/>
    </row>
    <row r="523">
      <c r="A523" s="264"/>
      <c r="B523" s="264"/>
      <c r="C523" s="264"/>
      <c r="D523" s="264"/>
      <c r="E523" s="264"/>
      <c r="F523" s="264"/>
      <c r="G523" s="264"/>
      <c r="H523" s="264"/>
      <c r="I523" s="264"/>
      <c r="J523" s="264"/>
      <c r="K523" s="264"/>
      <c r="L523" s="264"/>
      <c r="M523" s="264" t="s">
        <v>22</v>
      </c>
      <c r="N523" s="264"/>
      <c r="O523" s="264" t="s">
        <v>22</v>
      </c>
      <c r="P523" s="264"/>
      <c r="Q523" s="264"/>
      <c r="R523" s="264"/>
      <c r="S523" s="264"/>
      <c r="T523" s="264"/>
      <c r="U523" s="360"/>
      <c r="V523" s="360"/>
      <c r="W523" s="360"/>
      <c r="X523" s="360"/>
      <c r="Y523" s="360"/>
      <c r="Z523" s="360"/>
      <c r="AA523" s="360"/>
      <c r="AB523" s="360"/>
      <c r="AC523" s="360"/>
      <c r="AD523" s="360"/>
      <c r="AE523" s="360"/>
      <c r="AF523" s="360"/>
      <c r="AG523" s="360" t="s">
        <v>1582</v>
      </c>
      <c r="AH523" s="360"/>
      <c r="AI523" s="360"/>
      <c r="AJ523" s="360" t="s">
        <v>1589</v>
      </c>
      <c r="AK523" s="360"/>
      <c r="AL523" s="360" t="s">
        <v>5878</v>
      </c>
      <c r="AM523" s="360"/>
      <c r="AN523" s="360"/>
      <c r="AO523" s="360"/>
      <c r="AP523" s="360"/>
      <c r="AQ523" s="360"/>
      <c r="AR523" s="360"/>
      <c r="AS523" s="360"/>
      <c r="AT523" s="360"/>
      <c r="AU523" s="360" t="s">
        <v>22</v>
      </c>
      <c r="AV523" s="360"/>
      <c r="AW523" s="264"/>
      <c r="AX523" s="264"/>
      <c r="AY523" s="264"/>
      <c r="AZ523" s="264"/>
      <c r="BA523" s="264"/>
      <c r="BB523" s="264"/>
      <c r="BC523" s="264"/>
      <c r="BD523" s="264"/>
      <c r="BE523" s="264"/>
    </row>
    <row r="524">
      <c r="A524" s="264"/>
      <c r="B524" s="264"/>
      <c r="C524" s="264"/>
      <c r="D524" s="264"/>
      <c r="E524" s="264"/>
      <c r="F524" s="264"/>
      <c r="G524" s="264"/>
      <c r="H524" s="264"/>
      <c r="I524" s="264"/>
      <c r="J524" s="264"/>
      <c r="K524" s="264"/>
      <c r="L524" s="264"/>
      <c r="M524" s="264" t="s">
        <v>22</v>
      </c>
      <c r="N524" s="264"/>
      <c r="O524" s="264" t="s">
        <v>22</v>
      </c>
      <c r="P524" s="264"/>
      <c r="Q524" s="264"/>
      <c r="R524" s="264"/>
      <c r="S524" s="264"/>
      <c r="T524" s="264"/>
      <c r="U524" s="360"/>
      <c r="V524" s="360"/>
      <c r="W524" s="360"/>
      <c r="X524" s="360"/>
      <c r="Y524" s="360"/>
      <c r="Z524" s="360"/>
      <c r="AA524" s="360"/>
      <c r="AB524" s="360"/>
      <c r="AC524" s="360"/>
      <c r="AD524" s="360"/>
      <c r="AE524" s="360"/>
      <c r="AF524" s="360"/>
      <c r="AG524" s="360" t="s">
        <v>1582</v>
      </c>
      <c r="AH524" s="360"/>
      <c r="AI524" s="360"/>
      <c r="AJ524" s="360" t="s">
        <v>1589</v>
      </c>
      <c r="AK524" s="360"/>
      <c r="AL524" s="360" t="s">
        <v>5878</v>
      </c>
      <c r="AM524" s="360"/>
      <c r="AN524" s="360"/>
      <c r="AO524" s="360"/>
      <c r="AP524" s="360"/>
      <c r="AQ524" s="360"/>
      <c r="AR524" s="360"/>
      <c r="AS524" s="360"/>
      <c r="AT524" s="360"/>
      <c r="AU524" s="360" t="s">
        <v>22</v>
      </c>
      <c r="AV524" s="360"/>
      <c r="AW524" s="264"/>
      <c r="AX524" s="264"/>
      <c r="AY524" s="264"/>
      <c r="AZ524" s="264"/>
      <c r="BA524" s="264"/>
      <c r="BB524" s="264"/>
      <c r="BC524" s="264"/>
      <c r="BD524" s="264"/>
      <c r="BE524" s="264"/>
    </row>
    <row r="525">
      <c r="A525" s="264"/>
      <c r="B525" s="264"/>
      <c r="C525" s="264"/>
      <c r="D525" s="264"/>
      <c r="E525" s="264"/>
      <c r="F525" s="264"/>
      <c r="G525" s="264"/>
      <c r="H525" s="264"/>
      <c r="I525" s="264"/>
      <c r="J525" s="264"/>
      <c r="K525" s="264"/>
      <c r="L525" s="264"/>
      <c r="M525" s="264" t="s">
        <v>22</v>
      </c>
      <c r="N525" s="264"/>
      <c r="O525" s="264" t="s">
        <v>22</v>
      </c>
      <c r="P525" s="264"/>
      <c r="Q525" s="264"/>
      <c r="R525" s="264"/>
      <c r="S525" s="264"/>
      <c r="T525" s="264"/>
      <c r="U525" s="360"/>
      <c r="V525" s="360"/>
      <c r="W525" s="360"/>
      <c r="X525" s="360"/>
      <c r="Y525" s="360"/>
      <c r="Z525" s="360"/>
      <c r="AA525" s="360"/>
      <c r="AB525" s="360"/>
      <c r="AC525" s="360"/>
      <c r="AD525" s="360"/>
      <c r="AE525" s="360"/>
      <c r="AF525" s="360"/>
      <c r="AG525" s="360" t="s">
        <v>1582</v>
      </c>
      <c r="AH525" s="360"/>
      <c r="AI525" s="360"/>
      <c r="AJ525" s="360" t="s">
        <v>1589</v>
      </c>
      <c r="AK525" s="360"/>
      <c r="AL525" s="360" t="s">
        <v>5878</v>
      </c>
      <c r="AM525" s="360"/>
      <c r="AN525" s="360"/>
      <c r="AO525" s="360"/>
      <c r="AP525" s="360"/>
      <c r="AQ525" s="360"/>
      <c r="AR525" s="360"/>
      <c r="AS525" s="360"/>
      <c r="AT525" s="360"/>
      <c r="AU525" s="360" t="s">
        <v>22</v>
      </c>
      <c r="AV525" s="360"/>
      <c r="AW525" s="264"/>
      <c r="AX525" s="264"/>
      <c r="AY525" s="264"/>
      <c r="AZ525" s="264"/>
      <c r="BA525" s="264"/>
      <c r="BB525" s="264"/>
      <c r="BC525" s="264"/>
      <c r="BD525" s="264"/>
      <c r="BE525" s="264"/>
    </row>
    <row r="526">
      <c r="A526" s="264"/>
      <c r="B526" s="264"/>
      <c r="C526" s="264"/>
      <c r="D526" s="264"/>
      <c r="E526" s="264"/>
      <c r="F526" s="264"/>
      <c r="G526" s="264"/>
      <c r="H526" s="264"/>
      <c r="I526" s="264"/>
      <c r="J526" s="264"/>
      <c r="K526" s="264"/>
      <c r="L526" s="264"/>
      <c r="M526" s="264" t="s">
        <v>22</v>
      </c>
      <c r="N526" s="264"/>
      <c r="O526" s="264" t="s">
        <v>22</v>
      </c>
      <c r="P526" s="264"/>
      <c r="Q526" s="264"/>
      <c r="R526" s="264"/>
      <c r="S526" s="264"/>
      <c r="T526" s="264"/>
      <c r="U526" s="360"/>
      <c r="V526" s="360"/>
      <c r="W526" s="360"/>
      <c r="X526" s="360"/>
      <c r="Y526" s="360"/>
      <c r="Z526" s="360"/>
      <c r="AA526" s="360"/>
      <c r="AB526" s="360"/>
      <c r="AC526" s="360"/>
      <c r="AD526" s="360"/>
      <c r="AE526" s="360"/>
      <c r="AF526" s="360"/>
      <c r="AG526" s="360" t="s">
        <v>1582</v>
      </c>
      <c r="AH526" s="360"/>
      <c r="AI526" s="360"/>
      <c r="AJ526" s="360" t="s">
        <v>1589</v>
      </c>
      <c r="AK526" s="360"/>
      <c r="AL526" s="360" t="s">
        <v>5878</v>
      </c>
      <c r="AM526" s="360"/>
      <c r="AN526" s="360"/>
      <c r="AO526" s="360"/>
      <c r="AP526" s="360"/>
      <c r="AQ526" s="360"/>
      <c r="AR526" s="360"/>
      <c r="AS526" s="360"/>
      <c r="AT526" s="360"/>
      <c r="AU526" s="360" t="s">
        <v>22</v>
      </c>
      <c r="AV526" s="360"/>
      <c r="AW526" s="264"/>
      <c r="AX526" s="264"/>
      <c r="AY526" s="264"/>
      <c r="AZ526" s="264"/>
      <c r="BA526" s="264"/>
      <c r="BB526" s="264"/>
      <c r="BC526" s="264"/>
      <c r="BD526" s="264"/>
      <c r="BE526" s="264"/>
    </row>
    <row r="527">
      <c r="A527" s="264"/>
      <c r="B527" s="264"/>
      <c r="C527" s="264"/>
      <c r="D527" s="264"/>
      <c r="E527" s="264"/>
      <c r="F527" s="264"/>
      <c r="G527" s="264"/>
      <c r="H527" s="264"/>
      <c r="I527" s="264"/>
      <c r="J527" s="264"/>
      <c r="K527" s="264"/>
      <c r="L527" s="264"/>
      <c r="M527" s="264" t="s">
        <v>22</v>
      </c>
      <c r="N527" s="264"/>
      <c r="O527" s="264" t="s">
        <v>22</v>
      </c>
      <c r="P527" s="264"/>
      <c r="Q527" s="264"/>
      <c r="R527" s="264"/>
      <c r="S527" s="264"/>
      <c r="T527" s="264"/>
      <c r="U527" s="360"/>
      <c r="V527" s="360"/>
      <c r="W527" s="360"/>
      <c r="X527" s="360"/>
      <c r="Y527" s="360"/>
      <c r="Z527" s="360"/>
      <c r="AA527" s="360"/>
      <c r="AB527" s="360"/>
      <c r="AC527" s="360"/>
      <c r="AD527" s="360"/>
      <c r="AE527" s="360"/>
      <c r="AF527" s="360"/>
      <c r="AG527" s="360" t="s">
        <v>1582</v>
      </c>
      <c r="AH527" s="360"/>
      <c r="AI527" s="360"/>
      <c r="AJ527" s="360" t="s">
        <v>1589</v>
      </c>
      <c r="AK527" s="360"/>
      <c r="AL527" s="360" t="s">
        <v>5878</v>
      </c>
      <c r="AM527" s="360"/>
      <c r="AN527" s="360"/>
      <c r="AO527" s="360"/>
      <c r="AP527" s="360"/>
      <c r="AQ527" s="360"/>
      <c r="AR527" s="360"/>
      <c r="AS527" s="360"/>
      <c r="AT527" s="360"/>
      <c r="AU527" s="360" t="s">
        <v>22</v>
      </c>
      <c r="AV527" s="360"/>
      <c r="AW527" s="264"/>
      <c r="AX527" s="264"/>
      <c r="AY527" s="264"/>
      <c r="AZ527" s="264"/>
      <c r="BA527" s="264"/>
      <c r="BB527" s="264"/>
      <c r="BC527" s="264"/>
      <c r="BD527" s="264"/>
      <c r="BE527" s="264"/>
    </row>
    <row r="528">
      <c r="A528" s="264"/>
      <c r="B528" s="264"/>
      <c r="C528" s="264"/>
      <c r="D528" s="264"/>
      <c r="E528" s="264"/>
      <c r="F528" s="264"/>
      <c r="G528" s="264"/>
      <c r="H528" s="264"/>
      <c r="I528" s="264"/>
      <c r="J528" s="264"/>
      <c r="K528" s="264"/>
      <c r="L528" s="264"/>
      <c r="M528" s="264" t="s">
        <v>22</v>
      </c>
      <c r="N528" s="264"/>
      <c r="O528" s="264" t="s">
        <v>22</v>
      </c>
      <c r="P528" s="264"/>
      <c r="Q528" s="264"/>
      <c r="R528" s="264"/>
      <c r="S528" s="264"/>
      <c r="T528" s="264"/>
      <c r="U528" s="360"/>
      <c r="V528" s="360"/>
      <c r="W528" s="360"/>
      <c r="X528" s="360"/>
      <c r="Y528" s="360"/>
      <c r="Z528" s="360"/>
      <c r="AA528" s="360"/>
      <c r="AB528" s="360"/>
      <c r="AC528" s="360"/>
      <c r="AD528" s="360"/>
      <c r="AE528" s="360"/>
      <c r="AF528" s="360"/>
      <c r="AG528" s="360" t="s">
        <v>1582</v>
      </c>
      <c r="AH528" s="360"/>
      <c r="AI528" s="360"/>
      <c r="AJ528" s="360" t="s">
        <v>1589</v>
      </c>
      <c r="AK528" s="360"/>
      <c r="AL528" s="360" t="s">
        <v>5878</v>
      </c>
      <c r="AM528" s="360"/>
      <c r="AN528" s="360"/>
      <c r="AO528" s="360"/>
      <c r="AP528" s="360"/>
      <c r="AQ528" s="360"/>
      <c r="AR528" s="360"/>
      <c r="AS528" s="360"/>
      <c r="AT528" s="360"/>
      <c r="AU528" s="360" t="s">
        <v>22</v>
      </c>
      <c r="AV528" s="360"/>
      <c r="AW528" s="264"/>
      <c r="AX528" s="264"/>
      <c r="AY528" s="264"/>
      <c r="AZ528" s="264"/>
      <c r="BA528" s="264"/>
      <c r="BB528" s="264"/>
      <c r="BC528" s="264"/>
      <c r="BD528" s="264"/>
      <c r="BE528" s="264"/>
    </row>
    <row r="529">
      <c r="A529" s="264"/>
      <c r="B529" s="264"/>
      <c r="C529" s="264"/>
      <c r="D529" s="264"/>
      <c r="E529" s="264"/>
      <c r="F529" s="264"/>
      <c r="G529" s="264"/>
      <c r="H529" s="264"/>
      <c r="I529" s="264"/>
      <c r="J529" s="264"/>
      <c r="K529" s="264"/>
      <c r="L529" s="264"/>
      <c r="M529" s="264" t="s">
        <v>22</v>
      </c>
      <c r="N529" s="264"/>
      <c r="O529" s="264" t="s">
        <v>22</v>
      </c>
      <c r="P529" s="264"/>
      <c r="Q529" s="264"/>
      <c r="R529" s="264"/>
      <c r="S529" s="264"/>
      <c r="T529" s="264"/>
      <c r="U529" s="360"/>
      <c r="V529" s="360"/>
      <c r="W529" s="360"/>
      <c r="X529" s="360"/>
      <c r="Y529" s="360"/>
      <c r="Z529" s="360"/>
      <c r="AA529" s="360"/>
      <c r="AB529" s="360"/>
      <c r="AC529" s="360"/>
      <c r="AD529" s="360"/>
      <c r="AE529" s="360"/>
      <c r="AF529" s="360"/>
      <c r="AG529" s="360" t="s">
        <v>1582</v>
      </c>
      <c r="AH529" s="360"/>
      <c r="AI529" s="360"/>
      <c r="AJ529" s="360" t="s">
        <v>1589</v>
      </c>
      <c r="AK529" s="360"/>
      <c r="AL529" s="360" t="s">
        <v>5878</v>
      </c>
      <c r="AM529" s="360"/>
      <c r="AN529" s="360"/>
      <c r="AO529" s="360"/>
      <c r="AP529" s="360"/>
      <c r="AQ529" s="360"/>
      <c r="AR529" s="360"/>
      <c r="AS529" s="360"/>
      <c r="AT529" s="360"/>
      <c r="AU529" s="360" t="s">
        <v>22</v>
      </c>
      <c r="AV529" s="360"/>
      <c r="AW529" s="264"/>
      <c r="AX529" s="264"/>
      <c r="AY529" s="264"/>
      <c r="AZ529" s="264"/>
      <c r="BA529" s="264"/>
      <c r="BB529" s="264"/>
      <c r="BC529" s="264"/>
      <c r="BD529" s="264"/>
      <c r="BE529" s="264"/>
    </row>
    <row r="530">
      <c r="A530" s="264"/>
      <c r="B530" s="264"/>
      <c r="C530" s="264"/>
      <c r="D530" s="264"/>
      <c r="E530" s="264"/>
      <c r="F530" s="264"/>
      <c r="G530" s="264"/>
      <c r="H530" s="264"/>
      <c r="I530" s="264"/>
      <c r="J530" s="264"/>
      <c r="K530" s="264"/>
      <c r="L530" s="264"/>
      <c r="M530" s="264" t="s">
        <v>22</v>
      </c>
      <c r="N530" s="264"/>
      <c r="O530" s="264" t="s">
        <v>22</v>
      </c>
      <c r="P530" s="264"/>
      <c r="Q530" s="264"/>
      <c r="R530" s="264"/>
      <c r="S530" s="264"/>
      <c r="T530" s="264"/>
      <c r="U530" s="360"/>
      <c r="V530" s="360"/>
      <c r="W530" s="360"/>
      <c r="X530" s="360"/>
      <c r="Y530" s="360"/>
      <c r="Z530" s="360"/>
      <c r="AA530" s="360"/>
      <c r="AB530" s="360"/>
      <c r="AC530" s="360"/>
      <c r="AD530" s="360"/>
      <c r="AE530" s="360"/>
      <c r="AF530" s="360"/>
      <c r="AG530" s="360" t="s">
        <v>1582</v>
      </c>
      <c r="AH530" s="360"/>
      <c r="AI530" s="360"/>
      <c r="AJ530" s="360" t="s">
        <v>1589</v>
      </c>
      <c r="AK530" s="360"/>
      <c r="AL530" s="360" t="s">
        <v>5878</v>
      </c>
      <c r="AM530" s="360"/>
      <c r="AN530" s="360"/>
      <c r="AO530" s="360"/>
      <c r="AP530" s="360"/>
      <c r="AQ530" s="360"/>
      <c r="AR530" s="360"/>
      <c r="AS530" s="360"/>
      <c r="AT530" s="360"/>
      <c r="AU530" s="360" t="s">
        <v>22</v>
      </c>
      <c r="AV530" s="360"/>
      <c r="AW530" s="264"/>
      <c r="AX530" s="264"/>
      <c r="AY530" s="264"/>
      <c r="AZ530" s="264"/>
      <c r="BA530" s="264"/>
      <c r="BB530" s="264"/>
      <c r="BC530" s="264"/>
      <c r="BD530" s="264"/>
      <c r="BE530" s="264"/>
    </row>
    <row r="531">
      <c r="A531" s="264"/>
      <c r="B531" s="264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 t="s">
        <v>22</v>
      </c>
      <c r="N531" s="264"/>
      <c r="O531" s="264" t="s">
        <v>22</v>
      </c>
      <c r="P531" s="264"/>
      <c r="Q531" s="264"/>
      <c r="R531" s="264"/>
      <c r="S531" s="264"/>
      <c r="T531" s="264"/>
      <c r="U531" s="360"/>
      <c r="V531" s="360"/>
      <c r="W531" s="360"/>
      <c r="X531" s="360"/>
      <c r="Y531" s="360"/>
      <c r="Z531" s="360"/>
      <c r="AA531" s="360"/>
      <c r="AB531" s="360"/>
      <c r="AC531" s="360"/>
      <c r="AD531" s="360"/>
      <c r="AE531" s="360"/>
      <c r="AF531" s="360"/>
      <c r="AG531" s="360" t="s">
        <v>1582</v>
      </c>
      <c r="AH531" s="360"/>
      <c r="AI531" s="360"/>
      <c r="AJ531" s="360" t="s">
        <v>1589</v>
      </c>
      <c r="AK531" s="360"/>
      <c r="AL531" s="360" t="s">
        <v>5878</v>
      </c>
      <c r="AM531" s="360"/>
      <c r="AN531" s="360"/>
      <c r="AO531" s="360"/>
      <c r="AP531" s="360"/>
      <c r="AQ531" s="360"/>
      <c r="AR531" s="360"/>
      <c r="AS531" s="360"/>
      <c r="AT531" s="360"/>
      <c r="AU531" s="360" t="s">
        <v>22</v>
      </c>
      <c r="AV531" s="360"/>
      <c r="AW531" s="264"/>
      <c r="AX531" s="264"/>
      <c r="AY531" s="264"/>
      <c r="AZ531" s="264"/>
      <c r="BA531" s="264"/>
      <c r="BB531" s="264"/>
      <c r="BC531" s="264"/>
      <c r="BD531" s="264"/>
      <c r="BE531" s="264"/>
    </row>
    <row r="532">
      <c r="A532" s="264"/>
      <c r="B532" s="264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 t="s">
        <v>22</v>
      </c>
      <c r="N532" s="264"/>
      <c r="O532" s="264" t="s">
        <v>22</v>
      </c>
      <c r="P532" s="264"/>
      <c r="Q532" s="264"/>
      <c r="R532" s="264"/>
      <c r="S532" s="264"/>
      <c r="T532" s="264"/>
      <c r="U532" s="360"/>
      <c r="V532" s="360"/>
      <c r="W532" s="360"/>
      <c r="X532" s="360"/>
      <c r="Y532" s="360"/>
      <c r="Z532" s="360"/>
      <c r="AA532" s="360"/>
      <c r="AB532" s="360"/>
      <c r="AC532" s="360"/>
      <c r="AD532" s="360"/>
      <c r="AE532" s="360"/>
      <c r="AF532" s="360"/>
      <c r="AG532" s="360" t="s">
        <v>1582</v>
      </c>
      <c r="AH532" s="360"/>
      <c r="AI532" s="360"/>
      <c r="AJ532" s="360" t="s">
        <v>1589</v>
      </c>
      <c r="AK532" s="360"/>
      <c r="AL532" s="360" t="s">
        <v>5878</v>
      </c>
      <c r="AM532" s="360"/>
      <c r="AN532" s="360"/>
      <c r="AO532" s="360"/>
      <c r="AP532" s="360"/>
      <c r="AQ532" s="360"/>
      <c r="AR532" s="360"/>
      <c r="AS532" s="360"/>
      <c r="AT532" s="360"/>
      <c r="AU532" s="360" t="s">
        <v>22</v>
      </c>
      <c r="AV532" s="360"/>
      <c r="AW532" s="264"/>
      <c r="AX532" s="264"/>
      <c r="AY532" s="264"/>
      <c r="AZ532" s="264"/>
      <c r="BA532" s="264"/>
      <c r="BB532" s="264"/>
      <c r="BC532" s="264"/>
      <c r="BD532" s="264"/>
      <c r="BE532" s="264"/>
    </row>
    <row r="533">
      <c r="A533" s="264"/>
      <c r="B533" s="264"/>
      <c r="C533" s="264"/>
      <c r="D533" s="264"/>
      <c r="E533" s="264"/>
      <c r="F533" s="264"/>
      <c r="G533" s="264"/>
      <c r="H533" s="264"/>
      <c r="I533" s="264"/>
      <c r="J533" s="264"/>
      <c r="K533" s="264"/>
      <c r="L533" s="264"/>
      <c r="M533" s="264" t="s">
        <v>22</v>
      </c>
      <c r="N533" s="264"/>
      <c r="O533" s="264" t="s">
        <v>22</v>
      </c>
      <c r="P533" s="264"/>
      <c r="Q533" s="264"/>
      <c r="R533" s="264"/>
      <c r="S533" s="264"/>
      <c r="T533" s="264"/>
      <c r="U533" s="360"/>
      <c r="V533" s="360"/>
      <c r="W533" s="360"/>
      <c r="X533" s="360"/>
      <c r="Y533" s="360"/>
      <c r="Z533" s="360"/>
      <c r="AA533" s="360"/>
      <c r="AB533" s="360"/>
      <c r="AC533" s="360"/>
      <c r="AD533" s="360"/>
      <c r="AE533" s="360"/>
      <c r="AF533" s="360"/>
      <c r="AG533" s="360" t="s">
        <v>1582</v>
      </c>
      <c r="AH533" s="360"/>
      <c r="AI533" s="360"/>
      <c r="AJ533" s="360" t="s">
        <v>1589</v>
      </c>
      <c r="AK533" s="360"/>
      <c r="AL533" s="360" t="s">
        <v>5878</v>
      </c>
      <c r="AM533" s="360"/>
      <c r="AN533" s="360"/>
      <c r="AO533" s="360"/>
      <c r="AP533" s="360"/>
      <c r="AQ533" s="360"/>
      <c r="AR533" s="360"/>
      <c r="AS533" s="360"/>
      <c r="AT533" s="360"/>
      <c r="AU533" s="360" t="s">
        <v>22</v>
      </c>
      <c r="AV533" s="360"/>
      <c r="AW533" s="264"/>
      <c r="AX533" s="264"/>
      <c r="AY533" s="264"/>
      <c r="AZ533" s="264"/>
      <c r="BA533" s="264"/>
      <c r="BB533" s="264"/>
      <c r="BC533" s="264"/>
      <c r="BD533" s="264"/>
      <c r="BE533" s="264"/>
    </row>
    <row r="534">
      <c r="A534" s="264"/>
      <c r="B534" s="264"/>
      <c r="C534" s="264"/>
      <c r="D534" s="264"/>
      <c r="E534" s="264"/>
      <c r="F534" s="264"/>
      <c r="G534" s="264"/>
      <c r="H534" s="264"/>
      <c r="I534" s="264"/>
      <c r="J534" s="264"/>
      <c r="K534" s="264"/>
      <c r="L534" s="264"/>
      <c r="M534" s="264" t="s">
        <v>22</v>
      </c>
      <c r="N534" s="264"/>
      <c r="O534" s="264" t="s">
        <v>22</v>
      </c>
      <c r="P534" s="264"/>
      <c r="Q534" s="264"/>
      <c r="R534" s="264"/>
      <c r="S534" s="264"/>
      <c r="T534" s="264"/>
      <c r="U534" s="360"/>
      <c r="V534" s="360"/>
      <c r="W534" s="360"/>
      <c r="X534" s="360"/>
      <c r="Y534" s="360"/>
      <c r="Z534" s="360"/>
      <c r="AA534" s="360"/>
      <c r="AB534" s="360"/>
      <c r="AC534" s="360"/>
      <c r="AD534" s="360"/>
      <c r="AE534" s="360"/>
      <c r="AF534" s="360"/>
      <c r="AG534" s="360" t="s">
        <v>1582</v>
      </c>
      <c r="AH534" s="360"/>
      <c r="AI534" s="360"/>
      <c r="AJ534" s="360" t="s">
        <v>1589</v>
      </c>
      <c r="AK534" s="360"/>
      <c r="AL534" s="360" t="s">
        <v>5878</v>
      </c>
      <c r="AM534" s="360"/>
      <c r="AN534" s="360"/>
      <c r="AO534" s="360"/>
      <c r="AP534" s="360"/>
      <c r="AQ534" s="360"/>
      <c r="AR534" s="360"/>
      <c r="AS534" s="360"/>
      <c r="AT534" s="360"/>
      <c r="AU534" s="360" t="s">
        <v>22</v>
      </c>
      <c r="AV534" s="360"/>
      <c r="AW534" s="264"/>
      <c r="AX534" s="264"/>
      <c r="AY534" s="264"/>
      <c r="AZ534" s="264"/>
      <c r="BA534" s="264"/>
      <c r="BB534" s="264"/>
      <c r="BC534" s="264"/>
      <c r="BD534" s="264"/>
      <c r="BE534" s="264"/>
    </row>
    <row r="535">
      <c r="A535" s="264"/>
      <c r="B535" s="264"/>
      <c r="C535" s="264"/>
      <c r="D535" s="264"/>
      <c r="E535" s="264"/>
      <c r="F535" s="264"/>
      <c r="G535" s="264"/>
      <c r="H535" s="264"/>
      <c r="I535" s="264"/>
      <c r="J535" s="264"/>
      <c r="K535" s="264"/>
      <c r="L535" s="264"/>
      <c r="M535" s="264" t="s">
        <v>22</v>
      </c>
      <c r="N535" s="264"/>
      <c r="O535" s="264" t="s">
        <v>22</v>
      </c>
      <c r="P535" s="264"/>
      <c r="Q535" s="264"/>
      <c r="R535" s="264"/>
      <c r="S535" s="264"/>
      <c r="T535" s="264"/>
      <c r="U535" s="360"/>
      <c r="V535" s="360"/>
      <c r="W535" s="360"/>
      <c r="X535" s="360"/>
      <c r="Y535" s="360"/>
      <c r="Z535" s="360"/>
      <c r="AA535" s="360"/>
      <c r="AB535" s="360"/>
      <c r="AC535" s="360"/>
      <c r="AD535" s="360"/>
      <c r="AE535" s="360"/>
      <c r="AF535" s="360"/>
      <c r="AG535" s="360" t="s">
        <v>1582</v>
      </c>
      <c r="AH535" s="360"/>
      <c r="AI535" s="360"/>
      <c r="AJ535" s="360" t="s">
        <v>1589</v>
      </c>
      <c r="AK535" s="360"/>
      <c r="AL535" s="360" t="s">
        <v>5878</v>
      </c>
      <c r="AM535" s="360"/>
      <c r="AN535" s="360"/>
      <c r="AO535" s="360"/>
      <c r="AP535" s="360"/>
      <c r="AQ535" s="360"/>
      <c r="AR535" s="360"/>
      <c r="AS535" s="360"/>
      <c r="AT535" s="360"/>
      <c r="AU535" s="360" t="s">
        <v>22</v>
      </c>
      <c r="AV535" s="360"/>
      <c r="AW535" s="264"/>
      <c r="AX535" s="264"/>
      <c r="AY535" s="264"/>
      <c r="AZ535" s="264"/>
      <c r="BA535" s="264"/>
      <c r="BB535" s="264"/>
      <c r="BC535" s="264"/>
      <c r="BD535" s="264"/>
      <c r="BE535" s="264"/>
    </row>
    <row r="536">
      <c r="A536" s="264"/>
      <c r="B536" s="264"/>
      <c r="C536" s="264"/>
      <c r="D536" s="264"/>
      <c r="E536" s="264"/>
      <c r="F536" s="264"/>
      <c r="G536" s="264"/>
      <c r="H536" s="264"/>
      <c r="I536" s="264"/>
      <c r="J536" s="264"/>
      <c r="K536" s="264"/>
      <c r="L536" s="264"/>
      <c r="M536" s="264" t="s">
        <v>22</v>
      </c>
      <c r="N536" s="264"/>
      <c r="O536" s="264" t="s">
        <v>22</v>
      </c>
      <c r="P536" s="264"/>
      <c r="Q536" s="264"/>
      <c r="R536" s="264"/>
      <c r="S536" s="264"/>
      <c r="T536" s="264"/>
      <c r="U536" s="360"/>
      <c r="V536" s="360"/>
      <c r="W536" s="360"/>
      <c r="X536" s="360"/>
      <c r="Y536" s="360"/>
      <c r="Z536" s="360"/>
      <c r="AA536" s="360"/>
      <c r="AB536" s="360"/>
      <c r="AC536" s="360"/>
      <c r="AD536" s="360"/>
      <c r="AE536" s="360"/>
      <c r="AF536" s="360"/>
      <c r="AG536" s="360" t="s">
        <v>1582</v>
      </c>
      <c r="AH536" s="360"/>
      <c r="AI536" s="360"/>
      <c r="AJ536" s="360" t="s">
        <v>1589</v>
      </c>
      <c r="AK536" s="360"/>
      <c r="AL536" s="360" t="s">
        <v>5878</v>
      </c>
      <c r="AM536" s="360"/>
      <c r="AN536" s="360"/>
      <c r="AO536" s="360"/>
      <c r="AP536" s="360"/>
      <c r="AQ536" s="360"/>
      <c r="AR536" s="360"/>
      <c r="AS536" s="360"/>
      <c r="AT536" s="360"/>
      <c r="AU536" s="360" t="s">
        <v>22</v>
      </c>
      <c r="AV536" s="360"/>
      <c r="AW536" s="264"/>
      <c r="AX536" s="264"/>
      <c r="AY536" s="264"/>
      <c r="AZ536" s="264"/>
      <c r="BA536" s="264"/>
      <c r="BB536" s="264"/>
      <c r="BC536" s="264"/>
      <c r="BD536" s="264"/>
      <c r="BE536" s="264"/>
    </row>
    <row r="537">
      <c r="A537" s="264"/>
      <c r="B537" s="264"/>
      <c r="C537" s="264"/>
      <c r="D537" s="264"/>
      <c r="E537" s="264"/>
      <c r="F537" s="264"/>
      <c r="G537" s="264"/>
      <c r="H537" s="264"/>
      <c r="I537" s="264"/>
      <c r="J537" s="264"/>
      <c r="K537" s="264"/>
      <c r="L537" s="264"/>
      <c r="M537" s="264" t="s">
        <v>22</v>
      </c>
      <c r="N537" s="264"/>
      <c r="O537" s="264" t="s">
        <v>22</v>
      </c>
      <c r="P537" s="264"/>
      <c r="Q537" s="264"/>
      <c r="R537" s="264"/>
      <c r="S537" s="264"/>
      <c r="T537" s="264"/>
      <c r="U537" s="360"/>
      <c r="V537" s="360"/>
      <c r="W537" s="360"/>
      <c r="X537" s="360"/>
      <c r="Y537" s="360"/>
      <c r="Z537" s="360"/>
      <c r="AA537" s="360"/>
      <c r="AB537" s="360"/>
      <c r="AC537" s="360"/>
      <c r="AD537" s="360"/>
      <c r="AE537" s="360"/>
      <c r="AF537" s="360"/>
      <c r="AG537" s="360" t="s">
        <v>1582</v>
      </c>
      <c r="AH537" s="360"/>
      <c r="AI537" s="360"/>
      <c r="AJ537" s="360" t="s">
        <v>1589</v>
      </c>
      <c r="AK537" s="360"/>
      <c r="AL537" s="360" t="s">
        <v>5878</v>
      </c>
      <c r="AM537" s="360"/>
      <c r="AN537" s="360"/>
      <c r="AO537" s="360"/>
      <c r="AP537" s="360"/>
      <c r="AQ537" s="360"/>
      <c r="AR537" s="360"/>
      <c r="AS537" s="360"/>
      <c r="AT537" s="360"/>
      <c r="AU537" s="360" t="s">
        <v>22</v>
      </c>
      <c r="AV537" s="360"/>
      <c r="AW537" s="264"/>
      <c r="AX537" s="264"/>
      <c r="AY537" s="264"/>
      <c r="AZ537" s="264"/>
      <c r="BA537" s="264"/>
      <c r="BB537" s="264"/>
      <c r="BC537" s="264"/>
      <c r="BD537" s="264"/>
      <c r="BE537" s="264"/>
    </row>
    <row r="538">
      <c r="A538" s="264"/>
      <c r="B538" s="264"/>
      <c r="C538" s="264"/>
      <c r="D538" s="264"/>
      <c r="E538" s="264"/>
      <c r="F538" s="264"/>
      <c r="G538" s="264"/>
      <c r="H538" s="264"/>
      <c r="I538" s="264"/>
      <c r="J538" s="264"/>
      <c r="K538" s="264"/>
      <c r="L538" s="264"/>
      <c r="M538" s="264" t="s">
        <v>22</v>
      </c>
      <c r="N538" s="264"/>
      <c r="O538" s="264" t="s">
        <v>22</v>
      </c>
      <c r="P538" s="264"/>
      <c r="Q538" s="264"/>
      <c r="R538" s="264"/>
      <c r="S538" s="264"/>
      <c r="T538" s="264"/>
      <c r="U538" s="360"/>
      <c r="V538" s="360"/>
      <c r="W538" s="360"/>
      <c r="X538" s="360"/>
      <c r="Y538" s="360"/>
      <c r="Z538" s="360"/>
      <c r="AA538" s="360"/>
      <c r="AB538" s="360"/>
      <c r="AC538" s="360"/>
      <c r="AD538" s="360"/>
      <c r="AE538" s="360"/>
      <c r="AF538" s="360"/>
      <c r="AG538" s="360" t="s">
        <v>1582</v>
      </c>
      <c r="AH538" s="360"/>
      <c r="AI538" s="360"/>
      <c r="AJ538" s="360" t="s">
        <v>1589</v>
      </c>
      <c r="AK538" s="360"/>
      <c r="AL538" s="360" t="s">
        <v>5878</v>
      </c>
      <c r="AM538" s="360"/>
      <c r="AN538" s="360"/>
      <c r="AO538" s="360"/>
      <c r="AP538" s="360"/>
      <c r="AQ538" s="360"/>
      <c r="AR538" s="360"/>
      <c r="AS538" s="360"/>
      <c r="AT538" s="360"/>
      <c r="AU538" s="360" t="s">
        <v>22</v>
      </c>
      <c r="AV538" s="360"/>
      <c r="AW538" s="264"/>
      <c r="AX538" s="264"/>
      <c r="AY538" s="264"/>
      <c r="AZ538" s="264"/>
      <c r="BA538" s="264"/>
      <c r="BB538" s="264"/>
      <c r="BC538" s="264"/>
      <c r="BD538" s="264"/>
      <c r="BE538" s="264"/>
    </row>
    <row r="539">
      <c r="A539" s="264"/>
      <c r="B539" s="264"/>
      <c r="C539" s="264"/>
      <c r="D539" s="264"/>
      <c r="E539" s="264"/>
      <c r="F539" s="264"/>
      <c r="G539" s="264"/>
      <c r="H539" s="264"/>
      <c r="I539" s="264"/>
      <c r="J539" s="264"/>
      <c r="K539" s="264"/>
      <c r="L539" s="264"/>
      <c r="M539" s="264" t="s">
        <v>22</v>
      </c>
      <c r="N539" s="264"/>
      <c r="O539" s="264" t="s">
        <v>22</v>
      </c>
      <c r="P539" s="264"/>
      <c r="Q539" s="264"/>
      <c r="R539" s="264"/>
      <c r="S539" s="264"/>
      <c r="T539" s="264"/>
      <c r="U539" s="360"/>
      <c r="V539" s="360"/>
      <c r="W539" s="360"/>
      <c r="X539" s="360"/>
      <c r="Y539" s="360"/>
      <c r="Z539" s="360"/>
      <c r="AA539" s="360"/>
      <c r="AB539" s="360"/>
      <c r="AC539" s="360"/>
      <c r="AD539" s="360"/>
      <c r="AE539" s="360"/>
      <c r="AF539" s="360"/>
      <c r="AG539" s="360" t="s">
        <v>1582</v>
      </c>
      <c r="AH539" s="360"/>
      <c r="AI539" s="360"/>
      <c r="AJ539" s="360" t="s">
        <v>1589</v>
      </c>
      <c r="AK539" s="360"/>
      <c r="AL539" s="360" t="s">
        <v>5878</v>
      </c>
      <c r="AM539" s="360"/>
      <c r="AN539" s="360"/>
      <c r="AO539" s="360"/>
      <c r="AP539" s="360"/>
      <c r="AQ539" s="360"/>
      <c r="AR539" s="360"/>
      <c r="AS539" s="360"/>
      <c r="AT539" s="360"/>
      <c r="AU539" s="360" t="s">
        <v>22</v>
      </c>
      <c r="AV539" s="360"/>
      <c r="AW539" s="264"/>
      <c r="AX539" s="264"/>
      <c r="AY539" s="264"/>
      <c r="AZ539" s="264"/>
      <c r="BA539" s="264"/>
      <c r="BB539" s="264"/>
      <c r="BC539" s="264"/>
      <c r="BD539" s="264"/>
      <c r="BE539" s="264"/>
    </row>
    <row r="540">
      <c r="A540" s="264"/>
      <c r="B540" s="264"/>
      <c r="C540" s="264"/>
      <c r="D540" s="264"/>
      <c r="E540" s="264"/>
      <c r="F540" s="264"/>
      <c r="G540" s="264"/>
      <c r="H540" s="264"/>
      <c r="I540" s="264"/>
      <c r="J540" s="264"/>
      <c r="K540" s="264"/>
      <c r="L540" s="264"/>
      <c r="M540" s="264" t="s">
        <v>22</v>
      </c>
      <c r="N540" s="264"/>
      <c r="O540" s="264" t="s">
        <v>22</v>
      </c>
      <c r="P540" s="264"/>
      <c r="Q540" s="264"/>
      <c r="R540" s="264"/>
      <c r="S540" s="264"/>
      <c r="T540" s="264"/>
      <c r="U540" s="360"/>
      <c r="V540" s="360"/>
      <c r="W540" s="360"/>
      <c r="X540" s="360"/>
      <c r="Y540" s="360"/>
      <c r="Z540" s="360"/>
      <c r="AA540" s="360"/>
      <c r="AB540" s="360"/>
      <c r="AC540" s="360"/>
      <c r="AD540" s="360"/>
      <c r="AE540" s="360"/>
      <c r="AF540" s="360"/>
      <c r="AG540" s="360" t="s">
        <v>1582</v>
      </c>
      <c r="AH540" s="360"/>
      <c r="AI540" s="360"/>
      <c r="AJ540" s="360" t="s">
        <v>1589</v>
      </c>
      <c r="AK540" s="360"/>
      <c r="AL540" s="360" t="s">
        <v>5878</v>
      </c>
      <c r="AM540" s="360"/>
      <c r="AN540" s="360"/>
      <c r="AO540" s="360"/>
      <c r="AP540" s="360"/>
      <c r="AQ540" s="360"/>
      <c r="AR540" s="360"/>
      <c r="AS540" s="360"/>
      <c r="AT540" s="360"/>
      <c r="AU540" s="360" t="s">
        <v>22</v>
      </c>
      <c r="AV540" s="360"/>
      <c r="AW540" s="264"/>
      <c r="AX540" s="264"/>
      <c r="AY540" s="264"/>
      <c r="AZ540" s="264"/>
      <c r="BA540" s="264"/>
      <c r="BB540" s="264"/>
      <c r="BC540" s="264"/>
      <c r="BD540" s="264"/>
      <c r="BE540" s="264"/>
    </row>
    <row r="541">
      <c r="A541" s="264"/>
      <c r="B541" s="264"/>
      <c r="C541" s="264"/>
      <c r="D541" s="264"/>
      <c r="E541" s="264"/>
      <c r="F541" s="264"/>
      <c r="G541" s="264"/>
      <c r="H541" s="264"/>
      <c r="I541" s="264"/>
      <c r="J541" s="264"/>
      <c r="K541" s="264"/>
      <c r="L541" s="264"/>
      <c r="M541" s="264" t="s">
        <v>22</v>
      </c>
      <c r="N541" s="264"/>
      <c r="O541" s="264" t="s">
        <v>22</v>
      </c>
      <c r="P541" s="264"/>
      <c r="Q541" s="264"/>
      <c r="R541" s="264"/>
      <c r="S541" s="264"/>
      <c r="T541" s="264"/>
      <c r="U541" s="360"/>
      <c r="V541" s="360"/>
      <c r="W541" s="360"/>
      <c r="X541" s="360"/>
      <c r="Y541" s="360"/>
      <c r="Z541" s="360"/>
      <c r="AA541" s="360"/>
      <c r="AB541" s="360"/>
      <c r="AC541" s="360"/>
      <c r="AD541" s="360"/>
      <c r="AE541" s="360"/>
      <c r="AF541" s="360"/>
      <c r="AG541" s="360" t="s">
        <v>1582</v>
      </c>
      <c r="AH541" s="360"/>
      <c r="AI541" s="360"/>
      <c r="AJ541" s="360" t="s">
        <v>1589</v>
      </c>
      <c r="AK541" s="360"/>
      <c r="AL541" s="360" t="s">
        <v>5878</v>
      </c>
      <c r="AM541" s="360"/>
      <c r="AN541" s="360"/>
      <c r="AO541" s="360"/>
      <c r="AP541" s="360"/>
      <c r="AQ541" s="360"/>
      <c r="AR541" s="360"/>
      <c r="AS541" s="360"/>
      <c r="AT541" s="360"/>
      <c r="AU541" s="360" t="s">
        <v>22</v>
      </c>
      <c r="AV541" s="360"/>
      <c r="AW541" s="264"/>
      <c r="AX541" s="264"/>
      <c r="AY541" s="264"/>
      <c r="AZ541" s="264"/>
      <c r="BA541" s="264"/>
      <c r="BB541" s="264"/>
      <c r="BC541" s="264"/>
      <c r="BD541" s="264"/>
      <c r="BE541" s="264"/>
    </row>
    <row r="542">
      <c r="A542" s="264"/>
      <c r="B542" s="264"/>
      <c r="C542" s="264"/>
      <c r="D542" s="264"/>
      <c r="E542" s="264"/>
      <c r="F542" s="264"/>
      <c r="G542" s="264"/>
      <c r="H542" s="264"/>
      <c r="I542" s="264"/>
      <c r="J542" s="264"/>
      <c r="K542" s="264"/>
      <c r="L542" s="264"/>
      <c r="M542" s="264" t="s">
        <v>22</v>
      </c>
      <c r="N542" s="264"/>
      <c r="O542" s="264" t="s">
        <v>22</v>
      </c>
      <c r="P542" s="264"/>
      <c r="Q542" s="264"/>
      <c r="R542" s="264"/>
      <c r="S542" s="264"/>
      <c r="T542" s="264"/>
      <c r="U542" s="360"/>
      <c r="V542" s="360"/>
      <c r="W542" s="360"/>
      <c r="X542" s="360"/>
      <c r="Y542" s="360"/>
      <c r="Z542" s="360"/>
      <c r="AA542" s="360"/>
      <c r="AB542" s="360"/>
      <c r="AC542" s="360"/>
      <c r="AD542" s="360"/>
      <c r="AE542" s="360"/>
      <c r="AF542" s="360"/>
      <c r="AG542" s="360" t="s">
        <v>1582</v>
      </c>
      <c r="AH542" s="360"/>
      <c r="AI542" s="360"/>
      <c r="AJ542" s="360" t="s">
        <v>1589</v>
      </c>
      <c r="AK542" s="360"/>
      <c r="AL542" s="360" t="s">
        <v>5878</v>
      </c>
      <c r="AM542" s="360"/>
      <c r="AN542" s="360"/>
      <c r="AO542" s="360"/>
      <c r="AP542" s="360"/>
      <c r="AQ542" s="360"/>
      <c r="AR542" s="360"/>
      <c r="AS542" s="360"/>
      <c r="AT542" s="360"/>
      <c r="AU542" s="360" t="s">
        <v>22</v>
      </c>
      <c r="AV542" s="360"/>
      <c r="AW542" s="264"/>
      <c r="AX542" s="264"/>
      <c r="AY542" s="264"/>
      <c r="AZ542" s="264"/>
      <c r="BA542" s="264"/>
      <c r="BB542" s="264"/>
      <c r="BC542" s="264"/>
      <c r="BD542" s="264"/>
      <c r="BE542" s="264"/>
    </row>
    <row r="543">
      <c r="A543" s="264"/>
      <c r="B543" s="264"/>
      <c r="C543" s="264"/>
      <c r="D543" s="264"/>
      <c r="E543" s="264"/>
      <c r="F543" s="264"/>
      <c r="G543" s="264"/>
      <c r="H543" s="264"/>
      <c r="I543" s="264"/>
      <c r="J543" s="264"/>
      <c r="K543" s="264"/>
      <c r="L543" s="264"/>
      <c r="M543" s="264" t="s">
        <v>22</v>
      </c>
      <c r="N543" s="264"/>
      <c r="O543" s="264" t="s">
        <v>22</v>
      </c>
      <c r="P543" s="264"/>
      <c r="Q543" s="264"/>
      <c r="R543" s="264"/>
      <c r="S543" s="264"/>
      <c r="T543" s="264"/>
      <c r="U543" s="360"/>
      <c r="V543" s="360"/>
      <c r="W543" s="360"/>
      <c r="X543" s="360"/>
      <c r="Y543" s="360"/>
      <c r="Z543" s="360"/>
      <c r="AA543" s="360"/>
      <c r="AB543" s="360"/>
      <c r="AC543" s="360"/>
      <c r="AD543" s="360"/>
      <c r="AE543" s="360"/>
      <c r="AF543" s="360"/>
      <c r="AG543" s="360" t="s">
        <v>1582</v>
      </c>
      <c r="AH543" s="360"/>
      <c r="AI543" s="360"/>
      <c r="AJ543" s="360" t="s">
        <v>1589</v>
      </c>
      <c r="AK543" s="360"/>
      <c r="AL543" s="360" t="s">
        <v>5878</v>
      </c>
      <c r="AM543" s="360"/>
      <c r="AN543" s="360"/>
      <c r="AO543" s="360"/>
      <c r="AP543" s="360"/>
      <c r="AQ543" s="360"/>
      <c r="AR543" s="360"/>
      <c r="AS543" s="360"/>
      <c r="AT543" s="360"/>
      <c r="AU543" s="360" t="s">
        <v>22</v>
      </c>
      <c r="AV543" s="360"/>
      <c r="AW543" s="264"/>
      <c r="AX543" s="264"/>
      <c r="AY543" s="264"/>
      <c r="AZ543" s="264"/>
      <c r="BA543" s="264"/>
      <c r="BB543" s="264"/>
      <c r="BC543" s="264"/>
      <c r="BD543" s="264"/>
      <c r="BE543" s="264"/>
    </row>
    <row r="544">
      <c r="A544" s="264"/>
      <c r="B544" s="264"/>
      <c r="C544" s="264"/>
      <c r="D544" s="264"/>
      <c r="E544" s="264"/>
      <c r="F544" s="264"/>
      <c r="G544" s="264"/>
      <c r="H544" s="264"/>
      <c r="I544" s="264"/>
      <c r="J544" s="264"/>
      <c r="K544" s="264"/>
      <c r="L544" s="264"/>
      <c r="M544" s="264" t="s">
        <v>22</v>
      </c>
      <c r="N544" s="264"/>
      <c r="O544" s="264" t="s">
        <v>22</v>
      </c>
      <c r="P544" s="264"/>
      <c r="Q544" s="264"/>
      <c r="R544" s="264"/>
      <c r="S544" s="264"/>
      <c r="T544" s="264"/>
      <c r="U544" s="360"/>
      <c r="V544" s="360"/>
      <c r="W544" s="360"/>
      <c r="X544" s="360"/>
      <c r="Y544" s="360"/>
      <c r="Z544" s="360"/>
      <c r="AA544" s="360"/>
      <c r="AB544" s="360"/>
      <c r="AC544" s="360"/>
      <c r="AD544" s="360"/>
      <c r="AE544" s="360"/>
      <c r="AF544" s="360"/>
      <c r="AG544" s="360" t="s">
        <v>1582</v>
      </c>
      <c r="AH544" s="360"/>
      <c r="AI544" s="360"/>
      <c r="AJ544" s="360" t="s">
        <v>1589</v>
      </c>
      <c r="AK544" s="360"/>
      <c r="AL544" s="360" t="s">
        <v>5878</v>
      </c>
      <c r="AM544" s="360"/>
      <c r="AN544" s="360"/>
      <c r="AO544" s="360"/>
      <c r="AP544" s="360"/>
      <c r="AQ544" s="360"/>
      <c r="AR544" s="360"/>
      <c r="AS544" s="360"/>
      <c r="AT544" s="360"/>
      <c r="AU544" s="360" t="s">
        <v>22</v>
      </c>
      <c r="AV544" s="360"/>
      <c r="AW544" s="264"/>
      <c r="AX544" s="264"/>
      <c r="AY544" s="264"/>
      <c r="AZ544" s="264"/>
      <c r="BA544" s="264"/>
      <c r="BB544" s="264"/>
      <c r="BC544" s="264"/>
      <c r="BD544" s="264"/>
      <c r="BE544" s="264"/>
    </row>
    <row r="545">
      <c r="A545" s="264"/>
      <c r="B545" s="264"/>
      <c r="C545" s="264"/>
      <c r="D545" s="264"/>
      <c r="E545" s="264"/>
      <c r="F545" s="264"/>
      <c r="G545" s="264"/>
      <c r="H545" s="264"/>
      <c r="I545" s="264"/>
      <c r="J545" s="264"/>
      <c r="K545" s="264"/>
      <c r="L545" s="264"/>
      <c r="M545" s="264" t="s">
        <v>22</v>
      </c>
      <c r="N545" s="264"/>
      <c r="O545" s="264" t="s">
        <v>22</v>
      </c>
      <c r="P545" s="264"/>
      <c r="Q545" s="264"/>
      <c r="R545" s="264"/>
      <c r="S545" s="264"/>
      <c r="T545" s="264"/>
      <c r="U545" s="360"/>
      <c r="V545" s="360"/>
      <c r="W545" s="360"/>
      <c r="X545" s="360"/>
      <c r="Y545" s="360"/>
      <c r="Z545" s="360"/>
      <c r="AA545" s="360"/>
      <c r="AB545" s="360"/>
      <c r="AC545" s="360"/>
      <c r="AD545" s="360"/>
      <c r="AE545" s="360"/>
      <c r="AF545" s="360"/>
      <c r="AG545" s="360" t="s">
        <v>1582</v>
      </c>
      <c r="AH545" s="360"/>
      <c r="AI545" s="360"/>
      <c r="AJ545" s="360" t="s">
        <v>1589</v>
      </c>
      <c r="AK545" s="360"/>
      <c r="AL545" s="360" t="s">
        <v>5878</v>
      </c>
      <c r="AM545" s="360"/>
      <c r="AN545" s="360"/>
      <c r="AO545" s="360"/>
      <c r="AP545" s="360"/>
      <c r="AQ545" s="360"/>
      <c r="AR545" s="360"/>
      <c r="AS545" s="360"/>
      <c r="AT545" s="360"/>
      <c r="AU545" s="360" t="s">
        <v>22</v>
      </c>
      <c r="AV545" s="360"/>
      <c r="AW545" s="264"/>
      <c r="AX545" s="264"/>
      <c r="AY545" s="264"/>
      <c r="AZ545" s="264"/>
      <c r="BA545" s="264"/>
      <c r="BB545" s="264"/>
      <c r="BC545" s="264"/>
      <c r="BD545" s="264"/>
      <c r="BE545" s="264"/>
    </row>
    <row r="546">
      <c r="A546" s="264"/>
      <c r="B546" s="264"/>
      <c r="C546" s="264"/>
      <c r="D546" s="264"/>
      <c r="E546" s="264"/>
      <c r="F546" s="264"/>
      <c r="G546" s="264"/>
      <c r="H546" s="264"/>
      <c r="I546" s="264"/>
      <c r="J546" s="264"/>
      <c r="K546" s="264"/>
      <c r="L546" s="264"/>
      <c r="M546" s="264" t="s">
        <v>22</v>
      </c>
      <c r="N546" s="264"/>
      <c r="O546" s="264" t="s">
        <v>22</v>
      </c>
      <c r="P546" s="264"/>
      <c r="Q546" s="264"/>
      <c r="R546" s="264"/>
      <c r="S546" s="264"/>
      <c r="T546" s="264"/>
      <c r="U546" s="360"/>
      <c r="V546" s="360"/>
      <c r="W546" s="360"/>
      <c r="X546" s="360"/>
      <c r="Y546" s="360"/>
      <c r="Z546" s="360"/>
      <c r="AA546" s="360"/>
      <c r="AB546" s="360"/>
      <c r="AC546" s="360"/>
      <c r="AD546" s="360"/>
      <c r="AE546" s="360"/>
      <c r="AF546" s="360"/>
      <c r="AG546" s="360" t="s">
        <v>1582</v>
      </c>
      <c r="AH546" s="360"/>
      <c r="AI546" s="360"/>
      <c r="AJ546" s="360" t="s">
        <v>1589</v>
      </c>
      <c r="AK546" s="360"/>
      <c r="AL546" s="360" t="s">
        <v>5878</v>
      </c>
      <c r="AM546" s="360"/>
      <c r="AN546" s="360"/>
      <c r="AO546" s="360"/>
      <c r="AP546" s="360"/>
      <c r="AQ546" s="360"/>
      <c r="AR546" s="360"/>
      <c r="AS546" s="360"/>
      <c r="AT546" s="360"/>
      <c r="AU546" s="360" t="s">
        <v>22</v>
      </c>
      <c r="AV546" s="360"/>
      <c r="AW546" s="264"/>
      <c r="AX546" s="264"/>
      <c r="AY546" s="264"/>
      <c r="AZ546" s="264"/>
      <c r="BA546" s="264"/>
      <c r="BB546" s="264"/>
      <c r="BC546" s="264"/>
      <c r="BD546" s="264"/>
      <c r="BE546" s="264"/>
    </row>
    <row r="547">
      <c r="A547" s="264"/>
      <c r="B547" s="264"/>
      <c r="C547" s="264"/>
      <c r="D547" s="264"/>
      <c r="E547" s="264"/>
      <c r="F547" s="264"/>
      <c r="G547" s="264"/>
      <c r="H547" s="264"/>
      <c r="I547" s="264"/>
      <c r="J547" s="264"/>
      <c r="K547" s="264"/>
      <c r="L547" s="264"/>
      <c r="M547" s="264" t="s">
        <v>22</v>
      </c>
      <c r="N547" s="264"/>
      <c r="O547" s="264" t="s">
        <v>22</v>
      </c>
      <c r="P547" s="264"/>
      <c r="Q547" s="264"/>
      <c r="R547" s="264"/>
      <c r="S547" s="264"/>
      <c r="T547" s="264"/>
      <c r="U547" s="360"/>
      <c r="V547" s="360"/>
      <c r="W547" s="360"/>
      <c r="X547" s="360"/>
      <c r="Y547" s="360"/>
      <c r="Z547" s="360"/>
      <c r="AA547" s="360"/>
      <c r="AB547" s="360"/>
      <c r="AC547" s="360"/>
      <c r="AD547" s="360"/>
      <c r="AE547" s="360"/>
      <c r="AF547" s="360"/>
      <c r="AG547" s="360" t="s">
        <v>1582</v>
      </c>
      <c r="AH547" s="360"/>
      <c r="AI547" s="360"/>
      <c r="AJ547" s="360" t="s">
        <v>1589</v>
      </c>
      <c r="AK547" s="360"/>
      <c r="AL547" s="360" t="s">
        <v>5878</v>
      </c>
      <c r="AM547" s="360"/>
      <c r="AN547" s="360"/>
      <c r="AO547" s="360"/>
      <c r="AP547" s="360"/>
      <c r="AQ547" s="360"/>
      <c r="AR547" s="360"/>
      <c r="AS547" s="360"/>
      <c r="AT547" s="360"/>
      <c r="AU547" s="360" t="s">
        <v>22</v>
      </c>
      <c r="AV547" s="360"/>
      <c r="AW547" s="264"/>
      <c r="AX547" s="264"/>
      <c r="AY547" s="264"/>
      <c r="AZ547" s="264"/>
      <c r="BA547" s="264"/>
      <c r="BB547" s="264"/>
      <c r="BC547" s="264"/>
      <c r="BD547" s="264"/>
      <c r="BE547" s="264"/>
    </row>
    <row r="548">
      <c r="A548" s="264"/>
      <c r="B548" s="264"/>
      <c r="C548" s="264"/>
      <c r="D548" s="264"/>
      <c r="E548" s="264"/>
      <c r="F548" s="264"/>
      <c r="G548" s="264"/>
      <c r="H548" s="264"/>
      <c r="I548" s="264"/>
      <c r="J548" s="264"/>
      <c r="K548" s="264"/>
      <c r="L548" s="264"/>
      <c r="M548" s="264" t="s">
        <v>22</v>
      </c>
      <c r="N548" s="264"/>
      <c r="O548" s="264" t="s">
        <v>22</v>
      </c>
      <c r="P548" s="264"/>
      <c r="Q548" s="264"/>
      <c r="R548" s="264"/>
      <c r="S548" s="264"/>
      <c r="T548" s="264"/>
      <c r="U548" s="360"/>
      <c r="V548" s="360"/>
      <c r="W548" s="360"/>
      <c r="X548" s="360"/>
      <c r="Y548" s="360"/>
      <c r="Z548" s="360"/>
      <c r="AA548" s="360"/>
      <c r="AB548" s="360"/>
      <c r="AC548" s="360"/>
      <c r="AD548" s="360"/>
      <c r="AE548" s="360"/>
      <c r="AF548" s="360"/>
      <c r="AG548" s="360" t="s">
        <v>1582</v>
      </c>
      <c r="AH548" s="360"/>
      <c r="AI548" s="360"/>
      <c r="AJ548" s="360" t="s">
        <v>1589</v>
      </c>
      <c r="AK548" s="360"/>
      <c r="AL548" s="360" t="s">
        <v>5878</v>
      </c>
      <c r="AM548" s="360"/>
      <c r="AN548" s="360"/>
      <c r="AO548" s="360"/>
      <c r="AP548" s="360"/>
      <c r="AQ548" s="360"/>
      <c r="AR548" s="360"/>
      <c r="AS548" s="360"/>
      <c r="AT548" s="360"/>
      <c r="AU548" s="360" t="s">
        <v>22</v>
      </c>
      <c r="AV548" s="360"/>
      <c r="AW548" s="264"/>
      <c r="AX548" s="264"/>
      <c r="AY548" s="264"/>
      <c r="AZ548" s="264"/>
      <c r="BA548" s="264"/>
      <c r="BB548" s="264"/>
      <c r="BC548" s="264"/>
      <c r="BD548" s="264"/>
      <c r="BE548" s="264"/>
    </row>
    <row r="549">
      <c r="A549" s="264"/>
      <c r="B549" s="264"/>
      <c r="C549" s="264"/>
      <c r="D549" s="264"/>
      <c r="E549" s="264"/>
      <c r="F549" s="264"/>
      <c r="G549" s="264"/>
      <c r="H549" s="264"/>
      <c r="I549" s="264"/>
      <c r="J549" s="264"/>
      <c r="K549" s="264"/>
      <c r="L549" s="264"/>
      <c r="M549" s="264" t="s">
        <v>22</v>
      </c>
      <c r="N549" s="264"/>
      <c r="O549" s="264" t="s">
        <v>22</v>
      </c>
      <c r="P549" s="264"/>
      <c r="Q549" s="264"/>
      <c r="R549" s="264"/>
      <c r="S549" s="264"/>
      <c r="T549" s="264"/>
      <c r="U549" s="360"/>
      <c r="V549" s="360"/>
      <c r="W549" s="360"/>
      <c r="X549" s="360"/>
      <c r="Y549" s="360"/>
      <c r="Z549" s="360"/>
      <c r="AA549" s="360"/>
      <c r="AB549" s="360"/>
      <c r="AC549" s="360"/>
      <c r="AD549" s="360"/>
      <c r="AE549" s="360"/>
      <c r="AF549" s="360"/>
      <c r="AG549" s="360" t="s">
        <v>1582</v>
      </c>
      <c r="AH549" s="360"/>
      <c r="AI549" s="360"/>
      <c r="AJ549" s="360" t="s">
        <v>1589</v>
      </c>
      <c r="AK549" s="360"/>
      <c r="AL549" s="360" t="s">
        <v>5878</v>
      </c>
      <c r="AM549" s="360"/>
      <c r="AN549" s="360"/>
      <c r="AO549" s="360"/>
      <c r="AP549" s="360"/>
      <c r="AQ549" s="360"/>
      <c r="AR549" s="360"/>
      <c r="AS549" s="360"/>
      <c r="AT549" s="360"/>
      <c r="AU549" s="360" t="s">
        <v>22</v>
      </c>
      <c r="AV549" s="360"/>
      <c r="AW549" s="264"/>
      <c r="AX549" s="264"/>
      <c r="AY549" s="264"/>
      <c r="AZ549" s="264"/>
      <c r="BA549" s="264"/>
      <c r="BB549" s="264"/>
      <c r="BC549" s="264"/>
      <c r="BD549" s="264"/>
      <c r="BE549" s="264"/>
    </row>
    <row r="550">
      <c r="A550" s="264"/>
      <c r="B550" s="264"/>
      <c r="C550" s="264"/>
      <c r="D550" s="264"/>
      <c r="E550" s="264"/>
      <c r="F550" s="264"/>
      <c r="G550" s="264"/>
      <c r="H550" s="264"/>
      <c r="I550" s="264"/>
      <c r="J550" s="264"/>
      <c r="K550" s="264"/>
      <c r="L550" s="264"/>
      <c r="M550" s="264" t="s">
        <v>22</v>
      </c>
      <c r="N550" s="264"/>
      <c r="O550" s="264" t="s">
        <v>22</v>
      </c>
      <c r="P550" s="264"/>
      <c r="Q550" s="264"/>
      <c r="R550" s="264"/>
      <c r="S550" s="264"/>
      <c r="T550" s="264"/>
      <c r="U550" s="360"/>
      <c r="V550" s="360"/>
      <c r="W550" s="360"/>
      <c r="X550" s="360"/>
      <c r="Y550" s="360"/>
      <c r="Z550" s="360"/>
      <c r="AA550" s="360"/>
      <c r="AB550" s="360"/>
      <c r="AC550" s="360"/>
      <c r="AD550" s="360"/>
      <c r="AE550" s="360"/>
      <c r="AF550" s="360"/>
      <c r="AG550" s="360" t="s">
        <v>1582</v>
      </c>
      <c r="AH550" s="360"/>
      <c r="AI550" s="360"/>
      <c r="AJ550" s="360" t="s">
        <v>1589</v>
      </c>
      <c r="AK550" s="360"/>
      <c r="AL550" s="360" t="s">
        <v>5878</v>
      </c>
      <c r="AM550" s="360"/>
      <c r="AN550" s="360"/>
      <c r="AO550" s="360"/>
      <c r="AP550" s="360"/>
      <c r="AQ550" s="360"/>
      <c r="AR550" s="360"/>
      <c r="AS550" s="360"/>
      <c r="AT550" s="360"/>
      <c r="AU550" s="360" t="s">
        <v>22</v>
      </c>
      <c r="AV550" s="360"/>
      <c r="AW550" s="264"/>
      <c r="AX550" s="264"/>
      <c r="AY550" s="264"/>
      <c r="AZ550" s="264"/>
      <c r="BA550" s="264"/>
      <c r="BB550" s="264"/>
      <c r="BC550" s="264"/>
      <c r="BD550" s="264"/>
      <c r="BE550" s="264"/>
    </row>
    <row r="551">
      <c r="A551" s="264"/>
      <c r="B551" s="264"/>
      <c r="C551" s="264"/>
      <c r="D551" s="264"/>
      <c r="E551" s="264"/>
      <c r="F551" s="264"/>
      <c r="G551" s="264"/>
      <c r="H551" s="264"/>
      <c r="I551" s="264"/>
      <c r="J551" s="264"/>
      <c r="K551" s="264"/>
      <c r="L551" s="264"/>
      <c r="M551" s="264" t="s">
        <v>22</v>
      </c>
      <c r="N551" s="264"/>
      <c r="O551" s="264" t="s">
        <v>22</v>
      </c>
      <c r="P551" s="264"/>
      <c r="Q551" s="264"/>
      <c r="R551" s="264"/>
      <c r="S551" s="264"/>
      <c r="T551" s="264"/>
      <c r="U551" s="360"/>
      <c r="V551" s="360"/>
      <c r="W551" s="360"/>
      <c r="X551" s="360"/>
      <c r="Y551" s="360"/>
      <c r="Z551" s="360"/>
      <c r="AA551" s="360"/>
      <c r="AB551" s="360"/>
      <c r="AC551" s="360"/>
      <c r="AD551" s="360"/>
      <c r="AE551" s="360"/>
      <c r="AF551" s="360"/>
      <c r="AG551" s="360" t="s">
        <v>1582</v>
      </c>
      <c r="AH551" s="360"/>
      <c r="AI551" s="360"/>
      <c r="AJ551" s="360" t="s">
        <v>1589</v>
      </c>
      <c r="AK551" s="360"/>
      <c r="AL551" s="360" t="s">
        <v>5878</v>
      </c>
      <c r="AM551" s="360"/>
      <c r="AN551" s="360"/>
      <c r="AO551" s="360"/>
      <c r="AP551" s="360"/>
      <c r="AQ551" s="360"/>
      <c r="AR551" s="360"/>
      <c r="AS551" s="360"/>
      <c r="AT551" s="360"/>
      <c r="AU551" s="360" t="s">
        <v>22</v>
      </c>
      <c r="AV551" s="360"/>
      <c r="AW551" s="264"/>
      <c r="AX551" s="264"/>
      <c r="AY551" s="264"/>
      <c r="AZ551" s="264"/>
      <c r="BA551" s="264"/>
      <c r="BB551" s="264"/>
      <c r="BC551" s="264"/>
      <c r="BD551" s="264"/>
      <c r="BE551" s="264"/>
    </row>
    <row r="552">
      <c r="A552" s="264"/>
      <c r="B552" s="264"/>
      <c r="C552" s="264"/>
      <c r="D552" s="264"/>
      <c r="E552" s="264"/>
      <c r="F552" s="264"/>
      <c r="G552" s="264"/>
      <c r="H552" s="264"/>
      <c r="I552" s="264"/>
      <c r="J552" s="264"/>
      <c r="K552" s="264"/>
      <c r="L552" s="264"/>
      <c r="M552" s="264" t="s">
        <v>22</v>
      </c>
      <c r="N552" s="264"/>
      <c r="O552" s="264" t="s">
        <v>22</v>
      </c>
      <c r="P552" s="264"/>
      <c r="Q552" s="264"/>
      <c r="R552" s="264"/>
      <c r="S552" s="264"/>
      <c r="T552" s="264"/>
      <c r="U552" s="360"/>
      <c r="V552" s="360"/>
      <c r="W552" s="360"/>
      <c r="X552" s="360"/>
      <c r="Y552" s="360"/>
      <c r="Z552" s="360"/>
      <c r="AA552" s="360"/>
      <c r="AB552" s="360"/>
      <c r="AC552" s="360"/>
      <c r="AD552" s="360"/>
      <c r="AE552" s="360"/>
      <c r="AF552" s="360"/>
      <c r="AG552" s="360" t="s">
        <v>1582</v>
      </c>
      <c r="AH552" s="360"/>
      <c r="AI552" s="360"/>
      <c r="AJ552" s="360" t="s">
        <v>1589</v>
      </c>
      <c r="AK552" s="360"/>
      <c r="AL552" s="360" t="s">
        <v>5878</v>
      </c>
      <c r="AM552" s="360"/>
      <c r="AN552" s="360"/>
      <c r="AO552" s="360"/>
      <c r="AP552" s="360"/>
      <c r="AQ552" s="360"/>
      <c r="AR552" s="360"/>
      <c r="AS552" s="360"/>
      <c r="AT552" s="360"/>
      <c r="AU552" s="360" t="s">
        <v>22</v>
      </c>
      <c r="AV552" s="360"/>
      <c r="AW552" s="264"/>
      <c r="AX552" s="264"/>
      <c r="AY552" s="264"/>
      <c r="AZ552" s="264"/>
      <c r="BA552" s="264"/>
      <c r="BB552" s="264"/>
      <c r="BC552" s="264"/>
      <c r="BD552" s="264"/>
      <c r="BE552" s="264"/>
    </row>
    <row r="553">
      <c r="A553" s="264"/>
      <c r="B553" s="264"/>
      <c r="C553" s="264"/>
      <c r="D553" s="264"/>
      <c r="E553" s="264"/>
      <c r="F553" s="264"/>
      <c r="G553" s="264"/>
      <c r="H553" s="264"/>
      <c r="I553" s="264"/>
      <c r="J553" s="264"/>
      <c r="K553" s="264"/>
      <c r="L553" s="264"/>
      <c r="M553" s="264" t="s">
        <v>22</v>
      </c>
      <c r="N553" s="264"/>
      <c r="O553" s="264" t="s">
        <v>22</v>
      </c>
      <c r="P553" s="264"/>
      <c r="Q553" s="264"/>
      <c r="R553" s="264"/>
      <c r="S553" s="264"/>
      <c r="T553" s="264"/>
      <c r="U553" s="360"/>
      <c r="V553" s="360"/>
      <c r="W553" s="360"/>
      <c r="X553" s="360"/>
      <c r="Y553" s="360"/>
      <c r="Z553" s="360"/>
      <c r="AA553" s="360"/>
      <c r="AB553" s="360"/>
      <c r="AC553" s="360"/>
      <c r="AD553" s="360"/>
      <c r="AE553" s="360"/>
      <c r="AF553" s="360"/>
      <c r="AG553" s="360" t="s">
        <v>1582</v>
      </c>
      <c r="AH553" s="360"/>
      <c r="AI553" s="360"/>
      <c r="AJ553" s="360" t="s">
        <v>1589</v>
      </c>
      <c r="AK553" s="360"/>
      <c r="AL553" s="360" t="s">
        <v>5878</v>
      </c>
      <c r="AM553" s="360"/>
      <c r="AN553" s="360"/>
      <c r="AO553" s="360"/>
      <c r="AP553" s="360"/>
      <c r="AQ553" s="360"/>
      <c r="AR553" s="360"/>
      <c r="AS553" s="360"/>
      <c r="AT553" s="360"/>
      <c r="AU553" s="360" t="s">
        <v>22</v>
      </c>
      <c r="AV553" s="360"/>
      <c r="AW553" s="264"/>
      <c r="AX553" s="264"/>
      <c r="AY553" s="264"/>
      <c r="AZ553" s="264"/>
      <c r="BA553" s="264"/>
      <c r="BB553" s="264"/>
      <c r="BC553" s="264"/>
      <c r="BD553" s="264"/>
      <c r="BE553" s="264"/>
    </row>
    <row r="554">
      <c r="A554" s="264"/>
      <c r="B554" s="264"/>
      <c r="C554" s="264"/>
      <c r="D554" s="264"/>
      <c r="E554" s="264"/>
      <c r="F554" s="264"/>
      <c r="G554" s="264"/>
      <c r="H554" s="264"/>
      <c r="I554" s="264"/>
      <c r="J554" s="264"/>
      <c r="K554" s="264"/>
      <c r="L554" s="264"/>
      <c r="M554" s="264" t="s">
        <v>22</v>
      </c>
      <c r="N554" s="264"/>
      <c r="O554" s="264" t="s">
        <v>22</v>
      </c>
      <c r="P554" s="264"/>
      <c r="Q554" s="264"/>
      <c r="R554" s="264"/>
      <c r="S554" s="264"/>
      <c r="T554" s="264"/>
      <c r="U554" s="360"/>
      <c r="V554" s="360"/>
      <c r="W554" s="360"/>
      <c r="X554" s="360"/>
      <c r="Y554" s="360"/>
      <c r="Z554" s="360"/>
      <c r="AA554" s="360"/>
      <c r="AB554" s="360"/>
      <c r="AC554" s="360"/>
      <c r="AD554" s="360"/>
      <c r="AE554" s="360"/>
      <c r="AF554" s="360"/>
      <c r="AG554" s="360" t="s">
        <v>1582</v>
      </c>
      <c r="AH554" s="360"/>
      <c r="AI554" s="360"/>
      <c r="AJ554" s="360" t="s">
        <v>1589</v>
      </c>
      <c r="AK554" s="360"/>
      <c r="AL554" s="360" t="s">
        <v>5878</v>
      </c>
      <c r="AM554" s="360"/>
      <c r="AN554" s="360"/>
      <c r="AO554" s="360"/>
      <c r="AP554" s="360"/>
      <c r="AQ554" s="360"/>
      <c r="AR554" s="360"/>
      <c r="AS554" s="360"/>
      <c r="AT554" s="360"/>
      <c r="AU554" s="360" t="s">
        <v>22</v>
      </c>
      <c r="AV554" s="360"/>
      <c r="AW554" s="264"/>
      <c r="AX554" s="264"/>
      <c r="AY554" s="264"/>
      <c r="AZ554" s="264"/>
      <c r="BA554" s="264"/>
      <c r="BB554" s="264"/>
      <c r="BC554" s="264"/>
      <c r="BD554" s="264"/>
      <c r="BE554" s="264"/>
    </row>
    <row r="555">
      <c r="A555" s="264"/>
      <c r="B555" s="264"/>
      <c r="C555" s="264"/>
      <c r="D555" s="264"/>
      <c r="E555" s="264"/>
      <c r="F555" s="264"/>
      <c r="G555" s="264"/>
      <c r="H555" s="264"/>
      <c r="I555" s="264"/>
      <c r="J555" s="264"/>
      <c r="K555" s="264"/>
      <c r="L555" s="264"/>
      <c r="M555" s="264" t="s">
        <v>22</v>
      </c>
      <c r="N555" s="264"/>
      <c r="O555" s="264" t="s">
        <v>22</v>
      </c>
      <c r="P555" s="264"/>
      <c r="Q555" s="264"/>
      <c r="R555" s="264"/>
      <c r="S555" s="264"/>
      <c r="T555" s="264"/>
      <c r="U555" s="360"/>
      <c r="V555" s="360"/>
      <c r="W555" s="360"/>
      <c r="X555" s="360"/>
      <c r="Y555" s="360"/>
      <c r="Z555" s="360"/>
      <c r="AA555" s="360"/>
      <c r="AB555" s="360"/>
      <c r="AC555" s="360"/>
      <c r="AD555" s="360"/>
      <c r="AE555" s="360"/>
      <c r="AF555" s="360"/>
      <c r="AG555" s="360" t="s">
        <v>1582</v>
      </c>
      <c r="AH555" s="360"/>
      <c r="AI555" s="360"/>
      <c r="AJ555" s="360" t="s">
        <v>1589</v>
      </c>
      <c r="AK555" s="360"/>
      <c r="AL555" s="360" t="s">
        <v>5878</v>
      </c>
      <c r="AM555" s="360"/>
      <c r="AN555" s="360"/>
      <c r="AO555" s="360"/>
      <c r="AP555" s="360"/>
      <c r="AQ555" s="360"/>
      <c r="AR555" s="360"/>
      <c r="AS555" s="360"/>
      <c r="AT555" s="360"/>
      <c r="AU555" s="360" t="s">
        <v>22</v>
      </c>
      <c r="AV555" s="360"/>
      <c r="AW555" s="264"/>
      <c r="AX555" s="264"/>
      <c r="AY555" s="264"/>
      <c r="AZ555" s="264"/>
      <c r="BA555" s="264"/>
      <c r="BB555" s="264"/>
      <c r="BC555" s="264"/>
      <c r="BD555" s="264"/>
      <c r="BE555" s="264"/>
    </row>
    <row r="556">
      <c r="A556" s="264"/>
      <c r="B556" s="264"/>
      <c r="C556" s="264"/>
      <c r="D556" s="264"/>
      <c r="E556" s="264"/>
      <c r="F556" s="264"/>
      <c r="G556" s="264"/>
      <c r="H556" s="264"/>
      <c r="I556" s="264"/>
      <c r="J556" s="264"/>
      <c r="K556" s="264"/>
      <c r="L556" s="264"/>
      <c r="M556" s="264" t="s">
        <v>22</v>
      </c>
      <c r="N556" s="264"/>
      <c r="O556" s="264" t="s">
        <v>22</v>
      </c>
      <c r="P556" s="264"/>
      <c r="Q556" s="264"/>
      <c r="R556" s="264"/>
      <c r="S556" s="264"/>
      <c r="T556" s="264"/>
      <c r="U556" s="360"/>
      <c r="V556" s="360"/>
      <c r="W556" s="360"/>
      <c r="X556" s="360"/>
      <c r="Y556" s="360"/>
      <c r="Z556" s="360"/>
      <c r="AA556" s="360"/>
      <c r="AB556" s="360"/>
      <c r="AC556" s="360"/>
      <c r="AD556" s="360"/>
      <c r="AE556" s="360"/>
      <c r="AF556" s="360"/>
      <c r="AG556" s="360" t="s">
        <v>1582</v>
      </c>
      <c r="AH556" s="360"/>
      <c r="AI556" s="360"/>
      <c r="AJ556" s="360" t="s">
        <v>1589</v>
      </c>
      <c r="AK556" s="360"/>
      <c r="AL556" s="360" t="s">
        <v>5878</v>
      </c>
      <c r="AM556" s="360"/>
      <c r="AN556" s="360"/>
      <c r="AO556" s="360"/>
      <c r="AP556" s="360"/>
      <c r="AQ556" s="360"/>
      <c r="AR556" s="360"/>
      <c r="AS556" s="360"/>
      <c r="AT556" s="360"/>
      <c r="AU556" s="360" t="s">
        <v>22</v>
      </c>
      <c r="AV556" s="360"/>
      <c r="AW556" s="264"/>
      <c r="AX556" s="264"/>
      <c r="AY556" s="264"/>
      <c r="AZ556" s="264"/>
      <c r="BA556" s="264"/>
      <c r="BB556" s="264"/>
      <c r="BC556" s="264"/>
      <c r="BD556" s="264"/>
      <c r="BE556" s="264"/>
    </row>
    <row r="557">
      <c r="A557" s="264"/>
      <c r="B557" s="264"/>
      <c r="C557" s="264"/>
      <c r="D557" s="264"/>
      <c r="E557" s="264"/>
      <c r="F557" s="264"/>
      <c r="G557" s="264"/>
      <c r="H557" s="264"/>
      <c r="I557" s="264"/>
      <c r="J557" s="264"/>
      <c r="K557" s="264"/>
      <c r="L557" s="264"/>
      <c r="M557" s="264" t="s">
        <v>22</v>
      </c>
      <c r="N557" s="264"/>
      <c r="O557" s="264" t="s">
        <v>22</v>
      </c>
      <c r="P557" s="264"/>
      <c r="Q557" s="264"/>
      <c r="R557" s="264"/>
      <c r="S557" s="264"/>
      <c r="T557" s="264"/>
      <c r="U557" s="360"/>
      <c r="V557" s="360"/>
      <c r="W557" s="360"/>
      <c r="X557" s="360"/>
      <c r="Y557" s="360"/>
      <c r="Z557" s="360"/>
      <c r="AA557" s="360"/>
      <c r="AB557" s="360"/>
      <c r="AC557" s="360"/>
      <c r="AD557" s="360"/>
      <c r="AE557" s="360"/>
      <c r="AF557" s="360"/>
      <c r="AG557" s="360" t="s">
        <v>1582</v>
      </c>
      <c r="AH557" s="360"/>
      <c r="AI557" s="360"/>
      <c r="AJ557" s="360" t="s">
        <v>1589</v>
      </c>
      <c r="AK557" s="360"/>
      <c r="AL557" s="360" t="s">
        <v>5878</v>
      </c>
      <c r="AM557" s="360"/>
      <c r="AN557" s="360"/>
      <c r="AO557" s="360"/>
      <c r="AP557" s="360"/>
      <c r="AQ557" s="360"/>
      <c r="AR557" s="360"/>
      <c r="AS557" s="360"/>
      <c r="AT557" s="360"/>
      <c r="AU557" s="360" t="s">
        <v>22</v>
      </c>
      <c r="AV557" s="360"/>
      <c r="AW557" s="264"/>
      <c r="AX557" s="264"/>
      <c r="AY557" s="264"/>
      <c r="AZ557" s="264"/>
      <c r="BA557" s="264"/>
      <c r="BB557" s="264"/>
      <c r="BC557" s="264"/>
      <c r="BD557" s="264"/>
      <c r="BE557" s="264"/>
    </row>
    <row r="558">
      <c r="A558" s="264"/>
      <c r="B558" s="264"/>
      <c r="C558" s="264"/>
      <c r="D558" s="264"/>
      <c r="E558" s="264"/>
      <c r="F558" s="264"/>
      <c r="G558" s="264"/>
      <c r="H558" s="264"/>
      <c r="I558" s="264"/>
      <c r="J558" s="264"/>
      <c r="K558" s="264"/>
      <c r="L558" s="264"/>
      <c r="M558" s="264" t="s">
        <v>22</v>
      </c>
      <c r="N558" s="264"/>
      <c r="O558" s="264" t="s">
        <v>22</v>
      </c>
      <c r="P558" s="264"/>
      <c r="Q558" s="264"/>
      <c r="R558" s="264"/>
      <c r="S558" s="264"/>
      <c r="T558" s="264"/>
      <c r="U558" s="360"/>
      <c r="V558" s="360"/>
      <c r="W558" s="360"/>
      <c r="X558" s="360"/>
      <c r="Y558" s="360"/>
      <c r="Z558" s="360"/>
      <c r="AA558" s="360"/>
      <c r="AB558" s="360"/>
      <c r="AC558" s="360"/>
      <c r="AD558" s="360"/>
      <c r="AE558" s="360"/>
      <c r="AF558" s="360"/>
      <c r="AG558" s="360" t="s">
        <v>1582</v>
      </c>
      <c r="AH558" s="360"/>
      <c r="AI558" s="360"/>
      <c r="AJ558" s="360" t="s">
        <v>1589</v>
      </c>
      <c r="AK558" s="360"/>
      <c r="AL558" s="360" t="s">
        <v>5878</v>
      </c>
      <c r="AM558" s="360"/>
      <c r="AN558" s="360"/>
      <c r="AO558" s="360"/>
      <c r="AP558" s="360"/>
      <c r="AQ558" s="360"/>
      <c r="AR558" s="360"/>
      <c r="AS558" s="360"/>
      <c r="AT558" s="360"/>
      <c r="AU558" s="360" t="s">
        <v>22</v>
      </c>
      <c r="AV558" s="360"/>
      <c r="AW558" s="264"/>
      <c r="AX558" s="264"/>
      <c r="AY558" s="264"/>
      <c r="AZ558" s="264"/>
      <c r="BA558" s="264"/>
      <c r="BB558" s="264"/>
      <c r="BC558" s="264"/>
      <c r="BD558" s="264"/>
      <c r="BE558" s="264"/>
    </row>
    <row r="559">
      <c r="A559" s="264"/>
      <c r="B559" s="264"/>
      <c r="C559" s="264"/>
      <c r="D559" s="264"/>
      <c r="E559" s="264"/>
      <c r="F559" s="264"/>
      <c r="G559" s="264"/>
      <c r="H559" s="264"/>
      <c r="I559" s="264"/>
      <c r="J559" s="264"/>
      <c r="K559" s="264"/>
      <c r="L559" s="264"/>
      <c r="M559" s="264" t="s">
        <v>22</v>
      </c>
      <c r="N559" s="264"/>
      <c r="O559" s="264" t="s">
        <v>22</v>
      </c>
      <c r="P559" s="264"/>
      <c r="Q559" s="264"/>
      <c r="R559" s="264"/>
      <c r="S559" s="264"/>
      <c r="T559" s="264"/>
      <c r="U559" s="360"/>
      <c r="V559" s="360"/>
      <c r="W559" s="360"/>
      <c r="X559" s="360"/>
      <c r="Y559" s="360"/>
      <c r="Z559" s="360"/>
      <c r="AA559" s="360"/>
      <c r="AB559" s="360"/>
      <c r="AC559" s="360"/>
      <c r="AD559" s="360"/>
      <c r="AE559" s="360"/>
      <c r="AF559" s="360"/>
      <c r="AG559" s="360" t="s">
        <v>1582</v>
      </c>
      <c r="AH559" s="360"/>
      <c r="AI559" s="360"/>
      <c r="AJ559" s="360" t="s">
        <v>1589</v>
      </c>
      <c r="AK559" s="360"/>
      <c r="AL559" s="360" t="s">
        <v>5878</v>
      </c>
      <c r="AM559" s="360"/>
      <c r="AN559" s="360"/>
      <c r="AO559" s="360"/>
      <c r="AP559" s="360"/>
      <c r="AQ559" s="360"/>
      <c r="AR559" s="360"/>
      <c r="AS559" s="360"/>
      <c r="AT559" s="360"/>
      <c r="AU559" s="360" t="s">
        <v>22</v>
      </c>
      <c r="AV559" s="360"/>
      <c r="AW559" s="264"/>
      <c r="AX559" s="264"/>
      <c r="AY559" s="264"/>
      <c r="AZ559" s="264"/>
      <c r="BA559" s="264"/>
      <c r="BB559" s="264"/>
      <c r="BC559" s="264"/>
      <c r="BD559" s="264"/>
      <c r="BE559" s="264"/>
    </row>
    <row r="560">
      <c r="A560" s="264"/>
      <c r="B560" s="264"/>
      <c r="C560" s="264"/>
      <c r="D560" s="264"/>
      <c r="E560" s="264"/>
      <c r="F560" s="264"/>
      <c r="G560" s="264"/>
      <c r="H560" s="264"/>
      <c r="I560" s="264"/>
      <c r="J560" s="264"/>
      <c r="K560" s="264"/>
      <c r="L560" s="264"/>
      <c r="M560" s="264" t="s">
        <v>22</v>
      </c>
      <c r="N560" s="264"/>
      <c r="O560" s="264" t="s">
        <v>22</v>
      </c>
      <c r="P560" s="264"/>
      <c r="Q560" s="264"/>
      <c r="R560" s="264"/>
      <c r="S560" s="264"/>
      <c r="T560" s="264"/>
      <c r="U560" s="360"/>
      <c r="V560" s="360"/>
      <c r="W560" s="360"/>
      <c r="X560" s="360"/>
      <c r="Y560" s="360"/>
      <c r="Z560" s="360"/>
      <c r="AA560" s="360"/>
      <c r="AB560" s="360"/>
      <c r="AC560" s="360"/>
      <c r="AD560" s="360"/>
      <c r="AE560" s="360"/>
      <c r="AF560" s="360"/>
      <c r="AG560" s="360" t="s">
        <v>1582</v>
      </c>
      <c r="AH560" s="360"/>
      <c r="AI560" s="360"/>
      <c r="AJ560" s="360" t="s">
        <v>1589</v>
      </c>
      <c r="AK560" s="360"/>
      <c r="AL560" s="360" t="s">
        <v>5878</v>
      </c>
      <c r="AM560" s="360"/>
      <c r="AN560" s="360"/>
      <c r="AO560" s="360"/>
      <c r="AP560" s="360"/>
      <c r="AQ560" s="360"/>
      <c r="AR560" s="360"/>
      <c r="AS560" s="360"/>
      <c r="AT560" s="360"/>
      <c r="AU560" s="360" t="s">
        <v>22</v>
      </c>
      <c r="AV560" s="360"/>
      <c r="AW560" s="264"/>
      <c r="AX560" s="264"/>
      <c r="AY560" s="264"/>
      <c r="AZ560" s="264"/>
      <c r="BA560" s="264"/>
      <c r="BB560" s="264"/>
      <c r="BC560" s="264"/>
      <c r="BD560" s="264"/>
      <c r="BE560" s="264"/>
    </row>
    <row r="561">
      <c r="A561" s="264"/>
      <c r="B561" s="264"/>
      <c r="C561" s="264"/>
      <c r="D561" s="264"/>
      <c r="E561" s="264"/>
      <c r="F561" s="264"/>
      <c r="G561" s="264"/>
      <c r="H561" s="264"/>
      <c r="I561" s="264"/>
      <c r="J561" s="264"/>
      <c r="K561" s="264"/>
      <c r="L561" s="264"/>
      <c r="M561" s="264" t="s">
        <v>22</v>
      </c>
      <c r="N561" s="264"/>
      <c r="O561" s="264" t="s">
        <v>22</v>
      </c>
      <c r="P561" s="264"/>
      <c r="Q561" s="264"/>
      <c r="R561" s="264"/>
      <c r="S561" s="264"/>
      <c r="T561" s="264"/>
      <c r="U561" s="360"/>
      <c r="V561" s="360"/>
      <c r="W561" s="360"/>
      <c r="X561" s="360"/>
      <c r="Y561" s="360"/>
      <c r="Z561" s="360"/>
      <c r="AA561" s="360"/>
      <c r="AB561" s="360"/>
      <c r="AC561" s="360"/>
      <c r="AD561" s="360"/>
      <c r="AE561" s="360"/>
      <c r="AF561" s="360"/>
      <c r="AG561" s="360" t="s">
        <v>1582</v>
      </c>
      <c r="AH561" s="360"/>
      <c r="AI561" s="360"/>
      <c r="AJ561" s="360" t="s">
        <v>1589</v>
      </c>
      <c r="AK561" s="360"/>
      <c r="AL561" s="360" t="s">
        <v>5878</v>
      </c>
      <c r="AM561" s="360"/>
      <c r="AN561" s="360"/>
      <c r="AO561" s="360"/>
      <c r="AP561" s="360"/>
      <c r="AQ561" s="360"/>
      <c r="AR561" s="360"/>
      <c r="AS561" s="360"/>
      <c r="AT561" s="360"/>
      <c r="AU561" s="360" t="s">
        <v>22</v>
      </c>
      <c r="AV561" s="360"/>
      <c r="AW561" s="264"/>
      <c r="AX561" s="264"/>
      <c r="AY561" s="264"/>
      <c r="AZ561" s="264"/>
      <c r="BA561" s="264"/>
      <c r="BB561" s="264"/>
      <c r="BC561" s="264"/>
      <c r="BD561" s="264"/>
      <c r="BE561" s="264"/>
    </row>
    <row r="562">
      <c r="A562" s="264"/>
      <c r="B562" s="264"/>
      <c r="C562" s="264"/>
      <c r="D562" s="264"/>
      <c r="E562" s="264"/>
      <c r="F562" s="264"/>
      <c r="G562" s="264"/>
      <c r="H562" s="264"/>
      <c r="I562" s="264"/>
      <c r="J562" s="264"/>
      <c r="K562" s="264"/>
      <c r="L562" s="264"/>
      <c r="M562" s="264" t="s">
        <v>22</v>
      </c>
      <c r="N562" s="264"/>
      <c r="O562" s="264" t="s">
        <v>22</v>
      </c>
      <c r="P562" s="264"/>
      <c r="Q562" s="264"/>
      <c r="R562" s="264"/>
      <c r="S562" s="264"/>
      <c r="T562" s="264"/>
      <c r="U562" s="360"/>
      <c r="V562" s="360"/>
      <c r="W562" s="360"/>
      <c r="X562" s="360"/>
      <c r="Y562" s="360"/>
      <c r="Z562" s="360"/>
      <c r="AA562" s="360"/>
      <c r="AB562" s="360"/>
      <c r="AC562" s="360"/>
      <c r="AD562" s="360"/>
      <c r="AE562" s="360"/>
      <c r="AF562" s="360"/>
      <c r="AG562" s="360" t="s">
        <v>1582</v>
      </c>
      <c r="AH562" s="360"/>
      <c r="AI562" s="360"/>
      <c r="AJ562" s="360" t="s">
        <v>1589</v>
      </c>
      <c r="AK562" s="360"/>
      <c r="AL562" s="360" t="s">
        <v>5878</v>
      </c>
      <c r="AM562" s="360"/>
      <c r="AN562" s="360"/>
      <c r="AO562" s="360"/>
      <c r="AP562" s="360"/>
      <c r="AQ562" s="360"/>
      <c r="AR562" s="360"/>
      <c r="AS562" s="360"/>
      <c r="AT562" s="360"/>
      <c r="AU562" s="360" t="s">
        <v>22</v>
      </c>
      <c r="AV562" s="360"/>
      <c r="AW562" s="264"/>
      <c r="AX562" s="264"/>
      <c r="AY562" s="264"/>
      <c r="AZ562" s="264"/>
      <c r="BA562" s="264"/>
      <c r="BB562" s="264"/>
      <c r="BC562" s="264"/>
      <c r="BD562" s="264"/>
      <c r="BE562" s="264"/>
    </row>
    <row r="563">
      <c r="A563" s="264"/>
      <c r="B563" s="264"/>
      <c r="C563" s="264"/>
      <c r="D563" s="264"/>
      <c r="E563" s="264"/>
      <c r="F563" s="264"/>
      <c r="G563" s="264"/>
      <c r="H563" s="264"/>
      <c r="I563" s="264"/>
      <c r="J563" s="264"/>
      <c r="K563" s="264"/>
      <c r="L563" s="264"/>
      <c r="M563" s="264" t="s">
        <v>22</v>
      </c>
      <c r="N563" s="264"/>
      <c r="O563" s="264" t="s">
        <v>22</v>
      </c>
      <c r="P563" s="264"/>
      <c r="Q563" s="264"/>
      <c r="R563" s="264"/>
      <c r="S563" s="264"/>
      <c r="T563" s="264"/>
      <c r="U563" s="360"/>
      <c r="V563" s="360"/>
      <c r="W563" s="360"/>
      <c r="X563" s="360"/>
      <c r="Y563" s="360"/>
      <c r="Z563" s="360"/>
      <c r="AA563" s="360"/>
      <c r="AB563" s="360"/>
      <c r="AC563" s="360"/>
      <c r="AD563" s="360"/>
      <c r="AE563" s="360"/>
      <c r="AF563" s="360"/>
      <c r="AG563" s="360" t="s">
        <v>1582</v>
      </c>
      <c r="AH563" s="360"/>
      <c r="AI563" s="360"/>
      <c r="AJ563" s="360" t="s">
        <v>1589</v>
      </c>
      <c r="AK563" s="360"/>
      <c r="AL563" s="360" t="s">
        <v>5878</v>
      </c>
      <c r="AM563" s="360"/>
      <c r="AN563" s="360"/>
      <c r="AO563" s="360"/>
      <c r="AP563" s="360"/>
      <c r="AQ563" s="360"/>
      <c r="AR563" s="360"/>
      <c r="AS563" s="360"/>
      <c r="AT563" s="360"/>
      <c r="AU563" s="360" t="s">
        <v>22</v>
      </c>
      <c r="AV563" s="360"/>
      <c r="AW563" s="264"/>
      <c r="AX563" s="264"/>
      <c r="AY563" s="264"/>
      <c r="AZ563" s="264"/>
      <c r="BA563" s="264"/>
      <c r="BB563" s="264"/>
      <c r="BC563" s="264"/>
      <c r="BD563" s="264"/>
      <c r="BE563" s="264"/>
    </row>
    <row r="564">
      <c r="A564" s="264"/>
      <c r="B564" s="264"/>
      <c r="C564" s="264"/>
      <c r="D564" s="264"/>
      <c r="E564" s="264"/>
      <c r="F564" s="264"/>
      <c r="G564" s="264"/>
      <c r="H564" s="264"/>
      <c r="I564" s="264"/>
      <c r="J564" s="264"/>
      <c r="K564" s="264"/>
      <c r="L564" s="264"/>
      <c r="M564" s="264" t="s">
        <v>22</v>
      </c>
      <c r="N564" s="264"/>
      <c r="O564" s="264" t="s">
        <v>22</v>
      </c>
      <c r="P564" s="264"/>
      <c r="Q564" s="264"/>
      <c r="R564" s="264"/>
      <c r="S564" s="264"/>
      <c r="T564" s="264"/>
      <c r="U564" s="360"/>
      <c r="V564" s="360"/>
      <c r="W564" s="360"/>
      <c r="X564" s="360"/>
      <c r="Y564" s="360"/>
      <c r="Z564" s="360"/>
      <c r="AA564" s="360"/>
      <c r="AB564" s="360"/>
      <c r="AC564" s="360"/>
      <c r="AD564" s="360"/>
      <c r="AE564" s="360"/>
      <c r="AF564" s="360"/>
      <c r="AG564" s="360" t="s">
        <v>1582</v>
      </c>
      <c r="AH564" s="360"/>
      <c r="AI564" s="360"/>
      <c r="AJ564" s="360" t="s">
        <v>1589</v>
      </c>
      <c r="AK564" s="360"/>
      <c r="AL564" s="360" t="s">
        <v>5878</v>
      </c>
      <c r="AM564" s="360"/>
      <c r="AN564" s="360"/>
      <c r="AO564" s="360"/>
      <c r="AP564" s="360"/>
      <c r="AQ564" s="360"/>
      <c r="AR564" s="360"/>
      <c r="AS564" s="360"/>
      <c r="AT564" s="360"/>
      <c r="AU564" s="360" t="s">
        <v>22</v>
      </c>
      <c r="AV564" s="360"/>
      <c r="AW564" s="264"/>
      <c r="AX564" s="264"/>
      <c r="AY564" s="264"/>
      <c r="AZ564" s="264"/>
      <c r="BA564" s="264"/>
      <c r="BB564" s="264"/>
      <c r="BC564" s="264"/>
      <c r="BD564" s="264"/>
      <c r="BE564" s="264"/>
    </row>
    <row r="565">
      <c r="A565" s="264"/>
      <c r="B565" s="264"/>
      <c r="C565" s="264"/>
      <c r="D565" s="264"/>
      <c r="E565" s="264"/>
      <c r="F565" s="264"/>
      <c r="G565" s="264"/>
      <c r="H565" s="264"/>
      <c r="I565" s="264"/>
      <c r="J565" s="264"/>
      <c r="K565" s="264"/>
      <c r="L565" s="264"/>
      <c r="M565" s="264" t="s">
        <v>22</v>
      </c>
      <c r="N565" s="264"/>
      <c r="O565" s="264" t="s">
        <v>22</v>
      </c>
      <c r="P565" s="264"/>
      <c r="Q565" s="264"/>
      <c r="R565" s="264"/>
      <c r="S565" s="264"/>
      <c r="T565" s="264"/>
      <c r="U565" s="360"/>
      <c r="V565" s="360"/>
      <c r="W565" s="360"/>
      <c r="X565" s="360"/>
      <c r="Y565" s="360"/>
      <c r="Z565" s="360"/>
      <c r="AA565" s="360"/>
      <c r="AB565" s="360"/>
      <c r="AC565" s="360"/>
      <c r="AD565" s="360"/>
      <c r="AE565" s="360"/>
      <c r="AF565" s="360"/>
      <c r="AG565" s="360" t="s">
        <v>1582</v>
      </c>
      <c r="AH565" s="360"/>
      <c r="AI565" s="360"/>
      <c r="AJ565" s="360" t="s">
        <v>1589</v>
      </c>
      <c r="AK565" s="360"/>
      <c r="AL565" s="360" t="s">
        <v>5878</v>
      </c>
      <c r="AM565" s="360"/>
      <c r="AN565" s="360"/>
      <c r="AO565" s="360"/>
      <c r="AP565" s="360"/>
      <c r="AQ565" s="360"/>
      <c r="AR565" s="360"/>
      <c r="AS565" s="360"/>
      <c r="AT565" s="360"/>
      <c r="AU565" s="360" t="s">
        <v>22</v>
      </c>
      <c r="AV565" s="360"/>
      <c r="AW565" s="264"/>
      <c r="AX565" s="264"/>
      <c r="AY565" s="264"/>
      <c r="AZ565" s="264"/>
      <c r="BA565" s="264"/>
      <c r="BB565" s="264"/>
      <c r="BC565" s="264"/>
      <c r="BD565" s="264"/>
      <c r="BE565" s="264"/>
    </row>
    <row r="566">
      <c r="A566" s="264"/>
      <c r="B566" s="264"/>
      <c r="C566" s="264"/>
      <c r="D566" s="264"/>
      <c r="E566" s="264"/>
      <c r="F566" s="264"/>
      <c r="G566" s="264"/>
      <c r="H566" s="264"/>
      <c r="I566" s="264"/>
      <c r="J566" s="264"/>
      <c r="K566" s="264"/>
      <c r="L566" s="264"/>
      <c r="M566" s="264" t="s">
        <v>22</v>
      </c>
      <c r="N566" s="264"/>
      <c r="O566" s="264" t="s">
        <v>22</v>
      </c>
      <c r="P566" s="264"/>
      <c r="Q566" s="264"/>
      <c r="R566" s="264"/>
      <c r="S566" s="264"/>
      <c r="T566" s="264"/>
      <c r="U566" s="360"/>
      <c r="V566" s="360"/>
      <c r="W566" s="360"/>
      <c r="X566" s="360"/>
      <c r="Y566" s="360"/>
      <c r="Z566" s="360"/>
      <c r="AA566" s="360"/>
      <c r="AB566" s="360"/>
      <c r="AC566" s="360"/>
      <c r="AD566" s="360"/>
      <c r="AE566" s="360"/>
      <c r="AF566" s="360"/>
      <c r="AG566" s="360" t="s">
        <v>1582</v>
      </c>
      <c r="AH566" s="360"/>
      <c r="AI566" s="360"/>
      <c r="AJ566" s="360" t="s">
        <v>1589</v>
      </c>
      <c r="AK566" s="360"/>
      <c r="AL566" s="360" t="s">
        <v>5878</v>
      </c>
      <c r="AM566" s="360"/>
      <c r="AN566" s="360"/>
      <c r="AO566" s="360"/>
      <c r="AP566" s="360"/>
      <c r="AQ566" s="360"/>
      <c r="AR566" s="360"/>
      <c r="AS566" s="360"/>
      <c r="AT566" s="360"/>
      <c r="AU566" s="360" t="s">
        <v>22</v>
      </c>
      <c r="AV566" s="360"/>
      <c r="AW566" s="264"/>
      <c r="AX566" s="264"/>
      <c r="AY566" s="264"/>
      <c r="AZ566" s="264"/>
      <c r="BA566" s="264"/>
      <c r="BB566" s="264"/>
      <c r="BC566" s="264"/>
      <c r="BD566" s="264"/>
      <c r="BE566" s="264"/>
    </row>
    <row r="567">
      <c r="A567" s="264"/>
      <c r="B567" s="264"/>
      <c r="C567" s="264"/>
      <c r="D567" s="264"/>
      <c r="E567" s="264"/>
      <c r="F567" s="264"/>
      <c r="G567" s="264"/>
      <c r="H567" s="264"/>
      <c r="I567" s="264"/>
      <c r="J567" s="264"/>
      <c r="K567" s="264"/>
      <c r="L567" s="264"/>
      <c r="M567" s="264" t="s">
        <v>22</v>
      </c>
      <c r="N567" s="264"/>
      <c r="O567" s="264" t="s">
        <v>22</v>
      </c>
      <c r="P567" s="264"/>
      <c r="Q567" s="264"/>
      <c r="R567" s="264"/>
      <c r="S567" s="264"/>
      <c r="T567" s="264"/>
      <c r="U567" s="360"/>
      <c r="V567" s="360"/>
      <c r="W567" s="360"/>
      <c r="X567" s="360"/>
      <c r="Y567" s="360"/>
      <c r="Z567" s="360"/>
      <c r="AA567" s="360"/>
      <c r="AB567" s="360"/>
      <c r="AC567" s="360"/>
      <c r="AD567" s="360"/>
      <c r="AE567" s="360"/>
      <c r="AF567" s="360"/>
      <c r="AG567" s="360" t="s">
        <v>1582</v>
      </c>
      <c r="AH567" s="360"/>
      <c r="AI567" s="360"/>
      <c r="AJ567" s="360" t="s">
        <v>1589</v>
      </c>
      <c r="AK567" s="360"/>
      <c r="AL567" s="360" t="s">
        <v>5878</v>
      </c>
      <c r="AM567" s="360"/>
      <c r="AN567" s="360"/>
      <c r="AO567" s="360"/>
      <c r="AP567" s="360"/>
      <c r="AQ567" s="360"/>
      <c r="AR567" s="360"/>
      <c r="AS567" s="360"/>
      <c r="AT567" s="360"/>
      <c r="AU567" s="360" t="s">
        <v>22</v>
      </c>
      <c r="AV567" s="360"/>
      <c r="AW567" s="264"/>
      <c r="AX567" s="264"/>
      <c r="AY567" s="264"/>
      <c r="AZ567" s="264"/>
      <c r="BA567" s="264"/>
      <c r="BB567" s="264"/>
      <c r="BC567" s="264"/>
      <c r="BD567" s="264"/>
      <c r="BE567" s="264"/>
    </row>
    <row r="568">
      <c r="A568" s="264"/>
      <c r="B568" s="264"/>
      <c r="C568" s="264"/>
      <c r="D568" s="264"/>
      <c r="E568" s="264"/>
      <c r="F568" s="264"/>
      <c r="G568" s="264"/>
      <c r="H568" s="264"/>
      <c r="I568" s="264"/>
      <c r="J568" s="264"/>
      <c r="K568" s="264"/>
      <c r="L568" s="264"/>
      <c r="M568" s="264" t="s">
        <v>22</v>
      </c>
      <c r="N568" s="264"/>
      <c r="O568" s="264" t="s">
        <v>22</v>
      </c>
      <c r="P568" s="264"/>
      <c r="Q568" s="264"/>
      <c r="R568" s="264"/>
      <c r="S568" s="264"/>
      <c r="T568" s="264"/>
      <c r="U568" s="360"/>
      <c r="V568" s="360"/>
      <c r="W568" s="360"/>
      <c r="X568" s="360"/>
      <c r="Y568" s="360"/>
      <c r="Z568" s="360"/>
      <c r="AA568" s="360"/>
      <c r="AB568" s="360"/>
      <c r="AC568" s="360"/>
      <c r="AD568" s="360"/>
      <c r="AE568" s="360"/>
      <c r="AF568" s="360"/>
      <c r="AG568" s="360" t="s">
        <v>1582</v>
      </c>
      <c r="AH568" s="360"/>
      <c r="AI568" s="360"/>
      <c r="AJ568" s="360" t="s">
        <v>1589</v>
      </c>
      <c r="AK568" s="360"/>
      <c r="AL568" s="360" t="s">
        <v>5878</v>
      </c>
      <c r="AM568" s="360"/>
      <c r="AN568" s="360"/>
      <c r="AO568" s="360"/>
      <c r="AP568" s="360"/>
      <c r="AQ568" s="360"/>
      <c r="AR568" s="360"/>
      <c r="AS568" s="360"/>
      <c r="AT568" s="360"/>
      <c r="AU568" s="360" t="s">
        <v>22</v>
      </c>
      <c r="AV568" s="360"/>
      <c r="AW568" s="264"/>
      <c r="AX568" s="264"/>
      <c r="AY568" s="264"/>
      <c r="AZ568" s="264"/>
      <c r="BA568" s="264"/>
      <c r="BB568" s="264"/>
      <c r="BC568" s="264"/>
      <c r="BD568" s="264"/>
      <c r="BE568" s="264"/>
    </row>
    <row r="569">
      <c r="A569" s="264"/>
      <c r="B569" s="264"/>
      <c r="C569" s="264"/>
      <c r="D569" s="264"/>
      <c r="E569" s="264"/>
      <c r="F569" s="264"/>
      <c r="G569" s="264"/>
      <c r="H569" s="264"/>
      <c r="I569" s="264"/>
      <c r="J569" s="264"/>
      <c r="K569" s="264"/>
      <c r="L569" s="264"/>
      <c r="M569" s="264" t="s">
        <v>22</v>
      </c>
      <c r="N569" s="264"/>
      <c r="O569" s="264" t="s">
        <v>22</v>
      </c>
      <c r="P569" s="264"/>
      <c r="Q569" s="264"/>
      <c r="R569" s="264"/>
      <c r="S569" s="264"/>
      <c r="T569" s="264"/>
      <c r="U569" s="360"/>
      <c r="V569" s="360"/>
      <c r="W569" s="360"/>
      <c r="X569" s="360"/>
      <c r="Y569" s="360"/>
      <c r="Z569" s="360"/>
      <c r="AA569" s="360"/>
      <c r="AB569" s="360"/>
      <c r="AC569" s="360"/>
      <c r="AD569" s="360"/>
      <c r="AE569" s="360"/>
      <c r="AF569" s="360"/>
      <c r="AG569" s="360" t="s">
        <v>1582</v>
      </c>
      <c r="AH569" s="360"/>
      <c r="AI569" s="360"/>
      <c r="AJ569" s="360" t="s">
        <v>1589</v>
      </c>
      <c r="AK569" s="360"/>
      <c r="AL569" s="360" t="s">
        <v>5878</v>
      </c>
      <c r="AM569" s="360"/>
      <c r="AN569" s="360"/>
      <c r="AO569" s="360"/>
      <c r="AP569" s="360"/>
      <c r="AQ569" s="360"/>
      <c r="AR569" s="360"/>
      <c r="AS569" s="360"/>
      <c r="AT569" s="360"/>
      <c r="AU569" s="360" t="s">
        <v>22</v>
      </c>
      <c r="AV569" s="360"/>
      <c r="AW569" s="264"/>
      <c r="AX569" s="264"/>
      <c r="AY569" s="264"/>
      <c r="AZ569" s="264"/>
      <c r="BA569" s="264"/>
      <c r="BB569" s="264"/>
      <c r="BC569" s="264"/>
      <c r="BD569" s="264"/>
      <c r="BE569" s="264"/>
    </row>
    <row r="570">
      <c r="A570" s="264"/>
      <c r="B570" s="264"/>
      <c r="C570" s="264"/>
      <c r="D570" s="264"/>
      <c r="E570" s="264"/>
      <c r="F570" s="264"/>
      <c r="G570" s="264"/>
      <c r="H570" s="264"/>
      <c r="I570" s="264"/>
      <c r="J570" s="264"/>
      <c r="K570" s="264"/>
      <c r="L570" s="264"/>
      <c r="M570" s="264" t="s">
        <v>22</v>
      </c>
      <c r="N570" s="264"/>
      <c r="O570" s="264" t="s">
        <v>22</v>
      </c>
      <c r="P570" s="264"/>
      <c r="Q570" s="264"/>
      <c r="R570" s="264"/>
      <c r="S570" s="264"/>
      <c r="T570" s="264"/>
      <c r="U570" s="360"/>
      <c r="V570" s="360"/>
      <c r="W570" s="360"/>
      <c r="X570" s="360"/>
      <c r="Y570" s="360"/>
      <c r="Z570" s="360"/>
      <c r="AA570" s="360"/>
      <c r="AB570" s="360"/>
      <c r="AC570" s="360"/>
      <c r="AD570" s="360"/>
      <c r="AE570" s="360"/>
      <c r="AF570" s="360"/>
      <c r="AG570" s="360" t="s">
        <v>1582</v>
      </c>
      <c r="AH570" s="360"/>
      <c r="AI570" s="360"/>
      <c r="AJ570" s="360" t="s">
        <v>1589</v>
      </c>
      <c r="AK570" s="360"/>
      <c r="AL570" s="360" t="s">
        <v>5878</v>
      </c>
      <c r="AM570" s="360"/>
      <c r="AN570" s="360"/>
      <c r="AO570" s="360"/>
      <c r="AP570" s="360"/>
      <c r="AQ570" s="360"/>
      <c r="AR570" s="360"/>
      <c r="AS570" s="360"/>
      <c r="AT570" s="360"/>
      <c r="AU570" s="360" t="s">
        <v>22</v>
      </c>
      <c r="AV570" s="360"/>
      <c r="AW570" s="264"/>
      <c r="AX570" s="264"/>
      <c r="AY570" s="264"/>
      <c r="AZ570" s="264"/>
      <c r="BA570" s="264"/>
      <c r="BB570" s="264"/>
      <c r="BC570" s="264"/>
      <c r="BD570" s="264"/>
      <c r="BE570" s="264"/>
    </row>
    <row r="571">
      <c r="A571" s="264"/>
      <c r="B571" s="264"/>
      <c r="C571" s="264"/>
      <c r="D571" s="264"/>
      <c r="E571" s="264"/>
      <c r="F571" s="264"/>
      <c r="G571" s="264"/>
      <c r="H571" s="264"/>
      <c r="I571" s="264"/>
      <c r="J571" s="264"/>
      <c r="K571" s="264"/>
      <c r="L571" s="264"/>
      <c r="M571" s="264" t="s">
        <v>22</v>
      </c>
      <c r="N571" s="264"/>
      <c r="O571" s="264" t="s">
        <v>22</v>
      </c>
      <c r="P571" s="264"/>
      <c r="Q571" s="264"/>
      <c r="R571" s="264"/>
      <c r="S571" s="264"/>
      <c r="T571" s="264"/>
      <c r="U571" s="360"/>
      <c r="V571" s="360"/>
      <c r="W571" s="360"/>
      <c r="X571" s="360"/>
      <c r="Y571" s="360"/>
      <c r="Z571" s="360"/>
      <c r="AA571" s="360"/>
      <c r="AB571" s="360"/>
      <c r="AC571" s="360"/>
      <c r="AD571" s="360"/>
      <c r="AE571" s="360"/>
      <c r="AF571" s="360"/>
      <c r="AG571" s="360" t="s">
        <v>1582</v>
      </c>
      <c r="AH571" s="360"/>
      <c r="AI571" s="360"/>
      <c r="AJ571" s="360" t="s">
        <v>1589</v>
      </c>
      <c r="AK571" s="360"/>
      <c r="AL571" s="360" t="s">
        <v>5878</v>
      </c>
      <c r="AM571" s="360"/>
      <c r="AN571" s="360"/>
      <c r="AO571" s="360"/>
      <c r="AP571" s="360"/>
      <c r="AQ571" s="360"/>
      <c r="AR571" s="360"/>
      <c r="AS571" s="360"/>
      <c r="AT571" s="360"/>
      <c r="AU571" s="360" t="s">
        <v>22</v>
      </c>
      <c r="AV571" s="360"/>
      <c r="AW571" s="264"/>
      <c r="AX571" s="264"/>
      <c r="AY571" s="264"/>
      <c r="AZ571" s="264"/>
      <c r="BA571" s="264"/>
      <c r="BB571" s="264"/>
      <c r="BC571" s="264"/>
      <c r="BD571" s="264"/>
      <c r="BE571" s="264"/>
    </row>
    <row r="572">
      <c r="A572" s="264"/>
      <c r="B572" s="264"/>
      <c r="C572" s="264"/>
      <c r="D572" s="264"/>
      <c r="E572" s="264"/>
      <c r="F572" s="264"/>
      <c r="G572" s="264"/>
      <c r="H572" s="264"/>
      <c r="I572" s="264"/>
      <c r="J572" s="264"/>
      <c r="K572" s="264"/>
      <c r="L572" s="264"/>
      <c r="M572" s="264" t="s">
        <v>22</v>
      </c>
      <c r="N572" s="264"/>
      <c r="O572" s="264" t="s">
        <v>22</v>
      </c>
      <c r="P572" s="264"/>
      <c r="Q572" s="264"/>
      <c r="R572" s="264"/>
      <c r="S572" s="264"/>
      <c r="T572" s="264"/>
      <c r="U572" s="360"/>
      <c r="V572" s="360"/>
      <c r="W572" s="360"/>
      <c r="X572" s="360"/>
      <c r="Y572" s="360"/>
      <c r="Z572" s="360"/>
      <c r="AA572" s="360"/>
      <c r="AB572" s="360"/>
      <c r="AC572" s="360"/>
      <c r="AD572" s="360"/>
      <c r="AE572" s="360"/>
      <c r="AF572" s="360"/>
      <c r="AG572" s="360" t="s">
        <v>1582</v>
      </c>
      <c r="AH572" s="360"/>
      <c r="AI572" s="360"/>
      <c r="AJ572" s="360" t="s">
        <v>1589</v>
      </c>
      <c r="AK572" s="360"/>
      <c r="AL572" s="360" t="s">
        <v>5878</v>
      </c>
      <c r="AM572" s="360"/>
      <c r="AN572" s="360"/>
      <c r="AO572" s="360"/>
      <c r="AP572" s="360"/>
      <c r="AQ572" s="360"/>
      <c r="AR572" s="360"/>
      <c r="AS572" s="360"/>
      <c r="AT572" s="360"/>
      <c r="AU572" s="360" t="s">
        <v>22</v>
      </c>
      <c r="AV572" s="360"/>
      <c r="AW572" s="264"/>
      <c r="AX572" s="264"/>
      <c r="AY572" s="264"/>
      <c r="AZ572" s="264"/>
      <c r="BA572" s="264"/>
      <c r="BB572" s="264"/>
      <c r="BC572" s="264"/>
      <c r="BD572" s="264"/>
      <c r="BE572" s="264"/>
    </row>
    <row r="573">
      <c r="A573" s="264"/>
      <c r="B573" s="264"/>
      <c r="C573" s="264"/>
      <c r="D573" s="264"/>
      <c r="E573" s="264"/>
      <c r="F573" s="264"/>
      <c r="G573" s="264"/>
      <c r="H573" s="264"/>
      <c r="I573" s="264"/>
      <c r="J573" s="264"/>
      <c r="K573" s="264"/>
      <c r="L573" s="264"/>
      <c r="M573" s="264" t="s">
        <v>22</v>
      </c>
      <c r="N573" s="264"/>
      <c r="O573" s="264" t="s">
        <v>22</v>
      </c>
      <c r="P573" s="264"/>
      <c r="Q573" s="264"/>
      <c r="R573" s="264"/>
      <c r="S573" s="264"/>
      <c r="T573" s="264"/>
      <c r="U573" s="360"/>
      <c r="V573" s="360"/>
      <c r="W573" s="360"/>
      <c r="X573" s="360"/>
      <c r="Y573" s="360"/>
      <c r="Z573" s="360"/>
      <c r="AA573" s="360"/>
      <c r="AB573" s="360"/>
      <c r="AC573" s="360"/>
      <c r="AD573" s="360"/>
      <c r="AE573" s="360"/>
      <c r="AF573" s="360"/>
      <c r="AG573" s="360" t="s">
        <v>1582</v>
      </c>
      <c r="AH573" s="360"/>
      <c r="AI573" s="360"/>
      <c r="AJ573" s="360" t="s">
        <v>1589</v>
      </c>
      <c r="AK573" s="360"/>
      <c r="AL573" s="360" t="s">
        <v>5878</v>
      </c>
      <c r="AM573" s="360"/>
      <c r="AN573" s="360"/>
      <c r="AO573" s="360"/>
      <c r="AP573" s="360"/>
      <c r="AQ573" s="360"/>
      <c r="AR573" s="360"/>
      <c r="AS573" s="360"/>
      <c r="AT573" s="360"/>
      <c r="AU573" s="360" t="s">
        <v>22</v>
      </c>
      <c r="AV573" s="360"/>
      <c r="AW573" s="264"/>
      <c r="AX573" s="264"/>
      <c r="AY573" s="264"/>
      <c r="AZ573" s="264"/>
      <c r="BA573" s="264"/>
      <c r="BB573" s="264"/>
      <c r="BC573" s="264"/>
      <c r="BD573" s="264"/>
      <c r="BE573" s="264"/>
    </row>
    <row r="574">
      <c r="A574" s="264"/>
      <c r="B574" s="264"/>
      <c r="C574" s="264"/>
      <c r="D574" s="264"/>
      <c r="E574" s="264"/>
      <c r="F574" s="264"/>
      <c r="G574" s="264"/>
      <c r="H574" s="264"/>
      <c r="I574" s="264"/>
      <c r="J574" s="264"/>
      <c r="K574" s="264"/>
      <c r="L574" s="264"/>
      <c r="M574" s="264" t="s">
        <v>22</v>
      </c>
      <c r="N574" s="264"/>
      <c r="O574" s="264" t="s">
        <v>22</v>
      </c>
      <c r="P574" s="264"/>
      <c r="Q574" s="264"/>
      <c r="R574" s="264"/>
      <c r="S574" s="264"/>
      <c r="T574" s="264"/>
      <c r="U574" s="360"/>
      <c r="V574" s="360"/>
      <c r="W574" s="360"/>
      <c r="X574" s="360"/>
      <c r="Y574" s="360"/>
      <c r="Z574" s="360"/>
      <c r="AA574" s="360"/>
      <c r="AB574" s="360"/>
      <c r="AC574" s="360"/>
      <c r="AD574" s="360"/>
      <c r="AE574" s="360"/>
      <c r="AF574" s="360"/>
      <c r="AG574" s="360" t="s">
        <v>1582</v>
      </c>
      <c r="AH574" s="360"/>
      <c r="AI574" s="360"/>
      <c r="AJ574" s="360" t="s">
        <v>1589</v>
      </c>
      <c r="AK574" s="360"/>
      <c r="AL574" s="360" t="s">
        <v>5878</v>
      </c>
      <c r="AM574" s="360"/>
      <c r="AN574" s="360"/>
      <c r="AO574" s="360"/>
      <c r="AP574" s="360"/>
      <c r="AQ574" s="360"/>
      <c r="AR574" s="360"/>
      <c r="AS574" s="360"/>
      <c r="AT574" s="360"/>
      <c r="AU574" s="360" t="s">
        <v>22</v>
      </c>
      <c r="AV574" s="360"/>
      <c r="AW574" s="264"/>
      <c r="AX574" s="264"/>
      <c r="AY574" s="264"/>
      <c r="AZ574" s="264"/>
      <c r="BA574" s="264"/>
      <c r="BB574" s="264"/>
      <c r="BC574" s="264"/>
      <c r="BD574" s="264"/>
      <c r="BE574" s="264"/>
    </row>
    <row r="575">
      <c r="A575" s="264"/>
      <c r="B575" s="264"/>
      <c r="C575" s="264"/>
      <c r="D575" s="264"/>
      <c r="E575" s="264"/>
      <c r="F575" s="264"/>
      <c r="G575" s="264"/>
      <c r="H575" s="264"/>
      <c r="I575" s="264"/>
      <c r="J575" s="264"/>
      <c r="K575" s="264"/>
      <c r="L575" s="264"/>
      <c r="M575" s="264" t="s">
        <v>22</v>
      </c>
      <c r="N575" s="264"/>
      <c r="O575" s="264" t="s">
        <v>22</v>
      </c>
      <c r="P575" s="264"/>
      <c r="Q575" s="264"/>
      <c r="R575" s="264"/>
      <c r="S575" s="264"/>
      <c r="T575" s="264"/>
      <c r="U575" s="360"/>
      <c r="V575" s="360"/>
      <c r="W575" s="360"/>
      <c r="X575" s="360"/>
      <c r="Y575" s="360"/>
      <c r="Z575" s="360"/>
      <c r="AA575" s="360"/>
      <c r="AB575" s="360"/>
      <c r="AC575" s="360"/>
      <c r="AD575" s="360"/>
      <c r="AE575" s="360"/>
      <c r="AF575" s="360"/>
      <c r="AG575" s="360" t="s">
        <v>1582</v>
      </c>
      <c r="AH575" s="360"/>
      <c r="AI575" s="360"/>
      <c r="AJ575" s="360" t="s">
        <v>1589</v>
      </c>
      <c r="AK575" s="360"/>
      <c r="AL575" s="360" t="s">
        <v>5878</v>
      </c>
      <c r="AM575" s="360"/>
      <c r="AN575" s="360"/>
      <c r="AO575" s="360"/>
      <c r="AP575" s="360"/>
      <c r="AQ575" s="360"/>
      <c r="AR575" s="360"/>
      <c r="AS575" s="360"/>
      <c r="AT575" s="360"/>
      <c r="AU575" s="360" t="s">
        <v>22</v>
      </c>
      <c r="AV575" s="360"/>
      <c r="AW575" s="264"/>
      <c r="AX575" s="264"/>
      <c r="AY575" s="264"/>
      <c r="AZ575" s="264"/>
      <c r="BA575" s="264"/>
      <c r="BB575" s="264"/>
      <c r="BC575" s="264"/>
      <c r="BD575" s="264"/>
      <c r="BE575" s="264"/>
    </row>
    <row r="576">
      <c r="A576" s="264"/>
      <c r="B576" s="264"/>
      <c r="C576" s="264"/>
      <c r="D576" s="264"/>
      <c r="E576" s="264"/>
      <c r="F576" s="264"/>
      <c r="G576" s="264"/>
      <c r="H576" s="264"/>
      <c r="I576" s="264"/>
      <c r="J576" s="264"/>
      <c r="K576" s="264"/>
      <c r="L576" s="264"/>
      <c r="M576" s="264" t="s">
        <v>22</v>
      </c>
      <c r="N576" s="264"/>
      <c r="O576" s="264" t="s">
        <v>22</v>
      </c>
      <c r="P576" s="264"/>
      <c r="Q576" s="264"/>
      <c r="R576" s="264"/>
      <c r="S576" s="264"/>
      <c r="T576" s="264"/>
      <c r="U576" s="360"/>
      <c r="V576" s="360"/>
      <c r="W576" s="360"/>
      <c r="X576" s="360"/>
      <c r="Y576" s="360"/>
      <c r="Z576" s="360"/>
      <c r="AA576" s="360"/>
      <c r="AB576" s="360"/>
      <c r="AC576" s="360"/>
      <c r="AD576" s="360"/>
      <c r="AE576" s="360"/>
      <c r="AF576" s="360"/>
      <c r="AG576" s="360" t="s">
        <v>1582</v>
      </c>
      <c r="AH576" s="360"/>
      <c r="AI576" s="360"/>
      <c r="AJ576" s="360" t="s">
        <v>1589</v>
      </c>
      <c r="AK576" s="360"/>
      <c r="AL576" s="360" t="s">
        <v>5878</v>
      </c>
      <c r="AM576" s="360"/>
      <c r="AN576" s="360"/>
      <c r="AO576" s="360"/>
      <c r="AP576" s="360"/>
      <c r="AQ576" s="360"/>
      <c r="AR576" s="360"/>
      <c r="AS576" s="360"/>
      <c r="AT576" s="360"/>
      <c r="AU576" s="360" t="s">
        <v>22</v>
      </c>
      <c r="AV576" s="360"/>
      <c r="AW576" s="264"/>
      <c r="AX576" s="264"/>
      <c r="AY576" s="264"/>
      <c r="AZ576" s="264"/>
      <c r="BA576" s="264"/>
      <c r="BB576" s="264"/>
      <c r="BC576" s="264"/>
      <c r="BD576" s="264"/>
      <c r="BE576" s="264"/>
    </row>
    <row r="577">
      <c r="A577" s="264"/>
      <c r="B577" s="264"/>
      <c r="C577" s="264"/>
      <c r="D577" s="264"/>
      <c r="E577" s="264"/>
      <c r="F577" s="264"/>
      <c r="G577" s="264"/>
      <c r="H577" s="264"/>
      <c r="I577" s="264"/>
      <c r="J577" s="264"/>
      <c r="K577" s="264"/>
      <c r="L577" s="264"/>
      <c r="M577" s="264" t="s">
        <v>22</v>
      </c>
      <c r="N577" s="264"/>
      <c r="O577" s="264" t="s">
        <v>22</v>
      </c>
      <c r="P577" s="264"/>
      <c r="Q577" s="264"/>
      <c r="R577" s="264"/>
      <c r="S577" s="264"/>
      <c r="T577" s="264"/>
      <c r="U577" s="360"/>
      <c r="V577" s="360"/>
      <c r="W577" s="360"/>
      <c r="X577" s="360"/>
      <c r="Y577" s="360"/>
      <c r="Z577" s="360"/>
      <c r="AA577" s="360"/>
      <c r="AB577" s="360"/>
      <c r="AC577" s="360"/>
      <c r="AD577" s="360"/>
      <c r="AE577" s="360"/>
      <c r="AF577" s="360"/>
      <c r="AG577" s="360" t="s">
        <v>1582</v>
      </c>
      <c r="AH577" s="360"/>
      <c r="AI577" s="360"/>
      <c r="AJ577" s="360" t="s">
        <v>1589</v>
      </c>
      <c r="AK577" s="360"/>
      <c r="AL577" s="360" t="s">
        <v>5878</v>
      </c>
      <c r="AM577" s="360"/>
      <c r="AN577" s="360"/>
      <c r="AO577" s="360"/>
      <c r="AP577" s="360"/>
      <c r="AQ577" s="360"/>
      <c r="AR577" s="360"/>
      <c r="AS577" s="360"/>
      <c r="AT577" s="360"/>
      <c r="AU577" s="360" t="s">
        <v>22</v>
      </c>
      <c r="AV577" s="360"/>
      <c r="AW577" s="264"/>
      <c r="AX577" s="264"/>
      <c r="AY577" s="264"/>
      <c r="AZ577" s="264"/>
      <c r="BA577" s="264"/>
      <c r="BB577" s="264"/>
      <c r="BC577" s="264"/>
      <c r="BD577" s="264"/>
      <c r="BE577" s="264"/>
    </row>
    <row r="578">
      <c r="A578" s="264"/>
      <c r="B578" s="264"/>
      <c r="C578" s="264"/>
      <c r="D578" s="264"/>
      <c r="E578" s="264"/>
      <c r="F578" s="264"/>
      <c r="G578" s="264"/>
      <c r="H578" s="264"/>
      <c r="I578" s="264"/>
      <c r="J578" s="264"/>
      <c r="K578" s="264"/>
      <c r="L578" s="264"/>
      <c r="M578" s="264" t="s">
        <v>22</v>
      </c>
      <c r="N578" s="264"/>
      <c r="O578" s="264" t="s">
        <v>22</v>
      </c>
      <c r="P578" s="264"/>
      <c r="Q578" s="264"/>
      <c r="R578" s="264"/>
      <c r="S578" s="264"/>
      <c r="T578" s="264"/>
      <c r="U578" s="360"/>
      <c r="V578" s="360"/>
      <c r="W578" s="360"/>
      <c r="X578" s="360"/>
      <c r="Y578" s="360"/>
      <c r="Z578" s="360"/>
      <c r="AA578" s="360"/>
      <c r="AB578" s="360"/>
      <c r="AC578" s="360"/>
      <c r="AD578" s="360"/>
      <c r="AE578" s="360"/>
      <c r="AF578" s="360"/>
      <c r="AG578" s="360" t="s">
        <v>1582</v>
      </c>
      <c r="AH578" s="360"/>
      <c r="AI578" s="360"/>
      <c r="AJ578" s="360" t="s">
        <v>1589</v>
      </c>
      <c r="AK578" s="360"/>
      <c r="AL578" s="360" t="s">
        <v>5878</v>
      </c>
      <c r="AM578" s="360"/>
      <c r="AN578" s="360"/>
      <c r="AO578" s="360"/>
      <c r="AP578" s="360"/>
      <c r="AQ578" s="360"/>
      <c r="AR578" s="360"/>
      <c r="AS578" s="360"/>
      <c r="AT578" s="360"/>
      <c r="AU578" s="360" t="s">
        <v>22</v>
      </c>
      <c r="AV578" s="360"/>
      <c r="AW578" s="264"/>
      <c r="AX578" s="264"/>
      <c r="AY578" s="264"/>
      <c r="AZ578" s="264"/>
      <c r="BA578" s="264"/>
      <c r="BB578" s="264"/>
      <c r="BC578" s="264"/>
      <c r="BD578" s="264"/>
      <c r="BE578" s="264"/>
    </row>
    <row r="579">
      <c r="A579" s="264"/>
      <c r="B579" s="264"/>
      <c r="C579" s="264"/>
      <c r="D579" s="264"/>
      <c r="E579" s="264"/>
      <c r="F579" s="264"/>
      <c r="G579" s="264"/>
      <c r="H579" s="264"/>
      <c r="I579" s="264"/>
      <c r="J579" s="264"/>
      <c r="K579" s="264"/>
      <c r="L579" s="264"/>
      <c r="M579" s="264" t="s">
        <v>22</v>
      </c>
      <c r="N579" s="264"/>
      <c r="O579" s="264" t="s">
        <v>22</v>
      </c>
      <c r="P579" s="264"/>
      <c r="Q579" s="264"/>
      <c r="R579" s="264"/>
      <c r="S579" s="264"/>
      <c r="T579" s="264"/>
      <c r="U579" s="360"/>
      <c r="V579" s="360"/>
      <c r="W579" s="360"/>
      <c r="X579" s="360"/>
      <c r="Y579" s="360"/>
      <c r="Z579" s="360"/>
      <c r="AA579" s="360"/>
      <c r="AB579" s="360"/>
      <c r="AC579" s="360"/>
      <c r="AD579" s="360"/>
      <c r="AE579" s="360"/>
      <c r="AF579" s="360"/>
      <c r="AG579" s="360" t="s">
        <v>1582</v>
      </c>
      <c r="AH579" s="360"/>
      <c r="AI579" s="360"/>
      <c r="AJ579" s="360" t="s">
        <v>1589</v>
      </c>
      <c r="AK579" s="360"/>
      <c r="AL579" s="360" t="s">
        <v>5878</v>
      </c>
      <c r="AM579" s="360"/>
      <c r="AN579" s="360"/>
      <c r="AO579" s="360"/>
      <c r="AP579" s="360"/>
      <c r="AQ579" s="360"/>
      <c r="AR579" s="360"/>
      <c r="AS579" s="360"/>
      <c r="AT579" s="360"/>
      <c r="AU579" s="360" t="s">
        <v>22</v>
      </c>
      <c r="AV579" s="360"/>
      <c r="AW579" s="264"/>
      <c r="AX579" s="264"/>
      <c r="AY579" s="264"/>
      <c r="AZ579" s="264"/>
      <c r="BA579" s="264"/>
      <c r="BB579" s="264"/>
      <c r="BC579" s="264"/>
      <c r="BD579" s="264"/>
      <c r="BE579" s="264"/>
    </row>
    <row r="580">
      <c r="A580" s="264"/>
      <c r="B580" s="264"/>
      <c r="C580" s="264"/>
      <c r="D580" s="264"/>
      <c r="E580" s="264"/>
      <c r="F580" s="264"/>
      <c r="G580" s="264"/>
      <c r="H580" s="264"/>
      <c r="I580" s="264"/>
      <c r="J580" s="264"/>
      <c r="K580" s="264"/>
      <c r="L580" s="264"/>
      <c r="M580" s="264" t="s">
        <v>22</v>
      </c>
      <c r="N580" s="264"/>
      <c r="O580" s="264" t="s">
        <v>22</v>
      </c>
      <c r="P580" s="264"/>
      <c r="Q580" s="264"/>
      <c r="R580" s="264"/>
      <c r="S580" s="264"/>
      <c r="T580" s="264"/>
      <c r="U580" s="360"/>
      <c r="V580" s="360"/>
      <c r="W580" s="360"/>
      <c r="X580" s="360"/>
      <c r="Y580" s="360"/>
      <c r="Z580" s="360"/>
      <c r="AA580" s="360"/>
      <c r="AB580" s="360"/>
      <c r="AC580" s="360"/>
      <c r="AD580" s="360"/>
      <c r="AE580" s="360"/>
      <c r="AF580" s="360"/>
      <c r="AG580" s="360" t="s">
        <v>1582</v>
      </c>
      <c r="AH580" s="360"/>
      <c r="AI580" s="360"/>
      <c r="AJ580" s="360" t="s">
        <v>1589</v>
      </c>
      <c r="AK580" s="360"/>
      <c r="AL580" s="360" t="s">
        <v>5878</v>
      </c>
      <c r="AM580" s="360"/>
      <c r="AN580" s="360"/>
      <c r="AO580" s="360"/>
      <c r="AP580" s="360"/>
      <c r="AQ580" s="360"/>
      <c r="AR580" s="360"/>
      <c r="AS580" s="360"/>
      <c r="AT580" s="360"/>
      <c r="AU580" s="360" t="s">
        <v>22</v>
      </c>
      <c r="AV580" s="360"/>
      <c r="AW580" s="264"/>
      <c r="AX580" s="264"/>
      <c r="AY580" s="264"/>
      <c r="AZ580" s="264"/>
      <c r="BA580" s="264"/>
      <c r="BB580" s="264"/>
      <c r="BC580" s="264"/>
      <c r="BD580" s="264"/>
      <c r="BE580" s="264"/>
    </row>
    <row r="581">
      <c r="A581" s="264"/>
      <c r="B581" s="264"/>
      <c r="C581" s="264"/>
      <c r="D581" s="264"/>
      <c r="E581" s="264"/>
      <c r="F581" s="264"/>
      <c r="G581" s="264"/>
      <c r="H581" s="264"/>
      <c r="I581" s="264"/>
      <c r="J581" s="264"/>
      <c r="K581" s="264"/>
      <c r="L581" s="264"/>
      <c r="M581" s="264" t="s">
        <v>22</v>
      </c>
      <c r="N581" s="264"/>
      <c r="O581" s="264" t="s">
        <v>22</v>
      </c>
      <c r="P581" s="264"/>
      <c r="Q581" s="264"/>
      <c r="R581" s="264"/>
      <c r="S581" s="264"/>
      <c r="T581" s="264"/>
      <c r="U581" s="360"/>
      <c r="V581" s="360"/>
      <c r="W581" s="360"/>
      <c r="X581" s="360"/>
      <c r="Y581" s="360"/>
      <c r="Z581" s="360"/>
      <c r="AA581" s="360"/>
      <c r="AB581" s="360"/>
      <c r="AC581" s="360"/>
      <c r="AD581" s="360"/>
      <c r="AE581" s="360"/>
      <c r="AF581" s="360"/>
      <c r="AG581" s="360" t="s">
        <v>1582</v>
      </c>
      <c r="AH581" s="360"/>
      <c r="AI581" s="360"/>
      <c r="AJ581" s="360" t="s">
        <v>1589</v>
      </c>
      <c r="AK581" s="360"/>
      <c r="AL581" s="360" t="s">
        <v>5878</v>
      </c>
      <c r="AM581" s="360"/>
      <c r="AN581" s="360"/>
      <c r="AO581" s="360"/>
      <c r="AP581" s="360"/>
      <c r="AQ581" s="360"/>
      <c r="AR581" s="360"/>
      <c r="AS581" s="360"/>
      <c r="AT581" s="360"/>
      <c r="AU581" s="360" t="s">
        <v>22</v>
      </c>
      <c r="AV581" s="360"/>
      <c r="AW581" s="264"/>
      <c r="AX581" s="264"/>
      <c r="AY581" s="264"/>
      <c r="AZ581" s="264"/>
      <c r="BA581" s="264"/>
      <c r="BB581" s="264"/>
      <c r="BC581" s="264"/>
      <c r="BD581" s="264"/>
      <c r="BE581" s="264"/>
    </row>
    <row r="582">
      <c r="A582" s="264"/>
      <c r="B582" s="264"/>
      <c r="C582" s="264"/>
      <c r="D582" s="264"/>
      <c r="E582" s="264"/>
      <c r="F582" s="264"/>
      <c r="G582" s="264"/>
      <c r="H582" s="264"/>
      <c r="I582" s="264"/>
      <c r="J582" s="264"/>
      <c r="K582" s="264"/>
      <c r="L582" s="264"/>
      <c r="M582" s="264" t="s">
        <v>22</v>
      </c>
      <c r="N582" s="264"/>
      <c r="O582" s="264" t="s">
        <v>22</v>
      </c>
      <c r="P582" s="264"/>
      <c r="Q582" s="264"/>
      <c r="R582" s="264"/>
      <c r="S582" s="264"/>
      <c r="T582" s="264"/>
      <c r="U582" s="360"/>
      <c r="V582" s="360"/>
      <c r="W582" s="360"/>
      <c r="X582" s="360"/>
      <c r="Y582" s="360"/>
      <c r="Z582" s="360"/>
      <c r="AA582" s="360"/>
      <c r="AB582" s="360"/>
      <c r="AC582" s="360"/>
      <c r="AD582" s="360"/>
      <c r="AE582" s="360"/>
      <c r="AF582" s="360"/>
      <c r="AG582" s="360" t="s">
        <v>1582</v>
      </c>
      <c r="AH582" s="360"/>
      <c r="AI582" s="360"/>
      <c r="AJ582" s="360" t="s">
        <v>1589</v>
      </c>
      <c r="AK582" s="360"/>
      <c r="AL582" s="360" t="s">
        <v>5878</v>
      </c>
      <c r="AM582" s="360"/>
      <c r="AN582" s="360"/>
      <c r="AO582" s="360"/>
      <c r="AP582" s="360"/>
      <c r="AQ582" s="360"/>
      <c r="AR582" s="360"/>
      <c r="AS582" s="360"/>
      <c r="AT582" s="360"/>
      <c r="AU582" s="360" t="s">
        <v>22</v>
      </c>
      <c r="AV582" s="360"/>
      <c r="AW582" s="264"/>
      <c r="AX582" s="264"/>
      <c r="AY582" s="264"/>
      <c r="AZ582" s="264"/>
      <c r="BA582" s="264"/>
      <c r="BB582" s="264"/>
      <c r="BC582" s="264"/>
      <c r="BD582" s="264"/>
      <c r="BE582" s="264"/>
    </row>
    <row r="583">
      <c r="A583" s="264"/>
      <c r="B583" s="264"/>
      <c r="C583" s="264"/>
      <c r="D583" s="264"/>
      <c r="E583" s="264"/>
      <c r="F583" s="264"/>
      <c r="G583" s="264"/>
      <c r="H583" s="264"/>
      <c r="I583" s="264"/>
      <c r="J583" s="264"/>
      <c r="K583" s="264"/>
      <c r="L583" s="264"/>
      <c r="M583" s="264" t="s">
        <v>22</v>
      </c>
      <c r="N583" s="264"/>
      <c r="O583" s="264" t="s">
        <v>22</v>
      </c>
      <c r="P583" s="264"/>
      <c r="Q583" s="264"/>
      <c r="R583" s="264"/>
      <c r="S583" s="264"/>
      <c r="T583" s="264"/>
      <c r="U583" s="360"/>
      <c r="V583" s="360"/>
      <c r="W583" s="360"/>
      <c r="X583" s="360"/>
      <c r="Y583" s="360"/>
      <c r="Z583" s="360"/>
      <c r="AA583" s="360"/>
      <c r="AB583" s="360"/>
      <c r="AC583" s="360"/>
      <c r="AD583" s="360"/>
      <c r="AE583" s="360"/>
      <c r="AF583" s="360"/>
      <c r="AG583" s="360" t="s">
        <v>1582</v>
      </c>
      <c r="AH583" s="360"/>
      <c r="AI583" s="360"/>
      <c r="AJ583" s="360" t="s">
        <v>1589</v>
      </c>
      <c r="AK583" s="360"/>
      <c r="AL583" s="360" t="s">
        <v>5878</v>
      </c>
      <c r="AM583" s="360"/>
      <c r="AN583" s="360"/>
      <c r="AO583" s="360"/>
      <c r="AP583" s="360"/>
      <c r="AQ583" s="360"/>
      <c r="AR583" s="360"/>
      <c r="AS583" s="360"/>
      <c r="AT583" s="360"/>
      <c r="AU583" s="360" t="s">
        <v>22</v>
      </c>
      <c r="AV583" s="360"/>
      <c r="AW583" s="264"/>
      <c r="AX583" s="264"/>
      <c r="AY583" s="264"/>
      <c r="AZ583" s="264"/>
      <c r="BA583" s="264"/>
      <c r="BB583" s="264"/>
      <c r="BC583" s="264"/>
      <c r="BD583" s="264"/>
      <c r="BE583" s="264"/>
    </row>
    <row r="584">
      <c r="A584" s="264"/>
      <c r="B584" s="264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 t="s">
        <v>22</v>
      </c>
      <c r="N584" s="264"/>
      <c r="O584" s="264" t="s">
        <v>22</v>
      </c>
      <c r="P584" s="264"/>
      <c r="Q584" s="264"/>
      <c r="R584" s="264"/>
      <c r="S584" s="264"/>
      <c r="T584" s="264"/>
      <c r="U584" s="360"/>
      <c r="V584" s="360"/>
      <c r="W584" s="360"/>
      <c r="X584" s="360"/>
      <c r="Y584" s="360"/>
      <c r="Z584" s="360"/>
      <c r="AA584" s="360"/>
      <c r="AB584" s="360"/>
      <c r="AC584" s="360"/>
      <c r="AD584" s="360"/>
      <c r="AE584" s="360"/>
      <c r="AF584" s="360"/>
      <c r="AG584" s="360" t="s">
        <v>1582</v>
      </c>
      <c r="AH584" s="360"/>
      <c r="AI584" s="360"/>
      <c r="AJ584" s="360" t="s">
        <v>1589</v>
      </c>
      <c r="AK584" s="360"/>
      <c r="AL584" s="360" t="s">
        <v>5878</v>
      </c>
      <c r="AM584" s="360"/>
      <c r="AN584" s="360"/>
      <c r="AO584" s="360"/>
      <c r="AP584" s="360"/>
      <c r="AQ584" s="360"/>
      <c r="AR584" s="360"/>
      <c r="AS584" s="360"/>
      <c r="AT584" s="360"/>
      <c r="AU584" s="360" t="s">
        <v>22</v>
      </c>
      <c r="AV584" s="360"/>
      <c r="AW584" s="264"/>
      <c r="AX584" s="264"/>
      <c r="AY584" s="264"/>
      <c r="AZ584" s="264"/>
      <c r="BA584" s="264"/>
      <c r="BB584" s="264"/>
      <c r="BC584" s="264"/>
      <c r="BD584" s="264"/>
      <c r="BE584" s="264"/>
    </row>
    <row r="585">
      <c r="A585" s="264"/>
      <c r="B585" s="264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 t="s">
        <v>22</v>
      </c>
      <c r="N585" s="264"/>
      <c r="O585" s="264" t="s">
        <v>22</v>
      </c>
      <c r="P585" s="264"/>
      <c r="Q585" s="264"/>
      <c r="R585" s="264"/>
      <c r="S585" s="264"/>
      <c r="T585" s="264"/>
      <c r="U585" s="360"/>
      <c r="V585" s="360"/>
      <c r="W585" s="360"/>
      <c r="X585" s="360"/>
      <c r="Y585" s="360"/>
      <c r="Z585" s="360"/>
      <c r="AA585" s="360"/>
      <c r="AB585" s="360"/>
      <c r="AC585" s="360"/>
      <c r="AD585" s="360"/>
      <c r="AE585" s="360"/>
      <c r="AF585" s="360"/>
      <c r="AG585" s="360" t="s">
        <v>1582</v>
      </c>
      <c r="AH585" s="360"/>
      <c r="AI585" s="360"/>
      <c r="AJ585" s="360" t="s">
        <v>1589</v>
      </c>
      <c r="AK585" s="360"/>
      <c r="AL585" s="360" t="s">
        <v>5878</v>
      </c>
      <c r="AM585" s="360"/>
      <c r="AN585" s="360"/>
      <c r="AO585" s="360"/>
      <c r="AP585" s="360"/>
      <c r="AQ585" s="360"/>
      <c r="AR585" s="360"/>
      <c r="AS585" s="360"/>
      <c r="AT585" s="360"/>
      <c r="AU585" s="360" t="s">
        <v>22</v>
      </c>
      <c r="AV585" s="360"/>
      <c r="AW585" s="264"/>
      <c r="AX585" s="264"/>
      <c r="AY585" s="264"/>
      <c r="AZ585" s="264"/>
      <c r="BA585" s="264"/>
      <c r="BB585" s="264"/>
      <c r="BC585" s="264"/>
      <c r="BD585" s="264"/>
      <c r="BE585" s="264"/>
    </row>
    <row r="586">
      <c r="A586" s="264"/>
      <c r="B586" s="264"/>
      <c r="C586" s="264"/>
      <c r="D586" s="264"/>
      <c r="E586" s="264"/>
      <c r="F586" s="264"/>
      <c r="G586" s="264"/>
      <c r="H586" s="264"/>
      <c r="I586" s="264"/>
      <c r="J586" s="264"/>
      <c r="K586" s="264"/>
      <c r="L586" s="264"/>
      <c r="M586" s="264" t="s">
        <v>22</v>
      </c>
      <c r="N586" s="264"/>
      <c r="O586" s="264" t="s">
        <v>22</v>
      </c>
      <c r="P586" s="264"/>
      <c r="Q586" s="264"/>
      <c r="R586" s="264"/>
      <c r="S586" s="264"/>
      <c r="T586" s="264"/>
      <c r="U586" s="360"/>
      <c r="V586" s="360"/>
      <c r="W586" s="360"/>
      <c r="X586" s="360"/>
      <c r="Y586" s="360"/>
      <c r="Z586" s="360"/>
      <c r="AA586" s="360"/>
      <c r="AB586" s="360"/>
      <c r="AC586" s="360"/>
      <c r="AD586" s="360"/>
      <c r="AE586" s="360"/>
      <c r="AF586" s="360"/>
      <c r="AG586" s="360" t="s">
        <v>1582</v>
      </c>
      <c r="AH586" s="360"/>
      <c r="AI586" s="360"/>
      <c r="AJ586" s="360" t="s">
        <v>1589</v>
      </c>
      <c r="AK586" s="360"/>
      <c r="AL586" s="360" t="s">
        <v>5878</v>
      </c>
      <c r="AM586" s="360"/>
      <c r="AN586" s="360"/>
      <c r="AO586" s="360"/>
      <c r="AP586" s="360"/>
      <c r="AQ586" s="360"/>
      <c r="AR586" s="360"/>
      <c r="AS586" s="360"/>
      <c r="AT586" s="360"/>
      <c r="AU586" s="360" t="s">
        <v>22</v>
      </c>
      <c r="AV586" s="360"/>
      <c r="AW586" s="264"/>
      <c r="AX586" s="264"/>
      <c r="AY586" s="264"/>
      <c r="AZ586" s="264"/>
      <c r="BA586" s="264"/>
      <c r="BB586" s="264"/>
      <c r="BC586" s="264"/>
      <c r="BD586" s="264"/>
      <c r="BE586" s="264"/>
    </row>
    <row r="587">
      <c r="A587" s="264"/>
      <c r="B587" s="264"/>
      <c r="C587" s="264"/>
      <c r="D587" s="264"/>
      <c r="E587" s="264"/>
      <c r="F587" s="264"/>
      <c r="G587" s="264"/>
      <c r="H587" s="264"/>
      <c r="I587" s="264"/>
      <c r="J587" s="264"/>
      <c r="K587" s="264"/>
      <c r="L587" s="264"/>
      <c r="M587" s="264" t="s">
        <v>22</v>
      </c>
      <c r="N587" s="264"/>
      <c r="O587" s="264" t="s">
        <v>22</v>
      </c>
      <c r="P587" s="264"/>
      <c r="Q587" s="264"/>
      <c r="R587" s="264"/>
      <c r="S587" s="264"/>
      <c r="T587" s="264"/>
      <c r="U587" s="360"/>
      <c r="V587" s="360"/>
      <c r="W587" s="360"/>
      <c r="X587" s="360"/>
      <c r="Y587" s="360"/>
      <c r="Z587" s="360"/>
      <c r="AA587" s="360"/>
      <c r="AB587" s="360"/>
      <c r="AC587" s="360"/>
      <c r="AD587" s="360"/>
      <c r="AE587" s="360"/>
      <c r="AF587" s="360"/>
      <c r="AG587" s="360" t="s">
        <v>1582</v>
      </c>
      <c r="AH587" s="360"/>
      <c r="AI587" s="360"/>
      <c r="AJ587" s="360" t="s">
        <v>1589</v>
      </c>
      <c r="AK587" s="360"/>
      <c r="AL587" s="360" t="s">
        <v>5878</v>
      </c>
      <c r="AM587" s="360"/>
      <c r="AN587" s="360"/>
      <c r="AO587" s="360"/>
      <c r="AP587" s="360"/>
      <c r="AQ587" s="360"/>
      <c r="AR587" s="360"/>
      <c r="AS587" s="360"/>
      <c r="AT587" s="360"/>
      <c r="AU587" s="360" t="s">
        <v>22</v>
      </c>
      <c r="AV587" s="360"/>
      <c r="AW587" s="264"/>
      <c r="AX587" s="264"/>
      <c r="AY587" s="264"/>
      <c r="AZ587" s="264"/>
      <c r="BA587" s="264"/>
      <c r="BB587" s="264"/>
      <c r="BC587" s="264"/>
      <c r="BD587" s="264"/>
      <c r="BE587" s="264"/>
    </row>
    <row r="588">
      <c r="A588" s="264"/>
      <c r="B588" s="264"/>
      <c r="C588" s="264"/>
      <c r="D588" s="264"/>
      <c r="E588" s="264"/>
      <c r="F588" s="264"/>
      <c r="G588" s="264"/>
      <c r="H588" s="264"/>
      <c r="I588" s="264"/>
      <c r="J588" s="264"/>
      <c r="K588" s="264"/>
      <c r="L588" s="264"/>
      <c r="M588" s="264" t="s">
        <v>22</v>
      </c>
      <c r="N588" s="264"/>
      <c r="O588" s="264" t="s">
        <v>22</v>
      </c>
      <c r="P588" s="264"/>
      <c r="Q588" s="264"/>
      <c r="R588" s="264"/>
      <c r="S588" s="264"/>
      <c r="T588" s="264"/>
      <c r="U588" s="360"/>
      <c r="V588" s="360"/>
      <c r="W588" s="360"/>
      <c r="X588" s="360"/>
      <c r="Y588" s="360"/>
      <c r="Z588" s="360"/>
      <c r="AA588" s="360"/>
      <c r="AB588" s="360"/>
      <c r="AC588" s="360"/>
      <c r="AD588" s="360"/>
      <c r="AE588" s="360"/>
      <c r="AF588" s="360"/>
      <c r="AG588" s="360" t="s">
        <v>1582</v>
      </c>
      <c r="AH588" s="360"/>
      <c r="AI588" s="360"/>
      <c r="AJ588" s="360" t="s">
        <v>1589</v>
      </c>
      <c r="AK588" s="360"/>
      <c r="AL588" s="360" t="s">
        <v>5878</v>
      </c>
      <c r="AM588" s="360"/>
      <c r="AN588" s="360"/>
      <c r="AO588" s="360"/>
      <c r="AP588" s="360"/>
      <c r="AQ588" s="360"/>
      <c r="AR588" s="360"/>
      <c r="AS588" s="360"/>
      <c r="AT588" s="360"/>
      <c r="AU588" s="360" t="s">
        <v>22</v>
      </c>
      <c r="AV588" s="360"/>
      <c r="AW588" s="264"/>
      <c r="AX588" s="264"/>
      <c r="AY588" s="264"/>
      <c r="AZ588" s="264"/>
      <c r="BA588" s="264"/>
      <c r="BB588" s="264"/>
      <c r="BC588" s="264"/>
      <c r="BD588" s="264"/>
      <c r="BE588" s="264"/>
    </row>
    <row r="589">
      <c r="A589" s="264"/>
      <c r="B589" s="264"/>
      <c r="C589" s="264"/>
      <c r="D589" s="264"/>
      <c r="E589" s="264"/>
      <c r="F589" s="264"/>
      <c r="G589" s="264"/>
      <c r="H589" s="264"/>
      <c r="I589" s="264"/>
      <c r="J589" s="264"/>
      <c r="K589" s="264"/>
      <c r="L589" s="264"/>
      <c r="M589" s="264" t="s">
        <v>22</v>
      </c>
      <c r="N589" s="264"/>
      <c r="O589" s="264" t="s">
        <v>22</v>
      </c>
      <c r="P589" s="264"/>
      <c r="Q589" s="264"/>
      <c r="R589" s="264"/>
      <c r="S589" s="264"/>
      <c r="T589" s="264"/>
      <c r="U589" s="360"/>
      <c r="V589" s="360"/>
      <c r="W589" s="360"/>
      <c r="X589" s="360"/>
      <c r="Y589" s="360"/>
      <c r="Z589" s="360"/>
      <c r="AA589" s="360"/>
      <c r="AB589" s="360"/>
      <c r="AC589" s="360"/>
      <c r="AD589" s="360"/>
      <c r="AE589" s="360"/>
      <c r="AF589" s="360"/>
      <c r="AG589" s="360" t="s">
        <v>1582</v>
      </c>
      <c r="AH589" s="360"/>
      <c r="AI589" s="360"/>
      <c r="AJ589" s="360" t="s">
        <v>1589</v>
      </c>
      <c r="AK589" s="360"/>
      <c r="AL589" s="360" t="s">
        <v>5878</v>
      </c>
      <c r="AM589" s="360"/>
      <c r="AN589" s="360"/>
      <c r="AO589" s="360"/>
      <c r="AP589" s="360"/>
      <c r="AQ589" s="360"/>
      <c r="AR589" s="360"/>
      <c r="AS589" s="360"/>
      <c r="AT589" s="360"/>
      <c r="AU589" s="360" t="s">
        <v>22</v>
      </c>
      <c r="AV589" s="360"/>
      <c r="AW589" s="264"/>
      <c r="AX589" s="264"/>
      <c r="AY589" s="264"/>
      <c r="AZ589" s="264"/>
      <c r="BA589" s="264"/>
      <c r="BB589" s="264"/>
      <c r="BC589" s="264"/>
      <c r="BD589" s="264"/>
      <c r="BE589" s="264"/>
    </row>
    <row r="590">
      <c r="A590" s="264"/>
      <c r="B590" s="264"/>
      <c r="C590" s="264"/>
      <c r="D590" s="264"/>
      <c r="E590" s="264"/>
      <c r="F590" s="264"/>
      <c r="G590" s="264"/>
      <c r="H590" s="264"/>
      <c r="I590" s="264"/>
      <c r="J590" s="264"/>
      <c r="K590" s="264"/>
      <c r="L590" s="264"/>
      <c r="M590" s="264" t="s">
        <v>22</v>
      </c>
      <c r="N590" s="264"/>
      <c r="O590" s="264" t="s">
        <v>22</v>
      </c>
      <c r="P590" s="264"/>
      <c r="Q590" s="264"/>
      <c r="R590" s="264"/>
      <c r="S590" s="264"/>
      <c r="T590" s="264"/>
      <c r="U590" s="360"/>
      <c r="V590" s="360"/>
      <c r="W590" s="360"/>
      <c r="X590" s="360"/>
      <c r="Y590" s="360"/>
      <c r="Z590" s="360"/>
      <c r="AA590" s="360"/>
      <c r="AB590" s="360"/>
      <c r="AC590" s="360"/>
      <c r="AD590" s="360"/>
      <c r="AE590" s="360"/>
      <c r="AF590" s="360"/>
      <c r="AG590" s="360" t="s">
        <v>1582</v>
      </c>
      <c r="AH590" s="360"/>
      <c r="AI590" s="360"/>
      <c r="AJ590" s="360" t="s">
        <v>1589</v>
      </c>
      <c r="AK590" s="360"/>
      <c r="AL590" s="360" t="s">
        <v>5878</v>
      </c>
      <c r="AM590" s="360"/>
      <c r="AN590" s="360"/>
      <c r="AO590" s="360"/>
      <c r="AP590" s="360"/>
      <c r="AQ590" s="360"/>
      <c r="AR590" s="360"/>
      <c r="AS590" s="360"/>
      <c r="AT590" s="360"/>
      <c r="AU590" s="360" t="s">
        <v>22</v>
      </c>
      <c r="AV590" s="360"/>
      <c r="AW590" s="264"/>
      <c r="AX590" s="264"/>
      <c r="AY590" s="264"/>
      <c r="AZ590" s="264"/>
      <c r="BA590" s="264"/>
      <c r="BB590" s="264"/>
      <c r="BC590" s="264"/>
      <c r="BD590" s="264"/>
      <c r="BE590" s="264"/>
    </row>
    <row r="591">
      <c r="A591" s="264"/>
      <c r="B591" s="264"/>
      <c r="C591" s="264"/>
      <c r="D591" s="264"/>
      <c r="E591" s="264"/>
      <c r="F591" s="264"/>
      <c r="G591" s="264"/>
      <c r="H591" s="264"/>
      <c r="I591" s="264"/>
      <c r="J591" s="264"/>
      <c r="K591" s="264"/>
      <c r="L591" s="264"/>
      <c r="M591" s="264" t="s">
        <v>22</v>
      </c>
      <c r="N591" s="264"/>
      <c r="O591" s="264" t="s">
        <v>22</v>
      </c>
      <c r="P591" s="264"/>
      <c r="Q591" s="264"/>
      <c r="R591" s="264"/>
      <c r="S591" s="264"/>
      <c r="T591" s="264"/>
      <c r="U591" s="360"/>
      <c r="V591" s="360"/>
      <c r="W591" s="360"/>
      <c r="X591" s="360"/>
      <c r="Y591" s="360"/>
      <c r="Z591" s="360"/>
      <c r="AA591" s="360"/>
      <c r="AB591" s="360"/>
      <c r="AC591" s="360"/>
      <c r="AD591" s="360"/>
      <c r="AE591" s="360"/>
      <c r="AF591" s="360"/>
      <c r="AG591" s="360" t="s">
        <v>1582</v>
      </c>
      <c r="AH591" s="360"/>
      <c r="AI591" s="360"/>
      <c r="AJ591" s="360" t="s">
        <v>1589</v>
      </c>
      <c r="AK591" s="360"/>
      <c r="AL591" s="360" t="s">
        <v>5878</v>
      </c>
      <c r="AM591" s="360"/>
      <c r="AN591" s="360"/>
      <c r="AO591" s="360"/>
      <c r="AP591" s="360"/>
      <c r="AQ591" s="360"/>
      <c r="AR591" s="360"/>
      <c r="AS591" s="360"/>
      <c r="AT591" s="360"/>
      <c r="AU591" s="360" t="s">
        <v>22</v>
      </c>
      <c r="AV591" s="360"/>
      <c r="AW591" s="264"/>
      <c r="AX591" s="264"/>
      <c r="AY591" s="264"/>
      <c r="AZ591" s="264"/>
      <c r="BA591" s="264"/>
      <c r="BB591" s="264"/>
      <c r="BC591" s="264"/>
      <c r="BD591" s="264"/>
      <c r="BE591" s="264"/>
    </row>
    <row r="592">
      <c r="A592" s="264"/>
      <c r="B592" s="264"/>
      <c r="C592" s="264"/>
      <c r="D592" s="264"/>
      <c r="E592" s="264"/>
      <c r="F592" s="264"/>
      <c r="G592" s="264"/>
      <c r="H592" s="264"/>
      <c r="I592" s="264"/>
      <c r="J592" s="264"/>
      <c r="K592" s="264"/>
      <c r="L592" s="264"/>
      <c r="M592" s="264" t="s">
        <v>22</v>
      </c>
      <c r="N592" s="264"/>
      <c r="O592" s="264" t="s">
        <v>22</v>
      </c>
      <c r="P592" s="264"/>
      <c r="Q592" s="264"/>
      <c r="R592" s="264"/>
      <c r="S592" s="264"/>
      <c r="T592" s="264"/>
      <c r="U592" s="360"/>
      <c r="V592" s="360"/>
      <c r="W592" s="360"/>
      <c r="X592" s="360"/>
      <c r="Y592" s="360"/>
      <c r="Z592" s="360"/>
      <c r="AA592" s="360"/>
      <c r="AB592" s="360"/>
      <c r="AC592" s="360"/>
      <c r="AD592" s="360"/>
      <c r="AE592" s="360"/>
      <c r="AF592" s="360"/>
      <c r="AG592" s="360" t="s">
        <v>1582</v>
      </c>
      <c r="AH592" s="360"/>
      <c r="AI592" s="360"/>
      <c r="AJ592" s="360" t="s">
        <v>1589</v>
      </c>
      <c r="AK592" s="360"/>
      <c r="AL592" s="360" t="s">
        <v>5878</v>
      </c>
      <c r="AM592" s="360"/>
      <c r="AN592" s="360"/>
      <c r="AO592" s="360"/>
      <c r="AP592" s="360"/>
      <c r="AQ592" s="360"/>
      <c r="AR592" s="360"/>
      <c r="AS592" s="360"/>
      <c r="AT592" s="360"/>
      <c r="AU592" s="360" t="s">
        <v>22</v>
      </c>
      <c r="AV592" s="360"/>
      <c r="AW592" s="264"/>
      <c r="AX592" s="264"/>
      <c r="AY592" s="264"/>
      <c r="AZ592" s="264"/>
      <c r="BA592" s="264"/>
      <c r="BB592" s="264"/>
      <c r="BC592" s="264"/>
      <c r="BD592" s="264"/>
      <c r="BE592" s="264"/>
    </row>
    <row r="593">
      <c r="A593" s="264"/>
      <c r="B593" s="264"/>
      <c r="C593" s="264"/>
      <c r="D593" s="264"/>
      <c r="E593" s="264"/>
      <c r="F593" s="264"/>
      <c r="G593" s="264"/>
      <c r="H593" s="264"/>
      <c r="I593" s="264"/>
      <c r="J593" s="264"/>
      <c r="K593" s="264"/>
      <c r="L593" s="264"/>
      <c r="M593" s="264" t="s">
        <v>22</v>
      </c>
      <c r="N593" s="264"/>
      <c r="O593" s="264" t="s">
        <v>22</v>
      </c>
      <c r="P593" s="264"/>
      <c r="Q593" s="264"/>
      <c r="R593" s="264"/>
      <c r="S593" s="264"/>
      <c r="T593" s="264"/>
      <c r="U593" s="360"/>
      <c r="V593" s="360"/>
      <c r="W593" s="360"/>
      <c r="X593" s="360"/>
      <c r="Y593" s="360"/>
      <c r="Z593" s="360"/>
      <c r="AA593" s="360"/>
      <c r="AB593" s="360"/>
      <c r="AC593" s="360"/>
      <c r="AD593" s="360"/>
      <c r="AE593" s="360"/>
      <c r="AF593" s="360"/>
      <c r="AG593" s="360" t="s">
        <v>1582</v>
      </c>
      <c r="AH593" s="360"/>
      <c r="AI593" s="360"/>
      <c r="AJ593" s="360" t="s">
        <v>1589</v>
      </c>
      <c r="AK593" s="360"/>
      <c r="AL593" s="360" t="s">
        <v>5878</v>
      </c>
      <c r="AM593" s="360"/>
      <c r="AN593" s="360"/>
      <c r="AO593" s="360"/>
      <c r="AP593" s="360"/>
      <c r="AQ593" s="360"/>
      <c r="AR593" s="360"/>
      <c r="AS593" s="360"/>
      <c r="AT593" s="360"/>
      <c r="AU593" s="360" t="s">
        <v>22</v>
      </c>
      <c r="AV593" s="360"/>
      <c r="AW593" s="264"/>
      <c r="AX593" s="264"/>
      <c r="AY593" s="264"/>
      <c r="AZ593" s="264"/>
      <c r="BA593" s="264"/>
      <c r="BB593" s="264"/>
      <c r="BC593" s="264"/>
      <c r="BD593" s="264"/>
      <c r="BE593" s="264"/>
    </row>
    <row r="594">
      <c r="A594" s="264"/>
      <c r="B594" s="264"/>
      <c r="C594" s="264"/>
      <c r="D594" s="264"/>
      <c r="E594" s="264"/>
      <c r="F594" s="264"/>
      <c r="G594" s="264"/>
      <c r="H594" s="264"/>
      <c r="I594" s="264"/>
      <c r="J594" s="264"/>
      <c r="K594" s="264"/>
      <c r="L594" s="264"/>
      <c r="M594" s="264" t="s">
        <v>22</v>
      </c>
      <c r="N594" s="264"/>
      <c r="O594" s="264" t="s">
        <v>22</v>
      </c>
      <c r="P594" s="264"/>
      <c r="Q594" s="264"/>
      <c r="R594" s="264"/>
      <c r="S594" s="264"/>
      <c r="T594" s="264"/>
      <c r="U594" s="360"/>
      <c r="V594" s="360"/>
      <c r="W594" s="360"/>
      <c r="X594" s="360"/>
      <c r="Y594" s="360"/>
      <c r="Z594" s="360"/>
      <c r="AA594" s="360"/>
      <c r="AB594" s="360"/>
      <c r="AC594" s="360"/>
      <c r="AD594" s="360"/>
      <c r="AE594" s="360"/>
      <c r="AF594" s="360"/>
      <c r="AG594" s="360" t="s">
        <v>1582</v>
      </c>
      <c r="AH594" s="360"/>
      <c r="AI594" s="360"/>
      <c r="AJ594" s="360" t="s">
        <v>1589</v>
      </c>
      <c r="AK594" s="360"/>
      <c r="AL594" s="360" t="s">
        <v>5878</v>
      </c>
      <c r="AM594" s="360"/>
      <c r="AN594" s="360"/>
      <c r="AO594" s="360"/>
      <c r="AP594" s="360"/>
      <c r="AQ594" s="360"/>
      <c r="AR594" s="360"/>
      <c r="AS594" s="360"/>
      <c r="AT594" s="360"/>
      <c r="AU594" s="360" t="s">
        <v>22</v>
      </c>
      <c r="AV594" s="360"/>
      <c r="AW594" s="264"/>
      <c r="AX594" s="264"/>
      <c r="AY594" s="264"/>
      <c r="AZ594" s="264"/>
      <c r="BA594" s="264"/>
      <c r="BB594" s="264"/>
      <c r="BC594" s="264"/>
      <c r="BD594" s="264"/>
      <c r="BE594" s="264"/>
    </row>
    <row r="595">
      <c r="A595" s="264"/>
      <c r="B595" s="264"/>
      <c r="C595" s="264"/>
      <c r="D595" s="264"/>
      <c r="E595" s="264"/>
      <c r="F595" s="264"/>
      <c r="G595" s="264"/>
      <c r="H595" s="264"/>
      <c r="I595" s="264"/>
      <c r="J595" s="264"/>
      <c r="K595" s="264"/>
      <c r="L595" s="264"/>
      <c r="M595" s="264" t="s">
        <v>22</v>
      </c>
      <c r="N595" s="264"/>
      <c r="O595" s="264" t="s">
        <v>22</v>
      </c>
      <c r="P595" s="264"/>
      <c r="Q595" s="264"/>
      <c r="R595" s="264"/>
      <c r="S595" s="264"/>
      <c r="T595" s="264"/>
      <c r="U595" s="360"/>
      <c r="V595" s="360"/>
      <c r="W595" s="360"/>
      <c r="X595" s="360"/>
      <c r="Y595" s="360"/>
      <c r="Z595" s="360"/>
      <c r="AA595" s="360"/>
      <c r="AB595" s="360"/>
      <c r="AC595" s="360"/>
      <c r="AD595" s="360"/>
      <c r="AE595" s="360"/>
      <c r="AF595" s="360"/>
      <c r="AG595" s="360" t="s">
        <v>1582</v>
      </c>
      <c r="AH595" s="360"/>
      <c r="AI595" s="360"/>
      <c r="AJ595" s="360" t="s">
        <v>1589</v>
      </c>
      <c r="AK595" s="360"/>
      <c r="AL595" s="360" t="s">
        <v>5878</v>
      </c>
      <c r="AM595" s="360"/>
      <c r="AN595" s="360"/>
      <c r="AO595" s="360"/>
      <c r="AP595" s="360"/>
      <c r="AQ595" s="360"/>
      <c r="AR595" s="360"/>
      <c r="AS595" s="360"/>
      <c r="AT595" s="360"/>
      <c r="AU595" s="360" t="s">
        <v>22</v>
      </c>
      <c r="AV595" s="360"/>
      <c r="AW595" s="264"/>
      <c r="AX595" s="264"/>
      <c r="AY595" s="264"/>
      <c r="AZ595" s="264"/>
      <c r="BA595" s="264"/>
      <c r="BB595" s="264"/>
      <c r="BC595" s="264"/>
      <c r="BD595" s="264"/>
      <c r="BE595" s="264"/>
    </row>
    <row r="596">
      <c r="A596" s="264"/>
      <c r="B596" s="264"/>
      <c r="C596" s="264"/>
      <c r="D596" s="264"/>
      <c r="E596" s="264"/>
      <c r="F596" s="264"/>
      <c r="G596" s="264"/>
      <c r="H596" s="264"/>
      <c r="I596" s="264"/>
      <c r="J596" s="264"/>
      <c r="K596" s="264"/>
      <c r="L596" s="264"/>
      <c r="M596" s="264" t="s">
        <v>22</v>
      </c>
      <c r="N596" s="264"/>
      <c r="O596" s="264" t="s">
        <v>22</v>
      </c>
      <c r="P596" s="264"/>
      <c r="Q596" s="264"/>
      <c r="R596" s="264"/>
      <c r="S596" s="264"/>
      <c r="T596" s="264"/>
      <c r="U596" s="360"/>
      <c r="V596" s="360"/>
      <c r="W596" s="360"/>
      <c r="X596" s="360"/>
      <c r="Y596" s="360"/>
      <c r="Z596" s="360"/>
      <c r="AA596" s="360"/>
      <c r="AB596" s="360"/>
      <c r="AC596" s="360"/>
      <c r="AD596" s="360"/>
      <c r="AE596" s="360"/>
      <c r="AF596" s="360"/>
      <c r="AG596" s="360" t="s">
        <v>1582</v>
      </c>
      <c r="AH596" s="360"/>
      <c r="AI596" s="360"/>
      <c r="AJ596" s="360" t="s">
        <v>1589</v>
      </c>
      <c r="AK596" s="360"/>
      <c r="AL596" s="360" t="s">
        <v>5878</v>
      </c>
      <c r="AM596" s="360"/>
      <c r="AN596" s="360"/>
      <c r="AO596" s="360"/>
      <c r="AP596" s="360"/>
      <c r="AQ596" s="360"/>
      <c r="AR596" s="360"/>
      <c r="AS596" s="360"/>
      <c r="AT596" s="360"/>
      <c r="AU596" s="360" t="s">
        <v>22</v>
      </c>
      <c r="AV596" s="360"/>
      <c r="AW596" s="264"/>
      <c r="AX596" s="264"/>
      <c r="AY596" s="264"/>
      <c r="AZ596" s="264"/>
      <c r="BA596" s="264"/>
      <c r="BB596" s="264"/>
      <c r="BC596" s="264"/>
      <c r="BD596" s="264"/>
      <c r="BE596" s="264"/>
    </row>
    <row r="597">
      <c r="A597" s="264"/>
      <c r="B597" s="264"/>
      <c r="C597" s="264"/>
      <c r="D597" s="264"/>
      <c r="E597" s="264"/>
      <c r="F597" s="264"/>
      <c r="G597" s="264"/>
      <c r="H597" s="264"/>
      <c r="I597" s="264"/>
      <c r="J597" s="264"/>
      <c r="K597" s="264"/>
      <c r="L597" s="264"/>
      <c r="M597" s="264" t="s">
        <v>22</v>
      </c>
      <c r="N597" s="264"/>
      <c r="O597" s="264" t="s">
        <v>22</v>
      </c>
      <c r="P597" s="264"/>
      <c r="Q597" s="264"/>
      <c r="R597" s="264"/>
      <c r="S597" s="264"/>
      <c r="T597" s="264"/>
      <c r="U597" s="360"/>
      <c r="V597" s="360"/>
      <c r="W597" s="360"/>
      <c r="X597" s="360"/>
      <c r="Y597" s="360"/>
      <c r="Z597" s="360"/>
      <c r="AA597" s="360"/>
      <c r="AB597" s="360"/>
      <c r="AC597" s="360"/>
      <c r="AD597" s="360"/>
      <c r="AE597" s="360"/>
      <c r="AF597" s="360"/>
      <c r="AG597" s="360" t="s">
        <v>1582</v>
      </c>
      <c r="AH597" s="360"/>
      <c r="AI597" s="360"/>
      <c r="AJ597" s="360" t="s">
        <v>1589</v>
      </c>
      <c r="AK597" s="360"/>
      <c r="AL597" s="360" t="s">
        <v>5878</v>
      </c>
      <c r="AM597" s="360"/>
      <c r="AN597" s="360"/>
      <c r="AO597" s="360"/>
      <c r="AP597" s="360"/>
      <c r="AQ597" s="360"/>
      <c r="AR597" s="360"/>
      <c r="AS597" s="360"/>
      <c r="AT597" s="360"/>
      <c r="AU597" s="360" t="s">
        <v>22</v>
      </c>
      <c r="AV597" s="360"/>
      <c r="AW597" s="264"/>
      <c r="AX597" s="264"/>
      <c r="AY597" s="264"/>
      <c r="AZ597" s="264"/>
      <c r="BA597" s="264"/>
      <c r="BB597" s="264"/>
      <c r="BC597" s="264"/>
      <c r="BD597" s="264"/>
      <c r="BE597" s="264"/>
    </row>
    <row r="598">
      <c r="A598" s="264"/>
      <c r="B598" s="264"/>
      <c r="C598" s="264"/>
      <c r="D598" s="264"/>
      <c r="E598" s="264"/>
      <c r="F598" s="264"/>
      <c r="G598" s="264"/>
      <c r="H598" s="264"/>
      <c r="I598" s="264"/>
      <c r="J598" s="264"/>
      <c r="K598" s="264"/>
      <c r="L598" s="264"/>
      <c r="M598" s="264" t="s">
        <v>22</v>
      </c>
      <c r="N598" s="264"/>
      <c r="O598" s="264" t="s">
        <v>22</v>
      </c>
      <c r="P598" s="264"/>
      <c r="Q598" s="264"/>
      <c r="R598" s="264"/>
      <c r="S598" s="264"/>
      <c r="T598" s="264"/>
      <c r="U598" s="360"/>
      <c r="V598" s="360"/>
      <c r="W598" s="360"/>
      <c r="X598" s="360"/>
      <c r="Y598" s="360"/>
      <c r="Z598" s="360"/>
      <c r="AA598" s="360"/>
      <c r="AB598" s="360"/>
      <c r="AC598" s="360"/>
      <c r="AD598" s="360"/>
      <c r="AE598" s="360"/>
      <c r="AF598" s="360"/>
      <c r="AG598" s="360" t="s">
        <v>1582</v>
      </c>
      <c r="AH598" s="360"/>
      <c r="AI598" s="360"/>
      <c r="AJ598" s="360" t="s">
        <v>1589</v>
      </c>
      <c r="AK598" s="360"/>
      <c r="AL598" s="360" t="s">
        <v>5878</v>
      </c>
      <c r="AM598" s="360"/>
      <c r="AN598" s="360"/>
      <c r="AO598" s="360"/>
      <c r="AP598" s="360"/>
      <c r="AQ598" s="360"/>
      <c r="AR598" s="360"/>
      <c r="AS598" s="360"/>
      <c r="AT598" s="360"/>
      <c r="AU598" s="360" t="s">
        <v>22</v>
      </c>
      <c r="AV598" s="360"/>
      <c r="AW598" s="264"/>
      <c r="AX598" s="264"/>
      <c r="AY598" s="264"/>
      <c r="AZ598" s="264"/>
      <c r="BA598" s="264"/>
      <c r="BB598" s="264"/>
      <c r="BC598" s="264"/>
      <c r="BD598" s="264"/>
      <c r="BE598" s="264"/>
    </row>
    <row r="599">
      <c r="A599" s="264"/>
      <c r="B599" s="264"/>
      <c r="C599" s="264"/>
      <c r="D599" s="264"/>
      <c r="E599" s="264"/>
      <c r="F599" s="264"/>
      <c r="G599" s="264"/>
      <c r="H599" s="264"/>
      <c r="I599" s="264"/>
      <c r="J599" s="264"/>
      <c r="K599" s="264"/>
      <c r="L599" s="264"/>
      <c r="M599" s="264" t="s">
        <v>22</v>
      </c>
      <c r="N599" s="264"/>
      <c r="O599" s="264" t="s">
        <v>22</v>
      </c>
      <c r="P599" s="264"/>
      <c r="Q599" s="264"/>
      <c r="R599" s="264"/>
      <c r="S599" s="264"/>
      <c r="T599" s="264"/>
      <c r="U599" s="360"/>
      <c r="V599" s="360"/>
      <c r="W599" s="360"/>
      <c r="X599" s="360"/>
      <c r="Y599" s="360"/>
      <c r="Z599" s="360"/>
      <c r="AA599" s="360"/>
      <c r="AB599" s="360"/>
      <c r="AC599" s="360"/>
      <c r="AD599" s="360"/>
      <c r="AE599" s="360"/>
      <c r="AF599" s="360"/>
      <c r="AG599" s="360" t="s">
        <v>1582</v>
      </c>
      <c r="AH599" s="360"/>
      <c r="AI599" s="360"/>
      <c r="AJ599" s="360" t="s">
        <v>1589</v>
      </c>
      <c r="AK599" s="360"/>
      <c r="AL599" s="360" t="s">
        <v>5878</v>
      </c>
      <c r="AM599" s="360"/>
      <c r="AN599" s="360"/>
      <c r="AO599" s="360"/>
      <c r="AP599" s="360"/>
      <c r="AQ599" s="360"/>
      <c r="AR599" s="360"/>
      <c r="AS599" s="360"/>
      <c r="AT599" s="360"/>
      <c r="AU599" s="360" t="s">
        <v>22</v>
      </c>
      <c r="AV599" s="360"/>
      <c r="AW599" s="264"/>
      <c r="AX599" s="264"/>
      <c r="AY599" s="264"/>
      <c r="AZ599" s="264"/>
      <c r="BA599" s="264"/>
      <c r="BB599" s="264"/>
      <c r="BC599" s="264"/>
      <c r="BD599" s="264"/>
      <c r="BE599" s="264"/>
    </row>
    <row r="600">
      <c r="A600" s="264"/>
      <c r="B600" s="264"/>
      <c r="C600" s="264"/>
      <c r="D600" s="264"/>
      <c r="E600" s="264"/>
      <c r="F600" s="264"/>
      <c r="G600" s="264"/>
      <c r="H600" s="264"/>
      <c r="I600" s="264"/>
      <c r="J600" s="264"/>
      <c r="K600" s="264"/>
      <c r="L600" s="264"/>
      <c r="M600" s="264" t="s">
        <v>22</v>
      </c>
      <c r="N600" s="264"/>
      <c r="O600" s="264" t="s">
        <v>22</v>
      </c>
      <c r="P600" s="264"/>
      <c r="Q600" s="264"/>
      <c r="R600" s="264"/>
      <c r="S600" s="264"/>
      <c r="T600" s="264"/>
      <c r="U600" s="360"/>
      <c r="V600" s="360"/>
      <c r="W600" s="360"/>
      <c r="X600" s="360"/>
      <c r="Y600" s="360"/>
      <c r="Z600" s="360"/>
      <c r="AA600" s="360"/>
      <c r="AB600" s="360"/>
      <c r="AC600" s="360"/>
      <c r="AD600" s="360"/>
      <c r="AE600" s="360"/>
      <c r="AF600" s="360"/>
      <c r="AG600" s="360" t="s">
        <v>1582</v>
      </c>
      <c r="AH600" s="360"/>
      <c r="AI600" s="360"/>
      <c r="AJ600" s="360" t="s">
        <v>1589</v>
      </c>
      <c r="AK600" s="360"/>
      <c r="AL600" s="360" t="s">
        <v>5878</v>
      </c>
      <c r="AM600" s="360"/>
      <c r="AN600" s="360"/>
      <c r="AO600" s="360"/>
      <c r="AP600" s="360"/>
      <c r="AQ600" s="360"/>
      <c r="AR600" s="360"/>
      <c r="AS600" s="360"/>
      <c r="AT600" s="360"/>
      <c r="AU600" s="360" t="s">
        <v>22</v>
      </c>
      <c r="AV600" s="360"/>
      <c r="AW600" s="264"/>
      <c r="AX600" s="264"/>
      <c r="AY600" s="264"/>
      <c r="AZ600" s="264"/>
      <c r="BA600" s="264"/>
      <c r="BB600" s="264"/>
      <c r="BC600" s="264"/>
      <c r="BD600" s="264"/>
      <c r="BE600" s="264"/>
    </row>
    <row r="601">
      <c r="A601" s="264"/>
      <c r="B601" s="264"/>
      <c r="C601" s="264"/>
      <c r="D601" s="264"/>
      <c r="E601" s="264"/>
      <c r="F601" s="264"/>
      <c r="G601" s="264"/>
      <c r="H601" s="264"/>
      <c r="I601" s="264"/>
      <c r="J601" s="264"/>
      <c r="K601" s="264"/>
      <c r="L601" s="264"/>
      <c r="M601" s="264" t="s">
        <v>22</v>
      </c>
      <c r="N601" s="264"/>
      <c r="O601" s="264" t="s">
        <v>22</v>
      </c>
      <c r="P601" s="264"/>
      <c r="Q601" s="264"/>
      <c r="R601" s="264"/>
      <c r="S601" s="264"/>
      <c r="T601" s="264"/>
      <c r="U601" s="360"/>
      <c r="V601" s="360"/>
      <c r="W601" s="360"/>
      <c r="X601" s="360"/>
      <c r="Y601" s="360"/>
      <c r="Z601" s="360"/>
      <c r="AA601" s="360"/>
      <c r="AB601" s="360"/>
      <c r="AC601" s="360"/>
      <c r="AD601" s="360"/>
      <c r="AE601" s="360"/>
      <c r="AF601" s="360"/>
      <c r="AG601" s="360" t="s">
        <v>1582</v>
      </c>
      <c r="AH601" s="360"/>
      <c r="AI601" s="360"/>
      <c r="AJ601" s="360" t="s">
        <v>1589</v>
      </c>
      <c r="AK601" s="360"/>
      <c r="AL601" s="360" t="s">
        <v>5878</v>
      </c>
      <c r="AM601" s="360"/>
      <c r="AN601" s="360"/>
      <c r="AO601" s="360"/>
      <c r="AP601" s="360"/>
      <c r="AQ601" s="360"/>
      <c r="AR601" s="360"/>
      <c r="AS601" s="360"/>
      <c r="AT601" s="360"/>
      <c r="AU601" s="360" t="s">
        <v>22</v>
      </c>
      <c r="AV601" s="360"/>
      <c r="AW601" s="264"/>
      <c r="AX601" s="264"/>
      <c r="AY601" s="264"/>
      <c r="AZ601" s="264"/>
      <c r="BA601" s="264"/>
      <c r="BB601" s="264"/>
      <c r="BC601" s="264"/>
      <c r="BD601" s="264"/>
      <c r="BE601" s="264"/>
    </row>
    <row r="602">
      <c r="A602" s="264"/>
      <c r="B602" s="264"/>
      <c r="C602" s="264"/>
      <c r="D602" s="264"/>
      <c r="E602" s="264"/>
      <c r="F602" s="264"/>
      <c r="G602" s="264"/>
      <c r="H602" s="264"/>
      <c r="I602" s="264"/>
      <c r="J602" s="264"/>
      <c r="K602" s="264"/>
      <c r="L602" s="264"/>
      <c r="M602" s="264" t="s">
        <v>22</v>
      </c>
      <c r="N602" s="264"/>
      <c r="O602" s="264" t="s">
        <v>22</v>
      </c>
      <c r="P602" s="264"/>
      <c r="Q602" s="264"/>
      <c r="R602" s="264"/>
      <c r="S602" s="264"/>
      <c r="T602" s="264"/>
      <c r="U602" s="360"/>
      <c r="V602" s="360"/>
      <c r="W602" s="360"/>
      <c r="X602" s="360"/>
      <c r="Y602" s="360"/>
      <c r="Z602" s="360"/>
      <c r="AA602" s="360"/>
      <c r="AB602" s="360"/>
      <c r="AC602" s="360"/>
      <c r="AD602" s="360"/>
      <c r="AE602" s="360"/>
      <c r="AF602" s="360"/>
      <c r="AG602" s="360" t="s">
        <v>1582</v>
      </c>
      <c r="AH602" s="360"/>
      <c r="AI602" s="360"/>
      <c r="AJ602" s="360" t="s">
        <v>1589</v>
      </c>
      <c r="AK602" s="360"/>
      <c r="AL602" s="360" t="s">
        <v>5878</v>
      </c>
      <c r="AM602" s="360"/>
      <c r="AN602" s="360"/>
      <c r="AO602" s="360"/>
      <c r="AP602" s="360"/>
      <c r="AQ602" s="360"/>
      <c r="AR602" s="360"/>
      <c r="AS602" s="360"/>
      <c r="AT602" s="360"/>
      <c r="AU602" s="360" t="s">
        <v>22</v>
      </c>
      <c r="AV602" s="360"/>
      <c r="AW602" s="264"/>
      <c r="AX602" s="264"/>
      <c r="AY602" s="264"/>
      <c r="AZ602" s="264"/>
      <c r="BA602" s="264"/>
      <c r="BB602" s="264"/>
      <c r="BC602" s="264"/>
      <c r="BD602" s="264"/>
      <c r="BE602" s="264"/>
    </row>
    <row r="603">
      <c r="A603" s="264"/>
      <c r="B603" s="264"/>
      <c r="C603" s="264"/>
      <c r="D603" s="264"/>
      <c r="E603" s="264"/>
      <c r="F603" s="264"/>
      <c r="G603" s="264"/>
      <c r="H603" s="264"/>
      <c r="I603" s="264"/>
      <c r="J603" s="264"/>
      <c r="K603" s="264"/>
      <c r="L603" s="264"/>
      <c r="M603" s="264" t="s">
        <v>22</v>
      </c>
      <c r="N603" s="264"/>
      <c r="O603" s="264" t="s">
        <v>22</v>
      </c>
      <c r="P603" s="264"/>
      <c r="Q603" s="264"/>
      <c r="R603" s="264"/>
      <c r="S603" s="264"/>
      <c r="T603" s="264"/>
      <c r="U603" s="360"/>
      <c r="V603" s="360"/>
      <c r="W603" s="360"/>
      <c r="X603" s="360"/>
      <c r="Y603" s="360"/>
      <c r="Z603" s="360"/>
      <c r="AA603" s="360"/>
      <c r="AB603" s="360"/>
      <c r="AC603" s="360"/>
      <c r="AD603" s="360"/>
      <c r="AE603" s="360"/>
      <c r="AF603" s="360"/>
      <c r="AG603" s="360" t="s">
        <v>1582</v>
      </c>
      <c r="AH603" s="360"/>
      <c r="AI603" s="360"/>
      <c r="AJ603" s="360" t="s">
        <v>1589</v>
      </c>
      <c r="AK603" s="360"/>
      <c r="AL603" s="360" t="s">
        <v>5878</v>
      </c>
      <c r="AM603" s="360"/>
      <c r="AN603" s="360"/>
      <c r="AO603" s="360"/>
      <c r="AP603" s="360"/>
      <c r="AQ603" s="360"/>
      <c r="AR603" s="360"/>
      <c r="AS603" s="360"/>
      <c r="AT603" s="360"/>
      <c r="AU603" s="360" t="s">
        <v>22</v>
      </c>
      <c r="AV603" s="360"/>
      <c r="AW603" s="264"/>
      <c r="AX603" s="264"/>
      <c r="AY603" s="264"/>
      <c r="AZ603" s="264"/>
      <c r="BA603" s="264"/>
      <c r="BB603" s="264"/>
      <c r="BC603" s="264"/>
      <c r="BD603" s="264"/>
      <c r="BE603" s="264"/>
    </row>
    <row r="604">
      <c r="A604" s="264"/>
      <c r="B604" s="264"/>
      <c r="C604" s="264"/>
      <c r="D604" s="264"/>
      <c r="E604" s="264"/>
      <c r="F604" s="264"/>
      <c r="G604" s="264"/>
      <c r="H604" s="264"/>
      <c r="I604" s="264"/>
      <c r="J604" s="264"/>
      <c r="K604" s="264"/>
      <c r="L604" s="264"/>
      <c r="M604" s="264" t="s">
        <v>22</v>
      </c>
      <c r="N604" s="264"/>
      <c r="O604" s="264" t="s">
        <v>22</v>
      </c>
      <c r="P604" s="264"/>
      <c r="Q604" s="264"/>
      <c r="R604" s="264"/>
      <c r="S604" s="264"/>
      <c r="T604" s="264"/>
      <c r="U604" s="360"/>
      <c r="V604" s="360"/>
      <c r="W604" s="360"/>
      <c r="X604" s="360"/>
      <c r="Y604" s="360"/>
      <c r="Z604" s="360"/>
      <c r="AA604" s="360"/>
      <c r="AB604" s="360"/>
      <c r="AC604" s="360"/>
      <c r="AD604" s="360"/>
      <c r="AE604" s="360"/>
      <c r="AF604" s="360"/>
      <c r="AG604" s="360" t="s">
        <v>1582</v>
      </c>
      <c r="AH604" s="360"/>
      <c r="AI604" s="360"/>
      <c r="AJ604" s="360" t="s">
        <v>1589</v>
      </c>
      <c r="AK604" s="360"/>
      <c r="AL604" s="360" t="s">
        <v>5878</v>
      </c>
      <c r="AM604" s="360"/>
      <c r="AN604" s="360"/>
      <c r="AO604" s="360"/>
      <c r="AP604" s="360"/>
      <c r="AQ604" s="360"/>
      <c r="AR604" s="360"/>
      <c r="AS604" s="360"/>
      <c r="AT604" s="360"/>
      <c r="AU604" s="360" t="s">
        <v>22</v>
      </c>
      <c r="AV604" s="360"/>
      <c r="AW604" s="264"/>
      <c r="AX604" s="264"/>
      <c r="AY604" s="264"/>
      <c r="AZ604" s="264"/>
      <c r="BA604" s="264"/>
      <c r="BB604" s="264"/>
      <c r="BC604" s="264"/>
      <c r="BD604" s="264"/>
      <c r="BE604" s="264"/>
    </row>
    <row r="605">
      <c r="A605" s="264"/>
      <c r="B605" s="264"/>
      <c r="C605" s="264"/>
      <c r="D605" s="264"/>
      <c r="E605" s="264"/>
      <c r="F605" s="264"/>
      <c r="G605" s="264"/>
      <c r="H605" s="264"/>
      <c r="I605" s="264"/>
      <c r="J605" s="264"/>
      <c r="K605" s="264"/>
      <c r="L605" s="264"/>
      <c r="M605" s="264" t="s">
        <v>22</v>
      </c>
      <c r="N605" s="264"/>
      <c r="O605" s="264" t="s">
        <v>22</v>
      </c>
      <c r="P605" s="264"/>
      <c r="Q605" s="264"/>
      <c r="R605" s="264"/>
      <c r="S605" s="264"/>
      <c r="T605" s="264"/>
      <c r="U605" s="360"/>
      <c r="V605" s="360"/>
      <c r="W605" s="360"/>
      <c r="X605" s="360"/>
      <c r="Y605" s="360"/>
      <c r="Z605" s="360"/>
      <c r="AA605" s="360"/>
      <c r="AB605" s="360"/>
      <c r="AC605" s="360"/>
      <c r="AD605" s="360"/>
      <c r="AE605" s="360"/>
      <c r="AF605" s="360"/>
      <c r="AG605" s="360" t="s">
        <v>1582</v>
      </c>
      <c r="AH605" s="360"/>
      <c r="AI605" s="360"/>
      <c r="AJ605" s="360" t="s">
        <v>1589</v>
      </c>
      <c r="AK605" s="360"/>
      <c r="AL605" s="360" t="s">
        <v>5878</v>
      </c>
      <c r="AM605" s="360"/>
      <c r="AN605" s="360"/>
      <c r="AO605" s="360"/>
      <c r="AP605" s="360"/>
      <c r="AQ605" s="360"/>
      <c r="AR605" s="360"/>
      <c r="AS605" s="360"/>
      <c r="AT605" s="360"/>
      <c r="AU605" s="360" t="s">
        <v>22</v>
      </c>
      <c r="AV605" s="360"/>
      <c r="AW605" s="264"/>
      <c r="AX605" s="264"/>
      <c r="AY605" s="264"/>
      <c r="AZ605" s="264"/>
      <c r="BA605" s="264"/>
      <c r="BB605" s="264"/>
      <c r="BC605" s="264"/>
      <c r="BD605" s="264"/>
      <c r="BE605" s="264"/>
    </row>
    <row r="606">
      <c r="A606" s="264"/>
      <c r="B606" s="264"/>
      <c r="C606" s="264"/>
      <c r="D606" s="264"/>
      <c r="E606" s="264"/>
      <c r="F606" s="264"/>
      <c r="G606" s="264"/>
      <c r="H606" s="264"/>
      <c r="I606" s="264"/>
      <c r="J606" s="264"/>
      <c r="K606" s="264"/>
      <c r="L606" s="264"/>
      <c r="M606" s="264" t="s">
        <v>22</v>
      </c>
      <c r="N606" s="264"/>
      <c r="O606" s="264" t="s">
        <v>22</v>
      </c>
      <c r="P606" s="264"/>
      <c r="Q606" s="264"/>
      <c r="R606" s="264"/>
      <c r="S606" s="264"/>
      <c r="T606" s="264"/>
      <c r="U606" s="360"/>
      <c r="V606" s="360"/>
      <c r="W606" s="360"/>
      <c r="X606" s="360"/>
      <c r="Y606" s="360"/>
      <c r="Z606" s="360"/>
      <c r="AA606" s="360"/>
      <c r="AB606" s="360"/>
      <c r="AC606" s="360"/>
      <c r="AD606" s="360"/>
      <c r="AE606" s="360"/>
      <c r="AF606" s="360"/>
      <c r="AG606" s="360" t="s">
        <v>1582</v>
      </c>
      <c r="AH606" s="360"/>
      <c r="AI606" s="360"/>
      <c r="AJ606" s="360" t="s">
        <v>1589</v>
      </c>
      <c r="AK606" s="360"/>
      <c r="AL606" s="360" t="s">
        <v>5878</v>
      </c>
      <c r="AM606" s="360"/>
      <c r="AN606" s="360"/>
      <c r="AO606" s="360"/>
      <c r="AP606" s="360"/>
      <c r="AQ606" s="360"/>
      <c r="AR606" s="360"/>
      <c r="AS606" s="360"/>
      <c r="AT606" s="360"/>
      <c r="AU606" s="360" t="s">
        <v>22</v>
      </c>
      <c r="AV606" s="360"/>
      <c r="AW606" s="264"/>
      <c r="AX606" s="264"/>
      <c r="AY606" s="264"/>
      <c r="AZ606" s="264"/>
      <c r="BA606" s="264"/>
      <c r="BB606" s="264"/>
      <c r="BC606" s="264"/>
      <c r="BD606" s="264"/>
      <c r="BE606" s="264"/>
    </row>
    <row r="607">
      <c r="A607" s="264"/>
      <c r="B607" s="264"/>
      <c r="C607" s="264"/>
      <c r="D607" s="264"/>
      <c r="E607" s="264"/>
      <c r="F607" s="264"/>
      <c r="G607" s="264"/>
      <c r="H607" s="264"/>
      <c r="I607" s="264"/>
      <c r="J607" s="264"/>
      <c r="K607" s="264"/>
      <c r="L607" s="264"/>
      <c r="M607" s="264" t="s">
        <v>22</v>
      </c>
      <c r="N607" s="264"/>
      <c r="O607" s="264" t="s">
        <v>22</v>
      </c>
      <c r="P607" s="264"/>
      <c r="Q607" s="264"/>
      <c r="R607" s="264"/>
      <c r="S607" s="264"/>
      <c r="T607" s="264"/>
      <c r="U607" s="360"/>
      <c r="V607" s="360"/>
      <c r="W607" s="360"/>
      <c r="X607" s="360"/>
      <c r="Y607" s="360"/>
      <c r="Z607" s="360"/>
      <c r="AA607" s="360"/>
      <c r="AB607" s="360"/>
      <c r="AC607" s="360"/>
      <c r="AD607" s="360"/>
      <c r="AE607" s="360"/>
      <c r="AF607" s="360"/>
      <c r="AG607" s="360" t="s">
        <v>1582</v>
      </c>
      <c r="AH607" s="360"/>
      <c r="AI607" s="360"/>
      <c r="AJ607" s="360" t="s">
        <v>1589</v>
      </c>
      <c r="AK607" s="360"/>
      <c r="AL607" s="360" t="s">
        <v>5878</v>
      </c>
      <c r="AM607" s="360"/>
      <c r="AN607" s="360"/>
      <c r="AO607" s="360"/>
      <c r="AP607" s="360"/>
      <c r="AQ607" s="360"/>
      <c r="AR607" s="360"/>
      <c r="AS607" s="360"/>
      <c r="AT607" s="360"/>
      <c r="AU607" s="360" t="s">
        <v>22</v>
      </c>
      <c r="AV607" s="360"/>
      <c r="AW607" s="264"/>
      <c r="AX607" s="264"/>
      <c r="AY607" s="264"/>
      <c r="AZ607" s="264"/>
      <c r="BA607" s="264"/>
      <c r="BB607" s="264"/>
      <c r="BC607" s="264"/>
      <c r="BD607" s="264"/>
      <c r="BE607" s="264"/>
    </row>
    <row r="608">
      <c r="A608" s="264"/>
      <c r="B608" s="264"/>
      <c r="C608" s="264"/>
      <c r="D608" s="264"/>
      <c r="E608" s="264"/>
      <c r="F608" s="264"/>
      <c r="G608" s="264"/>
      <c r="H608" s="264"/>
      <c r="I608" s="264"/>
      <c r="J608" s="264"/>
      <c r="K608" s="264"/>
      <c r="L608" s="264"/>
      <c r="M608" s="264" t="s">
        <v>22</v>
      </c>
      <c r="N608" s="264"/>
      <c r="O608" s="264" t="s">
        <v>22</v>
      </c>
      <c r="P608" s="264"/>
      <c r="Q608" s="264"/>
      <c r="R608" s="264"/>
      <c r="S608" s="264"/>
      <c r="T608" s="264"/>
      <c r="U608" s="360"/>
      <c r="V608" s="360"/>
      <c r="W608" s="360"/>
      <c r="X608" s="360"/>
      <c r="Y608" s="360"/>
      <c r="Z608" s="360"/>
      <c r="AA608" s="360"/>
      <c r="AB608" s="360"/>
      <c r="AC608" s="360"/>
      <c r="AD608" s="360"/>
      <c r="AE608" s="360"/>
      <c r="AF608" s="360"/>
      <c r="AG608" s="360" t="s">
        <v>1582</v>
      </c>
      <c r="AH608" s="360"/>
      <c r="AI608" s="360"/>
      <c r="AJ608" s="360" t="s">
        <v>1589</v>
      </c>
      <c r="AK608" s="360"/>
      <c r="AL608" s="360" t="s">
        <v>5878</v>
      </c>
      <c r="AM608" s="360"/>
      <c r="AN608" s="360"/>
      <c r="AO608" s="360"/>
      <c r="AP608" s="360"/>
      <c r="AQ608" s="360"/>
      <c r="AR608" s="360"/>
      <c r="AS608" s="360"/>
      <c r="AT608" s="360"/>
      <c r="AU608" s="360" t="s">
        <v>22</v>
      </c>
      <c r="AV608" s="360"/>
      <c r="AW608" s="264"/>
      <c r="AX608" s="264"/>
      <c r="AY608" s="264"/>
      <c r="AZ608" s="264"/>
      <c r="BA608" s="264"/>
      <c r="BB608" s="264"/>
      <c r="BC608" s="264"/>
      <c r="BD608" s="264"/>
      <c r="BE608" s="264"/>
    </row>
    <row r="609">
      <c r="A609" s="264"/>
      <c r="B609" s="264"/>
      <c r="C609" s="264"/>
      <c r="D609" s="264"/>
      <c r="E609" s="264"/>
      <c r="F609" s="264"/>
      <c r="G609" s="264"/>
      <c r="H609" s="264"/>
      <c r="I609" s="264"/>
      <c r="J609" s="264"/>
      <c r="K609" s="264"/>
      <c r="L609" s="264"/>
      <c r="M609" s="264" t="s">
        <v>22</v>
      </c>
      <c r="N609" s="264"/>
      <c r="O609" s="264" t="s">
        <v>22</v>
      </c>
      <c r="P609" s="264"/>
      <c r="Q609" s="264"/>
      <c r="R609" s="264"/>
      <c r="S609" s="264"/>
      <c r="T609" s="264"/>
      <c r="U609" s="360"/>
      <c r="V609" s="360"/>
      <c r="W609" s="360"/>
      <c r="X609" s="360"/>
      <c r="Y609" s="360"/>
      <c r="Z609" s="360"/>
      <c r="AA609" s="360"/>
      <c r="AB609" s="360"/>
      <c r="AC609" s="360"/>
      <c r="AD609" s="360"/>
      <c r="AE609" s="360"/>
      <c r="AF609" s="360"/>
      <c r="AG609" s="360" t="s">
        <v>1582</v>
      </c>
      <c r="AH609" s="360"/>
      <c r="AI609" s="360"/>
      <c r="AJ609" s="360" t="s">
        <v>1589</v>
      </c>
      <c r="AK609" s="360"/>
      <c r="AL609" s="360" t="s">
        <v>5878</v>
      </c>
      <c r="AM609" s="360"/>
      <c r="AN609" s="360"/>
      <c r="AO609" s="360"/>
      <c r="AP609" s="360"/>
      <c r="AQ609" s="360"/>
      <c r="AR609" s="360"/>
      <c r="AS609" s="360"/>
      <c r="AT609" s="360"/>
      <c r="AU609" s="360" t="s">
        <v>22</v>
      </c>
      <c r="AV609" s="360"/>
      <c r="AW609" s="264"/>
      <c r="AX609" s="264"/>
      <c r="AY609" s="264"/>
      <c r="AZ609" s="264"/>
      <c r="BA609" s="264"/>
      <c r="BB609" s="264"/>
      <c r="BC609" s="264"/>
      <c r="BD609" s="264"/>
      <c r="BE609" s="264"/>
    </row>
    <row r="610">
      <c r="A610" s="264"/>
      <c r="B610" s="264"/>
      <c r="C610" s="264"/>
      <c r="D610" s="264"/>
      <c r="E610" s="264"/>
      <c r="F610" s="264"/>
      <c r="G610" s="264"/>
      <c r="H610" s="264"/>
      <c r="I610" s="264"/>
      <c r="J610" s="264"/>
      <c r="K610" s="264"/>
      <c r="L610" s="264"/>
      <c r="M610" s="264" t="s">
        <v>22</v>
      </c>
      <c r="N610" s="264"/>
      <c r="O610" s="264" t="s">
        <v>22</v>
      </c>
      <c r="P610" s="264"/>
      <c r="Q610" s="264"/>
      <c r="R610" s="264"/>
      <c r="S610" s="264"/>
      <c r="T610" s="264"/>
      <c r="U610" s="360"/>
      <c r="V610" s="360"/>
      <c r="W610" s="360"/>
      <c r="X610" s="360"/>
      <c r="Y610" s="360"/>
      <c r="Z610" s="360"/>
      <c r="AA610" s="360"/>
      <c r="AB610" s="360"/>
      <c r="AC610" s="360"/>
      <c r="AD610" s="360"/>
      <c r="AE610" s="360"/>
      <c r="AF610" s="360"/>
      <c r="AG610" s="360" t="s">
        <v>1582</v>
      </c>
      <c r="AH610" s="360"/>
      <c r="AI610" s="360"/>
      <c r="AJ610" s="360" t="s">
        <v>1589</v>
      </c>
      <c r="AK610" s="360"/>
      <c r="AL610" s="360" t="s">
        <v>5878</v>
      </c>
      <c r="AM610" s="360"/>
      <c r="AN610" s="360"/>
      <c r="AO610" s="360"/>
      <c r="AP610" s="360"/>
      <c r="AQ610" s="360"/>
      <c r="AR610" s="360"/>
      <c r="AS610" s="360"/>
      <c r="AT610" s="360"/>
      <c r="AU610" s="360" t="s">
        <v>22</v>
      </c>
      <c r="AV610" s="360"/>
      <c r="AW610" s="264"/>
      <c r="AX610" s="264"/>
      <c r="AY610" s="264"/>
      <c r="AZ610" s="264"/>
      <c r="BA610" s="264"/>
      <c r="BB610" s="264"/>
      <c r="BC610" s="264"/>
      <c r="BD610" s="264"/>
      <c r="BE610" s="264"/>
    </row>
    <row r="611">
      <c r="A611" s="264"/>
      <c r="B611" s="264"/>
      <c r="C611" s="264"/>
      <c r="D611" s="264"/>
      <c r="E611" s="264"/>
      <c r="F611" s="264"/>
      <c r="G611" s="264"/>
      <c r="H611" s="264"/>
      <c r="I611" s="264"/>
      <c r="J611" s="264"/>
      <c r="K611" s="264"/>
      <c r="L611" s="264"/>
      <c r="M611" s="264" t="s">
        <v>22</v>
      </c>
      <c r="N611" s="264"/>
      <c r="O611" s="264" t="s">
        <v>22</v>
      </c>
      <c r="P611" s="264"/>
      <c r="Q611" s="264"/>
      <c r="R611" s="264"/>
      <c r="S611" s="264"/>
      <c r="T611" s="264"/>
      <c r="U611" s="360"/>
      <c r="V611" s="360"/>
      <c r="W611" s="360"/>
      <c r="X611" s="360"/>
      <c r="Y611" s="360"/>
      <c r="Z611" s="360"/>
      <c r="AA611" s="360"/>
      <c r="AB611" s="360"/>
      <c r="AC611" s="360"/>
      <c r="AD611" s="360"/>
      <c r="AE611" s="360"/>
      <c r="AF611" s="360"/>
      <c r="AG611" s="360" t="s">
        <v>1582</v>
      </c>
      <c r="AH611" s="360"/>
      <c r="AI611" s="360"/>
      <c r="AJ611" s="360" t="s">
        <v>1589</v>
      </c>
      <c r="AK611" s="360"/>
      <c r="AL611" s="360" t="s">
        <v>5878</v>
      </c>
      <c r="AM611" s="360"/>
      <c r="AN611" s="360"/>
      <c r="AO611" s="360"/>
      <c r="AP611" s="360"/>
      <c r="AQ611" s="360"/>
      <c r="AR611" s="360"/>
      <c r="AS611" s="360"/>
      <c r="AT611" s="360"/>
      <c r="AU611" s="360" t="s">
        <v>22</v>
      </c>
      <c r="AV611" s="360"/>
      <c r="AW611" s="264"/>
      <c r="AX611" s="264"/>
      <c r="AY611" s="264"/>
      <c r="AZ611" s="264"/>
      <c r="BA611" s="264"/>
      <c r="BB611" s="264"/>
      <c r="BC611" s="264"/>
      <c r="BD611" s="264"/>
      <c r="BE611" s="264"/>
    </row>
    <row r="612">
      <c r="A612" s="264"/>
      <c r="B612" s="264"/>
      <c r="C612" s="264"/>
      <c r="D612" s="264"/>
      <c r="E612" s="264"/>
      <c r="F612" s="264"/>
      <c r="G612" s="264"/>
      <c r="H612" s="264"/>
      <c r="I612" s="264"/>
      <c r="J612" s="264"/>
      <c r="K612" s="264"/>
      <c r="L612" s="264"/>
      <c r="M612" s="264" t="s">
        <v>22</v>
      </c>
      <c r="N612" s="264"/>
      <c r="O612" s="264" t="s">
        <v>22</v>
      </c>
      <c r="P612" s="264"/>
      <c r="Q612" s="264"/>
      <c r="R612" s="264"/>
      <c r="S612" s="264"/>
      <c r="T612" s="264"/>
      <c r="U612" s="360"/>
      <c r="V612" s="360"/>
      <c r="W612" s="360"/>
      <c r="X612" s="360"/>
      <c r="Y612" s="360"/>
      <c r="Z612" s="360"/>
      <c r="AA612" s="360"/>
      <c r="AB612" s="360"/>
      <c r="AC612" s="360"/>
      <c r="AD612" s="360"/>
      <c r="AE612" s="360"/>
      <c r="AF612" s="360"/>
      <c r="AG612" s="360" t="s">
        <v>1582</v>
      </c>
      <c r="AH612" s="360"/>
      <c r="AI612" s="360"/>
      <c r="AJ612" s="360" t="s">
        <v>1589</v>
      </c>
      <c r="AK612" s="360"/>
      <c r="AL612" s="360" t="s">
        <v>5878</v>
      </c>
      <c r="AM612" s="360"/>
      <c r="AN612" s="360"/>
      <c r="AO612" s="360"/>
      <c r="AP612" s="360"/>
      <c r="AQ612" s="360"/>
      <c r="AR612" s="360"/>
      <c r="AS612" s="360"/>
      <c r="AT612" s="360"/>
      <c r="AU612" s="360" t="s">
        <v>22</v>
      </c>
      <c r="AV612" s="360"/>
      <c r="AW612" s="264"/>
      <c r="AX612" s="264"/>
      <c r="AY612" s="264"/>
      <c r="AZ612" s="264"/>
      <c r="BA612" s="264"/>
      <c r="BB612" s="264"/>
      <c r="BC612" s="264"/>
      <c r="BD612" s="264"/>
      <c r="BE612" s="264"/>
    </row>
    <row r="613">
      <c r="A613" s="264"/>
      <c r="B613" s="264"/>
      <c r="C613" s="264"/>
      <c r="D613" s="264"/>
      <c r="E613" s="264"/>
      <c r="F613" s="264"/>
      <c r="G613" s="264"/>
      <c r="H613" s="264"/>
      <c r="I613" s="264"/>
      <c r="J613" s="264"/>
      <c r="K613" s="264"/>
      <c r="L613" s="264"/>
      <c r="M613" s="264" t="s">
        <v>22</v>
      </c>
      <c r="N613" s="264"/>
      <c r="O613" s="264" t="s">
        <v>22</v>
      </c>
      <c r="P613" s="264"/>
      <c r="Q613" s="264"/>
      <c r="R613" s="264"/>
      <c r="S613" s="264"/>
      <c r="T613" s="264"/>
      <c r="U613" s="360"/>
      <c r="V613" s="360"/>
      <c r="W613" s="360"/>
      <c r="X613" s="360"/>
      <c r="Y613" s="360"/>
      <c r="Z613" s="360"/>
      <c r="AA613" s="360"/>
      <c r="AB613" s="360"/>
      <c r="AC613" s="360"/>
      <c r="AD613" s="360"/>
      <c r="AE613" s="360"/>
      <c r="AF613" s="360"/>
      <c r="AG613" s="360" t="s">
        <v>1582</v>
      </c>
      <c r="AH613" s="360"/>
      <c r="AI613" s="360"/>
      <c r="AJ613" s="360" t="s">
        <v>1589</v>
      </c>
      <c r="AK613" s="360"/>
      <c r="AL613" s="360" t="s">
        <v>5878</v>
      </c>
      <c r="AM613" s="360"/>
      <c r="AN613" s="360"/>
      <c r="AO613" s="360"/>
      <c r="AP613" s="360"/>
      <c r="AQ613" s="360"/>
      <c r="AR613" s="360"/>
      <c r="AS613" s="360"/>
      <c r="AT613" s="360"/>
      <c r="AU613" s="360" t="s">
        <v>22</v>
      </c>
      <c r="AV613" s="360"/>
      <c r="AW613" s="264"/>
      <c r="AX613" s="264"/>
      <c r="AY613" s="264"/>
      <c r="AZ613" s="264"/>
      <c r="BA613" s="264"/>
      <c r="BB613" s="264"/>
      <c r="BC613" s="264"/>
      <c r="BD613" s="264"/>
      <c r="BE613" s="264"/>
    </row>
    <row r="614">
      <c r="A614" s="264"/>
      <c r="B614" s="264"/>
      <c r="C614" s="264"/>
      <c r="D614" s="264"/>
      <c r="E614" s="264"/>
      <c r="F614" s="264"/>
      <c r="G614" s="264"/>
      <c r="H614" s="264"/>
      <c r="I614" s="264"/>
      <c r="J614" s="264"/>
      <c r="K614" s="264"/>
      <c r="L614" s="264"/>
      <c r="M614" s="264" t="s">
        <v>22</v>
      </c>
      <c r="N614" s="264"/>
      <c r="O614" s="264" t="s">
        <v>22</v>
      </c>
      <c r="P614" s="264"/>
      <c r="Q614" s="264"/>
      <c r="R614" s="264"/>
      <c r="S614" s="264"/>
      <c r="T614" s="264"/>
      <c r="U614" s="360"/>
      <c r="V614" s="360"/>
      <c r="W614" s="360"/>
      <c r="X614" s="360"/>
      <c r="Y614" s="360"/>
      <c r="Z614" s="360"/>
      <c r="AA614" s="360"/>
      <c r="AB614" s="360"/>
      <c r="AC614" s="360"/>
      <c r="AD614" s="360"/>
      <c r="AE614" s="360"/>
      <c r="AF614" s="360"/>
      <c r="AG614" s="360" t="s">
        <v>1582</v>
      </c>
      <c r="AH614" s="360"/>
      <c r="AI614" s="360"/>
      <c r="AJ614" s="360" t="s">
        <v>1589</v>
      </c>
      <c r="AK614" s="360"/>
      <c r="AL614" s="360" t="s">
        <v>5878</v>
      </c>
      <c r="AM614" s="360"/>
      <c r="AN614" s="360"/>
      <c r="AO614" s="360"/>
      <c r="AP614" s="360"/>
      <c r="AQ614" s="360"/>
      <c r="AR614" s="360"/>
      <c r="AS614" s="360"/>
      <c r="AT614" s="360"/>
      <c r="AU614" s="360" t="s">
        <v>22</v>
      </c>
      <c r="AV614" s="360"/>
      <c r="AW614" s="264"/>
      <c r="AX614" s="264"/>
      <c r="AY614" s="264"/>
      <c r="AZ614" s="264"/>
      <c r="BA614" s="264"/>
      <c r="BB614" s="264"/>
      <c r="BC614" s="264"/>
      <c r="BD614" s="264"/>
      <c r="BE614" s="264"/>
    </row>
    <row r="615">
      <c r="A615" s="264"/>
      <c r="B615" s="264"/>
      <c r="C615" s="264"/>
      <c r="D615" s="264"/>
      <c r="E615" s="264"/>
      <c r="F615" s="264"/>
      <c r="G615" s="264"/>
      <c r="H615" s="264"/>
      <c r="I615" s="264"/>
      <c r="J615" s="264"/>
      <c r="K615" s="264"/>
      <c r="L615" s="264"/>
      <c r="M615" s="264" t="s">
        <v>22</v>
      </c>
      <c r="N615" s="264"/>
      <c r="O615" s="264" t="s">
        <v>22</v>
      </c>
      <c r="P615" s="264"/>
      <c r="Q615" s="264"/>
      <c r="R615" s="264"/>
      <c r="S615" s="264"/>
      <c r="T615" s="264"/>
      <c r="U615" s="360"/>
      <c r="V615" s="360"/>
      <c r="W615" s="360"/>
      <c r="X615" s="360"/>
      <c r="Y615" s="360"/>
      <c r="Z615" s="360"/>
      <c r="AA615" s="360"/>
      <c r="AB615" s="360"/>
      <c r="AC615" s="360"/>
      <c r="AD615" s="360"/>
      <c r="AE615" s="360"/>
      <c r="AF615" s="360"/>
      <c r="AG615" s="360" t="s">
        <v>1582</v>
      </c>
      <c r="AH615" s="360"/>
      <c r="AI615" s="360"/>
      <c r="AJ615" s="360" t="s">
        <v>1589</v>
      </c>
      <c r="AK615" s="360"/>
      <c r="AL615" s="360" t="s">
        <v>5878</v>
      </c>
      <c r="AM615" s="360"/>
      <c r="AN615" s="360"/>
      <c r="AO615" s="360"/>
      <c r="AP615" s="360"/>
      <c r="AQ615" s="360"/>
      <c r="AR615" s="360"/>
      <c r="AS615" s="360"/>
      <c r="AT615" s="360"/>
      <c r="AU615" s="360" t="s">
        <v>22</v>
      </c>
      <c r="AV615" s="360"/>
      <c r="AW615" s="264"/>
      <c r="AX615" s="264"/>
      <c r="AY615" s="264"/>
      <c r="AZ615" s="264"/>
      <c r="BA615" s="264"/>
      <c r="BB615" s="264"/>
      <c r="BC615" s="264"/>
      <c r="BD615" s="264"/>
      <c r="BE615" s="264"/>
    </row>
    <row r="616">
      <c r="A616" s="264"/>
      <c r="B616" s="264"/>
      <c r="C616" s="264"/>
      <c r="D616" s="264"/>
      <c r="E616" s="264"/>
      <c r="F616" s="264"/>
      <c r="G616" s="264"/>
      <c r="H616" s="264"/>
      <c r="I616" s="264"/>
      <c r="J616" s="264"/>
      <c r="K616" s="264"/>
      <c r="L616" s="264"/>
      <c r="M616" s="264" t="s">
        <v>22</v>
      </c>
      <c r="N616" s="264"/>
      <c r="O616" s="264" t="s">
        <v>22</v>
      </c>
      <c r="P616" s="264"/>
      <c r="Q616" s="264"/>
      <c r="R616" s="264"/>
      <c r="S616" s="264"/>
      <c r="T616" s="264"/>
      <c r="U616" s="360"/>
      <c r="V616" s="360"/>
      <c r="W616" s="360"/>
      <c r="X616" s="360"/>
      <c r="Y616" s="360"/>
      <c r="Z616" s="360"/>
      <c r="AA616" s="360"/>
      <c r="AB616" s="360"/>
      <c r="AC616" s="360"/>
      <c r="AD616" s="360"/>
      <c r="AE616" s="360"/>
      <c r="AF616" s="360"/>
      <c r="AG616" s="360" t="s">
        <v>1582</v>
      </c>
      <c r="AH616" s="360"/>
      <c r="AI616" s="360"/>
      <c r="AJ616" s="360" t="s">
        <v>1589</v>
      </c>
      <c r="AK616" s="360"/>
      <c r="AL616" s="360" t="s">
        <v>5878</v>
      </c>
      <c r="AM616" s="360"/>
      <c r="AN616" s="360"/>
      <c r="AO616" s="360"/>
      <c r="AP616" s="360"/>
      <c r="AQ616" s="360"/>
      <c r="AR616" s="360"/>
      <c r="AS616" s="360"/>
      <c r="AT616" s="360"/>
      <c r="AU616" s="360" t="s">
        <v>22</v>
      </c>
      <c r="AV616" s="360"/>
      <c r="AW616" s="264"/>
      <c r="AX616" s="264"/>
      <c r="AY616" s="264"/>
      <c r="AZ616" s="264"/>
      <c r="BA616" s="264"/>
      <c r="BB616" s="264"/>
      <c r="BC616" s="264"/>
      <c r="BD616" s="264"/>
      <c r="BE616" s="264"/>
    </row>
    <row r="617">
      <c r="A617" s="264"/>
      <c r="B617" s="264"/>
      <c r="C617" s="264"/>
      <c r="D617" s="264"/>
      <c r="E617" s="264"/>
      <c r="F617" s="264"/>
      <c r="G617" s="264"/>
      <c r="H617" s="264"/>
      <c r="I617" s="264"/>
      <c r="J617" s="264"/>
      <c r="K617" s="264"/>
      <c r="L617" s="264"/>
      <c r="M617" s="264" t="s">
        <v>22</v>
      </c>
      <c r="N617" s="264"/>
      <c r="O617" s="264" t="s">
        <v>22</v>
      </c>
      <c r="P617" s="264"/>
      <c r="Q617" s="264"/>
      <c r="R617" s="264"/>
      <c r="S617" s="264"/>
      <c r="T617" s="264"/>
      <c r="U617" s="360"/>
      <c r="V617" s="360"/>
      <c r="W617" s="360"/>
      <c r="X617" s="360"/>
      <c r="Y617" s="360"/>
      <c r="Z617" s="360"/>
      <c r="AA617" s="360"/>
      <c r="AB617" s="360"/>
      <c r="AC617" s="360"/>
      <c r="AD617" s="360"/>
      <c r="AE617" s="360"/>
      <c r="AF617" s="360"/>
      <c r="AG617" s="360" t="s">
        <v>1582</v>
      </c>
      <c r="AH617" s="360"/>
      <c r="AI617" s="360"/>
      <c r="AJ617" s="360" t="s">
        <v>1589</v>
      </c>
      <c r="AK617" s="360"/>
      <c r="AL617" s="360" t="s">
        <v>5878</v>
      </c>
      <c r="AM617" s="360"/>
      <c r="AN617" s="360"/>
      <c r="AO617" s="360"/>
      <c r="AP617" s="360"/>
      <c r="AQ617" s="360"/>
      <c r="AR617" s="360"/>
      <c r="AS617" s="360"/>
      <c r="AT617" s="360"/>
      <c r="AU617" s="360" t="s">
        <v>22</v>
      </c>
      <c r="AV617" s="360"/>
      <c r="AW617" s="264"/>
      <c r="AX617" s="264"/>
      <c r="AY617" s="264"/>
      <c r="AZ617" s="264"/>
      <c r="BA617" s="264"/>
      <c r="BB617" s="264"/>
      <c r="BC617" s="264"/>
      <c r="BD617" s="264"/>
      <c r="BE617" s="264"/>
    </row>
    <row r="618">
      <c r="A618" s="264"/>
      <c r="B618" s="264"/>
      <c r="C618" s="264"/>
      <c r="D618" s="264"/>
      <c r="E618" s="264"/>
      <c r="F618" s="264"/>
      <c r="G618" s="264"/>
      <c r="H618" s="264"/>
      <c r="I618" s="264"/>
      <c r="J618" s="264"/>
      <c r="K618" s="264"/>
      <c r="L618" s="264"/>
      <c r="M618" s="264" t="s">
        <v>22</v>
      </c>
      <c r="N618" s="264"/>
      <c r="O618" s="264" t="s">
        <v>22</v>
      </c>
      <c r="P618" s="264"/>
      <c r="Q618" s="264"/>
      <c r="R618" s="264"/>
      <c r="S618" s="264"/>
      <c r="T618" s="264"/>
      <c r="U618" s="360"/>
      <c r="V618" s="360"/>
      <c r="W618" s="360"/>
      <c r="X618" s="360"/>
      <c r="Y618" s="360"/>
      <c r="Z618" s="360"/>
      <c r="AA618" s="360"/>
      <c r="AB618" s="360"/>
      <c r="AC618" s="360"/>
      <c r="AD618" s="360"/>
      <c r="AE618" s="360"/>
      <c r="AF618" s="360"/>
      <c r="AG618" s="360" t="s">
        <v>1582</v>
      </c>
      <c r="AH618" s="360"/>
      <c r="AI618" s="360"/>
      <c r="AJ618" s="360" t="s">
        <v>1589</v>
      </c>
      <c r="AK618" s="360"/>
      <c r="AL618" s="360" t="s">
        <v>5878</v>
      </c>
      <c r="AM618" s="360"/>
      <c r="AN618" s="360"/>
      <c r="AO618" s="360"/>
      <c r="AP618" s="360"/>
      <c r="AQ618" s="360"/>
      <c r="AR618" s="360"/>
      <c r="AS618" s="360"/>
      <c r="AT618" s="360"/>
      <c r="AU618" s="360" t="s">
        <v>22</v>
      </c>
      <c r="AV618" s="360"/>
      <c r="AW618" s="264"/>
      <c r="AX618" s="264"/>
      <c r="AY618" s="264"/>
      <c r="AZ618" s="264"/>
      <c r="BA618" s="264"/>
      <c r="BB618" s="264"/>
      <c r="BC618" s="264"/>
      <c r="BD618" s="264"/>
      <c r="BE618" s="264"/>
    </row>
    <row r="619">
      <c r="A619" s="264"/>
      <c r="B619" s="264"/>
      <c r="C619" s="264"/>
      <c r="D619" s="264"/>
      <c r="E619" s="264"/>
      <c r="F619" s="264"/>
      <c r="G619" s="264"/>
      <c r="H619" s="264"/>
      <c r="I619" s="264"/>
      <c r="J619" s="264"/>
      <c r="K619" s="264"/>
      <c r="L619" s="264"/>
      <c r="M619" s="264" t="s">
        <v>22</v>
      </c>
      <c r="N619" s="264"/>
      <c r="O619" s="264" t="s">
        <v>22</v>
      </c>
      <c r="P619" s="264"/>
      <c r="Q619" s="264"/>
      <c r="R619" s="264"/>
      <c r="S619" s="264"/>
      <c r="T619" s="264"/>
      <c r="U619" s="360"/>
      <c r="V619" s="360"/>
      <c r="W619" s="360"/>
      <c r="X619" s="360"/>
      <c r="Y619" s="360"/>
      <c r="Z619" s="360"/>
      <c r="AA619" s="360"/>
      <c r="AB619" s="360"/>
      <c r="AC619" s="360"/>
      <c r="AD619" s="360"/>
      <c r="AE619" s="360"/>
      <c r="AF619" s="360"/>
      <c r="AG619" s="360" t="s">
        <v>1582</v>
      </c>
      <c r="AH619" s="360"/>
      <c r="AI619" s="360"/>
      <c r="AJ619" s="360" t="s">
        <v>1589</v>
      </c>
      <c r="AK619" s="360"/>
      <c r="AL619" s="360" t="s">
        <v>5878</v>
      </c>
      <c r="AM619" s="360"/>
      <c r="AN619" s="360"/>
      <c r="AO619" s="360"/>
      <c r="AP619" s="360"/>
      <c r="AQ619" s="360"/>
      <c r="AR619" s="360"/>
      <c r="AS619" s="360"/>
      <c r="AT619" s="360"/>
      <c r="AU619" s="360" t="s">
        <v>22</v>
      </c>
      <c r="AV619" s="360"/>
      <c r="AW619" s="264"/>
      <c r="AX619" s="264"/>
      <c r="AY619" s="264"/>
      <c r="AZ619" s="264"/>
      <c r="BA619" s="264"/>
      <c r="BB619" s="264"/>
      <c r="BC619" s="264"/>
      <c r="BD619" s="264"/>
      <c r="BE619" s="264"/>
    </row>
    <row r="620">
      <c r="A620" s="264"/>
      <c r="B620" s="264"/>
      <c r="C620" s="264"/>
      <c r="D620" s="264"/>
      <c r="E620" s="264"/>
      <c r="F620" s="264"/>
      <c r="G620" s="264"/>
      <c r="H620" s="264"/>
      <c r="I620" s="264"/>
      <c r="J620" s="264"/>
      <c r="K620" s="264"/>
      <c r="L620" s="264"/>
      <c r="M620" s="264" t="s">
        <v>22</v>
      </c>
      <c r="N620" s="264"/>
      <c r="O620" s="264" t="s">
        <v>22</v>
      </c>
      <c r="P620" s="264"/>
      <c r="Q620" s="264"/>
      <c r="R620" s="264"/>
      <c r="S620" s="264"/>
      <c r="T620" s="264"/>
      <c r="U620" s="360"/>
      <c r="V620" s="360"/>
      <c r="W620" s="360"/>
      <c r="X620" s="360"/>
      <c r="Y620" s="360"/>
      <c r="Z620" s="360"/>
      <c r="AA620" s="360"/>
      <c r="AB620" s="360"/>
      <c r="AC620" s="360"/>
      <c r="AD620" s="360"/>
      <c r="AE620" s="360"/>
      <c r="AF620" s="360"/>
      <c r="AG620" s="360" t="s">
        <v>1582</v>
      </c>
      <c r="AH620" s="360"/>
      <c r="AI620" s="360"/>
      <c r="AJ620" s="360" t="s">
        <v>1589</v>
      </c>
      <c r="AK620" s="360"/>
      <c r="AL620" s="360" t="s">
        <v>5878</v>
      </c>
      <c r="AM620" s="360"/>
      <c r="AN620" s="360"/>
      <c r="AO620" s="360"/>
      <c r="AP620" s="360"/>
      <c r="AQ620" s="360"/>
      <c r="AR620" s="360"/>
      <c r="AS620" s="360"/>
      <c r="AT620" s="360"/>
      <c r="AU620" s="360" t="s">
        <v>22</v>
      </c>
      <c r="AV620" s="360"/>
      <c r="AW620" s="264"/>
      <c r="AX620" s="264"/>
      <c r="AY620" s="264"/>
      <c r="AZ620" s="264"/>
      <c r="BA620" s="264"/>
      <c r="BB620" s="264"/>
      <c r="BC620" s="264"/>
      <c r="BD620" s="264"/>
      <c r="BE620" s="264"/>
    </row>
    <row r="621">
      <c r="A621" s="264"/>
      <c r="B621" s="264"/>
      <c r="C621" s="264"/>
      <c r="D621" s="264"/>
      <c r="E621" s="264"/>
      <c r="F621" s="264"/>
      <c r="G621" s="264"/>
      <c r="H621" s="264"/>
      <c r="I621" s="264"/>
      <c r="J621" s="264"/>
      <c r="K621" s="264"/>
      <c r="L621" s="264"/>
      <c r="M621" s="264" t="s">
        <v>22</v>
      </c>
      <c r="N621" s="264"/>
      <c r="O621" s="264" t="s">
        <v>22</v>
      </c>
      <c r="P621" s="264"/>
      <c r="Q621" s="264"/>
      <c r="R621" s="264"/>
      <c r="S621" s="264"/>
      <c r="T621" s="264"/>
      <c r="U621" s="360"/>
      <c r="V621" s="360"/>
      <c r="W621" s="360"/>
      <c r="X621" s="360"/>
      <c r="Y621" s="360"/>
      <c r="Z621" s="360"/>
      <c r="AA621" s="360"/>
      <c r="AB621" s="360"/>
      <c r="AC621" s="360"/>
      <c r="AD621" s="360"/>
      <c r="AE621" s="360"/>
      <c r="AF621" s="360"/>
      <c r="AG621" s="360" t="s">
        <v>1582</v>
      </c>
      <c r="AH621" s="360"/>
      <c r="AI621" s="360"/>
      <c r="AJ621" s="360" t="s">
        <v>1589</v>
      </c>
      <c r="AK621" s="360"/>
      <c r="AL621" s="360" t="s">
        <v>5878</v>
      </c>
      <c r="AM621" s="360"/>
      <c r="AN621" s="360"/>
      <c r="AO621" s="360"/>
      <c r="AP621" s="360"/>
      <c r="AQ621" s="360"/>
      <c r="AR621" s="360"/>
      <c r="AS621" s="360"/>
      <c r="AT621" s="360"/>
      <c r="AU621" s="360" t="s">
        <v>22</v>
      </c>
      <c r="AV621" s="360"/>
      <c r="AW621" s="264"/>
      <c r="AX621" s="264"/>
      <c r="AY621" s="264"/>
      <c r="AZ621" s="264"/>
      <c r="BA621" s="264"/>
      <c r="BB621" s="264"/>
      <c r="BC621" s="264"/>
      <c r="BD621" s="264"/>
      <c r="BE621" s="264"/>
    </row>
    <row r="622">
      <c r="A622" s="264"/>
      <c r="B622" s="264"/>
      <c r="C622" s="264"/>
      <c r="D622" s="264"/>
      <c r="E622" s="264"/>
      <c r="F622" s="264"/>
      <c r="G622" s="264"/>
      <c r="H622" s="264"/>
      <c r="I622" s="264"/>
      <c r="J622" s="264"/>
      <c r="K622" s="264"/>
      <c r="L622" s="264"/>
      <c r="M622" s="264" t="s">
        <v>22</v>
      </c>
      <c r="N622" s="264"/>
      <c r="O622" s="264" t="s">
        <v>22</v>
      </c>
      <c r="P622" s="264"/>
      <c r="Q622" s="264"/>
      <c r="R622" s="264"/>
      <c r="S622" s="264"/>
      <c r="T622" s="264"/>
      <c r="U622" s="360"/>
      <c r="V622" s="360"/>
      <c r="W622" s="360"/>
      <c r="X622" s="360"/>
      <c r="Y622" s="360"/>
      <c r="Z622" s="360"/>
      <c r="AA622" s="360"/>
      <c r="AB622" s="360"/>
      <c r="AC622" s="360"/>
      <c r="AD622" s="360"/>
      <c r="AE622" s="360"/>
      <c r="AF622" s="360"/>
      <c r="AG622" s="360" t="s">
        <v>1582</v>
      </c>
      <c r="AH622" s="360"/>
      <c r="AI622" s="360"/>
      <c r="AJ622" s="360" t="s">
        <v>1589</v>
      </c>
      <c r="AK622" s="360"/>
      <c r="AL622" s="360" t="s">
        <v>5878</v>
      </c>
      <c r="AM622" s="360"/>
      <c r="AN622" s="360"/>
      <c r="AO622" s="360"/>
      <c r="AP622" s="360"/>
      <c r="AQ622" s="360"/>
      <c r="AR622" s="360"/>
      <c r="AS622" s="360"/>
      <c r="AT622" s="360"/>
      <c r="AU622" s="360" t="s">
        <v>22</v>
      </c>
      <c r="AV622" s="360"/>
      <c r="AW622" s="264"/>
      <c r="AX622" s="264"/>
      <c r="AY622" s="264"/>
      <c r="AZ622" s="264"/>
      <c r="BA622" s="264"/>
      <c r="BB622" s="264"/>
      <c r="BC622" s="264"/>
      <c r="BD622" s="264"/>
      <c r="BE622" s="264"/>
    </row>
    <row r="623">
      <c r="A623" s="264"/>
      <c r="B623" s="264"/>
      <c r="C623" s="264"/>
      <c r="D623" s="264"/>
      <c r="E623" s="264"/>
      <c r="F623" s="264"/>
      <c r="G623" s="264"/>
      <c r="H623" s="264"/>
      <c r="I623" s="264"/>
      <c r="J623" s="264"/>
      <c r="K623" s="264"/>
      <c r="L623" s="264"/>
      <c r="M623" s="264" t="s">
        <v>22</v>
      </c>
      <c r="N623" s="264"/>
      <c r="O623" s="264" t="s">
        <v>22</v>
      </c>
      <c r="P623" s="264"/>
      <c r="Q623" s="264"/>
      <c r="R623" s="264"/>
      <c r="S623" s="264"/>
      <c r="T623" s="264"/>
      <c r="U623" s="360"/>
      <c r="V623" s="360"/>
      <c r="W623" s="360"/>
      <c r="X623" s="360"/>
      <c r="Y623" s="360"/>
      <c r="Z623" s="360"/>
      <c r="AA623" s="360"/>
      <c r="AB623" s="360"/>
      <c r="AC623" s="360"/>
      <c r="AD623" s="360"/>
      <c r="AE623" s="360"/>
      <c r="AF623" s="360"/>
      <c r="AG623" s="360" t="s">
        <v>1582</v>
      </c>
      <c r="AH623" s="360"/>
      <c r="AI623" s="360"/>
      <c r="AJ623" s="360" t="s">
        <v>1589</v>
      </c>
      <c r="AK623" s="360"/>
      <c r="AL623" s="360" t="s">
        <v>5878</v>
      </c>
      <c r="AM623" s="360"/>
      <c r="AN623" s="360"/>
      <c r="AO623" s="360"/>
      <c r="AP623" s="360"/>
      <c r="AQ623" s="360"/>
      <c r="AR623" s="360"/>
      <c r="AS623" s="360"/>
      <c r="AT623" s="360"/>
      <c r="AU623" s="360" t="s">
        <v>22</v>
      </c>
      <c r="AV623" s="360"/>
      <c r="AW623" s="264"/>
      <c r="AX623" s="264"/>
      <c r="AY623" s="264"/>
      <c r="AZ623" s="264"/>
      <c r="BA623" s="264"/>
      <c r="BB623" s="264"/>
      <c r="BC623" s="264"/>
      <c r="BD623" s="264"/>
      <c r="BE623" s="264"/>
    </row>
    <row r="624">
      <c r="A624" s="264"/>
      <c r="B624" s="264"/>
      <c r="C624" s="264"/>
      <c r="D624" s="264"/>
      <c r="E624" s="264"/>
      <c r="F624" s="264"/>
      <c r="G624" s="264"/>
      <c r="H624" s="264"/>
      <c r="I624" s="264"/>
      <c r="J624" s="264"/>
      <c r="K624" s="264"/>
      <c r="L624" s="264"/>
      <c r="M624" s="264" t="s">
        <v>22</v>
      </c>
      <c r="N624" s="264"/>
      <c r="O624" s="264" t="s">
        <v>22</v>
      </c>
      <c r="P624" s="264"/>
      <c r="Q624" s="264"/>
      <c r="R624" s="264"/>
      <c r="S624" s="264"/>
      <c r="T624" s="264"/>
      <c r="U624" s="360"/>
      <c r="V624" s="360"/>
      <c r="W624" s="360"/>
      <c r="X624" s="360"/>
      <c r="Y624" s="360"/>
      <c r="Z624" s="360"/>
      <c r="AA624" s="360"/>
      <c r="AB624" s="360"/>
      <c r="AC624" s="360"/>
      <c r="AD624" s="360"/>
      <c r="AE624" s="360"/>
      <c r="AF624" s="360"/>
      <c r="AG624" s="360" t="s">
        <v>1582</v>
      </c>
      <c r="AH624" s="360"/>
      <c r="AI624" s="360"/>
      <c r="AJ624" s="360" t="s">
        <v>1589</v>
      </c>
      <c r="AK624" s="360"/>
      <c r="AL624" s="360" t="s">
        <v>5878</v>
      </c>
      <c r="AM624" s="360"/>
      <c r="AN624" s="360"/>
      <c r="AO624" s="360"/>
      <c r="AP624" s="360"/>
      <c r="AQ624" s="360"/>
      <c r="AR624" s="360"/>
      <c r="AS624" s="360"/>
      <c r="AT624" s="360"/>
      <c r="AU624" s="360" t="s">
        <v>22</v>
      </c>
      <c r="AV624" s="360"/>
      <c r="AW624" s="264"/>
      <c r="AX624" s="264"/>
      <c r="AY624" s="264"/>
      <c r="AZ624" s="264"/>
      <c r="BA624" s="264"/>
      <c r="BB624" s="264"/>
      <c r="BC624" s="264"/>
      <c r="BD624" s="264"/>
      <c r="BE624" s="264"/>
    </row>
    <row r="625">
      <c r="A625" s="264"/>
      <c r="B625" s="264"/>
      <c r="C625" s="264"/>
      <c r="D625" s="264"/>
      <c r="E625" s="264"/>
      <c r="F625" s="264"/>
      <c r="G625" s="264"/>
      <c r="H625" s="264"/>
      <c r="I625" s="264"/>
      <c r="J625" s="264"/>
      <c r="K625" s="264"/>
      <c r="L625" s="264"/>
      <c r="M625" s="264" t="s">
        <v>22</v>
      </c>
      <c r="N625" s="264"/>
      <c r="O625" s="264" t="s">
        <v>22</v>
      </c>
      <c r="P625" s="264"/>
      <c r="Q625" s="264"/>
      <c r="R625" s="264"/>
      <c r="S625" s="264"/>
      <c r="T625" s="264"/>
      <c r="U625" s="360"/>
      <c r="V625" s="360"/>
      <c r="W625" s="360"/>
      <c r="X625" s="360"/>
      <c r="Y625" s="360"/>
      <c r="Z625" s="360"/>
      <c r="AA625" s="360"/>
      <c r="AB625" s="360"/>
      <c r="AC625" s="360"/>
      <c r="AD625" s="360"/>
      <c r="AE625" s="360"/>
      <c r="AF625" s="360"/>
      <c r="AG625" s="360" t="s">
        <v>1582</v>
      </c>
      <c r="AH625" s="360"/>
      <c r="AI625" s="360"/>
      <c r="AJ625" s="360" t="s">
        <v>1589</v>
      </c>
      <c r="AK625" s="360"/>
      <c r="AL625" s="360" t="s">
        <v>5878</v>
      </c>
      <c r="AM625" s="360"/>
      <c r="AN625" s="360"/>
      <c r="AO625" s="360"/>
      <c r="AP625" s="360"/>
      <c r="AQ625" s="360"/>
      <c r="AR625" s="360"/>
      <c r="AS625" s="360"/>
      <c r="AT625" s="360"/>
      <c r="AU625" s="360" t="s">
        <v>22</v>
      </c>
      <c r="AV625" s="360"/>
      <c r="AW625" s="264"/>
      <c r="AX625" s="264"/>
      <c r="AY625" s="264"/>
      <c r="AZ625" s="264"/>
      <c r="BA625" s="264"/>
      <c r="BB625" s="264"/>
      <c r="BC625" s="264"/>
      <c r="BD625" s="264"/>
      <c r="BE625" s="264"/>
    </row>
    <row r="626">
      <c r="A626" s="264"/>
      <c r="B626" s="264"/>
      <c r="C626" s="264"/>
      <c r="D626" s="264"/>
      <c r="E626" s="264"/>
      <c r="F626" s="264"/>
      <c r="G626" s="264"/>
      <c r="H626" s="264"/>
      <c r="I626" s="264"/>
      <c r="J626" s="264"/>
      <c r="K626" s="264"/>
      <c r="L626" s="264"/>
      <c r="M626" s="264" t="s">
        <v>22</v>
      </c>
      <c r="N626" s="264"/>
      <c r="O626" s="264" t="s">
        <v>22</v>
      </c>
      <c r="P626" s="264"/>
      <c r="Q626" s="264"/>
      <c r="R626" s="264"/>
      <c r="S626" s="264"/>
      <c r="T626" s="264"/>
      <c r="U626" s="360"/>
      <c r="V626" s="360"/>
      <c r="W626" s="360"/>
      <c r="X626" s="360"/>
      <c r="Y626" s="360"/>
      <c r="Z626" s="360"/>
      <c r="AA626" s="360"/>
      <c r="AB626" s="360"/>
      <c r="AC626" s="360"/>
      <c r="AD626" s="360"/>
      <c r="AE626" s="360"/>
      <c r="AF626" s="360"/>
      <c r="AG626" s="360" t="s">
        <v>1582</v>
      </c>
      <c r="AH626" s="360"/>
      <c r="AI626" s="360"/>
      <c r="AJ626" s="360" t="s">
        <v>1589</v>
      </c>
      <c r="AK626" s="360"/>
      <c r="AL626" s="360" t="s">
        <v>5878</v>
      </c>
      <c r="AM626" s="360"/>
      <c r="AN626" s="360"/>
      <c r="AO626" s="360"/>
      <c r="AP626" s="360"/>
      <c r="AQ626" s="360"/>
      <c r="AR626" s="360"/>
      <c r="AS626" s="360"/>
      <c r="AT626" s="360"/>
      <c r="AU626" s="360" t="s">
        <v>22</v>
      </c>
      <c r="AV626" s="360"/>
      <c r="AW626" s="264"/>
      <c r="AX626" s="264"/>
      <c r="AY626" s="264"/>
      <c r="AZ626" s="264"/>
      <c r="BA626" s="264"/>
      <c r="BB626" s="264"/>
      <c r="BC626" s="264"/>
      <c r="BD626" s="264"/>
      <c r="BE626" s="264"/>
    </row>
    <row r="627">
      <c r="A627" s="264"/>
      <c r="B627" s="264"/>
      <c r="C627" s="264"/>
      <c r="D627" s="264"/>
      <c r="E627" s="264"/>
      <c r="F627" s="264"/>
      <c r="G627" s="264"/>
      <c r="H627" s="264"/>
      <c r="I627" s="264"/>
      <c r="J627" s="264"/>
      <c r="K627" s="264"/>
      <c r="L627" s="264"/>
      <c r="M627" s="264" t="s">
        <v>22</v>
      </c>
      <c r="N627" s="264"/>
      <c r="O627" s="264" t="s">
        <v>22</v>
      </c>
      <c r="P627" s="264"/>
      <c r="Q627" s="264"/>
      <c r="R627" s="264"/>
      <c r="S627" s="264"/>
      <c r="T627" s="264"/>
      <c r="U627" s="360"/>
      <c r="V627" s="360"/>
      <c r="W627" s="360"/>
      <c r="X627" s="360"/>
      <c r="Y627" s="360"/>
      <c r="Z627" s="360"/>
      <c r="AA627" s="360"/>
      <c r="AB627" s="360"/>
      <c r="AC627" s="360"/>
      <c r="AD627" s="360"/>
      <c r="AE627" s="360"/>
      <c r="AF627" s="360"/>
      <c r="AG627" s="360" t="s">
        <v>1582</v>
      </c>
      <c r="AH627" s="360"/>
      <c r="AI627" s="360"/>
      <c r="AJ627" s="360" t="s">
        <v>1589</v>
      </c>
      <c r="AK627" s="360"/>
      <c r="AL627" s="360" t="s">
        <v>5878</v>
      </c>
      <c r="AM627" s="360"/>
      <c r="AN627" s="360"/>
      <c r="AO627" s="360"/>
      <c r="AP627" s="360"/>
      <c r="AQ627" s="360"/>
      <c r="AR627" s="360"/>
      <c r="AS627" s="360"/>
      <c r="AT627" s="360"/>
      <c r="AU627" s="360" t="s">
        <v>22</v>
      </c>
      <c r="AV627" s="360"/>
      <c r="AW627" s="264"/>
      <c r="AX627" s="264"/>
      <c r="AY627" s="264"/>
      <c r="AZ627" s="264"/>
      <c r="BA627" s="264"/>
      <c r="BB627" s="264"/>
      <c r="BC627" s="264"/>
      <c r="BD627" s="264"/>
      <c r="BE627" s="264"/>
    </row>
    <row r="628">
      <c r="A628" s="264"/>
      <c r="B628" s="264"/>
      <c r="C628" s="264"/>
      <c r="D628" s="264"/>
      <c r="E628" s="264"/>
      <c r="F628" s="264"/>
      <c r="G628" s="264"/>
      <c r="H628" s="264"/>
      <c r="I628" s="264"/>
      <c r="J628" s="264"/>
      <c r="K628" s="264"/>
      <c r="L628" s="264"/>
      <c r="M628" s="264" t="s">
        <v>22</v>
      </c>
      <c r="N628" s="264"/>
      <c r="O628" s="264" t="s">
        <v>22</v>
      </c>
      <c r="P628" s="264"/>
      <c r="Q628" s="264"/>
      <c r="R628" s="264"/>
      <c r="S628" s="264"/>
      <c r="T628" s="264"/>
      <c r="U628" s="360"/>
      <c r="V628" s="360"/>
      <c r="W628" s="360"/>
      <c r="X628" s="360"/>
      <c r="Y628" s="360"/>
      <c r="Z628" s="360"/>
      <c r="AA628" s="360"/>
      <c r="AB628" s="360"/>
      <c r="AC628" s="360"/>
      <c r="AD628" s="360"/>
      <c r="AE628" s="360"/>
      <c r="AF628" s="360"/>
      <c r="AG628" s="360" t="s">
        <v>1582</v>
      </c>
      <c r="AH628" s="360"/>
      <c r="AI628" s="360"/>
      <c r="AJ628" s="360" t="s">
        <v>1589</v>
      </c>
      <c r="AK628" s="360"/>
      <c r="AL628" s="360" t="s">
        <v>5878</v>
      </c>
      <c r="AM628" s="360"/>
      <c r="AN628" s="360"/>
      <c r="AO628" s="360"/>
      <c r="AP628" s="360"/>
      <c r="AQ628" s="360"/>
      <c r="AR628" s="360"/>
      <c r="AS628" s="360"/>
      <c r="AT628" s="360"/>
      <c r="AU628" s="360" t="s">
        <v>22</v>
      </c>
      <c r="AV628" s="360"/>
      <c r="AW628" s="264"/>
      <c r="AX628" s="264"/>
      <c r="AY628" s="264"/>
      <c r="AZ628" s="264"/>
      <c r="BA628" s="264"/>
      <c r="BB628" s="264"/>
      <c r="BC628" s="264"/>
      <c r="BD628" s="264"/>
      <c r="BE628" s="264"/>
    </row>
    <row r="629">
      <c r="A629" s="264"/>
      <c r="B629" s="264"/>
      <c r="C629" s="264"/>
      <c r="D629" s="264"/>
      <c r="E629" s="264"/>
      <c r="F629" s="264"/>
      <c r="G629" s="264"/>
      <c r="H629" s="264"/>
      <c r="I629" s="264"/>
      <c r="J629" s="264"/>
      <c r="K629" s="264"/>
      <c r="L629" s="264"/>
      <c r="M629" s="264" t="s">
        <v>22</v>
      </c>
      <c r="N629" s="264"/>
      <c r="O629" s="264" t="s">
        <v>22</v>
      </c>
      <c r="P629" s="264"/>
      <c r="Q629" s="264"/>
      <c r="R629" s="264"/>
      <c r="S629" s="264"/>
      <c r="T629" s="264"/>
      <c r="U629" s="360"/>
      <c r="V629" s="360"/>
      <c r="W629" s="360"/>
      <c r="X629" s="360"/>
      <c r="Y629" s="360"/>
      <c r="Z629" s="360"/>
      <c r="AA629" s="360"/>
      <c r="AB629" s="360"/>
      <c r="AC629" s="360"/>
      <c r="AD629" s="360"/>
      <c r="AE629" s="360"/>
      <c r="AF629" s="360"/>
      <c r="AG629" s="360" t="s">
        <v>1582</v>
      </c>
      <c r="AH629" s="360"/>
      <c r="AI629" s="360"/>
      <c r="AJ629" s="360" t="s">
        <v>1589</v>
      </c>
      <c r="AK629" s="360"/>
      <c r="AL629" s="360" t="s">
        <v>5878</v>
      </c>
      <c r="AM629" s="360"/>
      <c r="AN629" s="360"/>
      <c r="AO629" s="360"/>
      <c r="AP629" s="360"/>
      <c r="AQ629" s="360"/>
      <c r="AR629" s="360"/>
      <c r="AS629" s="360"/>
      <c r="AT629" s="360"/>
      <c r="AU629" s="360" t="s">
        <v>22</v>
      </c>
      <c r="AV629" s="360"/>
      <c r="AW629" s="264"/>
      <c r="AX629" s="264"/>
      <c r="AY629" s="264"/>
      <c r="AZ629" s="264"/>
      <c r="BA629" s="264"/>
      <c r="BB629" s="264"/>
      <c r="BC629" s="264"/>
      <c r="BD629" s="264"/>
      <c r="BE629" s="264"/>
    </row>
    <row r="630">
      <c r="A630" s="264"/>
      <c r="B630" s="264"/>
      <c r="C630" s="264"/>
      <c r="D630" s="264"/>
      <c r="E630" s="264"/>
      <c r="F630" s="264"/>
      <c r="G630" s="264"/>
      <c r="H630" s="264"/>
      <c r="I630" s="264"/>
      <c r="J630" s="264"/>
      <c r="K630" s="264"/>
      <c r="L630" s="264"/>
      <c r="M630" s="264" t="s">
        <v>22</v>
      </c>
      <c r="N630" s="264"/>
      <c r="O630" s="264" t="s">
        <v>22</v>
      </c>
      <c r="P630" s="264"/>
      <c r="Q630" s="264"/>
      <c r="R630" s="264"/>
      <c r="S630" s="264"/>
      <c r="T630" s="264"/>
      <c r="U630" s="360"/>
      <c r="V630" s="360"/>
      <c r="W630" s="360"/>
      <c r="X630" s="360"/>
      <c r="Y630" s="360"/>
      <c r="Z630" s="360"/>
      <c r="AA630" s="360"/>
      <c r="AB630" s="360"/>
      <c r="AC630" s="360"/>
      <c r="AD630" s="360"/>
      <c r="AE630" s="360"/>
      <c r="AF630" s="360"/>
      <c r="AG630" s="360" t="s">
        <v>1582</v>
      </c>
      <c r="AH630" s="360"/>
      <c r="AI630" s="360"/>
      <c r="AJ630" s="360" t="s">
        <v>1589</v>
      </c>
      <c r="AK630" s="360"/>
      <c r="AL630" s="360" t="s">
        <v>5878</v>
      </c>
      <c r="AM630" s="360"/>
      <c r="AN630" s="360"/>
      <c r="AO630" s="360"/>
      <c r="AP630" s="360"/>
      <c r="AQ630" s="360"/>
      <c r="AR630" s="360"/>
      <c r="AS630" s="360"/>
      <c r="AT630" s="360"/>
      <c r="AU630" s="360" t="s">
        <v>22</v>
      </c>
      <c r="AV630" s="360"/>
      <c r="AW630" s="264"/>
      <c r="AX630" s="264"/>
      <c r="AY630" s="264"/>
      <c r="AZ630" s="264"/>
      <c r="BA630" s="264"/>
      <c r="BB630" s="264"/>
      <c r="BC630" s="264"/>
      <c r="BD630" s="264"/>
      <c r="BE630" s="264"/>
    </row>
    <row r="631">
      <c r="A631" s="264"/>
      <c r="B631" s="264"/>
      <c r="C631" s="264"/>
      <c r="D631" s="264"/>
      <c r="E631" s="264"/>
      <c r="F631" s="264"/>
      <c r="G631" s="264"/>
      <c r="H631" s="264"/>
      <c r="I631" s="264"/>
      <c r="J631" s="264"/>
      <c r="K631" s="264"/>
      <c r="L631" s="264"/>
      <c r="M631" s="264" t="s">
        <v>22</v>
      </c>
      <c r="N631" s="264"/>
      <c r="O631" s="264" t="s">
        <v>22</v>
      </c>
      <c r="P631" s="264"/>
      <c r="Q631" s="264"/>
      <c r="R631" s="264"/>
      <c r="S631" s="264"/>
      <c r="T631" s="264"/>
      <c r="U631" s="360"/>
      <c r="V631" s="360"/>
      <c r="W631" s="360"/>
      <c r="X631" s="360"/>
      <c r="Y631" s="360"/>
      <c r="Z631" s="360"/>
      <c r="AA631" s="360"/>
      <c r="AB631" s="360"/>
      <c r="AC631" s="360"/>
      <c r="AD631" s="360"/>
      <c r="AE631" s="360"/>
      <c r="AF631" s="360"/>
      <c r="AG631" s="360" t="s">
        <v>1582</v>
      </c>
      <c r="AH631" s="360"/>
      <c r="AI631" s="360"/>
      <c r="AJ631" s="360" t="s">
        <v>1589</v>
      </c>
      <c r="AK631" s="360"/>
      <c r="AL631" s="360" t="s">
        <v>5878</v>
      </c>
      <c r="AM631" s="360"/>
      <c r="AN631" s="360"/>
      <c r="AO631" s="360"/>
      <c r="AP631" s="360"/>
      <c r="AQ631" s="360"/>
      <c r="AR631" s="360"/>
      <c r="AS631" s="360"/>
      <c r="AT631" s="360"/>
      <c r="AU631" s="360" t="s">
        <v>22</v>
      </c>
      <c r="AV631" s="360"/>
      <c r="AW631" s="264"/>
      <c r="AX631" s="264"/>
      <c r="AY631" s="264"/>
      <c r="AZ631" s="264"/>
      <c r="BA631" s="264"/>
      <c r="BB631" s="264"/>
      <c r="BC631" s="264"/>
      <c r="BD631" s="264"/>
      <c r="BE631" s="264"/>
    </row>
    <row r="632">
      <c r="A632" s="264"/>
      <c r="B632" s="264"/>
      <c r="C632" s="264"/>
      <c r="D632" s="264"/>
      <c r="E632" s="264"/>
      <c r="F632" s="264"/>
      <c r="G632" s="264"/>
      <c r="H632" s="264"/>
      <c r="I632" s="264"/>
      <c r="J632" s="264"/>
      <c r="K632" s="264"/>
      <c r="L632" s="264"/>
      <c r="M632" s="264" t="s">
        <v>22</v>
      </c>
      <c r="N632" s="264"/>
      <c r="O632" s="264" t="s">
        <v>22</v>
      </c>
      <c r="P632" s="264"/>
      <c r="Q632" s="264"/>
      <c r="R632" s="264"/>
      <c r="S632" s="264"/>
      <c r="T632" s="264"/>
      <c r="U632" s="360"/>
      <c r="V632" s="360"/>
      <c r="W632" s="360"/>
      <c r="X632" s="360"/>
      <c r="Y632" s="360"/>
      <c r="Z632" s="360"/>
      <c r="AA632" s="360"/>
      <c r="AB632" s="360"/>
      <c r="AC632" s="360"/>
      <c r="AD632" s="360"/>
      <c r="AE632" s="360"/>
      <c r="AF632" s="360"/>
      <c r="AG632" s="360" t="s">
        <v>1582</v>
      </c>
      <c r="AH632" s="360"/>
      <c r="AI632" s="360"/>
      <c r="AJ632" s="360" t="s">
        <v>1589</v>
      </c>
      <c r="AK632" s="360"/>
      <c r="AL632" s="360" t="s">
        <v>5878</v>
      </c>
      <c r="AM632" s="360"/>
      <c r="AN632" s="360"/>
      <c r="AO632" s="360"/>
      <c r="AP632" s="360"/>
      <c r="AQ632" s="360"/>
      <c r="AR632" s="360"/>
      <c r="AS632" s="360"/>
      <c r="AT632" s="360"/>
      <c r="AU632" s="360" t="s">
        <v>22</v>
      </c>
      <c r="AV632" s="360"/>
      <c r="AW632" s="264"/>
      <c r="AX632" s="264"/>
      <c r="AY632" s="264"/>
      <c r="AZ632" s="264"/>
      <c r="BA632" s="264"/>
      <c r="BB632" s="264"/>
      <c r="BC632" s="264"/>
      <c r="BD632" s="264"/>
      <c r="BE632" s="264"/>
    </row>
    <row r="633">
      <c r="A633" s="264"/>
      <c r="B633" s="264"/>
      <c r="C633" s="264"/>
      <c r="D633" s="264"/>
      <c r="E633" s="264"/>
      <c r="F633" s="264"/>
      <c r="G633" s="264"/>
      <c r="H633" s="264"/>
      <c r="I633" s="264"/>
      <c r="J633" s="264"/>
      <c r="K633" s="264"/>
      <c r="L633" s="264"/>
      <c r="M633" s="264" t="s">
        <v>22</v>
      </c>
      <c r="N633" s="264"/>
      <c r="O633" s="264" t="s">
        <v>22</v>
      </c>
      <c r="P633" s="264"/>
      <c r="Q633" s="264"/>
      <c r="R633" s="264"/>
      <c r="S633" s="264"/>
      <c r="T633" s="264"/>
      <c r="U633" s="360"/>
      <c r="V633" s="360"/>
      <c r="W633" s="360"/>
      <c r="X633" s="360"/>
      <c r="Y633" s="360"/>
      <c r="Z633" s="360"/>
      <c r="AA633" s="360"/>
      <c r="AB633" s="360"/>
      <c r="AC633" s="360"/>
      <c r="AD633" s="360"/>
      <c r="AE633" s="360"/>
      <c r="AF633" s="360"/>
      <c r="AG633" s="360" t="s">
        <v>1582</v>
      </c>
      <c r="AH633" s="360"/>
      <c r="AI633" s="360"/>
      <c r="AJ633" s="360" t="s">
        <v>1589</v>
      </c>
      <c r="AK633" s="360"/>
      <c r="AL633" s="360" t="s">
        <v>5878</v>
      </c>
      <c r="AM633" s="360"/>
      <c r="AN633" s="360"/>
      <c r="AO633" s="360"/>
      <c r="AP633" s="360"/>
      <c r="AQ633" s="360"/>
      <c r="AR633" s="360"/>
      <c r="AS633" s="360"/>
      <c r="AT633" s="360"/>
      <c r="AU633" s="360" t="s">
        <v>22</v>
      </c>
      <c r="AV633" s="360"/>
      <c r="AW633" s="264"/>
      <c r="AX633" s="264"/>
      <c r="AY633" s="264"/>
      <c r="AZ633" s="264"/>
      <c r="BA633" s="264"/>
      <c r="BB633" s="264"/>
      <c r="BC633" s="264"/>
      <c r="BD633" s="264"/>
      <c r="BE633" s="264"/>
    </row>
    <row r="634">
      <c r="A634" s="264"/>
      <c r="B634" s="264"/>
      <c r="C634" s="264"/>
      <c r="D634" s="264"/>
      <c r="E634" s="264"/>
      <c r="F634" s="264"/>
      <c r="G634" s="264"/>
      <c r="H634" s="264"/>
      <c r="I634" s="264"/>
      <c r="J634" s="264"/>
      <c r="K634" s="264"/>
      <c r="L634" s="264"/>
      <c r="M634" s="264" t="s">
        <v>22</v>
      </c>
      <c r="N634" s="264"/>
      <c r="O634" s="264" t="s">
        <v>22</v>
      </c>
      <c r="P634" s="264"/>
      <c r="Q634" s="264"/>
      <c r="R634" s="264"/>
      <c r="S634" s="264"/>
      <c r="T634" s="264"/>
      <c r="U634" s="360"/>
      <c r="V634" s="360"/>
      <c r="W634" s="360"/>
      <c r="X634" s="360"/>
      <c r="Y634" s="360"/>
      <c r="Z634" s="360"/>
      <c r="AA634" s="360"/>
      <c r="AB634" s="360"/>
      <c r="AC634" s="360"/>
      <c r="AD634" s="360"/>
      <c r="AE634" s="360"/>
      <c r="AF634" s="360"/>
      <c r="AG634" s="360" t="s">
        <v>1582</v>
      </c>
      <c r="AH634" s="360"/>
      <c r="AI634" s="360"/>
      <c r="AJ634" s="360" t="s">
        <v>1589</v>
      </c>
      <c r="AK634" s="360"/>
      <c r="AL634" s="360" t="s">
        <v>5878</v>
      </c>
      <c r="AM634" s="360"/>
      <c r="AN634" s="360"/>
      <c r="AO634" s="360"/>
      <c r="AP634" s="360"/>
      <c r="AQ634" s="360"/>
      <c r="AR634" s="360"/>
      <c r="AS634" s="360"/>
      <c r="AT634" s="360"/>
      <c r="AU634" s="360" t="s">
        <v>22</v>
      </c>
      <c r="AV634" s="360"/>
      <c r="AW634" s="264"/>
      <c r="AX634" s="264"/>
      <c r="AY634" s="264"/>
      <c r="AZ634" s="264"/>
      <c r="BA634" s="264"/>
      <c r="BB634" s="264"/>
      <c r="BC634" s="264"/>
      <c r="BD634" s="264"/>
      <c r="BE634" s="264"/>
    </row>
    <row r="635">
      <c r="A635" s="264"/>
      <c r="B635" s="264"/>
      <c r="C635" s="264"/>
      <c r="D635" s="264"/>
      <c r="E635" s="264"/>
      <c r="F635" s="264"/>
      <c r="G635" s="264"/>
      <c r="H635" s="264"/>
      <c r="I635" s="264"/>
      <c r="J635" s="264"/>
      <c r="K635" s="264"/>
      <c r="L635" s="264"/>
      <c r="M635" s="264" t="s">
        <v>22</v>
      </c>
      <c r="N635" s="264"/>
      <c r="O635" s="264" t="s">
        <v>22</v>
      </c>
      <c r="P635" s="264"/>
      <c r="Q635" s="264"/>
      <c r="R635" s="264"/>
      <c r="S635" s="264"/>
      <c r="T635" s="264"/>
      <c r="U635" s="360"/>
      <c r="V635" s="360"/>
      <c r="W635" s="360"/>
      <c r="X635" s="360"/>
      <c r="Y635" s="360"/>
      <c r="Z635" s="360"/>
      <c r="AA635" s="360"/>
      <c r="AB635" s="360"/>
      <c r="AC635" s="360"/>
      <c r="AD635" s="360"/>
      <c r="AE635" s="360"/>
      <c r="AF635" s="360"/>
      <c r="AG635" s="360" t="s">
        <v>1582</v>
      </c>
      <c r="AH635" s="360"/>
      <c r="AI635" s="360"/>
      <c r="AJ635" s="360" t="s">
        <v>1589</v>
      </c>
      <c r="AK635" s="360"/>
      <c r="AL635" s="360" t="s">
        <v>5878</v>
      </c>
      <c r="AM635" s="360"/>
      <c r="AN635" s="360"/>
      <c r="AO635" s="360"/>
      <c r="AP635" s="360"/>
      <c r="AQ635" s="360"/>
      <c r="AR635" s="360"/>
      <c r="AS635" s="360"/>
      <c r="AT635" s="360"/>
      <c r="AU635" s="360" t="s">
        <v>22</v>
      </c>
      <c r="AV635" s="360"/>
      <c r="AW635" s="264"/>
      <c r="AX635" s="264"/>
      <c r="AY635" s="264"/>
      <c r="AZ635" s="264"/>
      <c r="BA635" s="264"/>
      <c r="BB635" s="264"/>
      <c r="BC635" s="264"/>
      <c r="BD635" s="264"/>
      <c r="BE635" s="264"/>
    </row>
    <row r="636">
      <c r="A636" s="264"/>
      <c r="B636" s="264"/>
      <c r="C636" s="264"/>
      <c r="D636" s="264"/>
      <c r="E636" s="264"/>
      <c r="F636" s="264"/>
      <c r="G636" s="264"/>
      <c r="H636" s="264"/>
      <c r="I636" s="264"/>
      <c r="J636" s="264"/>
      <c r="K636" s="264"/>
      <c r="L636" s="264"/>
      <c r="M636" s="264" t="s">
        <v>22</v>
      </c>
      <c r="N636" s="264"/>
      <c r="O636" s="264" t="s">
        <v>22</v>
      </c>
      <c r="P636" s="264"/>
      <c r="Q636" s="264"/>
      <c r="R636" s="264"/>
      <c r="S636" s="264"/>
      <c r="T636" s="264"/>
      <c r="U636" s="360"/>
      <c r="V636" s="360"/>
      <c r="W636" s="360"/>
      <c r="X636" s="360"/>
      <c r="Y636" s="360"/>
      <c r="Z636" s="360"/>
      <c r="AA636" s="360"/>
      <c r="AB636" s="360"/>
      <c r="AC636" s="360"/>
      <c r="AD636" s="360"/>
      <c r="AE636" s="360"/>
      <c r="AF636" s="360"/>
      <c r="AG636" s="360" t="s">
        <v>1582</v>
      </c>
      <c r="AH636" s="360"/>
      <c r="AI636" s="360"/>
      <c r="AJ636" s="360" t="s">
        <v>1589</v>
      </c>
      <c r="AK636" s="360"/>
      <c r="AL636" s="360" t="s">
        <v>5878</v>
      </c>
      <c r="AM636" s="360"/>
      <c r="AN636" s="360"/>
      <c r="AO636" s="360"/>
      <c r="AP636" s="360"/>
      <c r="AQ636" s="360"/>
      <c r="AR636" s="360"/>
      <c r="AS636" s="360"/>
      <c r="AT636" s="360"/>
      <c r="AU636" s="360" t="s">
        <v>22</v>
      </c>
      <c r="AV636" s="360"/>
      <c r="AW636" s="264"/>
      <c r="AX636" s="264"/>
      <c r="AY636" s="264"/>
      <c r="AZ636" s="264"/>
      <c r="BA636" s="264"/>
      <c r="BB636" s="264"/>
      <c r="BC636" s="264"/>
      <c r="BD636" s="264"/>
      <c r="BE636" s="264"/>
    </row>
    <row r="637">
      <c r="A637" s="264"/>
      <c r="B637" s="264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 t="s">
        <v>22</v>
      </c>
      <c r="N637" s="264"/>
      <c r="O637" s="264" t="s">
        <v>22</v>
      </c>
      <c r="P637" s="264"/>
      <c r="Q637" s="264"/>
      <c r="R637" s="264"/>
      <c r="S637" s="264"/>
      <c r="T637" s="264"/>
      <c r="U637" s="360"/>
      <c r="V637" s="360"/>
      <c r="W637" s="360"/>
      <c r="X637" s="360"/>
      <c r="Y637" s="360"/>
      <c r="Z637" s="360"/>
      <c r="AA637" s="360"/>
      <c r="AB637" s="360"/>
      <c r="AC637" s="360"/>
      <c r="AD637" s="360"/>
      <c r="AE637" s="360"/>
      <c r="AF637" s="360"/>
      <c r="AG637" s="360" t="s">
        <v>1582</v>
      </c>
      <c r="AH637" s="360"/>
      <c r="AI637" s="360"/>
      <c r="AJ637" s="360" t="s">
        <v>1589</v>
      </c>
      <c r="AK637" s="360"/>
      <c r="AL637" s="360" t="s">
        <v>5878</v>
      </c>
      <c r="AM637" s="360"/>
      <c r="AN637" s="360"/>
      <c r="AO637" s="360"/>
      <c r="AP637" s="360"/>
      <c r="AQ637" s="360"/>
      <c r="AR637" s="360"/>
      <c r="AS637" s="360"/>
      <c r="AT637" s="360"/>
      <c r="AU637" s="360" t="s">
        <v>22</v>
      </c>
      <c r="AV637" s="360"/>
      <c r="AW637" s="264"/>
      <c r="AX637" s="264"/>
      <c r="AY637" s="264"/>
      <c r="AZ637" s="264"/>
      <c r="BA637" s="264"/>
      <c r="BB637" s="264"/>
      <c r="BC637" s="264"/>
      <c r="BD637" s="264"/>
      <c r="BE637" s="264"/>
    </row>
    <row r="638">
      <c r="A638" s="264"/>
      <c r="B638" s="264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 t="s">
        <v>22</v>
      </c>
      <c r="N638" s="264"/>
      <c r="O638" s="264" t="s">
        <v>22</v>
      </c>
      <c r="P638" s="264"/>
      <c r="Q638" s="264"/>
      <c r="R638" s="264"/>
      <c r="S638" s="264"/>
      <c r="T638" s="264"/>
      <c r="U638" s="360"/>
      <c r="V638" s="360"/>
      <c r="W638" s="360"/>
      <c r="X638" s="360"/>
      <c r="Y638" s="360"/>
      <c r="Z638" s="360"/>
      <c r="AA638" s="360"/>
      <c r="AB638" s="360"/>
      <c r="AC638" s="360"/>
      <c r="AD638" s="360"/>
      <c r="AE638" s="360"/>
      <c r="AF638" s="360"/>
      <c r="AG638" s="360" t="s">
        <v>1582</v>
      </c>
      <c r="AH638" s="360"/>
      <c r="AI638" s="360"/>
      <c r="AJ638" s="360" t="s">
        <v>1589</v>
      </c>
      <c r="AK638" s="360"/>
      <c r="AL638" s="360" t="s">
        <v>5878</v>
      </c>
      <c r="AM638" s="360"/>
      <c r="AN638" s="360"/>
      <c r="AO638" s="360"/>
      <c r="AP638" s="360"/>
      <c r="AQ638" s="360"/>
      <c r="AR638" s="360"/>
      <c r="AS638" s="360"/>
      <c r="AT638" s="360"/>
      <c r="AU638" s="360" t="s">
        <v>22</v>
      </c>
      <c r="AV638" s="360"/>
      <c r="AW638" s="264"/>
      <c r="AX638" s="264"/>
      <c r="AY638" s="264"/>
      <c r="AZ638" s="264"/>
      <c r="BA638" s="264"/>
      <c r="BB638" s="264"/>
      <c r="BC638" s="264"/>
      <c r="BD638" s="264"/>
      <c r="BE638" s="264"/>
    </row>
    <row r="639">
      <c r="A639" s="264"/>
      <c r="B639" s="264"/>
      <c r="C639" s="264"/>
      <c r="D639" s="264"/>
      <c r="E639" s="264"/>
      <c r="F639" s="264"/>
      <c r="G639" s="264"/>
      <c r="H639" s="264"/>
      <c r="I639" s="264"/>
      <c r="J639" s="264"/>
      <c r="K639" s="264"/>
      <c r="L639" s="264"/>
      <c r="M639" s="264" t="s">
        <v>22</v>
      </c>
      <c r="N639" s="264"/>
      <c r="O639" s="264" t="s">
        <v>22</v>
      </c>
      <c r="P639" s="264"/>
      <c r="Q639" s="264"/>
      <c r="R639" s="264"/>
      <c r="S639" s="264"/>
      <c r="T639" s="264"/>
      <c r="U639" s="360"/>
      <c r="V639" s="360"/>
      <c r="W639" s="360"/>
      <c r="X639" s="360"/>
      <c r="Y639" s="360"/>
      <c r="Z639" s="360"/>
      <c r="AA639" s="360"/>
      <c r="AB639" s="360"/>
      <c r="AC639" s="360"/>
      <c r="AD639" s="360"/>
      <c r="AE639" s="360"/>
      <c r="AF639" s="360"/>
      <c r="AG639" s="360" t="s">
        <v>1582</v>
      </c>
      <c r="AH639" s="360"/>
      <c r="AI639" s="360"/>
      <c r="AJ639" s="360" t="s">
        <v>1589</v>
      </c>
      <c r="AK639" s="360"/>
      <c r="AL639" s="360" t="s">
        <v>5878</v>
      </c>
      <c r="AM639" s="360"/>
      <c r="AN639" s="360"/>
      <c r="AO639" s="360"/>
      <c r="AP639" s="360"/>
      <c r="AQ639" s="360"/>
      <c r="AR639" s="360"/>
      <c r="AS639" s="360"/>
      <c r="AT639" s="360"/>
      <c r="AU639" s="360" t="s">
        <v>22</v>
      </c>
      <c r="AV639" s="360"/>
      <c r="AW639" s="264"/>
      <c r="AX639" s="264"/>
      <c r="AY639" s="264"/>
      <c r="AZ639" s="264"/>
      <c r="BA639" s="264"/>
      <c r="BB639" s="264"/>
      <c r="BC639" s="264"/>
      <c r="BD639" s="264"/>
      <c r="BE639" s="264"/>
    </row>
    <row r="640">
      <c r="A640" s="264"/>
      <c r="B640" s="264"/>
      <c r="C640" s="264"/>
      <c r="D640" s="264"/>
      <c r="E640" s="264"/>
      <c r="F640" s="264"/>
      <c r="G640" s="264"/>
      <c r="H640" s="264"/>
      <c r="I640" s="264"/>
      <c r="J640" s="264"/>
      <c r="K640" s="264"/>
      <c r="L640" s="264"/>
      <c r="M640" s="264" t="s">
        <v>22</v>
      </c>
      <c r="N640" s="264"/>
      <c r="O640" s="264" t="s">
        <v>22</v>
      </c>
      <c r="P640" s="264"/>
      <c r="Q640" s="264"/>
      <c r="R640" s="264"/>
      <c r="S640" s="264"/>
      <c r="T640" s="264"/>
      <c r="U640" s="360"/>
      <c r="V640" s="360"/>
      <c r="W640" s="360"/>
      <c r="X640" s="360"/>
      <c r="Y640" s="360"/>
      <c r="Z640" s="360"/>
      <c r="AA640" s="360"/>
      <c r="AB640" s="360"/>
      <c r="AC640" s="360"/>
      <c r="AD640" s="360"/>
      <c r="AE640" s="360"/>
      <c r="AF640" s="360"/>
      <c r="AG640" s="360" t="s">
        <v>1582</v>
      </c>
      <c r="AH640" s="360"/>
      <c r="AI640" s="360"/>
      <c r="AJ640" s="360" t="s">
        <v>1589</v>
      </c>
      <c r="AK640" s="360"/>
      <c r="AL640" s="360" t="s">
        <v>5878</v>
      </c>
      <c r="AM640" s="360"/>
      <c r="AN640" s="360"/>
      <c r="AO640" s="360"/>
      <c r="AP640" s="360"/>
      <c r="AQ640" s="360"/>
      <c r="AR640" s="360"/>
      <c r="AS640" s="360"/>
      <c r="AT640" s="360"/>
      <c r="AU640" s="360" t="s">
        <v>22</v>
      </c>
      <c r="AV640" s="360"/>
      <c r="AW640" s="264"/>
      <c r="AX640" s="264"/>
      <c r="AY640" s="264"/>
      <c r="AZ640" s="264"/>
      <c r="BA640" s="264"/>
      <c r="BB640" s="264"/>
      <c r="BC640" s="264"/>
      <c r="BD640" s="264"/>
      <c r="BE640" s="264"/>
    </row>
    <row r="641">
      <c r="A641" s="264"/>
      <c r="B641" s="264"/>
      <c r="C641" s="264"/>
      <c r="D641" s="264"/>
      <c r="E641" s="264"/>
      <c r="F641" s="264"/>
      <c r="G641" s="264"/>
      <c r="H641" s="264"/>
      <c r="I641" s="264"/>
      <c r="J641" s="264"/>
      <c r="K641" s="264"/>
      <c r="L641" s="264"/>
      <c r="M641" s="264" t="s">
        <v>22</v>
      </c>
      <c r="N641" s="264"/>
      <c r="O641" s="264" t="s">
        <v>22</v>
      </c>
      <c r="P641" s="264"/>
      <c r="Q641" s="264"/>
      <c r="R641" s="264"/>
      <c r="S641" s="264"/>
      <c r="T641" s="264"/>
      <c r="U641" s="360"/>
      <c r="V641" s="360"/>
      <c r="W641" s="360"/>
      <c r="X641" s="360"/>
      <c r="Y641" s="360"/>
      <c r="Z641" s="360"/>
      <c r="AA641" s="360"/>
      <c r="AB641" s="360"/>
      <c r="AC641" s="360"/>
      <c r="AD641" s="360"/>
      <c r="AE641" s="360"/>
      <c r="AF641" s="360"/>
      <c r="AG641" s="360" t="s">
        <v>1582</v>
      </c>
      <c r="AH641" s="360"/>
      <c r="AI641" s="360"/>
      <c r="AJ641" s="360" t="s">
        <v>1589</v>
      </c>
      <c r="AK641" s="360"/>
      <c r="AL641" s="360" t="s">
        <v>5878</v>
      </c>
      <c r="AM641" s="360"/>
      <c r="AN641" s="360"/>
      <c r="AO641" s="360"/>
      <c r="AP641" s="360"/>
      <c r="AQ641" s="360"/>
      <c r="AR641" s="360"/>
      <c r="AS641" s="360"/>
      <c r="AT641" s="360"/>
      <c r="AU641" s="360" t="s">
        <v>22</v>
      </c>
      <c r="AV641" s="360"/>
      <c r="AW641" s="264"/>
      <c r="AX641" s="264"/>
      <c r="AY641" s="264"/>
      <c r="AZ641" s="264"/>
      <c r="BA641" s="264"/>
      <c r="BB641" s="264"/>
      <c r="BC641" s="264"/>
      <c r="BD641" s="264"/>
      <c r="BE641" s="264"/>
    </row>
    <row r="642">
      <c r="A642" s="264"/>
      <c r="B642" s="264"/>
      <c r="C642" s="264"/>
      <c r="D642" s="264"/>
      <c r="E642" s="264"/>
      <c r="F642" s="264"/>
      <c r="G642" s="264"/>
      <c r="H642" s="264"/>
      <c r="I642" s="264"/>
      <c r="J642" s="264"/>
      <c r="K642" s="264"/>
      <c r="L642" s="264"/>
      <c r="M642" s="264" t="s">
        <v>22</v>
      </c>
      <c r="N642" s="264"/>
      <c r="O642" s="264" t="s">
        <v>22</v>
      </c>
      <c r="P642" s="264"/>
      <c r="Q642" s="264"/>
      <c r="R642" s="264"/>
      <c r="S642" s="264"/>
      <c r="T642" s="264"/>
      <c r="U642" s="360"/>
      <c r="V642" s="360"/>
      <c r="W642" s="360"/>
      <c r="X642" s="360"/>
      <c r="Y642" s="360"/>
      <c r="Z642" s="360"/>
      <c r="AA642" s="360"/>
      <c r="AB642" s="360"/>
      <c r="AC642" s="360"/>
      <c r="AD642" s="360"/>
      <c r="AE642" s="360"/>
      <c r="AF642" s="360"/>
      <c r="AG642" s="360" t="s">
        <v>1582</v>
      </c>
      <c r="AH642" s="360"/>
      <c r="AI642" s="360"/>
      <c r="AJ642" s="360" t="s">
        <v>1589</v>
      </c>
      <c r="AK642" s="360"/>
      <c r="AL642" s="360" t="s">
        <v>5878</v>
      </c>
      <c r="AM642" s="360"/>
      <c r="AN642" s="360"/>
      <c r="AO642" s="360"/>
      <c r="AP642" s="360"/>
      <c r="AQ642" s="360"/>
      <c r="AR642" s="360"/>
      <c r="AS642" s="360"/>
      <c r="AT642" s="360"/>
      <c r="AU642" s="360" t="s">
        <v>22</v>
      </c>
      <c r="AV642" s="360"/>
      <c r="AW642" s="264"/>
      <c r="AX642" s="264"/>
      <c r="AY642" s="264"/>
      <c r="AZ642" s="264"/>
      <c r="BA642" s="264"/>
      <c r="BB642" s="264"/>
      <c r="BC642" s="264"/>
      <c r="BD642" s="264"/>
      <c r="BE642" s="264"/>
    </row>
    <row r="643">
      <c r="A643" s="264"/>
      <c r="B643" s="264"/>
      <c r="C643" s="264"/>
      <c r="D643" s="264"/>
      <c r="E643" s="264"/>
      <c r="F643" s="264"/>
      <c r="G643" s="264"/>
      <c r="H643" s="264"/>
      <c r="I643" s="264"/>
      <c r="J643" s="264"/>
      <c r="K643" s="264"/>
      <c r="L643" s="264"/>
      <c r="M643" s="264" t="s">
        <v>22</v>
      </c>
      <c r="N643" s="264"/>
      <c r="O643" s="264" t="s">
        <v>22</v>
      </c>
      <c r="P643" s="264"/>
      <c r="Q643" s="264"/>
      <c r="R643" s="264"/>
      <c r="S643" s="264"/>
      <c r="T643" s="264"/>
      <c r="U643" s="360"/>
      <c r="V643" s="360"/>
      <c r="W643" s="360"/>
      <c r="X643" s="360"/>
      <c r="Y643" s="360"/>
      <c r="Z643" s="360"/>
      <c r="AA643" s="360"/>
      <c r="AB643" s="360"/>
      <c r="AC643" s="360"/>
      <c r="AD643" s="360"/>
      <c r="AE643" s="360"/>
      <c r="AF643" s="360"/>
      <c r="AG643" s="360" t="s">
        <v>1582</v>
      </c>
      <c r="AH643" s="360"/>
      <c r="AI643" s="360"/>
      <c r="AJ643" s="360" t="s">
        <v>1589</v>
      </c>
      <c r="AK643" s="360"/>
      <c r="AL643" s="360" t="s">
        <v>5878</v>
      </c>
      <c r="AM643" s="360"/>
      <c r="AN643" s="360"/>
      <c r="AO643" s="360"/>
      <c r="AP643" s="360"/>
      <c r="AQ643" s="360"/>
      <c r="AR643" s="360"/>
      <c r="AS643" s="360"/>
      <c r="AT643" s="360"/>
      <c r="AU643" s="360" t="s">
        <v>22</v>
      </c>
      <c r="AV643" s="360"/>
      <c r="AW643" s="264"/>
      <c r="AX643" s="264"/>
      <c r="AY643" s="264"/>
      <c r="AZ643" s="264"/>
      <c r="BA643" s="264"/>
      <c r="BB643" s="264"/>
      <c r="BC643" s="264"/>
      <c r="BD643" s="264"/>
      <c r="BE643" s="264"/>
    </row>
    <row r="644">
      <c r="A644" s="264"/>
      <c r="B644" s="264"/>
      <c r="C644" s="264"/>
      <c r="D644" s="264"/>
      <c r="E644" s="264"/>
      <c r="F644" s="264"/>
      <c r="G644" s="264"/>
      <c r="H644" s="264"/>
      <c r="I644" s="264"/>
      <c r="J644" s="264"/>
      <c r="K644" s="264"/>
      <c r="L644" s="264"/>
      <c r="M644" s="264" t="s">
        <v>22</v>
      </c>
      <c r="N644" s="264"/>
      <c r="O644" s="264" t="s">
        <v>22</v>
      </c>
      <c r="P644" s="264"/>
      <c r="Q644" s="264"/>
      <c r="R644" s="264"/>
      <c r="S644" s="264"/>
      <c r="T644" s="264"/>
      <c r="U644" s="360"/>
      <c r="V644" s="360"/>
      <c r="W644" s="360"/>
      <c r="X644" s="360"/>
      <c r="Y644" s="360"/>
      <c r="Z644" s="360"/>
      <c r="AA644" s="360"/>
      <c r="AB644" s="360"/>
      <c r="AC644" s="360"/>
      <c r="AD644" s="360"/>
      <c r="AE644" s="360"/>
      <c r="AF644" s="360"/>
      <c r="AG644" s="360" t="s">
        <v>1582</v>
      </c>
      <c r="AH644" s="360"/>
      <c r="AI644" s="360"/>
      <c r="AJ644" s="360" t="s">
        <v>1589</v>
      </c>
      <c r="AK644" s="360"/>
      <c r="AL644" s="360" t="s">
        <v>5878</v>
      </c>
      <c r="AM644" s="360"/>
      <c r="AN644" s="360"/>
      <c r="AO644" s="360"/>
      <c r="AP644" s="360"/>
      <c r="AQ644" s="360"/>
      <c r="AR644" s="360"/>
      <c r="AS644" s="360"/>
      <c r="AT644" s="360"/>
      <c r="AU644" s="360" t="s">
        <v>22</v>
      </c>
      <c r="AV644" s="360"/>
      <c r="AW644" s="264"/>
      <c r="AX644" s="264"/>
      <c r="AY644" s="264"/>
      <c r="AZ644" s="264"/>
      <c r="BA644" s="264"/>
      <c r="BB644" s="264"/>
      <c r="BC644" s="264"/>
      <c r="BD644" s="264"/>
      <c r="BE644" s="264"/>
    </row>
    <row r="645">
      <c r="A645" s="264"/>
      <c r="B645" s="264"/>
      <c r="C645" s="264"/>
      <c r="D645" s="264"/>
      <c r="E645" s="264"/>
      <c r="F645" s="264"/>
      <c r="G645" s="264"/>
      <c r="H645" s="264"/>
      <c r="I645" s="264"/>
      <c r="J645" s="264"/>
      <c r="K645" s="264"/>
      <c r="L645" s="264"/>
      <c r="M645" s="264" t="s">
        <v>22</v>
      </c>
      <c r="N645" s="264"/>
      <c r="O645" s="264" t="s">
        <v>22</v>
      </c>
      <c r="P645" s="264"/>
      <c r="Q645" s="264"/>
      <c r="R645" s="264"/>
      <c r="S645" s="264"/>
      <c r="T645" s="264"/>
      <c r="U645" s="360"/>
      <c r="V645" s="360"/>
      <c r="W645" s="360"/>
      <c r="X645" s="360"/>
      <c r="Y645" s="360"/>
      <c r="Z645" s="360"/>
      <c r="AA645" s="360"/>
      <c r="AB645" s="360"/>
      <c r="AC645" s="360"/>
      <c r="AD645" s="360"/>
      <c r="AE645" s="360"/>
      <c r="AF645" s="360"/>
      <c r="AG645" s="360" t="s">
        <v>1582</v>
      </c>
      <c r="AH645" s="360"/>
      <c r="AI645" s="360"/>
      <c r="AJ645" s="360" t="s">
        <v>1589</v>
      </c>
      <c r="AK645" s="360"/>
      <c r="AL645" s="360" t="s">
        <v>5878</v>
      </c>
      <c r="AM645" s="360"/>
      <c r="AN645" s="360"/>
      <c r="AO645" s="360"/>
      <c r="AP645" s="360"/>
      <c r="AQ645" s="360"/>
      <c r="AR645" s="360"/>
      <c r="AS645" s="360"/>
      <c r="AT645" s="360"/>
      <c r="AU645" s="360" t="s">
        <v>22</v>
      </c>
      <c r="AV645" s="360"/>
      <c r="AW645" s="264"/>
      <c r="AX645" s="264"/>
      <c r="AY645" s="264"/>
      <c r="AZ645" s="264"/>
      <c r="BA645" s="264"/>
      <c r="BB645" s="264"/>
      <c r="BC645" s="264"/>
      <c r="BD645" s="264"/>
      <c r="BE645" s="264"/>
    </row>
    <row r="646">
      <c r="A646" s="264"/>
      <c r="B646" s="264"/>
      <c r="C646" s="264"/>
      <c r="D646" s="264"/>
      <c r="E646" s="264"/>
      <c r="F646" s="264"/>
      <c r="G646" s="264"/>
      <c r="H646" s="264"/>
      <c r="I646" s="264"/>
      <c r="J646" s="264"/>
      <c r="K646" s="264"/>
      <c r="L646" s="264"/>
      <c r="M646" s="264" t="s">
        <v>22</v>
      </c>
      <c r="N646" s="264"/>
      <c r="O646" s="264" t="s">
        <v>22</v>
      </c>
      <c r="P646" s="264"/>
      <c r="Q646" s="264"/>
      <c r="R646" s="264"/>
      <c r="S646" s="264"/>
      <c r="T646" s="264"/>
      <c r="U646" s="360"/>
      <c r="V646" s="360"/>
      <c r="W646" s="360"/>
      <c r="X646" s="360"/>
      <c r="Y646" s="360"/>
      <c r="Z646" s="360"/>
      <c r="AA646" s="360"/>
      <c r="AB646" s="360"/>
      <c r="AC646" s="360"/>
      <c r="AD646" s="360"/>
      <c r="AE646" s="360"/>
      <c r="AF646" s="360"/>
      <c r="AG646" s="360" t="s">
        <v>1582</v>
      </c>
      <c r="AH646" s="360"/>
      <c r="AI646" s="360"/>
      <c r="AJ646" s="360" t="s">
        <v>1589</v>
      </c>
      <c r="AK646" s="360"/>
      <c r="AL646" s="360" t="s">
        <v>5878</v>
      </c>
      <c r="AM646" s="360"/>
      <c r="AN646" s="360"/>
      <c r="AO646" s="360"/>
      <c r="AP646" s="360"/>
      <c r="AQ646" s="360"/>
      <c r="AR646" s="360"/>
      <c r="AS646" s="360"/>
      <c r="AT646" s="360"/>
      <c r="AU646" s="360" t="s">
        <v>22</v>
      </c>
      <c r="AV646" s="360"/>
      <c r="AW646" s="264"/>
      <c r="AX646" s="264"/>
      <c r="AY646" s="264"/>
      <c r="AZ646" s="264"/>
      <c r="BA646" s="264"/>
      <c r="BB646" s="264"/>
      <c r="BC646" s="264"/>
      <c r="BD646" s="264"/>
      <c r="BE646" s="264"/>
    </row>
    <row r="647">
      <c r="A647" s="264"/>
      <c r="B647" s="264"/>
      <c r="C647" s="264"/>
      <c r="D647" s="264"/>
      <c r="E647" s="264"/>
      <c r="F647" s="264"/>
      <c r="G647" s="264"/>
      <c r="H647" s="264"/>
      <c r="I647" s="264"/>
      <c r="J647" s="264"/>
      <c r="K647" s="264"/>
      <c r="L647" s="264"/>
      <c r="M647" s="264" t="s">
        <v>22</v>
      </c>
      <c r="N647" s="264"/>
      <c r="O647" s="264" t="s">
        <v>22</v>
      </c>
      <c r="P647" s="264"/>
      <c r="Q647" s="264"/>
      <c r="R647" s="264"/>
      <c r="S647" s="264"/>
      <c r="T647" s="264"/>
      <c r="U647" s="360"/>
      <c r="V647" s="360"/>
      <c r="W647" s="360"/>
      <c r="X647" s="360"/>
      <c r="Y647" s="360"/>
      <c r="Z647" s="360"/>
      <c r="AA647" s="360"/>
      <c r="AB647" s="360"/>
      <c r="AC647" s="360"/>
      <c r="AD647" s="360"/>
      <c r="AE647" s="360"/>
      <c r="AF647" s="360"/>
      <c r="AG647" s="360" t="s">
        <v>1582</v>
      </c>
      <c r="AH647" s="360"/>
      <c r="AI647" s="360"/>
      <c r="AJ647" s="360" t="s">
        <v>1589</v>
      </c>
      <c r="AK647" s="360"/>
      <c r="AL647" s="360" t="s">
        <v>5878</v>
      </c>
      <c r="AM647" s="360"/>
      <c r="AN647" s="360"/>
      <c r="AO647" s="360"/>
      <c r="AP647" s="360"/>
      <c r="AQ647" s="360"/>
      <c r="AR647" s="360"/>
      <c r="AS647" s="360"/>
      <c r="AT647" s="360"/>
      <c r="AU647" s="360" t="s">
        <v>22</v>
      </c>
      <c r="AV647" s="360"/>
      <c r="AW647" s="264"/>
      <c r="AX647" s="264"/>
      <c r="AY647" s="264"/>
      <c r="AZ647" s="264"/>
      <c r="BA647" s="264"/>
      <c r="BB647" s="264"/>
      <c r="BC647" s="264"/>
      <c r="BD647" s="264"/>
      <c r="BE647" s="264"/>
    </row>
    <row r="648">
      <c r="A648" s="264"/>
      <c r="B648" s="264"/>
      <c r="C648" s="264"/>
      <c r="D648" s="264"/>
      <c r="E648" s="264"/>
      <c r="F648" s="264"/>
      <c r="G648" s="264"/>
      <c r="H648" s="264"/>
      <c r="I648" s="264"/>
      <c r="J648" s="264"/>
      <c r="K648" s="264"/>
      <c r="L648" s="264"/>
      <c r="M648" s="264" t="s">
        <v>22</v>
      </c>
      <c r="N648" s="264"/>
      <c r="O648" s="264" t="s">
        <v>22</v>
      </c>
      <c r="P648" s="264"/>
      <c r="Q648" s="264"/>
      <c r="R648" s="264"/>
      <c r="S648" s="264"/>
      <c r="T648" s="264"/>
      <c r="U648" s="360"/>
      <c r="V648" s="360"/>
      <c r="W648" s="360"/>
      <c r="X648" s="360"/>
      <c r="Y648" s="360"/>
      <c r="Z648" s="360"/>
      <c r="AA648" s="360"/>
      <c r="AB648" s="360"/>
      <c r="AC648" s="360"/>
      <c r="AD648" s="360"/>
      <c r="AE648" s="360"/>
      <c r="AF648" s="360"/>
      <c r="AG648" s="360" t="s">
        <v>1582</v>
      </c>
      <c r="AH648" s="360"/>
      <c r="AI648" s="360"/>
      <c r="AJ648" s="360" t="s">
        <v>1589</v>
      </c>
      <c r="AK648" s="360"/>
      <c r="AL648" s="360" t="s">
        <v>5878</v>
      </c>
      <c r="AM648" s="360"/>
      <c r="AN648" s="360"/>
      <c r="AO648" s="360"/>
      <c r="AP648" s="360"/>
      <c r="AQ648" s="360"/>
      <c r="AR648" s="360"/>
      <c r="AS648" s="360"/>
      <c r="AT648" s="360"/>
      <c r="AU648" s="360" t="s">
        <v>22</v>
      </c>
      <c r="AV648" s="360"/>
      <c r="AW648" s="264"/>
      <c r="AX648" s="264"/>
      <c r="AY648" s="264"/>
      <c r="AZ648" s="264"/>
      <c r="BA648" s="264"/>
      <c r="BB648" s="264"/>
      <c r="BC648" s="264"/>
      <c r="BD648" s="264"/>
      <c r="BE648" s="264"/>
    </row>
    <row r="649">
      <c r="A649" s="264"/>
      <c r="B649" s="264"/>
      <c r="C649" s="264"/>
      <c r="D649" s="264"/>
      <c r="E649" s="264"/>
      <c r="F649" s="264"/>
      <c r="G649" s="264"/>
      <c r="H649" s="264"/>
      <c r="I649" s="264"/>
      <c r="J649" s="264"/>
      <c r="K649" s="264"/>
      <c r="L649" s="264"/>
      <c r="M649" s="264" t="s">
        <v>22</v>
      </c>
      <c r="N649" s="264"/>
      <c r="O649" s="264" t="s">
        <v>22</v>
      </c>
      <c r="P649" s="264"/>
      <c r="Q649" s="264"/>
      <c r="R649" s="264"/>
      <c r="S649" s="264"/>
      <c r="T649" s="264"/>
      <c r="U649" s="360"/>
      <c r="V649" s="360"/>
      <c r="W649" s="360"/>
      <c r="X649" s="360"/>
      <c r="Y649" s="360"/>
      <c r="Z649" s="360"/>
      <c r="AA649" s="360"/>
      <c r="AB649" s="360"/>
      <c r="AC649" s="360"/>
      <c r="AD649" s="360"/>
      <c r="AE649" s="360"/>
      <c r="AF649" s="360"/>
      <c r="AG649" s="360" t="s">
        <v>1582</v>
      </c>
      <c r="AH649" s="360"/>
      <c r="AI649" s="360"/>
      <c r="AJ649" s="360" t="s">
        <v>1589</v>
      </c>
      <c r="AK649" s="360"/>
      <c r="AL649" s="360" t="s">
        <v>5878</v>
      </c>
      <c r="AM649" s="360"/>
      <c r="AN649" s="360"/>
      <c r="AO649" s="360"/>
      <c r="AP649" s="360"/>
      <c r="AQ649" s="360"/>
      <c r="AR649" s="360"/>
      <c r="AS649" s="360"/>
      <c r="AT649" s="360"/>
      <c r="AU649" s="360" t="s">
        <v>22</v>
      </c>
      <c r="AV649" s="360"/>
      <c r="AW649" s="264"/>
      <c r="AX649" s="264"/>
      <c r="AY649" s="264"/>
      <c r="AZ649" s="264"/>
      <c r="BA649" s="264"/>
      <c r="BB649" s="264"/>
      <c r="BC649" s="264"/>
      <c r="BD649" s="264"/>
      <c r="BE649" s="264"/>
    </row>
    <row r="650">
      <c r="A650" s="264"/>
      <c r="B650" s="264"/>
      <c r="C650" s="264"/>
      <c r="D650" s="264"/>
      <c r="E650" s="264"/>
      <c r="F650" s="264"/>
      <c r="G650" s="264"/>
      <c r="H650" s="264"/>
      <c r="I650" s="264"/>
      <c r="J650" s="264"/>
      <c r="K650" s="264"/>
      <c r="L650" s="264"/>
      <c r="M650" s="264" t="s">
        <v>22</v>
      </c>
      <c r="N650" s="264"/>
      <c r="O650" s="264" t="s">
        <v>22</v>
      </c>
      <c r="P650" s="264"/>
      <c r="Q650" s="264"/>
      <c r="R650" s="264"/>
      <c r="S650" s="264"/>
      <c r="T650" s="264"/>
      <c r="U650" s="360"/>
      <c r="V650" s="360"/>
      <c r="W650" s="360"/>
      <c r="X650" s="360"/>
      <c r="Y650" s="360"/>
      <c r="Z650" s="360"/>
      <c r="AA650" s="360"/>
      <c r="AB650" s="360"/>
      <c r="AC650" s="360"/>
      <c r="AD650" s="360"/>
      <c r="AE650" s="360"/>
      <c r="AF650" s="360"/>
      <c r="AG650" s="360" t="s">
        <v>1582</v>
      </c>
      <c r="AH650" s="360"/>
      <c r="AI650" s="360"/>
      <c r="AJ650" s="360" t="s">
        <v>1589</v>
      </c>
      <c r="AK650" s="360"/>
      <c r="AL650" s="360" t="s">
        <v>5878</v>
      </c>
      <c r="AM650" s="360"/>
      <c r="AN650" s="360"/>
      <c r="AO650" s="360"/>
      <c r="AP650" s="360"/>
      <c r="AQ650" s="360"/>
      <c r="AR650" s="360"/>
      <c r="AS650" s="360"/>
      <c r="AT650" s="360"/>
      <c r="AU650" s="360" t="s">
        <v>22</v>
      </c>
      <c r="AV650" s="360"/>
      <c r="AW650" s="264"/>
      <c r="AX650" s="264"/>
      <c r="AY650" s="264"/>
      <c r="AZ650" s="264"/>
      <c r="BA650" s="264"/>
      <c r="BB650" s="264"/>
      <c r="BC650" s="264"/>
      <c r="BD650" s="264"/>
      <c r="BE650" s="264"/>
    </row>
    <row r="651">
      <c r="A651" s="264"/>
      <c r="B651" s="264"/>
      <c r="C651" s="264"/>
      <c r="D651" s="264"/>
      <c r="E651" s="264"/>
      <c r="F651" s="264"/>
      <c r="G651" s="264"/>
      <c r="H651" s="264"/>
      <c r="I651" s="264"/>
      <c r="J651" s="264"/>
      <c r="K651" s="264"/>
      <c r="L651" s="264"/>
      <c r="M651" s="264" t="s">
        <v>22</v>
      </c>
      <c r="N651" s="264"/>
      <c r="O651" s="264" t="s">
        <v>22</v>
      </c>
      <c r="P651" s="264"/>
      <c r="Q651" s="264"/>
      <c r="R651" s="264"/>
      <c r="S651" s="264"/>
      <c r="T651" s="264"/>
      <c r="U651" s="360"/>
      <c r="V651" s="360"/>
      <c r="W651" s="360"/>
      <c r="X651" s="360"/>
      <c r="Y651" s="360"/>
      <c r="Z651" s="360"/>
      <c r="AA651" s="360"/>
      <c r="AB651" s="360"/>
      <c r="AC651" s="360"/>
      <c r="AD651" s="360"/>
      <c r="AE651" s="360"/>
      <c r="AF651" s="360"/>
      <c r="AG651" s="360" t="s">
        <v>1582</v>
      </c>
      <c r="AH651" s="360"/>
      <c r="AI651" s="360"/>
      <c r="AJ651" s="360" t="s">
        <v>1589</v>
      </c>
      <c r="AK651" s="360"/>
      <c r="AL651" s="360" t="s">
        <v>5878</v>
      </c>
      <c r="AM651" s="360"/>
      <c r="AN651" s="360"/>
      <c r="AO651" s="360"/>
      <c r="AP651" s="360"/>
      <c r="AQ651" s="360"/>
      <c r="AR651" s="360"/>
      <c r="AS651" s="360"/>
      <c r="AT651" s="360"/>
      <c r="AU651" s="360" t="s">
        <v>22</v>
      </c>
      <c r="AV651" s="360"/>
      <c r="AW651" s="264"/>
      <c r="AX651" s="264"/>
      <c r="AY651" s="264"/>
      <c r="AZ651" s="264"/>
      <c r="BA651" s="264"/>
      <c r="BB651" s="264"/>
      <c r="BC651" s="264"/>
      <c r="BD651" s="264"/>
      <c r="BE651" s="264"/>
    </row>
    <row r="652">
      <c r="A652" s="264"/>
      <c r="B652" s="264"/>
      <c r="C652" s="264"/>
      <c r="D652" s="264"/>
      <c r="E652" s="264"/>
      <c r="F652" s="264"/>
      <c r="G652" s="264"/>
      <c r="H652" s="264"/>
      <c r="I652" s="264"/>
      <c r="J652" s="264"/>
      <c r="K652" s="264"/>
      <c r="L652" s="264"/>
      <c r="M652" s="264" t="s">
        <v>22</v>
      </c>
      <c r="N652" s="264"/>
      <c r="O652" s="264" t="s">
        <v>22</v>
      </c>
      <c r="P652" s="264"/>
      <c r="Q652" s="264"/>
      <c r="R652" s="264"/>
      <c r="S652" s="264"/>
      <c r="T652" s="264"/>
      <c r="U652" s="360"/>
      <c r="V652" s="360"/>
      <c r="W652" s="360"/>
      <c r="X652" s="360"/>
      <c r="Y652" s="360"/>
      <c r="Z652" s="360"/>
      <c r="AA652" s="360"/>
      <c r="AB652" s="360"/>
      <c r="AC652" s="360"/>
      <c r="AD652" s="360"/>
      <c r="AE652" s="360"/>
      <c r="AF652" s="360"/>
      <c r="AG652" s="360" t="s">
        <v>1582</v>
      </c>
      <c r="AH652" s="360"/>
      <c r="AI652" s="360"/>
      <c r="AJ652" s="360" t="s">
        <v>1589</v>
      </c>
      <c r="AK652" s="360"/>
      <c r="AL652" s="360" t="s">
        <v>5878</v>
      </c>
      <c r="AM652" s="360"/>
      <c r="AN652" s="360"/>
      <c r="AO652" s="360"/>
      <c r="AP652" s="360"/>
      <c r="AQ652" s="360"/>
      <c r="AR652" s="360"/>
      <c r="AS652" s="360"/>
      <c r="AT652" s="360"/>
      <c r="AU652" s="360" t="s">
        <v>22</v>
      </c>
      <c r="AV652" s="360"/>
      <c r="AW652" s="264"/>
      <c r="AX652" s="264"/>
      <c r="AY652" s="264"/>
      <c r="AZ652" s="264"/>
      <c r="BA652" s="264"/>
      <c r="BB652" s="264"/>
      <c r="BC652" s="264"/>
      <c r="BD652" s="264"/>
      <c r="BE652" s="264"/>
    </row>
    <row r="653">
      <c r="A653" s="264"/>
      <c r="B653" s="264"/>
      <c r="C653" s="264"/>
      <c r="D653" s="264"/>
      <c r="E653" s="264"/>
      <c r="F653" s="264"/>
      <c r="G653" s="264"/>
      <c r="H653" s="264"/>
      <c r="I653" s="264"/>
      <c r="J653" s="264"/>
      <c r="K653" s="264"/>
      <c r="L653" s="264"/>
      <c r="M653" s="264" t="s">
        <v>22</v>
      </c>
      <c r="N653" s="264"/>
      <c r="O653" s="264" t="s">
        <v>22</v>
      </c>
      <c r="P653" s="264"/>
      <c r="Q653" s="264"/>
      <c r="R653" s="264"/>
      <c r="S653" s="264"/>
      <c r="T653" s="264"/>
      <c r="U653" s="360"/>
      <c r="V653" s="360"/>
      <c r="W653" s="360"/>
      <c r="X653" s="360"/>
      <c r="Y653" s="360"/>
      <c r="Z653" s="360"/>
      <c r="AA653" s="360"/>
      <c r="AB653" s="360"/>
      <c r="AC653" s="360"/>
      <c r="AD653" s="360"/>
      <c r="AE653" s="360"/>
      <c r="AF653" s="360"/>
      <c r="AG653" s="360" t="s">
        <v>1582</v>
      </c>
      <c r="AH653" s="360"/>
      <c r="AI653" s="360"/>
      <c r="AJ653" s="360" t="s">
        <v>1589</v>
      </c>
      <c r="AK653" s="360"/>
      <c r="AL653" s="360" t="s">
        <v>5878</v>
      </c>
      <c r="AM653" s="360"/>
      <c r="AN653" s="360"/>
      <c r="AO653" s="360"/>
      <c r="AP653" s="360"/>
      <c r="AQ653" s="360"/>
      <c r="AR653" s="360"/>
      <c r="AS653" s="360"/>
      <c r="AT653" s="360"/>
      <c r="AU653" s="360" t="s">
        <v>22</v>
      </c>
      <c r="AV653" s="360"/>
      <c r="AW653" s="264"/>
      <c r="AX653" s="264"/>
      <c r="AY653" s="264"/>
      <c r="AZ653" s="264"/>
      <c r="BA653" s="264"/>
      <c r="BB653" s="264"/>
      <c r="BC653" s="264"/>
      <c r="BD653" s="264"/>
      <c r="BE653" s="264"/>
    </row>
    <row r="654">
      <c r="A654" s="264"/>
      <c r="B654" s="264"/>
      <c r="C654" s="264"/>
      <c r="D654" s="264"/>
      <c r="E654" s="264"/>
      <c r="F654" s="264"/>
      <c r="G654" s="264"/>
      <c r="H654" s="264"/>
      <c r="I654" s="264"/>
      <c r="J654" s="264"/>
      <c r="K654" s="264"/>
      <c r="L654" s="264"/>
      <c r="M654" s="264" t="s">
        <v>22</v>
      </c>
      <c r="N654" s="264"/>
      <c r="O654" s="264" t="s">
        <v>22</v>
      </c>
      <c r="P654" s="264"/>
      <c r="Q654" s="264"/>
      <c r="R654" s="264"/>
      <c r="S654" s="264"/>
      <c r="T654" s="264"/>
      <c r="U654" s="360"/>
      <c r="V654" s="360"/>
      <c r="W654" s="360"/>
      <c r="X654" s="360"/>
      <c r="Y654" s="360"/>
      <c r="Z654" s="360"/>
      <c r="AA654" s="360"/>
      <c r="AB654" s="360"/>
      <c r="AC654" s="360"/>
      <c r="AD654" s="360"/>
      <c r="AE654" s="360"/>
      <c r="AF654" s="360"/>
      <c r="AG654" s="360" t="s">
        <v>1582</v>
      </c>
      <c r="AH654" s="360"/>
      <c r="AI654" s="360"/>
      <c r="AJ654" s="360" t="s">
        <v>1589</v>
      </c>
      <c r="AK654" s="360"/>
      <c r="AL654" s="360" t="s">
        <v>5878</v>
      </c>
      <c r="AM654" s="360"/>
      <c r="AN654" s="360"/>
      <c r="AO654" s="360"/>
      <c r="AP654" s="360"/>
      <c r="AQ654" s="360"/>
      <c r="AR654" s="360"/>
      <c r="AS654" s="360"/>
      <c r="AT654" s="360"/>
      <c r="AU654" s="360" t="s">
        <v>22</v>
      </c>
      <c r="AV654" s="360"/>
      <c r="AW654" s="264"/>
      <c r="AX654" s="264"/>
      <c r="AY654" s="264"/>
      <c r="AZ654" s="264"/>
      <c r="BA654" s="264"/>
      <c r="BB654" s="264"/>
      <c r="BC654" s="264"/>
      <c r="BD654" s="264"/>
      <c r="BE654" s="264"/>
    </row>
    <row r="655">
      <c r="A655" s="264"/>
      <c r="B655" s="264"/>
      <c r="C655" s="264"/>
      <c r="D655" s="264"/>
      <c r="E655" s="264"/>
      <c r="F655" s="264"/>
      <c r="G655" s="264"/>
      <c r="H655" s="264"/>
      <c r="I655" s="264"/>
      <c r="J655" s="264"/>
      <c r="K655" s="264"/>
      <c r="L655" s="264"/>
      <c r="M655" s="264" t="s">
        <v>22</v>
      </c>
      <c r="N655" s="264"/>
      <c r="O655" s="264" t="s">
        <v>22</v>
      </c>
      <c r="P655" s="264"/>
      <c r="Q655" s="264"/>
      <c r="R655" s="264"/>
      <c r="S655" s="264"/>
      <c r="T655" s="264"/>
      <c r="U655" s="360"/>
      <c r="V655" s="360"/>
      <c r="W655" s="360"/>
      <c r="X655" s="360"/>
      <c r="Y655" s="360"/>
      <c r="Z655" s="360"/>
      <c r="AA655" s="360"/>
      <c r="AB655" s="360"/>
      <c r="AC655" s="360"/>
      <c r="AD655" s="360"/>
      <c r="AE655" s="360"/>
      <c r="AF655" s="360"/>
      <c r="AG655" s="360" t="s">
        <v>1582</v>
      </c>
      <c r="AH655" s="360"/>
      <c r="AI655" s="360"/>
      <c r="AJ655" s="360" t="s">
        <v>1589</v>
      </c>
      <c r="AK655" s="360"/>
      <c r="AL655" s="360" t="s">
        <v>5878</v>
      </c>
      <c r="AM655" s="360"/>
      <c r="AN655" s="360"/>
      <c r="AO655" s="360"/>
      <c r="AP655" s="360"/>
      <c r="AQ655" s="360"/>
      <c r="AR655" s="360"/>
      <c r="AS655" s="360"/>
      <c r="AT655" s="360"/>
      <c r="AU655" s="360" t="s">
        <v>22</v>
      </c>
      <c r="AV655" s="360"/>
      <c r="AW655" s="264"/>
      <c r="AX655" s="264"/>
      <c r="AY655" s="264"/>
      <c r="AZ655" s="264"/>
      <c r="BA655" s="264"/>
      <c r="BB655" s="264"/>
      <c r="BC655" s="264"/>
      <c r="BD655" s="264"/>
      <c r="BE655" s="264"/>
    </row>
    <row r="656">
      <c r="A656" s="264"/>
      <c r="B656" s="264"/>
      <c r="C656" s="264"/>
      <c r="D656" s="264"/>
      <c r="E656" s="264"/>
      <c r="F656" s="264"/>
      <c r="G656" s="264"/>
      <c r="H656" s="264"/>
      <c r="I656" s="264"/>
      <c r="J656" s="264"/>
      <c r="K656" s="264"/>
      <c r="L656" s="264"/>
      <c r="M656" s="264" t="s">
        <v>22</v>
      </c>
      <c r="N656" s="264"/>
      <c r="O656" s="264" t="s">
        <v>22</v>
      </c>
      <c r="P656" s="264"/>
      <c r="Q656" s="264"/>
      <c r="R656" s="264"/>
      <c r="S656" s="264"/>
      <c r="T656" s="264"/>
      <c r="U656" s="360"/>
      <c r="V656" s="360"/>
      <c r="W656" s="360"/>
      <c r="X656" s="360"/>
      <c r="Y656" s="360"/>
      <c r="Z656" s="360"/>
      <c r="AA656" s="360"/>
      <c r="AB656" s="360"/>
      <c r="AC656" s="360"/>
      <c r="AD656" s="360"/>
      <c r="AE656" s="360"/>
      <c r="AF656" s="360"/>
      <c r="AG656" s="360" t="s">
        <v>1582</v>
      </c>
      <c r="AH656" s="360"/>
      <c r="AI656" s="360"/>
      <c r="AJ656" s="360" t="s">
        <v>1589</v>
      </c>
      <c r="AK656" s="360"/>
      <c r="AL656" s="360" t="s">
        <v>5878</v>
      </c>
      <c r="AM656" s="360"/>
      <c r="AN656" s="360"/>
      <c r="AO656" s="360"/>
      <c r="AP656" s="360"/>
      <c r="AQ656" s="360"/>
      <c r="AR656" s="360"/>
      <c r="AS656" s="360"/>
      <c r="AT656" s="360"/>
      <c r="AU656" s="360" t="s">
        <v>22</v>
      </c>
      <c r="AV656" s="360"/>
      <c r="AW656" s="264"/>
      <c r="AX656" s="264"/>
      <c r="AY656" s="264"/>
      <c r="AZ656" s="264"/>
      <c r="BA656" s="264"/>
      <c r="BB656" s="264"/>
      <c r="BC656" s="264"/>
      <c r="BD656" s="264"/>
      <c r="BE656" s="264"/>
    </row>
    <row r="657">
      <c r="A657" s="264"/>
      <c r="B657" s="264"/>
      <c r="C657" s="264"/>
      <c r="D657" s="264"/>
      <c r="E657" s="264"/>
      <c r="F657" s="264"/>
      <c r="G657" s="264"/>
      <c r="H657" s="264"/>
      <c r="I657" s="264"/>
      <c r="J657" s="264"/>
      <c r="K657" s="264"/>
      <c r="L657" s="264"/>
      <c r="M657" s="264" t="s">
        <v>22</v>
      </c>
      <c r="N657" s="264"/>
      <c r="O657" s="264" t="s">
        <v>22</v>
      </c>
      <c r="P657" s="264"/>
      <c r="Q657" s="264"/>
      <c r="R657" s="264"/>
      <c r="S657" s="264"/>
      <c r="T657" s="264"/>
      <c r="U657" s="360"/>
      <c r="V657" s="360"/>
      <c r="W657" s="360"/>
      <c r="X657" s="360"/>
      <c r="Y657" s="360"/>
      <c r="Z657" s="360"/>
      <c r="AA657" s="360"/>
      <c r="AB657" s="360"/>
      <c r="AC657" s="360"/>
      <c r="AD657" s="360"/>
      <c r="AE657" s="360"/>
      <c r="AF657" s="360"/>
      <c r="AG657" s="360" t="s">
        <v>1582</v>
      </c>
      <c r="AH657" s="360"/>
      <c r="AI657" s="360"/>
      <c r="AJ657" s="360" t="s">
        <v>1589</v>
      </c>
      <c r="AK657" s="360"/>
      <c r="AL657" s="360" t="s">
        <v>5878</v>
      </c>
      <c r="AM657" s="360"/>
      <c r="AN657" s="360"/>
      <c r="AO657" s="360"/>
      <c r="AP657" s="360"/>
      <c r="AQ657" s="360"/>
      <c r="AR657" s="360"/>
      <c r="AS657" s="360"/>
      <c r="AT657" s="360"/>
      <c r="AU657" s="360" t="s">
        <v>22</v>
      </c>
      <c r="AV657" s="360"/>
      <c r="AW657" s="264"/>
      <c r="AX657" s="264"/>
      <c r="AY657" s="264"/>
      <c r="AZ657" s="264"/>
      <c r="BA657" s="264"/>
      <c r="BB657" s="264"/>
      <c r="BC657" s="264"/>
      <c r="BD657" s="264"/>
      <c r="BE657" s="264"/>
    </row>
    <row r="658">
      <c r="A658" s="264"/>
      <c r="B658" s="264"/>
      <c r="C658" s="264"/>
      <c r="D658" s="264"/>
      <c r="E658" s="264"/>
      <c r="F658" s="264"/>
      <c r="G658" s="264"/>
      <c r="H658" s="264"/>
      <c r="I658" s="264"/>
      <c r="J658" s="264"/>
      <c r="K658" s="264"/>
      <c r="L658" s="264"/>
      <c r="M658" s="264" t="s">
        <v>22</v>
      </c>
      <c r="N658" s="264"/>
      <c r="O658" s="264" t="s">
        <v>22</v>
      </c>
      <c r="P658" s="264"/>
      <c r="Q658" s="264"/>
      <c r="R658" s="264"/>
      <c r="S658" s="264"/>
      <c r="T658" s="264"/>
      <c r="U658" s="360"/>
      <c r="V658" s="360"/>
      <c r="W658" s="360"/>
      <c r="X658" s="360"/>
      <c r="Y658" s="360"/>
      <c r="Z658" s="360"/>
      <c r="AA658" s="360"/>
      <c r="AB658" s="360"/>
      <c r="AC658" s="360"/>
      <c r="AD658" s="360"/>
      <c r="AE658" s="360"/>
      <c r="AF658" s="360"/>
      <c r="AG658" s="360" t="s">
        <v>1582</v>
      </c>
      <c r="AH658" s="360"/>
      <c r="AI658" s="360"/>
      <c r="AJ658" s="360" t="s">
        <v>1589</v>
      </c>
      <c r="AK658" s="360"/>
      <c r="AL658" s="360" t="s">
        <v>5878</v>
      </c>
      <c r="AM658" s="360"/>
      <c r="AN658" s="360"/>
      <c r="AO658" s="360"/>
      <c r="AP658" s="360"/>
      <c r="AQ658" s="360"/>
      <c r="AR658" s="360"/>
      <c r="AS658" s="360"/>
      <c r="AT658" s="360"/>
      <c r="AU658" s="360" t="s">
        <v>22</v>
      </c>
      <c r="AV658" s="360"/>
      <c r="AW658" s="264"/>
      <c r="AX658" s="264"/>
      <c r="AY658" s="264"/>
      <c r="AZ658" s="264"/>
      <c r="BA658" s="264"/>
      <c r="BB658" s="264"/>
      <c r="BC658" s="264"/>
      <c r="BD658" s="264"/>
      <c r="BE658" s="264"/>
    </row>
    <row r="659">
      <c r="A659" s="264"/>
      <c r="B659" s="264"/>
      <c r="C659" s="264"/>
      <c r="D659" s="264"/>
      <c r="E659" s="264"/>
      <c r="F659" s="264"/>
      <c r="G659" s="264"/>
      <c r="H659" s="264"/>
      <c r="I659" s="264"/>
      <c r="J659" s="264"/>
      <c r="K659" s="264"/>
      <c r="L659" s="264"/>
      <c r="M659" s="264" t="s">
        <v>22</v>
      </c>
      <c r="N659" s="264"/>
      <c r="O659" s="264" t="s">
        <v>22</v>
      </c>
      <c r="P659" s="264"/>
      <c r="Q659" s="264"/>
      <c r="R659" s="264"/>
      <c r="S659" s="264"/>
      <c r="T659" s="264"/>
      <c r="U659" s="360"/>
      <c r="V659" s="360"/>
      <c r="W659" s="360"/>
      <c r="X659" s="360"/>
      <c r="Y659" s="360"/>
      <c r="Z659" s="360"/>
      <c r="AA659" s="360"/>
      <c r="AB659" s="360"/>
      <c r="AC659" s="360"/>
      <c r="AD659" s="360"/>
      <c r="AE659" s="360"/>
      <c r="AF659" s="360"/>
      <c r="AG659" s="360" t="s">
        <v>1582</v>
      </c>
      <c r="AH659" s="360"/>
      <c r="AI659" s="360"/>
      <c r="AJ659" s="360" t="s">
        <v>1589</v>
      </c>
      <c r="AK659" s="360"/>
      <c r="AL659" s="360" t="s">
        <v>5878</v>
      </c>
      <c r="AM659" s="360"/>
      <c r="AN659" s="360"/>
      <c r="AO659" s="360"/>
      <c r="AP659" s="360"/>
      <c r="AQ659" s="360"/>
      <c r="AR659" s="360"/>
      <c r="AS659" s="360"/>
      <c r="AT659" s="360"/>
      <c r="AU659" s="360" t="s">
        <v>22</v>
      </c>
      <c r="AV659" s="360"/>
      <c r="AW659" s="264"/>
      <c r="AX659" s="264"/>
      <c r="AY659" s="264"/>
      <c r="AZ659" s="264"/>
      <c r="BA659" s="264"/>
      <c r="BB659" s="264"/>
      <c r="BC659" s="264"/>
      <c r="BD659" s="264"/>
      <c r="BE659" s="264"/>
    </row>
    <row r="660">
      <c r="A660" s="264"/>
      <c r="B660" s="264"/>
      <c r="C660" s="264"/>
      <c r="D660" s="264"/>
      <c r="E660" s="264"/>
      <c r="F660" s="264"/>
      <c r="G660" s="264"/>
      <c r="H660" s="264"/>
      <c r="I660" s="264"/>
      <c r="J660" s="264"/>
      <c r="K660" s="264"/>
      <c r="L660" s="264"/>
      <c r="M660" s="264" t="s">
        <v>22</v>
      </c>
      <c r="N660" s="264"/>
      <c r="O660" s="264" t="s">
        <v>22</v>
      </c>
      <c r="P660" s="264"/>
      <c r="Q660" s="264"/>
      <c r="R660" s="264"/>
      <c r="S660" s="264"/>
      <c r="T660" s="264"/>
      <c r="U660" s="360"/>
      <c r="V660" s="360"/>
      <c r="W660" s="360"/>
      <c r="X660" s="360"/>
      <c r="Y660" s="360"/>
      <c r="Z660" s="360"/>
      <c r="AA660" s="360"/>
      <c r="AB660" s="360"/>
      <c r="AC660" s="360"/>
      <c r="AD660" s="360"/>
      <c r="AE660" s="360"/>
      <c r="AF660" s="360"/>
      <c r="AG660" s="360" t="s">
        <v>1582</v>
      </c>
      <c r="AH660" s="360"/>
      <c r="AI660" s="360"/>
      <c r="AJ660" s="360" t="s">
        <v>1589</v>
      </c>
      <c r="AK660" s="360"/>
      <c r="AL660" s="360" t="s">
        <v>5878</v>
      </c>
      <c r="AM660" s="360"/>
      <c r="AN660" s="360"/>
      <c r="AO660" s="360"/>
      <c r="AP660" s="360"/>
      <c r="AQ660" s="360"/>
      <c r="AR660" s="360"/>
      <c r="AS660" s="360"/>
      <c r="AT660" s="360"/>
      <c r="AU660" s="360" t="s">
        <v>22</v>
      </c>
      <c r="AV660" s="360"/>
      <c r="AW660" s="264"/>
      <c r="AX660" s="264"/>
      <c r="AY660" s="264"/>
      <c r="AZ660" s="264"/>
      <c r="BA660" s="264"/>
      <c r="BB660" s="264"/>
      <c r="BC660" s="264"/>
      <c r="BD660" s="264"/>
      <c r="BE660" s="264"/>
    </row>
    <row r="661">
      <c r="A661" s="264"/>
      <c r="B661" s="264"/>
      <c r="C661" s="264"/>
      <c r="D661" s="264"/>
      <c r="E661" s="264"/>
      <c r="F661" s="264"/>
      <c r="G661" s="264"/>
      <c r="H661" s="264"/>
      <c r="I661" s="264"/>
      <c r="J661" s="264"/>
      <c r="K661" s="264"/>
      <c r="L661" s="264"/>
      <c r="M661" s="264" t="s">
        <v>22</v>
      </c>
      <c r="N661" s="264"/>
      <c r="O661" s="264" t="s">
        <v>22</v>
      </c>
      <c r="P661" s="264"/>
      <c r="Q661" s="264"/>
      <c r="R661" s="264"/>
      <c r="S661" s="264"/>
      <c r="T661" s="264"/>
      <c r="U661" s="360"/>
      <c r="V661" s="360"/>
      <c r="W661" s="360"/>
      <c r="X661" s="360"/>
      <c r="Y661" s="360"/>
      <c r="Z661" s="360"/>
      <c r="AA661" s="360"/>
      <c r="AB661" s="360"/>
      <c r="AC661" s="360"/>
      <c r="AD661" s="360"/>
      <c r="AE661" s="360"/>
      <c r="AF661" s="360"/>
      <c r="AG661" s="360" t="s">
        <v>1582</v>
      </c>
      <c r="AH661" s="360"/>
      <c r="AI661" s="360"/>
      <c r="AJ661" s="360" t="s">
        <v>1589</v>
      </c>
      <c r="AK661" s="360"/>
      <c r="AL661" s="360" t="s">
        <v>5878</v>
      </c>
      <c r="AM661" s="360"/>
      <c r="AN661" s="360"/>
      <c r="AO661" s="360"/>
      <c r="AP661" s="360"/>
      <c r="AQ661" s="360"/>
      <c r="AR661" s="360"/>
      <c r="AS661" s="360"/>
      <c r="AT661" s="360"/>
      <c r="AU661" s="360" t="s">
        <v>22</v>
      </c>
      <c r="AV661" s="360"/>
      <c r="AW661" s="264"/>
      <c r="AX661" s="264"/>
      <c r="AY661" s="264"/>
      <c r="AZ661" s="264"/>
      <c r="BA661" s="264"/>
      <c r="BB661" s="264"/>
      <c r="BC661" s="264"/>
      <c r="BD661" s="264"/>
      <c r="BE661" s="264"/>
    </row>
    <row r="662">
      <c r="A662" s="264"/>
      <c r="B662" s="264"/>
      <c r="C662" s="264"/>
      <c r="D662" s="264"/>
      <c r="E662" s="264"/>
      <c r="F662" s="264"/>
      <c r="G662" s="264"/>
      <c r="H662" s="264"/>
      <c r="I662" s="264"/>
      <c r="J662" s="264"/>
      <c r="K662" s="264"/>
      <c r="L662" s="264"/>
      <c r="M662" s="264" t="s">
        <v>22</v>
      </c>
      <c r="N662" s="264"/>
      <c r="O662" s="264" t="s">
        <v>22</v>
      </c>
      <c r="P662" s="264"/>
      <c r="Q662" s="264"/>
      <c r="R662" s="264"/>
      <c r="S662" s="264"/>
      <c r="T662" s="264"/>
      <c r="U662" s="360"/>
      <c r="V662" s="360"/>
      <c r="W662" s="360"/>
      <c r="X662" s="360"/>
      <c r="Y662" s="360"/>
      <c r="Z662" s="360"/>
      <c r="AA662" s="360"/>
      <c r="AB662" s="360"/>
      <c r="AC662" s="360"/>
      <c r="AD662" s="360"/>
      <c r="AE662" s="360"/>
      <c r="AF662" s="360"/>
      <c r="AG662" s="360" t="s">
        <v>1582</v>
      </c>
      <c r="AH662" s="360"/>
      <c r="AI662" s="360"/>
      <c r="AJ662" s="360" t="s">
        <v>1589</v>
      </c>
      <c r="AK662" s="360"/>
      <c r="AL662" s="360" t="s">
        <v>5878</v>
      </c>
      <c r="AM662" s="360"/>
      <c r="AN662" s="360"/>
      <c r="AO662" s="360"/>
      <c r="AP662" s="360"/>
      <c r="AQ662" s="360"/>
      <c r="AR662" s="360"/>
      <c r="AS662" s="360"/>
      <c r="AT662" s="360"/>
      <c r="AU662" s="360" t="s">
        <v>22</v>
      </c>
      <c r="AV662" s="360"/>
      <c r="AW662" s="264"/>
      <c r="AX662" s="264"/>
      <c r="AY662" s="264"/>
      <c r="AZ662" s="264"/>
      <c r="BA662" s="264"/>
      <c r="BB662" s="264"/>
      <c r="BC662" s="264"/>
      <c r="BD662" s="264"/>
      <c r="BE662" s="264"/>
    </row>
    <row r="663">
      <c r="A663" s="264"/>
      <c r="B663" s="264"/>
      <c r="C663" s="264"/>
      <c r="D663" s="264"/>
      <c r="E663" s="264"/>
      <c r="F663" s="264"/>
      <c r="G663" s="264"/>
      <c r="H663" s="264"/>
      <c r="I663" s="264"/>
      <c r="J663" s="264"/>
      <c r="K663" s="264"/>
      <c r="L663" s="264"/>
      <c r="M663" s="264" t="s">
        <v>22</v>
      </c>
      <c r="N663" s="264"/>
      <c r="O663" s="264" t="s">
        <v>22</v>
      </c>
      <c r="P663" s="264"/>
      <c r="Q663" s="264"/>
      <c r="R663" s="264"/>
      <c r="S663" s="264"/>
      <c r="T663" s="264"/>
      <c r="U663" s="360"/>
      <c r="V663" s="360"/>
      <c r="W663" s="360"/>
      <c r="X663" s="360"/>
      <c r="Y663" s="360"/>
      <c r="Z663" s="360"/>
      <c r="AA663" s="360"/>
      <c r="AB663" s="360"/>
      <c r="AC663" s="360"/>
      <c r="AD663" s="360"/>
      <c r="AE663" s="360"/>
      <c r="AF663" s="360"/>
      <c r="AG663" s="360" t="s">
        <v>1582</v>
      </c>
      <c r="AH663" s="360"/>
      <c r="AI663" s="360"/>
      <c r="AJ663" s="360" t="s">
        <v>1589</v>
      </c>
      <c r="AK663" s="360"/>
      <c r="AL663" s="360" t="s">
        <v>5878</v>
      </c>
      <c r="AM663" s="360"/>
      <c r="AN663" s="360"/>
      <c r="AO663" s="360"/>
      <c r="AP663" s="360"/>
      <c r="AQ663" s="360"/>
      <c r="AR663" s="360"/>
      <c r="AS663" s="360"/>
      <c r="AT663" s="360"/>
      <c r="AU663" s="360" t="s">
        <v>22</v>
      </c>
      <c r="AV663" s="360"/>
      <c r="AW663" s="264"/>
      <c r="AX663" s="264"/>
      <c r="AY663" s="264"/>
      <c r="AZ663" s="264"/>
      <c r="BA663" s="264"/>
      <c r="BB663" s="264"/>
      <c r="BC663" s="264"/>
      <c r="BD663" s="264"/>
      <c r="BE663" s="264"/>
    </row>
    <row r="664">
      <c r="A664" s="264"/>
      <c r="B664" s="264"/>
      <c r="C664" s="264"/>
      <c r="D664" s="264"/>
      <c r="E664" s="264"/>
      <c r="F664" s="264"/>
      <c r="G664" s="264"/>
      <c r="H664" s="264"/>
      <c r="I664" s="264"/>
      <c r="J664" s="264"/>
      <c r="K664" s="264"/>
      <c r="L664" s="264"/>
      <c r="M664" s="264" t="s">
        <v>22</v>
      </c>
      <c r="N664" s="264"/>
      <c r="O664" s="264" t="s">
        <v>22</v>
      </c>
      <c r="P664" s="264"/>
      <c r="Q664" s="264"/>
      <c r="R664" s="264"/>
      <c r="S664" s="264"/>
      <c r="T664" s="264"/>
      <c r="U664" s="360"/>
      <c r="V664" s="360"/>
      <c r="W664" s="360"/>
      <c r="X664" s="360"/>
      <c r="Y664" s="360"/>
      <c r="Z664" s="360"/>
      <c r="AA664" s="360"/>
      <c r="AB664" s="360"/>
      <c r="AC664" s="360"/>
      <c r="AD664" s="360"/>
      <c r="AE664" s="360"/>
      <c r="AF664" s="360"/>
      <c r="AG664" s="360" t="s">
        <v>1582</v>
      </c>
      <c r="AH664" s="360"/>
      <c r="AI664" s="360"/>
      <c r="AJ664" s="360" t="s">
        <v>1589</v>
      </c>
      <c r="AK664" s="360"/>
      <c r="AL664" s="360" t="s">
        <v>5878</v>
      </c>
      <c r="AM664" s="360"/>
      <c r="AN664" s="360"/>
      <c r="AO664" s="360"/>
      <c r="AP664" s="360"/>
      <c r="AQ664" s="360"/>
      <c r="AR664" s="360"/>
      <c r="AS664" s="360"/>
      <c r="AT664" s="360"/>
      <c r="AU664" s="360" t="s">
        <v>22</v>
      </c>
      <c r="AV664" s="360"/>
      <c r="AW664" s="264"/>
      <c r="AX664" s="264"/>
      <c r="AY664" s="264"/>
      <c r="AZ664" s="264"/>
      <c r="BA664" s="264"/>
      <c r="BB664" s="264"/>
      <c r="BC664" s="264"/>
      <c r="BD664" s="264"/>
      <c r="BE664" s="264"/>
    </row>
    <row r="665">
      <c r="A665" s="264"/>
      <c r="B665" s="264"/>
      <c r="C665" s="264"/>
      <c r="D665" s="264"/>
      <c r="E665" s="264"/>
      <c r="F665" s="264"/>
      <c r="G665" s="264"/>
      <c r="H665" s="264"/>
      <c r="I665" s="264"/>
      <c r="J665" s="264"/>
      <c r="K665" s="264"/>
      <c r="L665" s="264"/>
      <c r="M665" s="264" t="s">
        <v>22</v>
      </c>
      <c r="N665" s="264"/>
      <c r="O665" s="264" t="s">
        <v>22</v>
      </c>
      <c r="P665" s="264"/>
      <c r="Q665" s="264"/>
      <c r="R665" s="264"/>
      <c r="S665" s="264"/>
      <c r="T665" s="264"/>
      <c r="U665" s="360"/>
      <c r="V665" s="360"/>
      <c r="W665" s="360"/>
      <c r="X665" s="360"/>
      <c r="Y665" s="360"/>
      <c r="Z665" s="360"/>
      <c r="AA665" s="360"/>
      <c r="AB665" s="360"/>
      <c r="AC665" s="360"/>
      <c r="AD665" s="360"/>
      <c r="AE665" s="360"/>
      <c r="AF665" s="360"/>
      <c r="AG665" s="360" t="s">
        <v>1582</v>
      </c>
      <c r="AH665" s="360"/>
      <c r="AI665" s="360"/>
      <c r="AJ665" s="360" t="s">
        <v>1589</v>
      </c>
      <c r="AK665" s="360"/>
      <c r="AL665" s="360" t="s">
        <v>5878</v>
      </c>
      <c r="AM665" s="360"/>
      <c r="AN665" s="360"/>
      <c r="AO665" s="360"/>
      <c r="AP665" s="360"/>
      <c r="AQ665" s="360"/>
      <c r="AR665" s="360"/>
      <c r="AS665" s="360"/>
      <c r="AT665" s="360"/>
      <c r="AU665" s="360" t="s">
        <v>22</v>
      </c>
      <c r="AV665" s="360"/>
      <c r="AW665" s="264"/>
      <c r="AX665" s="264"/>
      <c r="AY665" s="264"/>
      <c r="AZ665" s="264"/>
      <c r="BA665" s="264"/>
      <c r="BB665" s="264"/>
      <c r="BC665" s="264"/>
      <c r="BD665" s="264"/>
      <c r="BE665" s="264"/>
    </row>
    <row r="666">
      <c r="A666" s="264"/>
      <c r="B666" s="264"/>
      <c r="C666" s="264"/>
      <c r="D666" s="264"/>
      <c r="E666" s="264"/>
      <c r="F666" s="264"/>
      <c r="G666" s="264"/>
      <c r="H666" s="264"/>
      <c r="I666" s="264"/>
      <c r="J666" s="264"/>
      <c r="K666" s="264"/>
      <c r="L666" s="264"/>
      <c r="M666" s="264" t="s">
        <v>22</v>
      </c>
      <c r="N666" s="264"/>
      <c r="O666" s="264" t="s">
        <v>22</v>
      </c>
      <c r="P666" s="264"/>
      <c r="Q666" s="264"/>
      <c r="R666" s="264"/>
      <c r="S666" s="264"/>
      <c r="T666" s="264"/>
      <c r="U666" s="360"/>
      <c r="V666" s="360"/>
      <c r="W666" s="360"/>
      <c r="X666" s="360"/>
      <c r="Y666" s="360"/>
      <c r="Z666" s="360"/>
      <c r="AA666" s="360"/>
      <c r="AB666" s="360"/>
      <c r="AC666" s="360"/>
      <c r="AD666" s="360"/>
      <c r="AE666" s="360"/>
      <c r="AF666" s="360"/>
      <c r="AG666" s="360" t="s">
        <v>1582</v>
      </c>
      <c r="AH666" s="360"/>
      <c r="AI666" s="360"/>
      <c r="AJ666" s="360" t="s">
        <v>1589</v>
      </c>
      <c r="AK666" s="360"/>
      <c r="AL666" s="360" t="s">
        <v>5878</v>
      </c>
      <c r="AM666" s="360"/>
      <c r="AN666" s="360"/>
      <c r="AO666" s="360"/>
      <c r="AP666" s="360"/>
      <c r="AQ666" s="360"/>
      <c r="AR666" s="360"/>
      <c r="AS666" s="360"/>
      <c r="AT666" s="360"/>
      <c r="AU666" s="360" t="s">
        <v>22</v>
      </c>
      <c r="AV666" s="360"/>
      <c r="AW666" s="264"/>
      <c r="AX666" s="264"/>
      <c r="AY666" s="264"/>
      <c r="AZ666" s="264"/>
      <c r="BA666" s="264"/>
      <c r="BB666" s="264"/>
      <c r="BC666" s="264"/>
      <c r="BD666" s="264"/>
      <c r="BE666" s="264"/>
    </row>
    <row r="667">
      <c r="A667" s="264"/>
      <c r="B667" s="264"/>
      <c r="C667" s="264"/>
      <c r="D667" s="264"/>
      <c r="E667" s="264"/>
      <c r="F667" s="264"/>
      <c r="G667" s="264"/>
      <c r="H667" s="264"/>
      <c r="I667" s="264"/>
      <c r="J667" s="264"/>
      <c r="K667" s="264"/>
      <c r="L667" s="264"/>
      <c r="M667" s="264" t="s">
        <v>22</v>
      </c>
      <c r="N667" s="264"/>
      <c r="O667" s="264" t="s">
        <v>22</v>
      </c>
      <c r="P667" s="264"/>
      <c r="Q667" s="264"/>
      <c r="R667" s="264"/>
      <c r="S667" s="264"/>
      <c r="T667" s="264"/>
      <c r="U667" s="360"/>
      <c r="V667" s="360"/>
      <c r="W667" s="360"/>
      <c r="X667" s="360"/>
      <c r="Y667" s="360"/>
      <c r="Z667" s="360"/>
      <c r="AA667" s="360"/>
      <c r="AB667" s="360"/>
      <c r="AC667" s="360"/>
      <c r="AD667" s="360"/>
      <c r="AE667" s="360"/>
      <c r="AF667" s="360"/>
      <c r="AG667" s="360" t="s">
        <v>1582</v>
      </c>
      <c r="AH667" s="360"/>
      <c r="AI667" s="360"/>
      <c r="AJ667" s="360" t="s">
        <v>1589</v>
      </c>
      <c r="AK667" s="360"/>
      <c r="AL667" s="360" t="s">
        <v>5878</v>
      </c>
      <c r="AM667" s="360"/>
      <c r="AN667" s="360"/>
      <c r="AO667" s="360"/>
      <c r="AP667" s="360"/>
      <c r="AQ667" s="360"/>
      <c r="AR667" s="360"/>
      <c r="AS667" s="360"/>
      <c r="AT667" s="360"/>
      <c r="AU667" s="360" t="s">
        <v>22</v>
      </c>
      <c r="AV667" s="360"/>
      <c r="AW667" s="264"/>
      <c r="AX667" s="264"/>
      <c r="AY667" s="264"/>
      <c r="AZ667" s="264"/>
      <c r="BA667" s="264"/>
      <c r="BB667" s="264"/>
      <c r="BC667" s="264"/>
      <c r="BD667" s="264"/>
      <c r="BE667" s="264"/>
    </row>
    <row r="668">
      <c r="A668" s="264"/>
      <c r="B668" s="264"/>
      <c r="C668" s="264"/>
      <c r="D668" s="264"/>
      <c r="E668" s="264"/>
      <c r="F668" s="264"/>
      <c r="G668" s="264"/>
      <c r="H668" s="264"/>
      <c r="I668" s="264"/>
      <c r="J668" s="264"/>
      <c r="K668" s="264"/>
      <c r="L668" s="264"/>
      <c r="M668" s="264" t="s">
        <v>22</v>
      </c>
      <c r="N668" s="264"/>
      <c r="O668" s="264" t="s">
        <v>22</v>
      </c>
      <c r="P668" s="264"/>
      <c r="Q668" s="264"/>
      <c r="R668" s="264"/>
      <c r="S668" s="264"/>
      <c r="T668" s="264"/>
      <c r="U668" s="360"/>
      <c r="V668" s="360"/>
      <c r="W668" s="360"/>
      <c r="X668" s="360"/>
      <c r="Y668" s="360"/>
      <c r="Z668" s="360"/>
      <c r="AA668" s="360"/>
      <c r="AB668" s="360"/>
      <c r="AC668" s="360"/>
      <c r="AD668" s="360"/>
      <c r="AE668" s="360"/>
      <c r="AF668" s="360"/>
      <c r="AG668" s="360" t="s">
        <v>1582</v>
      </c>
      <c r="AH668" s="360"/>
      <c r="AI668" s="360"/>
      <c r="AJ668" s="360" t="s">
        <v>1589</v>
      </c>
      <c r="AK668" s="360"/>
      <c r="AL668" s="360" t="s">
        <v>5878</v>
      </c>
      <c r="AM668" s="360"/>
      <c r="AN668" s="360"/>
      <c r="AO668" s="360"/>
      <c r="AP668" s="360"/>
      <c r="AQ668" s="360"/>
      <c r="AR668" s="360"/>
      <c r="AS668" s="360"/>
      <c r="AT668" s="360"/>
      <c r="AU668" s="360" t="s">
        <v>22</v>
      </c>
      <c r="AV668" s="360"/>
      <c r="AW668" s="264"/>
      <c r="AX668" s="264"/>
      <c r="AY668" s="264"/>
      <c r="AZ668" s="264"/>
      <c r="BA668" s="264"/>
      <c r="BB668" s="264"/>
      <c r="BC668" s="264"/>
      <c r="BD668" s="264"/>
      <c r="BE668" s="264"/>
    </row>
    <row r="669">
      <c r="A669" s="264"/>
      <c r="B669" s="264"/>
      <c r="C669" s="264"/>
      <c r="D669" s="264"/>
      <c r="E669" s="264"/>
      <c r="F669" s="264"/>
      <c r="G669" s="264"/>
      <c r="H669" s="264"/>
      <c r="I669" s="264"/>
      <c r="J669" s="264"/>
      <c r="K669" s="264"/>
      <c r="L669" s="264"/>
      <c r="M669" s="264" t="s">
        <v>22</v>
      </c>
      <c r="N669" s="264"/>
      <c r="O669" s="264" t="s">
        <v>22</v>
      </c>
      <c r="P669" s="264"/>
      <c r="Q669" s="264"/>
      <c r="R669" s="264"/>
      <c r="S669" s="264"/>
      <c r="T669" s="264"/>
      <c r="U669" s="360"/>
      <c r="V669" s="360"/>
      <c r="W669" s="360"/>
      <c r="X669" s="360"/>
      <c r="Y669" s="360"/>
      <c r="Z669" s="360"/>
      <c r="AA669" s="360"/>
      <c r="AB669" s="360"/>
      <c r="AC669" s="360"/>
      <c r="AD669" s="360"/>
      <c r="AE669" s="360"/>
      <c r="AF669" s="360"/>
      <c r="AG669" s="360" t="s">
        <v>1582</v>
      </c>
      <c r="AH669" s="360"/>
      <c r="AI669" s="360"/>
      <c r="AJ669" s="360" t="s">
        <v>1589</v>
      </c>
      <c r="AK669" s="360"/>
      <c r="AL669" s="360" t="s">
        <v>5878</v>
      </c>
      <c r="AM669" s="360"/>
      <c r="AN669" s="360"/>
      <c r="AO669" s="360"/>
      <c r="AP669" s="360"/>
      <c r="AQ669" s="360"/>
      <c r="AR669" s="360"/>
      <c r="AS669" s="360"/>
      <c r="AT669" s="360"/>
      <c r="AU669" s="360" t="s">
        <v>22</v>
      </c>
      <c r="AV669" s="360"/>
      <c r="AW669" s="264"/>
      <c r="AX669" s="264"/>
      <c r="AY669" s="264"/>
      <c r="AZ669" s="264"/>
      <c r="BA669" s="264"/>
      <c r="BB669" s="264"/>
      <c r="BC669" s="264"/>
      <c r="BD669" s="264"/>
      <c r="BE669" s="264"/>
    </row>
    <row r="670">
      <c r="A670" s="264"/>
      <c r="B670" s="264"/>
      <c r="C670" s="264"/>
      <c r="D670" s="264"/>
      <c r="E670" s="264"/>
      <c r="F670" s="264"/>
      <c r="G670" s="264"/>
      <c r="H670" s="264"/>
      <c r="I670" s="264"/>
      <c r="J670" s="264"/>
      <c r="K670" s="264"/>
      <c r="L670" s="264"/>
      <c r="M670" s="264" t="s">
        <v>22</v>
      </c>
      <c r="N670" s="264"/>
      <c r="O670" s="264" t="s">
        <v>22</v>
      </c>
      <c r="P670" s="264"/>
      <c r="Q670" s="264"/>
      <c r="R670" s="264"/>
      <c r="S670" s="264"/>
      <c r="T670" s="264"/>
      <c r="U670" s="360"/>
      <c r="V670" s="360"/>
      <c r="W670" s="360"/>
      <c r="X670" s="360"/>
      <c r="Y670" s="360"/>
      <c r="Z670" s="360"/>
      <c r="AA670" s="360"/>
      <c r="AB670" s="360"/>
      <c r="AC670" s="360"/>
      <c r="AD670" s="360"/>
      <c r="AE670" s="360"/>
      <c r="AF670" s="360"/>
      <c r="AG670" s="360" t="s">
        <v>1582</v>
      </c>
      <c r="AH670" s="360"/>
      <c r="AI670" s="360"/>
      <c r="AJ670" s="360" t="s">
        <v>1589</v>
      </c>
      <c r="AK670" s="360"/>
      <c r="AL670" s="360" t="s">
        <v>5878</v>
      </c>
      <c r="AM670" s="360"/>
      <c r="AN670" s="360"/>
      <c r="AO670" s="360"/>
      <c r="AP670" s="360"/>
      <c r="AQ670" s="360"/>
      <c r="AR670" s="360"/>
      <c r="AS670" s="360"/>
      <c r="AT670" s="360"/>
      <c r="AU670" s="360" t="s">
        <v>22</v>
      </c>
      <c r="AV670" s="360"/>
      <c r="AW670" s="264"/>
      <c r="AX670" s="264"/>
      <c r="AY670" s="264"/>
      <c r="AZ670" s="264"/>
      <c r="BA670" s="264"/>
      <c r="BB670" s="264"/>
      <c r="BC670" s="264"/>
      <c r="BD670" s="264"/>
      <c r="BE670" s="264"/>
    </row>
    <row r="671">
      <c r="A671" s="264"/>
      <c r="B671" s="264"/>
      <c r="C671" s="264"/>
      <c r="D671" s="264"/>
      <c r="E671" s="264"/>
      <c r="F671" s="264"/>
      <c r="G671" s="264"/>
      <c r="H671" s="264"/>
      <c r="I671" s="264"/>
      <c r="J671" s="264"/>
      <c r="K671" s="264"/>
      <c r="L671" s="264"/>
      <c r="M671" s="264" t="s">
        <v>22</v>
      </c>
      <c r="N671" s="264"/>
      <c r="O671" s="264" t="s">
        <v>22</v>
      </c>
      <c r="P671" s="264"/>
      <c r="Q671" s="264"/>
      <c r="R671" s="264"/>
      <c r="S671" s="264"/>
      <c r="T671" s="264"/>
      <c r="U671" s="360"/>
      <c r="V671" s="360"/>
      <c r="W671" s="360"/>
      <c r="X671" s="360"/>
      <c r="Y671" s="360"/>
      <c r="Z671" s="360"/>
      <c r="AA671" s="360"/>
      <c r="AB671" s="360"/>
      <c r="AC671" s="360"/>
      <c r="AD671" s="360"/>
      <c r="AE671" s="360"/>
      <c r="AF671" s="360"/>
      <c r="AG671" s="360" t="s">
        <v>1582</v>
      </c>
      <c r="AH671" s="360"/>
      <c r="AI671" s="360"/>
      <c r="AJ671" s="360" t="s">
        <v>1589</v>
      </c>
      <c r="AK671" s="360"/>
      <c r="AL671" s="360" t="s">
        <v>5878</v>
      </c>
      <c r="AM671" s="360"/>
      <c r="AN671" s="360"/>
      <c r="AO671" s="360"/>
      <c r="AP671" s="360"/>
      <c r="AQ671" s="360"/>
      <c r="AR671" s="360"/>
      <c r="AS671" s="360"/>
      <c r="AT671" s="360"/>
      <c r="AU671" s="360" t="s">
        <v>22</v>
      </c>
      <c r="AV671" s="360"/>
      <c r="AW671" s="264"/>
      <c r="AX671" s="264"/>
      <c r="AY671" s="264"/>
      <c r="AZ671" s="264"/>
      <c r="BA671" s="264"/>
      <c r="BB671" s="264"/>
      <c r="BC671" s="264"/>
      <c r="BD671" s="264"/>
      <c r="BE671" s="264"/>
    </row>
    <row r="672">
      <c r="A672" s="264"/>
      <c r="B672" s="264"/>
      <c r="C672" s="264"/>
      <c r="D672" s="264"/>
      <c r="E672" s="264"/>
      <c r="F672" s="264"/>
      <c r="G672" s="264"/>
      <c r="H672" s="264"/>
      <c r="I672" s="264"/>
      <c r="J672" s="264"/>
      <c r="K672" s="264"/>
      <c r="L672" s="264"/>
      <c r="M672" s="264" t="s">
        <v>22</v>
      </c>
      <c r="N672" s="264"/>
      <c r="O672" s="264" t="s">
        <v>22</v>
      </c>
      <c r="P672" s="264"/>
      <c r="Q672" s="264"/>
      <c r="R672" s="264"/>
      <c r="S672" s="264"/>
      <c r="T672" s="264"/>
      <c r="U672" s="360"/>
      <c r="V672" s="360"/>
      <c r="W672" s="360"/>
      <c r="X672" s="360"/>
      <c r="Y672" s="360"/>
      <c r="Z672" s="360"/>
      <c r="AA672" s="360"/>
      <c r="AB672" s="360"/>
      <c r="AC672" s="360"/>
      <c r="AD672" s="360"/>
      <c r="AE672" s="360"/>
      <c r="AF672" s="360"/>
      <c r="AG672" s="360" t="s">
        <v>1582</v>
      </c>
      <c r="AH672" s="360"/>
      <c r="AI672" s="360"/>
      <c r="AJ672" s="360" t="s">
        <v>1589</v>
      </c>
      <c r="AK672" s="360"/>
      <c r="AL672" s="360" t="s">
        <v>5878</v>
      </c>
      <c r="AM672" s="360"/>
      <c r="AN672" s="360"/>
      <c r="AO672" s="360"/>
      <c r="AP672" s="360"/>
      <c r="AQ672" s="360"/>
      <c r="AR672" s="360"/>
      <c r="AS672" s="360"/>
      <c r="AT672" s="360"/>
      <c r="AU672" s="360" t="s">
        <v>22</v>
      </c>
      <c r="AV672" s="360"/>
      <c r="AW672" s="264"/>
      <c r="AX672" s="264"/>
      <c r="AY672" s="264"/>
      <c r="AZ672" s="264"/>
      <c r="BA672" s="264"/>
      <c r="BB672" s="264"/>
      <c r="BC672" s="264"/>
      <c r="BD672" s="264"/>
      <c r="BE672" s="264"/>
    </row>
    <row r="673">
      <c r="A673" s="264"/>
      <c r="B673" s="264"/>
      <c r="C673" s="264"/>
      <c r="D673" s="264"/>
      <c r="E673" s="264"/>
      <c r="F673" s="264"/>
      <c r="G673" s="264"/>
      <c r="H673" s="264"/>
      <c r="I673" s="264"/>
      <c r="J673" s="264"/>
      <c r="K673" s="264"/>
      <c r="L673" s="264"/>
      <c r="M673" s="264" t="s">
        <v>22</v>
      </c>
      <c r="N673" s="264"/>
      <c r="O673" s="264" t="s">
        <v>22</v>
      </c>
      <c r="P673" s="264"/>
      <c r="Q673" s="264"/>
      <c r="R673" s="264"/>
      <c r="S673" s="264"/>
      <c r="T673" s="264"/>
      <c r="U673" s="360"/>
      <c r="V673" s="360"/>
      <c r="W673" s="360"/>
      <c r="X673" s="360"/>
      <c r="Y673" s="360"/>
      <c r="Z673" s="360"/>
      <c r="AA673" s="360"/>
      <c r="AB673" s="360"/>
      <c r="AC673" s="360"/>
      <c r="AD673" s="360"/>
      <c r="AE673" s="360"/>
      <c r="AF673" s="360"/>
      <c r="AG673" s="360" t="s">
        <v>1582</v>
      </c>
      <c r="AH673" s="360"/>
      <c r="AI673" s="360"/>
      <c r="AJ673" s="360" t="s">
        <v>1589</v>
      </c>
      <c r="AK673" s="360"/>
      <c r="AL673" s="360" t="s">
        <v>5878</v>
      </c>
      <c r="AM673" s="360"/>
      <c r="AN673" s="360"/>
      <c r="AO673" s="360"/>
      <c r="AP673" s="360"/>
      <c r="AQ673" s="360"/>
      <c r="AR673" s="360"/>
      <c r="AS673" s="360"/>
      <c r="AT673" s="360"/>
      <c r="AU673" s="360" t="s">
        <v>22</v>
      </c>
      <c r="AV673" s="360"/>
      <c r="AW673" s="264"/>
      <c r="AX673" s="264"/>
      <c r="AY673" s="264"/>
      <c r="AZ673" s="264"/>
      <c r="BA673" s="264"/>
      <c r="BB673" s="264"/>
      <c r="BC673" s="264"/>
      <c r="BD673" s="264"/>
      <c r="BE673" s="264"/>
    </row>
    <row r="674">
      <c r="A674" s="264"/>
      <c r="B674" s="264"/>
      <c r="C674" s="264"/>
      <c r="D674" s="264"/>
      <c r="E674" s="264"/>
      <c r="F674" s="264"/>
      <c r="G674" s="264"/>
      <c r="H674" s="264"/>
      <c r="I674" s="264"/>
      <c r="J674" s="264"/>
      <c r="K674" s="264"/>
      <c r="L674" s="264"/>
      <c r="M674" s="264" t="s">
        <v>22</v>
      </c>
      <c r="N674" s="264"/>
      <c r="O674" s="264" t="s">
        <v>22</v>
      </c>
      <c r="P674" s="264"/>
      <c r="Q674" s="264"/>
      <c r="R674" s="264"/>
      <c r="S674" s="264"/>
      <c r="T674" s="264"/>
      <c r="U674" s="360"/>
      <c r="V674" s="360"/>
      <c r="W674" s="360"/>
      <c r="X674" s="360"/>
      <c r="Y674" s="360"/>
      <c r="Z674" s="360"/>
      <c r="AA674" s="360"/>
      <c r="AB674" s="360"/>
      <c r="AC674" s="360"/>
      <c r="AD674" s="360"/>
      <c r="AE674" s="360"/>
      <c r="AF674" s="360"/>
      <c r="AG674" s="360" t="s">
        <v>1582</v>
      </c>
      <c r="AH674" s="360"/>
      <c r="AI674" s="360"/>
      <c r="AJ674" s="360" t="s">
        <v>1589</v>
      </c>
      <c r="AK674" s="360"/>
      <c r="AL674" s="360" t="s">
        <v>5878</v>
      </c>
      <c r="AM674" s="360"/>
      <c r="AN674" s="360"/>
      <c r="AO674" s="360"/>
      <c r="AP674" s="360"/>
      <c r="AQ674" s="360"/>
      <c r="AR674" s="360"/>
      <c r="AS674" s="360"/>
      <c r="AT674" s="360"/>
      <c r="AU674" s="360" t="s">
        <v>22</v>
      </c>
      <c r="AV674" s="360"/>
      <c r="AW674" s="264"/>
      <c r="AX674" s="264"/>
      <c r="AY674" s="264"/>
      <c r="AZ674" s="264"/>
      <c r="BA674" s="264"/>
      <c r="BB674" s="264"/>
      <c r="BC674" s="264"/>
      <c r="BD674" s="264"/>
      <c r="BE674" s="264"/>
    </row>
    <row r="675">
      <c r="A675" s="264"/>
      <c r="B675" s="264"/>
      <c r="C675" s="264"/>
      <c r="D675" s="264"/>
      <c r="E675" s="264"/>
      <c r="F675" s="264"/>
      <c r="G675" s="264"/>
      <c r="H675" s="264"/>
      <c r="I675" s="264"/>
      <c r="J675" s="264"/>
      <c r="K675" s="264"/>
      <c r="L675" s="264"/>
      <c r="M675" s="264" t="s">
        <v>22</v>
      </c>
      <c r="N675" s="264"/>
      <c r="O675" s="264" t="s">
        <v>22</v>
      </c>
      <c r="P675" s="264"/>
      <c r="Q675" s="264"/>
      <c r="R675" s="264"/>
      <c r="S675" s="264"/>
      <c r="T675" s="264"/>
      <c r="U675" s="360"/>
      <c r="V675" s="360"/>
      <c r="W675" s="360"/>
      <c r="X675" s="360"/>
      <c r="Y675" s="360"/>
      <c r="Z675" s="360"/>
      <c r="AA675" s="360"/>
      <c r="AB675" s="360"/>
      <c r="AC675" s="360"/>
      <c r="AD675" s="360"/>
      <c r="AE675" s="360"/>
      <c r="AF675" s="360"/>
      <c r="AG675" s="360" t="s">
        <v>1582</v>
      </c>
      <c r="AH675" s="360"/>
      <c r="AI675" s="360"/>
      <c r="AJ675" s="360" t="s">
        <v>1589</v>
      </c>
      <c r="AK675" s="360"/>
      <c r="AL675" s="360" t="s">
        <v>5878</v>
      </c>
      <c r="AM675" s="360"/>
      <c r="AN675" s="360"/>
      <c r="AO675" s="360"/>
      <c r="AP675" s="360"/>
      <c r="AQ675" s="360"/>
      <c r="AR675" s="360"/>
      <c r="AS675" s="360"/>
      <c r="AT675" s="360"/>
      <c r="AU675" s="360" t="s">
        <v>22</v>
      </c>
      <c r="AV675" s="360"/>
      <c r="AW675" s="264"/>
      <c r="AX675" s="264"/>
      <c r="AY675" s="264"/>
      <c r="AZ675" s="264"/>
      <c r="BA675" s="264"/>
      <c r="BB675" s="264"/>
      <c r="BC675" s="264"/>
      <c r="BD675" s="264"/>
      <c r="BE675" s="264"/>
    </row>
    <row r="676">
      <c r="A676" s="264"/>
      <c r="B676" s="264"/>
      <c r="C676" s="264"/>
      <c r="D676" s="264"/>
      <c r="E676" s="264"/>
      <c r="F676" s="264"/>
      <c r="G676" s="264"/>
      <c r="H676" s="264"/>
      <c r="I676" s="264"/>
      <c r="J676" s="264"/>
      <c r="K676" s="264"/>
      <c r="L676" s="264"/>
      <c r="M676" s="264" t="s">
        <v>22</v>
      </c>
      <c r="N676" s="264"/>
      <c r="O676" s="264" t="s">
        <v>22</v>
      </c>
      <c r="P676" s="264"/>
      <c r="Q676" s="264"/>
      <c r="R676" s="264"/>
      <c r="S676" s="264"/>
      <c r="T676" s="264"/>
      <c r="U676" s="360"/>
      <c r="V676" s="360"/>
      <c r="W676" s="360"/>
      <c r="X676" s="360"/>
      <c r="Y676" s="360"/>
      <c r="Z676" s="360"/>
      <c r="AA676" s="360"/>
      <c r="AB676" s="360"/>
      <c r="AC676" s="360"/>
      <c r="AD676" s="360"/>
      <c r="AE676" s="360"/>
      <c r="AF676" s="360"/>
      <c r="AG676" s="360" t="s">
        <v>1582</v>
      </c>
      <c r="AH676" s="360"/>
      <c r="AI676" s="360"/>
      <c r="AJ676" s="360" t="s">
        <v>1589</v>
      </c>
      <c r="AK676" s="360"/>
      <c r="AL676" s="360" t="s">
        <v>5878</v>
      </c>
      <c r="AM676" s="360"/>
      <c r="AN676" s="360"/>
      <c r="AO676" s="360"/>
      <c r="AP676" s="360"/>
      <c r="AQ676" s="360"/>
      <c r="AR676" s="360"/>
      <c r="AS676" s="360"/>
      <c r="AT676" s="360"/>
      <c r="AU676" s="360" t="s">
        <v>22</v>
      </c>
      <c r="AV676" s="360"/>
      <c r="AW676" s="264"/>
      <c r="AX676" s="264"/>
      <c r="AY676" s="264"/>
      <c r="AZ676" s="264"/>
      <c r="BA676" s="264"/>
      <c r="BB676" s="264"/>
      <c r="BC676" s="264"/>
      <c r="BD676" s="264"/>
      <c r="BE676" s="264"/>
    </row>
    <row r="677">
      <c r="A677" s="264"/>
      <c r="B677" s="264"/>
      <c r="C677" s="264"/>
      <c r="D677" s="264"/>
      <c r="E677" s="264"/>
      <c r="F677" s="264"/>
      <c r="G677" s="264"/>
      <c r="H677" s="264"/>
      <c r="I677" s="264"/>
      <c r="J677" s="264"/>
      <c r="K677" s="264"/>
      <c r="L677" s="264"/>
      <c r="M677" s="264" t="s">
        <v>22</v>
      </c>
      <c r="N677" s="264"/>
      <c r="O677" s="264" t="s">
        <v>22</v>
      </c>
      <c r="P677" s="264"/>
      <c r="Q677" s="264"/>
      <c r="R677" s="264"/>
      <c r="S677" s="264"/>
      <c r="T677" s="264"/>
      <c r="U677" s="360"/>
      <c r="V677" s="360"/>
      <c r="W677" s="360"/>
      <c r="X677" s="360"/>
      <c r="Y677" s="360"/>
      <c r="Z677" s="360"/>
      <c r="AA677" s="360"/>
      <c r="AB677" s="360"/>
      <c r="AC677" s="360"/>
      <c r="AD677" s="360"/>
      <c r="AE677" s="360"/>
      <c r="AF677" s="360"/>
      <c r="AG677" s="360" t="s">
        <v>1582</v>
      </c>
      <c r="AH677" s="360"/>
      <c r="AI677" s="360"/>
      <c r="AJ677" s="360" t="s">
        <v>1589</v>
      </c>
      <c r="AK677" s="360"/>
      <c r="AL677" s="360" t="s">
        <v>5878</v>
      </c>
      <c r="AM677" s="360"/>
      <c r="AN677" s="360"/>
      <c r="AO677" s="360"/>
      <c r="AP677" s="360"/>
      <c r="AQ677" s="360"/>
      <c r="AR677" s="360"/>
      <c r="AS677" s="360"/>
      <c r="AT677" s="360"/>
      <c r="AU677" s="360" t="s">
        <v>22</v>
      </c>
      <c r="AV677" s="360"/>
      <c r="AW677" s="264"/>
      <c r="AX677" s="264"/>
      <c r="AY677" s="264"/>
      <c r="AZ677" s="264"/>
      <c r="BA677" s="264"/>
      <c r="BB677" s="264"/>
      <c r="BC677" s="264"/>
      <c r="BD677" s="264"/>
      <c r="BE677" s="264"/>
    </row>
    <row r="678">
      <c r="A678" s="264"/>
      <c r="B678" s="264"/>
      <c r="C678" s="264"/>
      <c r="D678" s="264"/>
      <c r="E678" s="264"/>
      <c r="F678" s="264"/>
      <c r="G678" s="264"/>
      <c r="H678" s="264"/>
      <c r="I678" s="264"/>
      <c r="J678" s="264"/>
      <c r="K678" s="264"/>
      <c r="L678" s="264"/>
      <c r="M678" s="264" t="s">
        <v>22</v>
      </c>
      <c r="N678" s="264"/>
      <c r="O678" s="264" t="s">
        <v>22</v>
      </c>
      <c r="P678" s="264"/>
      <c r="Q678" s="264"/>
      <c r="R678" s="264"/>
      <c r="S678" s="264"/>
      <c r="T678" s="264"/>
      <c r="U678" s="360"/>
      <c r="V678" s="360"/>
      <c r="W678" s="360"/>
      <c r="X678" s="360"/>
      <c r="Y678" s="360"/>
      <c r="Z678" s="360"/>
      <c r="AA678" s="360"/>
      <c r="AB678" s="360"/>
      <c r="AC678" s="360"/>
      <c r="AD678" s="360"/>
      <c r="AE678" s="360"/>
      <c r="AF678" s="360"/>
      <c r="AG678" s="360" t="s">
        <v>1582</v>
      </c>
      <c r="AH678" s="360"/>
      <c r="AI678" s="360"/>
      <c r="AJ678" s="360" t="s">
        <v>1589</v>
      </c>
      <c r="AK678" s="360"/>
      <c r="AL678" s="360" t="s">
        <v>5878</v>
      </c>
      <c r="AM678" s="360"/>
      <c r="AN678" s="360"/>
      <c r="AO678" s="360"/>
      <c r="AP678" s="360"/>
      <c r="AQ678" s="360"/>
      <c r="AR678" s="360"/>
      <c r="AS678" s="360"/>
      <c r="AT678" s="360"/>
      <c r="AU678" s="360" t="s">
        <v>22</v>
      </c>
      <c r="AV678" s="360"/>
      <c r="AW678" s="264"/>
      <c r="AX678" s="264"/>
      <c r="AY678" s="264"/>
      <c r="AZ678" s="264"/>
      <c r="BA678" s="264"/>
      <c r="BB678" s="264"/>
      <c r="BC678" s="264"/>
      <c r="BD678" s="264"/>
      <c r="BE678" s="264"/>
    </row>
    <row r="679">
      <c r="A679" s="264"/>
      <c r="B679" s="264"/>
      <c r="C679" s="264"/>
      <c r="D679" s="264"/>
      <c r="E679" s="264"/>
      <c r="F679" s="264"/>
      <c r="G679" s="264"/>
      <c r="H679" s="264"/>
      <c r="I679" s="264"/>
      <c r="J679" s="264"/>
      <c r="K679" s="264"/>
      <c r="L679" s="264"/>
      <c r="M679" s="264" t="s">
        <v>22</v>
      </c>
      <c r="N679" s="264"/>
      <c r="O679" s="264" t="s">
        <v>22</v>
      </c>
      <c r="P679" s="264"/>
      <c r="Q679" s="264"/>
      <c r="R679" s="264"/>
      <c r="S679" s="264"/>
      <c r="T679" s="264"/>
      <c r="U679" s="360"/>
      <c r="V679" s="360"/>
      <c r="W679" s="360"/>
      <c r="X679" s="360"/>
      <c r="Y679" s="360"/>
      <c r="Z679" s="360"/>
      <c r="AA679" s="360"/>
      <c r="AB679" s="360"/>
      <c r="AC679" s="360"/>
      <c r="AD679" s="360"/>
      <c r="AE679" s="360"/>
      <c r="AF679" s="360"/>
      <c r="AG679" s="360" t="s">
        <v>1582</v>
      </c>
      <c r="AH679" s="360"/>
      <c r="AI679" s="360"/>
      <c r="AJ679" s="360" t="s">
        <v>1589</v>
      </c>
      <c r="AK679" s="360"/>
      <c r="AL679" s="360" t="s">
        <v>5878</v>
      </c>
      <c r="AM679" s="360"/>
      <c r="AN679" s="360"/>
      <c r="AO679" s="360"/>
      <c r="AP679" s="360"/>
      <c r="AQ679" s="360"/>
      <c r="AR679" s="360"/>
      <c r="AS679" s="360"/>
      <c r="AT679" s="360"/>
      <c r="AU679" s="360" t="s">
        <v>22</v>
      </c>
      <c r="AV679" s="360"/>
      <c r="AW679" s="264"/>
      <c r="AX679" s="264"/>
      <c r="AY679" s="264"/>
      <c r="AZ679" s="264"/>
      <c r="BA679" s="264"/>
      <c r="BB679" s="264"/>
      <c r="BC679" s="264"/>
      <c r="BD679" s="264"/>
      <c r="BE679" s="264"/>
    </row>
    <row r="680">
      <c r="A680" s="264"/>
      <c r="B680" s="264"/>
      <c r="C680" s="264"/>
      <c r="D680" s="264"/>
      <c r="E680" s="264"/>
      <c r="F680" s="264"/>
      <c r="G680" s="264"/>
      <c r="H680" s="264"/>
      <c r="I680" s="264"/>
      <c r="J680" s="264"/>
      <c r="K680" s="264"/>
      <c r="L680" s="264"/>
      <c r="M680" s="264" t="s">
        <v>22</v>
      </c>
      <c r="N680" s="264"/>
      <c r="O680" s="264" t="s">
        <v>22</v>
      </c>
      <c r="P680" s="264"/>
      <c r="Q680" s="264"/>
      <c r="R680" s="264"/>
      <c r="S680" s="264"/>
      <c r="T680" s="264"/>
      <c r="U680" s="360"/>
      <c r="V680" s="360"/>
      <c r="W680" s="360"/>
      <c r="X680" s="360"/>
      <c r="Y680" s="360"/>
      <c r="Z680" s="360"/>
      <c r="AA680" s="360"/>
      <c r="AB680" s="360"/>
      <c r="AC680" s="360"/>
      <c r="AD680" s="360"/>
      <c r="AE680" s="360"/>
      <c r="AF680" s="360"/>
      <c r="AG680" s="360" t="s">
        <v>1582</v>
      </c>
      <c r="AH680" s="360"/>
      <c r="AI680" s="360"/>
      <c r="AJ680" s="360" t="s">
        <v>1589</v>
      </c>
      <c r="AK680" s="360"/>
      <c r="AL680" s="360" t="s">
        <v>5878</v>
      </c>
      <c r="AM680" s="360"/>
      <c r="AN680" s="360"/>
      <c r="AO680" s="360"/>
      <c r="AP680" s="360"/>
      <c r="AQ680" s="360"/>
      <c r="AR680" s="360"/>
      <c r="AS680" s="360"/>
      <c r="AT680" s="360"/>
      <c r="AU680" s="360" t="s">
        <v>22</v>
      </c>
      <c r="AV680" s="360"/>
      <c r="AW680" s="264"/>
      <c r="AX680" s="264"/>
      <c r="AY680" s="264"/>
      <c r="AZ680" s="264"/>
      <c r="BA680" s="264"/>
      <c r="BB680" s="264"/>
      <c r="BC680" s="264"/>
      <c r="BD680" s="264"/>
      <c r="BE680" s="264"/>
    </row>
    <row r="681">
      <c r="A681" s="264"/>
      <c r="B681" s="264"/>
      <c r="C681" s="264"/>
      <c r="D681" s="264"/>
      <c r="E681" s="264"/>
      <c r="F681" s="264"/>
      <c r="G681" s="264"/>
      <c r="H681" s="264"/>
      <c r="I681" s="264"/>
      <c r="J681" s="264"/>
      <c r="K681" s="264"/>
      <c r="L681" s="264"/>
      <c r="M681" s="264" t="s">
        <v>22</v>
      </c>
      <c r="N681" s="264"/>
      <c r="O681" s="264" t="s">
        <v>22</v>
      </c>
      <c r="P681" s="264"/>
      <c r="Q681" s="264"/>
      <c r="R681" s="264"/>
      <c r="S681" s="264"/>
      <c r="T681" s="264"/>
      <c r="U681" s="360"/>
      <c r="V681" s="360"/>
      <c r="W681" s="360"/>
      <c r="X681" s="360"/>
      <c r="Y681" s="360"/>
      <c r="Z681" s="360"/>
      <c r="AA681" s="360"/>
      <c r="AB681" s="360"/>
      <c r="AC681" s="360"/>
      <c r="AD681" s="360"/>
      <c r="AE681" s="360"/>
      <c r="AF681" s="360"/>
      <c r="AG681" s="360" t="s">
        <v>1582</v>
      </c>
      <c r="AH681" s="360"/>
      <c r="AI681" s="360"/>
      <c r="AJ681" s="360" t="s">
        <v>1589</v>
      </c>
      <c r="AK681" s="360"/>
      <c r="AL681" s="360" t="s">
        <v>5878</v>
      </c>
      <c r="AM681" s="360"/>
      <c r="AN681" s="360"/>
      <c r="AO681" s="360"/>
      <c r="AP681" s="360"/>
      <c r="AQ681" s="360"/>
      <c r="AR681" s="360"/>
      <c r="AS681" s="360"/>
      <c r="AT681" s="360"/>
      <c r="AU681" s="360" t="s">
        <v>22</v>
      </c>
      <c r="AV681" s="360"/>
      <c r="AW681" s="264"/>
      <c r="AX681" s="264"/>
      <c r="AY681" s="264"/>
      <c r="AZ681" s="264"/>
      <c r="BA681" s="264"/>
      <c r="BB681" s="264"/>
      <c r="BC681" s="264"/>
      <c r="BD681" s="264"/>
      <c r="BE681" s="264"/>
    </row>
    <row r="682">
      <c r="A682" s="264"/>
      <c r="B682" s="264"/>
      <c r="C682" s="264"/>
      <c r="D682" s="264"/>
      <c r="E682" s="264"/>
      <c r="F682" s="264"/>
      <c r="G682" s="264"/>
      <c r="H682" s="264"/>
      <c r="I682" s="264"/>
      <c r="J682" s="264"/>
      <c r="K682" s="264"/>
      <c r="L682" s="264"/>
      <c r="M682" s="264" t="s">
        <v>22</v>
      </c>
      <c r="N682" s="264"/>
      <c r="O682" s="264" t="s">
        <v>22</v>
      </c>
      <c r="P682" s="264"/>
      <c r="Q682" s="264"/>
      <c r="R682" s="264"/>
      <c r="S682" s="264"/>
      <c r="T682" s="264"/>
      <c r="U682" s="360"/>
      <c r="V682" s="360"/>
      <c r="W682" s="360"/>
      <c r="X682" s="360"/>
      <c r="Y682" s="360"/>
      <c r="Z682" s="360"/>
      <c r="AA682" s="360"/>
      <c r="AB682" s="360"/>
      <c r="AC682" s="360"/>
      <c r="AD682" s="360"/>
      <c r="AE682" s="360"/>
      <c r="AF682" s="360"/>
      <c r="AG682" s="360" t="s">
        <v>1582</v>
      </c>
      <c r="AH682" s="360"/>
      <c r="AI682" s="360"/>
      <c r="AJ682" s="360" t="s">
        <v>1589</v>
      </c>
      <c r="AK682" s="360"/>
      <c r="AL682" s="360" t="s">
        <v>5878</v>
      </c>
      <c r="AM682" s="360"/>
      <c r="AN682" s="360"/>
      <c r="AO682" s="360"/>
      <c r="AP682" s="360"/>
      <c r="AQ682" s="360"/>
      <c r="AR682" s="360"/>
      <c r="AS682" s="360"/>
      <c r="AT682" s="360"/>
      <c r="AU682" s="360" t="s">
        <v>22</v>
      </c>
      <c r="AV682" s="360"/>
      <c r="AW682" s="264"/>
      <c r="AX682" s="264"/>
      <c r="AY682" s="264"/>
      <c r="AZ682" s="264"/>
      <c r="BA682" s="264"/>
      <c r="BB682" s="264"/>
      <c r="BC682" s="264"/>
      <c r="BD682" s="264"/>
      <c r="BE682" s="264"/>
    </row>
    <row r="683">
      <c r="A683" s="264"/>
      <c r="B683" s="264"/>
      <c r="C683" s="264"/>
      <c r="D683" s="264"/>
      <c r="E683" s="264"/>
      <c r="F683" s="264"/>
      <c r="G683" s="264"/>
      <c r="H683" s="264"/>
      <c r="I683" s="264"/>
      <c r="J683" s="264"/>
      <c r="K683" s="264"/>
      <c r="L683" s="264"/>
      <c r="M683" s="264" t="s">
        <v>22</v>
      </c>
      <c r="N683" s="264"/>
      <c r="O683" s="264" t="s">
        <v>22</v>
      </c>
      <c r="P683" s="264"/>
      <c r="Q683" s="264"/>
      <c r="R683" s="264"/>
      <c r="S683" s="264"/>
      <c r="T683" s="264"/>
      <c r="U683" s="360"/>
      <c r="V683" s="360"/>
      <c r="W683" s="360"/>
      <c r="X683" s="360"/>
      <c r="Y683" s="360"/>
      <c r="Z683" s="360"/>
      <c r="AA683" s="360"/>
      <c r="AB683" s="360"/>
      <c r="AC683" s="360"/>
      <c r="AD683" s="360"/>
      <c r="AE683" s="360"/>
      <c r="AF683" s="360"/>
      <c r="AG683" s="360" t="s">
        <v>1582</v>
      </c>
      <c r="AH683" s="360"/>
      <c r="AI683" s="360"/>
      <c r="AJ683" s="360" t="s">
        <v>1589</v>
      </c>
      <c r="AK683" s="360"/>
      <c r="AL683" s="360" t="s">
        <v>5878</v>
      </c>
      <c r="AM683" s="360"/>
      <c r="AN683" s="360"/>
      <c r="AO683" s="360"/>
      <c r="AP683" s="360"/>
      <c r="AQ683" s="360"/>
      <c r="AR683" s="360"/>
      <c r="AS683" s="360"/>
      <c r="AT683" s="360"/>
      <c r="AU683" s="360" t="s">
        <v>22</v>
      </c>
      <c r="AV683" s="360"/>
      <c r="AW683" s="264"/>
      <c r="AX683" s="264"/>
      <c r="AY683" s="264"/>
      <c r="AZ683" s="264"/>
      <c r="BA683" s="264"/>
      <c r="BB683" s="264"/>
      <c r="BC683" s="264"/>
      <c r="BD683" s="264"/>
      <c r="BE683" s="264"/>
    </row>
    <row r="684">
      <c r="A684" s="264"/>
      <c r="B684" s="264"/>
      <c r="C684" s="264"/>
      <c r="D684" s="264"/>
      <c r="E684" s="264"/>
      <c r="F684" s="264"/>
      <c r="G684" s="264"/>
      <c r="H684" s="264"/>
      <c r="I684" s="264"/>
      <c r="J684" s="264"/>
      <c r="K684" s="264"/>
      <c r="L684" s="264"/>
      <c r="M684" s="264" t="s">
        <v>22</v>
      </c>
      <c r="N684" s="264"/>
      <c r="O684" s="264" t="s">
        <v>22</v>
      </c>
      <c r="P684" s="264"/>
      <c r="Q684" s="264"/>
      <c r="R684" s="264"/>
      <c r="S684" s="264"/>
      <c r="T684" s="264"/>
      <c r="U684" s="360"/>
      <c r="V684" s="360"/>
      <c r="W684" s="360"/>
      <c r="X684" s="360"/>
      <c r="Y684" s="360"/>
      <c r="Z684" s="360"/>
      <c r="AA684" s="360"/>
      <c r="AB684" s="360"/>
      <c r="AC684" s="360"/>
      <c r="AD684" s="360"/>
      <c r="AE684" s="360"/>
      <c r="AF684" s="360"/>
      <c r="AG684" s="360" t="s">
        <v>1582</v>
      </c>
      <c r="AH684" s="360"/>
      <c r="AI684" s="360"/>
      <c r="AJ684" s="360" t="s">
        <v>1589</v>
      </c>
      <c r="AK684" s="360"/>
      <c r="AL684" s="360" t="s">
        <v>5878</v>
      </c>
      <c r="AM684" s="360"/>
      <c r="AN684" s="360"/>
      <c r="AO684" s="360"/>
      <c r="AP684" s="360"/>
      <c r="AQ684" s="360"/>
      <c r="AR684" s="360"/>
      <c r="AS684" s="360"/>
      <c r="AT684" s="360"/>
      <c r="AU684" s="360" t="s">
        <v>22</v>
      </c>
      <c r="AV684" s="360"/>
      <c r="AW684" s="264"/>
      <c r="AX684" s="264"/>
      <c r="AY684" s="264"/>
      <c r="AZ684" s="264"/>
      <c r="BA684" s="264"/>
      <c r="BB684" s="264"/>
      <c r="BC684" s="264"/>
      <c r="BD684" s="264"/>
      <c r="BE684" s="264"/>
    </row>
    <row r="685">
      <c r="A685" s="264"/>
      <c r="B685" s="264"/>
      <c r="C685" s="264"/>
      <c r="D685" s="264"/>
      <c r="E685" s="264"/>
      <c r="F685" s="264"/>
      <c r="G685" s="264"/>
      <c r="H685" s="264"/>
      <c r="I685" s="264"/>
      <c r="J685" s="264"/>
      <c r="K685" s="264"/>
      <c r="L685" s="264"/>
      <c r="M685" s="264" t="s">
        <v>22</v>
      </c>
      <c r="N685" s="264"/>
      <c r="O685" s="264" t="s">
        <v>22</v>
      </c>
      <c r="P685" s="264"/>
      <c r="Q685" s="264"/>
      <c r="R685" s="264"/>
      <c r="S685" s="264"/>
      <c r="T685" s="264"/>
      <c r="U685" s="360"/>
      <c r="V685" s="360"/>
      <c r="W685" s="360"/>
      <c r="X685" s="360"/>
      <c r="Y685" s="360"/>
      <c r="Z685" s="360"/>
      <c r="AA685" s="360"/>
      <c r="AB685" s="360"/>
      <c r="AC685" s="360"/>
      <c r="AD685" s="360"/>
      <c r="AE685" s="360"/>
      <c r="AF685" s="360"/>
      <c r="AG685" s="360" t="s">
        <v>1582</v>
      </c>
      <c r="AH685" s="360"/>
      <c r="AI685" s="360"/>
      <c r="AJ685" s="360" t="s">
        <v>1589</v>
      </c>
      <c r="AK685" s="360"/>
      <c r="AL685" s="360" t="s">
        <v>5878</v>
      </c>
      <c r="AM685" s="360"/>
      <c r="AN685" s="360"/>
      <c r="AO685" s="360"/>
      <c r="AP685" s="360"/>
      <c r="AQ685" s="360"/>
      <c r="AR685" s="360"/>
      <c r="AS685" s="360"/>
      <c r="AT685" s="360"/>
      <c r="AU685" s="360" t="s">
        <v>22</v>
      </c>
      <c r="AV685" s="360"/>
      <c r="AW685" s="264"/>
      <c r="AX685" s="264"/>
      <c r="AY685" s="264"/>
      <c r="AZ685" s="264"/>
      <c r="BA685" s="264"/>
      <c r="BB685" s="264"/>
      <c r="BC685" s="264"/>
      <c r="BD685" s="264"/>
      <c r="BE685" s="264"/>
    </row>
    <row r="686">
      <c r="A686" s="264"/>
      <c r="B686" s="264"/>
      <c r="C686" s="264"/>
      <c r="D686" s="264"/>
      <c r="E686" s="264"/>
      <c r="F686" s="264"/>
      <c r="G686" s="264"/>
      <c r="H686" s="264"/>
      <c r="I686" s="264"/>
      <c r="J686" s="264"/>
      <c r="K686" s="264"/>
      <c r="L686" s="264"/>
      <c r="M686" s="264" t="s">
        <v>22</v>
      </c>
      <c r="N686" s="264"/>
      <c r="O686" s="264" t="s">
        <v>22</v>
      </c>
      <c r="P686" s="264"/>
      <c r="Q686" s="264"/>
      <c r="R686" s="264"/>
      <c r="S686" s="264"/>
      <c r="T686" s="264"/>
      <c r="U686" s="360"/>
      <c r="V686" s="360"/>
      <c r="W686" s="360"/>
      <c r="X686" s="360"/>
      <c r="Y686" s="360"/>
      <c r="Z686" s="360"/>
      <c r="AA686" s="360"/>
      <c r="AB686" s="360"/>
      <c r="AC686" s="360"/>
      <c r="AD686" s="360"/>
      <c r="AE686" s="360"/>
      <c r="AF686" s="360"/>
      <c r="AG686" s="360" t="s">
        <v>1582</v>
      </c>
      <c r="AH686" s="360"/>
      <c r="AI686" s="360"/>
      <c r="AJ686" s="360" t="s">
        <v>1589</v>
      </c>
      <c r="AK686" s="360"/>
      <c r="AL686" s="360" t="s">
        <v>5878</v>
      </c>
      <c r="AM686" s="360"/>
      <c r="AN686" s="360"/>
      <c r="AO686" s="360"/>
      <c r="AP686" s="360"/>
      <c r="AQ686" s="360"/>
      <c r="AR686" s="360"/>
      <c r="AS686" s="360"/>
      <c r="AT686" s="360"/>
      <c r="AU686" s="360" t="s">
        <v>22</v>
      </c>
      <c r="AV686" s="360"/>
      <c r="AW686" s="264"/>
      <c r="AX686" s="264"/>
      <c r="AY686" s="264"/>
      <c r="AZ686" s="264"/>
      <c r="BA686" s="264"/>
      <c r="BB686" s="264"/>
      <c r="BC686" s="264"/>
      <c r="BD686" s="264"/>
      <c r="BE686" s="264"/>
    </row>
    <row r="687">
      <c r="A687" s="264"/>
      <c r="B687" s="264"/>
      <c r="C687" s="264"/>
      <c r="D687" s="264"/>
      <c r="E687" s="264"/>
      <c r="F687" s="264"/>
      <c r="G687" s="264"/>
      <c r="H687" s="264"/>
      <c r="I687" s="264"/>
      <c r="J687" s="264"/>
      <c r="K687" s="264"/>
      <c r="L687" s="264"/>
      <c r="M687" s="264" t="s">
        <v>22</v>
      </c>
      <c r="N687" s="264"/>
      <c r="O687" s="264" t="s">
        <v>22</v>
      </c>
      <c r="P687" s="264"/>
      <c r="Q687" s="264"/>
      <c r="R687" s="264"/>
      <c r="S687" s="264"/>
      <c r="T687" s="264"/>
      <c r="U687" s="360"/>
      <c r="V687" s="360"/>
      <c r="W687" s="360"/>
      <c r="X687" s="360"/>
      <c r="Y687" s="360"/>
      <c r="Z687" s="360"/>
      <c r="AA687" s="360"/>
      <c r="AB687" s="360"/>
      <c r="AC687" s="360"/>
      <c r="AD687" s="360"/>
      <c r="AE687" s="360"/>
      <c r="AF687" s="360"/>
      <c r="AG687" s="360" t="s">
        <v>1582</v>
      </c>
      <c r="AH687" s="360"/>
      <c r="AI687" s="360"/>
      <c r="AJ687" s="360" t="s">
        <v>1589</v>
      </c>
      <c r="AK687" s="360"/>
      <c r="AL687" s="360" t="s">
        <v>5878</v>
      </c>
      <c r="AM687" s="360"/>
      <c r="AN687" s="360"/>
      <c r="AO687" s="360"/>
      <c r="AP687" s="360"/>
      <c r="AQ687" s="360"/>
      <c r="AR687" s="360"/>
      <c r="AS687" s="360"/>
      <c r="AT687" s="360"/>
      <c r="AU687" s="360" t="s">
        <v>22</v>
      </c>
      <c r="AV687" s="360"/>
      <c r="AW687" s="264"/>
      <c r="AX687" s="264"/>
      <c r="AY687" s="264"/>
      <c r="AZ687" s="264"/>
      <c r="BA687" s="264"/>
      <c r="BB687" s="264"/>
      <c r="BC687" s="264"/>
      <c r="BD687" s="264"/>
      <c r="BE687" s="264"/>
    </row>
    <row r="688">
      <c r="A688" s="264"/>
      <c r="B688" s="264"/>
      <c r="C688" s="264"/>
      <c r="D688" s="264"/>
      <c r="E688" s="264"/>
      <c r="F688" s="264"/>
      <c r="G688" s="264"/>
      <c r="H688" s="264"/>
      <c r="I688" s="264"/>
      <c r="J688" s="264"/>
      <c r="K688" s="264"/>
      <c r="L688" s="264"/>
      <c r="M688" s="264" t="s">
        <v>22</v>
      </c>
      <c r="N688" s="264"/>
      <c r="O688" s="264" t="s">
        <v>22</v>
      </c>
      <c r="P688" s="264"/>
      <c r="Q688" s="264"/>
      <c r="R688" s="264"/>
      <c r="S688" s="264"/>
      <c r="T688" s="264"/>
      <c r="U688" s="360"/>
      <c r="V688" s="360"/>
      <c r="W688" s="360"/>
      <c r="X688" s="360"/>
      <c r="Y688" s="360"/>
      <c r="Z688" s="360"/>
      <c r="AA688" s="360"/>
      <c r="AB688" s="360"/>
      <c r="AC688" s="360"/>
      <c r="AD688" s="360"/>
      <c r="AE688" s="360"/>
      <c r="AF688" s="360"/>
      <c r="AG688" s="360" t="s">
        <v>1582</v>
      </c>
      <c r="AH688" s="360"/>
      <c r="AI688" s="360"/>
      <c r="AJ688" s="360" t="s">
        <v>1589</v>
      </c>
      <c r="AK688" s="360"/>
      <c r="AL688" s="360" t="s">
        <v>5878</v>
      </c>
      <c r="AM688" s="360"/>
      <c r="AN688" s="360"/>
      <c r="AO688" s="360"/>
      <c r="AP688" s="360"/>
      <c r="AQ688" s="360"/>
      <c r="AR688" s="360"/>
      <c r="AS688" s="360"/>
      <c r="AT688" s="360"/>
      <c r="AU688" s="360" t="s">
        <v>22</v>
      </c>
      <c r="AV688" s="360"/>
      <c r="AW688" s="264"/>
      <c r="AX688" s="264"/>
      <c r="AY688" s="264"/>
      <c r="AZ688" s="264"/>
      <c r="BA688" s="264"/>
      <c r="BB688" s="264"/>
      <c r="BC688" s="264"/>
      <c r="BD688" s="264"/>
      <c r="BE688" s="264"/>
    </row>
    <row r="689">
      <c r="A689" s="264"/>
      <c r="B689" s="264"/>
      <c r="C689" s="264"/>
      <c r="D689" s="264"/>
      <c r="E689" s="264"/>
      <c r="F689" s="264"/>
      <c r="G689" s="264"/>
      <c r="H689" s="264"/>
      <c r="I689" s="264"/>
      <c r="J689" s="264"/>
      <c r="K689" s="264"/>
      <c r="L689" s="264"/>
      <c r="M689" s="264" t="s">
        <v>22</v>
      </c>
      <c r="N689" s="264"/>
      <c r="O689" s="264" t="s">
        <v>22</v>
      </c>
      <c r="P689" s="264"/>
      <c r="Q689" s="264"/>
      <c r="R689" s="264"/>
      <c r="S689" s="264"/>
      <c r="T689" s="264"/>
      <c r="U689" s="360"/>
      <c r="V689" s="360"/>
      <c r="W689" s="360"/>
      <c r="X689" s="360"/>
      <c r="Y689" s="360"/>
      <c r="Z689" s="360"/>
      <c r="AA689" s="360"/>
      <c r="AB689" s="360"/>
      <c r="AC689" s="360"/>
      <c r="AD689" s="360"/>
      <c r="AE689" s="360"/>
      <c r="AF689" s="360"/>
      <c r="AG689" s="360" t="s">
        <v>1582</v>
      </c>
      <c r="AH689" s="360"/>
      <c r="AI689" s="360"/>
      <c r="AJ689" s="360" t="s">
        <v>1589</v>
      </c>
      <c r="AK689" s="360"/>
      <c r="AL689" s="360" t="s">
        <v>5878</v>
      </c>
      <c r="AM689" s="360"/>
      <c r="AN689" s="360"/>
      <c r="AO689" s="360"/>
      <c r="AP689" s="360"/>
      <c r="AQ689" s="360"/>
      <c r="AR689" s="360"/>
      <c r="AS689" s="360"/>
      <c r="AT689" s="360"/>
      <c r="AU689" s="360" t="s">
        <v>22</v>
      </c>
      <c r="AV689" s="360"/>
      <c r="AW689" s="264"/>
      <c r="AX689" s="264"/>
      <c r="AY689" s="264"/>
      <c r="AZ689" s="264"/>
      <c r="BA689" s="264"/>
      <c r="BB689" s="264"/>
      <c r="BC689" s="264"/>
      <c r="BD689" s="264"/>
      <c r="BE689" s="264"/>
    </row>
    <row r="690">
      <c r="A690" s="264"/>
      <c r="B690" s="264"/>
      <c r="C690" s="264"/>
      <c r="D690" s="264"/>
      <c r="E690" s="264"/>
      <c r="F690" s="264"/>
      <c r="G690" s="264"/>
      <c r="H690" s="264"/>
      <c r="I690" s="264"/>
      <c r="J690" s="264"/>
      <c r="K690" s="264"/>
      <c r="L690" s="264"/>
      <c r="M690" s="264" t="s">
        <v>22</v>
      </c>
      <c r="N690" s="264"/>
      <c r="O690" s="264" t="s">
        <v>22</v>
      </c>
      <c r="P690" s="264"/>
      <c r="Q690" s="264"/>
      <c r="R690" s="264"/>
      <c r="S690" s="264"/>
      <c r="T690" s="264"/>
      <c r="U690" s="360"/>
      <c r="V690" s="360"/>
      <c r="W690" s="360"/>
      <c r="X690" s="360"/>
      <c r="Y690" s="360"/>
      <c r="Z690" s="360"/>
      <c r="AA690" s="360"/>
      <c r="AB690" s="360"/>
      <c r="AC690" s="360"/>
      <c r="AD690" s="360"/>
      <c r="AE690" s="360"/>
      <c r="AF690" s="360"/>
      <c r="AG690" s="360" t="s">
        <v>1582</v>
      </c>
      <c r="AH690" s="360"/>
      <c r="AI690" s="360"/>
      <c r="AJ690" s="360" t="s">
        <v>1589</v>
      </c>
      <c r="AK690" s="360"/>
      <c r="AL690" s="360" t="s">
        <v>5878</v>
      </c>
      <c r="AM690" s="360"/>
      <c r="AN690" s="360"/>
      <c r="AO690" s="360"/>
      <c r="AP690" s="360"/>
      <c r="AQ690" s="360"/>
      <c r="AR690" s="360"/>
      <c r="AS690" s="360"/>
      <c r="AT690" s="360"/>
      <c r="AU690" s="360" t="s">
        <v>22</v>
      </c>
      <c r="AV690" s="360"/>
      <c r="AW690" s="264"/>
      <c r="AX690" s="264"/>
      <c r="AY690" s="264"/>
      <c r="AZ690" s="264"/>
      <c r="BA690" s="264"/>
      <c r="BB690" s="264"/>
      <c r="BC690" s="264"/>
      <c r="BD690" s="264"/>
      <c r="BE690" s="264"/>
    </row>
    <row r="691">
      <c r="A691" s="264"/>
      <c r="B691" s="264"/>
      <c r="C691" s="264"/>
      <c r="D691" s="264"/>
      <c r="E691" s="264"/>
      <c r="F691" s="264"/>
      <c r="G691" s="264"/>
      <c r="H691" s="264"/>
      <c r="I691" s="264"/>
      <c r="J691" s="264"/>
      <c r="K691" s="264"/>
      <c r="L691" s="264"/>
      <c r="M691" s="264" t="s">
        <v>22</v>
      </c>
      <c r="N691" s="264"/>
      <c r="O691" s="264" t="s">
        <v>22</v>
      </c>
      <c r="P691" s="264"/>
      <c r="Q691" s="264"/>
      <c r="R691" s="264"/>
      <c r="S691" s="264"/>
      <c r="T691" s="264"/>
      <c r="U691" s="360"/>
      <c r="V691" s="360"/>
      <c r="W691" s="360"/>
      <c r="X691" s="360"/>
      <c r="Y691" s="360"/>
      <c r="Z691" s="360"/>
      <c r="AA691" s="360"/>
      <c r="AB691" s="360"/>
      <c r="AC691" s="360"/>
      <c r="AD691" s="360"/>
      <c r="AE691" s="360"/>
      <c r="AF691" s="360"/>
      <c r="AG691" s="360" t="s">
        <v>1582</v>
      </c>
      <c r="AH691" s="360"/>
      <c r="AI691" s="360"/>
      <c r="AJ691" s="360" t="s">
        <v>1589</v>
      </c>
      <c r="AK691" s="360"/>
      <c r="AL691" s="360" t="s">
        <v>5878</v>
      </c>
      <c r="AM691" s="360"/>
      <c r="AN691" s="360"/>
      <c r="AO691" s="360"/>
      <c r="AP691" s="360"/>
      <c r="AQ691" s="360"/>
      <c r="AR691" s="360"/>
      <c r="AS691" s="360"/>
      <c r="AT691" s="360"/>
      <c r="AU691" s="360" t="s">
        <v>22</v>
      </c>
      <c r="AV691" s="360"/>
      <c r="AW691" s="264"/>
      <c r="AX691" s="264"/>
      <c r="AY691" s="264"/>
      <c r="AZ691" s="264"/>
      <c r="BA691" s="264"/>
      <c r="BB691" s="264"/>
      <c r="BC691" s="264"/>
      <c r="BD691" s="264"/>
      <c r="BE691" s="264"/>
    </row>
    <row r="692">
      <c r="A692" s="264"/>
      <c r="B692" s="264"/>
      <c r="C692" s="264"/>
      <c r="D692" s="264"/>
      <c r="E692" s="264"/>
      <c r="F692" s="264"/>
      <c r="G692" s="264"/>
      <c r="H692" s="264"/>
      <c r="I692" s="264"/>
      <c r="J692" s="264"/>
      <c r="K692" s="264"/>
      <c r="L692" s="264"/>
      <c r="M692" s="264" t="s">
        <v>22</v>
      </c>
      <c r="N692" s="264"/>
      <c r="O692" s="264" t="s">
        <v>22</v>
      </c>
      <c r="P692" s="264"/>
      <c r="Q692" s="264"/>
      <c r="R692" s="264"/>
      <c r="S692" s="264"/>
      <c r="T692" s="264"/>
      <c r="U692" s="360"/>
      <c r="V692" s="360"/>
      <c r="W692" s="360"/>
      <c r="X692" s="360"/>
      <c r="Y692" s="360"/>
      <c r="Z692" s="360"/>
      <c r="AA692" s="360"/>
      <c r="AB692" s="360"/>
      <c r="AC692" s="360"/>
      <c r="AD692" s="360"/>
      <c r="AE692" s="360"/>
      <c r="AF692" s="360"/>
      <c r="AG692" s="360" t="s">
        <v>1582</v>
      </c>
      <c r="AH692" s="360"/>
      <c r="AI692" s="360"/>
      <c r="AJ692" s="360" t="s">
        <v>1589</v>
      </c>
      <c r="AK692" s="360"/>
      <c r="AL692" s="360" t="s">
        <v>5878</v>
      </c>
      <c r="AM692" s="360"/>
      <c r="AN692" s="360"/>
      <c r="AO692" s="360"/>
      <c r="AP692" s="360"/>
      <c r="AQ692" s="360"/>
      <c r="AR692" s="360"/>
      <c r="AS692" s="360"/>
      <c r="AT692" s="360"/>
      <c r="AU692" s="360" t="s">
        <v>22</v>
      </c>
      <c r="AV692" s="360"/>
      <c r="AW692" s="264"/>
      <c r="AX692" s="264"/>
      <c r="AY692" s="264"/>
      <c r="AZ692" s="264"/>
      <c r="BA692" s="264"/>
      <c r="BB692" s="264"/>
      <c r="BC692" s="264"/>
      <c r="BD692" s="264"/>
      <c r="BE692" s="264"/>
    </row>
    <row r="693">
      <c r="A693" s="264"/>
      <c r="B693" s="264"/>
      <c r="C693" s="264"/>
      <c r="D693" s="264"/>
      <c r="E693" s="264"/>
      <c r="F693" s="264"/>
      <c r="G693" s="264"/>
      <c r="H693" s="264"/>
      <c r="I693" s="264"/>
      <c r="J693" s="264"/>
      <c r="K693" s="264"/>
      <c r="L693" s="264"/>
      <c r="M693" s="264" t="s">
        <v>22</v>
      </c>
      <c r="N693" s="264"/>
      <c r="O693" s="264" t="s">
        <v>22</v>
      </c>
      <c r="P693" s="264"/>
      <c r="Q693" s="264"/>
      <c r="R693" s="264"/>
      <c r="S693" s="264"/>
      <c r="T693" s="264"/>
      <c r="U693" s="360"/>
      <c r="V693" s="360"/>
      <c r="W693" s="360"/>
      <c r="X693" s="360"/>
      <c r="Y693" s="360"/>
      <c r="Z693" s="360"/>
      <c r="AA693" s="360"/>
      <c r="AB693" s="360"/>
      <c r="AC693" s="360"/>
      <c r="AD693" s="360"/>
      <c r="AE693" s="360"/>
      <c r="AF693" s="360"/>
      <c r="AG693" s="360" t="s">
        <v>1582</v>
      </c>
      <c r="AH693" s="360"/>
      <c r="AI693" s="360"/>
      <c r="AJ693" s="360" t="s">
        <v>1589</v>
      </c>
      <c r="AK693" s="360"/>
      <c r="AL693" s="360" t="s">
        <v>5878</v>
      </c>
      <c r="AM693" s="360"/>
      <c r="AN693" s="360"/>
      <c r="AO693" s="360"/>
      <c r="AP693" s="360"/>
      <c r="AQ693" s="360"/>
      <c r="AR693" s="360"/>
      <c r="AS693" s="360"/>
      <c r="AT693" s="360"/>
      <c r="AU693" s="360" t="s">
        <v>22</v>
      </c>
      <c r="AV693" s="360"/>
      <c r="AW693" s="264"/>
      <c r="AX693" s="264"/>
      <c r="AY693" s="264"/>
      <c r="AZ693" s="264"/>
      <c r="BA693" s="264"/>
      <c r="BB693" s="264"/>
      <c r="BC693" s="264"/>
      <c r="BD693" s="264"/>
      <c r="BE693" s="264"/>
    </row>
    <row r="694">
      <c r="A694" s="264"/>
      <c r="B694" s="264"/>
      <c r="C694" s="264"/>
      <c r="D694" s="264"/>
      <c r="E694" s="264"/>
      <c r="F694" s="264"/>
      <c r="G694" s="264"/>
      <c r="H694" s="264"/>
      <c r="I694" s="264"/>
      <c r="J694" s="264"/>
      <c r="K694" s="264"/>
      <c r="L694" s="264"/>
      <c r="M694" s="264" t="s">
        <v>22</v>
      </c>
      <c r="N694" s="264"/>
      <c r="O694" s="264" t="s">
        <v>22</v>
      </c>
      <c r="P694" s="264"/>
      <c r="Q694" s="264"/>
      <c r="R694" s="264"/>
      <c r="S694" s="264"/>
      <c r="T694" s="264"/>
      <c r="U694" s="360"/>
      <c r="V694" s="360"/>
      <c r="W694" s="360"/>
      <c r="X694" s="360"/>
      <c r="Y694" s="360"/>
      <c r="Z694" s="360"/>
      <c r="AA694" s="360"/>
      <c r="AB694" s="360"/>
      <c r="AC694" s="360"/>
      <c r="AD694" s="360"/>
      <c r="AE694" s="360"/>
      <c r="AF694" s="360"/>
      <c r="AG694" s="360" t="s">
        <v>1582</v>
      </c>
      <c r="AH694" s="360"/>
      <c r="AI694" s="360"/>
      <c r="AJ694" s="360" t="s">
        <v>1589</v>
      </c>
      <c r="AK694" s="360"/>
      <c r="AL694" s="360" t="s">
        <v>5878</v>
      </c>
      <c r="AM694" s="360"/>
      <c r="AN694" s="360"/>
      <c r="AO694" s="360"/>
      <c r="AP694" s="360"/>
      <c r="AQ694" s="360"/>
      <c r="AR694" s="360"/>
      <c r="AS694" s="360"/>
      <c r="AT694" s="360"/>
      <c r="AU694" s="360" t="s">
        <v>22</v>
      </c>
      <c r="AV694" s="360"/>
      <c r="AW694" s="264"/>
      <c r="AX694" s="264"/>
      <c r="AY694" s="264"/>
      <c r="AZ694" s="264"/>
      <c r="BA694" s="264"/>
      <c r="BB694" s="264"/>
      <c r="BC694" s="264"/>
      <c r="BD694" s="264"/>
      <c r="BE694" s="264"/>
    </row>
    <row r="695">
      <c r="A695" s="264"/>
      <c r="B695" s="264"/>
      <c r="C695" s="264"/>
      <c r="D695" s="264"/>
      <c r="E695" s="264"/>
      <c r="F695" s="264"/>
      <c r="G695" s="264"/>
      <c r="H695" s="264"/>
      <c r="I695" s="264"/>
      <c r="J695" s="264"/>
      <c r="K695" s="264"/>
      <c r="L695" s="264"/>
      <c r="M695" s="264" t="s">
        <v>22</v>
      </c>
      <c r="N695" s="264"/>
      <c r="O695" s="264" t="s">
        <v>22</v>
      </c>
      <c r="P695" s="264"/>
      <c r="Q695" s="264"/>
      <c r="R695" s="264"/>
      <c r="S695" s="264"/>
      <c r="T695" s="264"/>
      <c r="U695" s="360"/>
      <c r="V695" s="360"/>
      <c r="W695" s="360"/>
      <c r="X695" s="360"/>
      <c r="Y695" s="360"/>
      <c r="Z695" s="360"/>
      <c r="AA695" s="360"/>
      <c r="AB695" s="360"/>
      <c r="AC695" s="360"/>
      <c r="AD695" s="360"/>
      <c r="AE695" s="360"/>
      <c r="AF695" s="360"/>
      <c r="AG695" s="360" t="s">
        <v>1582</v>
      </c>
      <c r="AH695" s="360"/>
      <c r="AI695" s="360"/>
      <c r="AJ695" s="360" t="s">
        <v>1589</v>
      </c>
      <c r="AK695" s="360"/>
      <c r="AL695" s="360" t="s">
        <v>5878</v>
      </c>
      <c r="AM695" s="360"/>
      <c r="AN695" s="360"/>
      <c r="AO695" s="360"/>
      <c r="AP695" s="360"/>
      <c r="AQ695" s="360"/>
      <c r="AR695" s="360"/>
      <c r="AS695" s="360"/>
      <c r="AT695" s="360"/>
      <c r="AU695" s="360" t="s">
        <v>22</v>
      </c>
      <c r="AV695" s="360"/>
      <c r="AW695" s="264"/>
      <c r="AX695" s="264"/>
      <c r="AY695" s="264"/>
      <c r="AZ695" s="264"/>
      <c r="BA695" s="264"/>
      <c r="BB695" s="264"/>
      <c r="BC695" s="264"/>
      <c r="BD695" s="264"/>
      <c r="BE695" s="264"/>
    </row>
    <row r="696">
      <c r="A696" s="264"/>
      <c r="B696" s="264"/>
      <c r="C696" s="264"/>
      <c r="D696" s="264"/>
      <c r="E696" s="264"/>
      <c r="F696" s="264"/>
      <c r="G696" s="264"/>
      <c r="H696" s="264"/>
      <c r="I696" s="264"/>
      <c r="J696" s="264"/>
      <c r="K696" s="264"/>
      <c r="L696" s="264"/>
      <c r="M696" s="264" t="s">
        <v>22</v>
      </c>
      <c r="N696" s="264"/>
      <c r="O696" s="264" t="s">
        <v>22</v>
      </c>
      <c r="P696" s="264"/>
      <c r="Q696" s="264"/>
      <c r="R696" s="264"/>
      <c r="S696" s="264"/>
      <c r="T696" s="264"/>
      <c r="U696" s="360"/>
      <c r="V696" s="360"/>
      <c r="W696" s="360"/>
      <c r="X696" s="360"/>
      <c r="Y696" s="360"/>
      <c r="Z696" s="360"/>
      <c r="AA696" s="360"/>
      <c r="AB696" s="360"/>
      <c r="AC696" s="360"/>
      <c r="AD696" s="360"/>
      <c r="AE696" s="360"/>
      <c r="AF696" s="360"/>
      <c r="AG696" s="360" t="s">
        <v>1582</v>
      </c>
      <c r="AH696" s="360"/>
      <c r="AI696" s="360"/>
      <c r="AJ696" s="360" t="s">
        <v>1589</v>
      </c>
      <c r="AK696" s="360"/>
      <c r="AL696" s="360" t="s">
        <v>5878</v>
      </c>
      <c r="AM696" s="360"/>
      <c r="AN696" s="360"/>
      <c r="AO696" s="360"/>
      <c r="AP696" s="360"/>
      <c r="AQ696" s="360"/>
      <c r="AR696" s="360"/>
      <c r="AS696" s="360"/>
      <c r="AT696" s="360"/>
      <c r="AU696" s="360" t="s">
        <v>22</v>
      </c>
      <c r="AV696" s="360"/>
      <c r="AW696" s="264"/>
      <c r="AX696" s="264"/>
      <c r="AY696" s="264"/>
      <c r="AZ696" s="264"/>
      <c r="BA696" s="264"/>
      <c r="BB696" s="264"/>
      <c r="BC696" s="264"/>
      <c r="BD696" s="264"/>
      <c r="BE696" s="264"/>
    </row>
    <row r="697">
      <c r="A697" s="264"/>
      <c r="B697" s="264"/>
      <c r="C697" s="264"/>
      <c r="D697" s="264"/>
      <c r="E697" s="264"/>
      <c r="F697" s="264"/>
      <c r="G697" s="264"/>
      <c r="H697" s="264"/>
      <c r="I697" s="264"/>
      <c r="J697" s="264"/>
      <c r="K697" s="264"/>
      <c r="L697" s="264"/>
      <c r="M697" s="264" t="s">
        <v>22</v>
      </c>
      <c r="N697" s="264"/>
      <c r="O697" s="264" t="s">
        <v>22</v>
      </c>
      <c r="P697" s="264"/>
      <c r="Q697" s="264"/>
      <c r="R697" s="264"/>
      <c r="S697" s="264"/>
      <c r="T697" s="264"/>
      <c r="U697" s="360"/>
      <c r="V697" s="360"/>
      <c r="W697" s="360"/>
      <c r="X697" s="360"/>
      <c r="Y697" s="360"/>
      <c r="Z697" s="360"/>
      <c r="AA697" s="360"/>
      <c r="AB697" s="360"/>
      <c r="AC697" s="360"/>
      <c r="AD697" s="360"/>
      <c r="AE697" s="360"/>
      <c r="AF697" s="360"/>
      <c r="AG697" s="360" t="s">
        <v>1582</v>
      </c>
      <c r="AH697" s="360"/>
      <c r="AI697" s="360"/>
      <c r="AJ697" s="360" t="s">
        <v>1589</v>
      </c>
      <c r="AK697" s="360"/>
      <c r="AL697" s="360" t="s">
        <v>5878</v>
      </c>
      <c r="AM697" s="360"/>
      <c r="AN697" s="360"/>
      <c r="AO697" s="360"/>
      <c r="AP697" s="360"/>
      <c r="AQ697" s="360"/>
      <c r="AR697" s="360"/>
      <c r="AS697" s="360"/>
      <c r="AT697" s="360"/>
      <c r="AU697" s="360" t="s">
        <v>22</v>
      </c>
      <c r="AV697" s="360"/>
      <c r="AW697" s="264"/>
      <c r="AX697" s="264"/>
      <c r="AY697" s="264"/>
      <c r="AZ697" s="264"/>
      <c r="BA697" s="264"/>
      <c r="BB697" s="264"/>
      <c r="BC697" s="264"/>
      <c r="BD697" s="264"/>
      <c r="BE697" s="264"/>
    </row>
    <row r="698">
      <c r="A698" s="264"/>
      <c r="B698" s="264"/>
      <c r="C698" s="264"/>
      <c r="D698" s="264"/>
      <c r="E698" s="264"/>
      <c r="F698" s="264"/>
      <c r="G698" s="264"/>
      <c r="H698" s="264"/>
      <c r="I698" s="264"/>
      <c r="J698" s="264"/>
      <c r="K698" s="264"/>
      <c r="L698" s="264"/>
      <c r="M698" s="264" t="s">
        <v>22</v>
      </c>
      <c r="N698" s="264"/>
      <c r="O698" s="264" t="s">
        <v>22</v>
      </c>
      <c r="P698" s="264"/>
      <c r="Q698" s="264"/>
      <c r="R698" s="264"/>
      <c r="S698" s="264"/>
      <c r="T698" s="264"/>
      <c r="U698" s="360"/>
      <c r="V698" s="360"/>
      <c r="W698" s="360"/>
      <c r="X698" s="360"/>
      <c r="Y698" s="360"/>
      <c r="Z698" s="360"/>
      <c r="AA698" s="360"/>
      <c r="AB698" s="360"/>
      <c r="AC698" s="360"/>
      <c r="AD698" s="360"/>
      <c r="AE698" s="360"/>
      <c r="AF698" s="360"/>
      <c r="AG698" s="360" t="s">
        <v>1582</v>
      </c>
      <c r="AH698" s="360"/>
      <c r="AI698" s="360"/>
      <c r="AJ698" s="360" t="s">
        <v>1589</v>
      </c>
      <c r="AK698" s="360"/>
      <c r="AL698" s="360" t="s">
        <v>5878</v>
      </c>
      <c r="AM698" s="360"/>
      <c r="AN698" s="360"/>
      <c r="AO698" s="360"/>
      <c r="AP698" s="360"/>
      <c r="AQ698" s="360"/>
      <c r="AR698" s="360"/>
      <c r="AS698" s="360"/>
      <c r="AT698" s="360"/>
      <c r="AU698" s="360" t="s">
        <v>22</v>
      </c>
      <c r="AV698" s="360"/>
      <c r="AW698" s="264"/>
      <c r="AX698" s="264"/>
      <c r="AY698" s="264"/>
      <c r="AZ698" s="264"/>
      <c r="BA698" s="264"/>
      <c r="BB698" s="264"/>
      <c r="BC698" s="264"/>
      <c r="BD698" s="264"/>
      <c r="BE698" s="264"/>
    </row>
    <row r="699">
      <c r="A699" s="264"/>
      <c r="B699" s="264"/>
      <c r="C699" s="264"/>
      <c r="D699" s="264"/>
      <c r="E699" s="264"/>
      <c r="F699" s="264"/>
      <c r="G699" s="264"/>
      <c r="H699" s="264"/>
      <c r="I699" s="264"/>
      <c r="J699" s="264"/>
      <c r="K699" s="264"/>
      <c r="L699" s="264"/>
      <c r="M699" s="264" t="s">
        <v>22</v>
      </c>
      <c r="N699" s="264"/>
      <c r="O699" s="264" t="s">
        <v>22</v>
      </c>
      <c r="P699" s="264"/>
      <c r="Q699" s="264"/>
      <c r="R699" s="264"/>
      <c r="S699" s="264"/>
      <c r="T699" s="264"/>
      <c r="U699" s="360"/>
      <c r="V699" s="360"/>
      <c r="W699" s="360"/>
      <c r="X699" s="360"/>
      <c r="Y699" s="360"/>
      <c r="Z699" s="360"/>
      <c r="AA699" s="360"/>
      <c r="AB699" s="360"/>
      <c r="AC699" s="360"/>
      <c r="AD699" s="360"/>
      <c r="AE699" s="360"/>
      <c r="AF699" s="360"/>
      <c r="AG699" s="360" t="s">
        <v>1582</v>
      </c>
      <c r="AH699" s="360"/>
      <c r="AI699" s="360"/>
      <c r="AJ699" s="360" t="s">
        <v>1589</v>
      </c>
      <c r="AK699" s="360"/>
      <c r="AL699" s="360" t="s">
        <v>5878</v>
      </c>
      <c r="AM699" s="360"/>
      <c r="AN699" s="360"/>
      <c r="AO699" s="360"/>
      <c r="AP699" s="360"/>
      <c r="AQ699" s="360"/>
      <c r="AR699" s="360"/>
      <c r="AS699" s="360"/>
      <c r="AT699" s="360"/>
      <c r="AU699" s="360" t="s">
        <v>22</v>
      </c>
      <c r="AV699" s="360"/>
      <c r="AW699" s="264"/>
      <c r="AX699" s="264"/>
      <c r="AY699" s="264"/>
      <c r="AZ699" s="264"/>
      <c r="BA699" s="264"/>
      <c r="BB699" s="264"/>
      <c r="BC699" s="264"/>
      <c r="BD699" s="264"/>
      <c r="BE699" s="264"/>
    </row>
    <row r="700">
      <c r="A700" s="264"/>
      <c r="B700" s="264"/>
      <c r="C700" s="264"/>
      <c r="D700" s="264"/>
      <c r="E700" s="264"/>
      <c r="F700" s="264"/>
      <c r="G700" s="264"/>
      <c r="H700" s="264"/>
      <c r="I700" s="264"/>
      <c r="J700" s="264"/>
      <c r="K700" s="264"/>
      <c r="L700" s="264"/>
      <c r="M700" s="264" t="s">
        <v>22</v>
      </c>
      <c r="N700" s="264"/>
      <c r="O700" s="264" t="s">
        <v>22</v>
      </c>
      <c r="P700" s="264"/>
      <c r="Q700" s="264"/>
      <c r="R700" s="264"/>
      <c r="S700" s="264"/>
      <c r="T700" s="264"/>
      <c r="U700" s="360"/>
      <c r="V700" s="360"/>
      <c r="W700" s="360"/>
      <c r="X700" s="360"/>
      <c r="Y700" s="360"/>
      <c r="Z700" s="360"/>
      <c r="AA700" s="360"/>
      <c r="AB700" s="360"/>
      <c r="AC700" s="360"/>
      <c r="AD700" s="360"/>
      <c r="AE700" s="360"/>
      <c r="AF700" s="360"/>
      <c r="AG700" s="360" t="s">
        <v>1582</v>
      </c>
      <c r="AH700" s="360"/>
      <c r="AI700" s="360"/>
      <c r="AJ700" s="360" t="s">
        <v>1589</v>
      </c>
      <c r="AK700" s="360"/>
      <c r="AL700" s="360" t="s">
        <v>5878</v>
      </c>
      <c r="AM700" s="360"/>
      <c r="AN700" s="360"/>
      <c r="AO700" s="360"/>
      <c r="AP700" s="360"/>
      <c r="AQ700" s="360"/>
      <c r="AR700" s="360"/>
      <c r="AS700" s="360"/>
      <c r="AT700" s="360"/>
      <c r="AU700" s="360" t="s">
        <v>22</v>
      </c>
      <c r="AV700" s="360"/>
      <c r="AW700" s="264"/>
      <c r="AX700" s="264"/>
      <c r="AY700" s="264"/>
      <c r="AZ700" s="264"/>
      <c r="BA700" s="264"/>
      <c r="BB700" s="264"/>
      <c r="BC700" s="264"/>
      <c r="BD700" s="264"/>
      <c r="BE700" s="264"/>
    </row>
    <row r="701">
      <c r="A701" s="264"/>
      <c r="B701" s="264"/>
      <c r="C701" s="264"/>
      <c r="D701" s="264"/>
      <c r="E701" s="264"/>
      <c r="F701" s="264"/>
      <c r="G701" s="264"/>
      <c r="H701" s="264"/>
      <c r="I701" s="264"/>
      <c r="J701" s="264"/>
      <c r="K701" s="264"/>
      <c r="L701" s="264"/>
      <c r="M701" s="264" t="s">
        <v>22</v>
      </c>
      <c r="N701" s="264"/>
      <c r="O701" s="264" t="s">
        <v>22</v>
      </c>
      <c r="P701" s="264"/>
      <c r="Q701" s="264"/>
      <c r="R701" s="264"/>
      <c r="S701" s="264"/>
      <c r="T701" s="264"/>
      <c r="U701" s="360"/>
      <c r="V701" s="360"/>
      <c r="W701" s="360"/>
      <c r="X701" s="360"/>
      <c r="Y701" s="360"/>
      <c r="Z701" s="360"/>
      <c r="AA701" s="360"/>
      <c r="AB701" s="360"/>
      <c r="AC701" s="360"/>
      <c r="AD701" s="360"/>
      <c r="AE701" s="360"/>
      <c r="AF701" s="360"/>
      <c r="AG701" s="360" t="s">
        <v>1582</v>
      </c>
      <c r="AH701" s="360"/>
      <c r="AI701" s="360"/>
      <c r="AJ701" s="360" t="s">
        <v>1589</v>
      </c>
      <c r="AK701" s="360"/>
      <c r="AL701" s="360" t="s">
        <v>5878</v>
      </c>
      <c r="AM701" s="360"/>
      <c r="AN701" s="360"/>
      <c r="AO701" s="360"/>
      <c r="AP701" s="360"/>
      <c r="AQ701" s="360"/>
      <c r="AR701" s="360"/>
      <c r="AS701" s="360"/>
      <c r="AT701" s="360"/>
      <c r="AU701" s="360" t="s">
        <v>22</v>
      </c>
      <c r="AV701" s="360"/>
      <c r="AW701" s="264"/>
      <c r="AX701" s="264"/>
      <c r="AY701" s="264"/>
      <c r="AZ701" s="264"/>
      <c r="BA701" s="264"/>
      <c r="BB701" s="264"/>
      <c r="BC701" s="264"/>
      <c r="BD701" s="264"/>
      <c r="BE701" s="264"/>
    </row>
    <row r="702">
      <c r="A702" s="264"/>
      <c r="B702" s="264"/>
      <c r="C702" s="264"/>
      <c r="D702" s="264"/>
      <c r="E702" s="264"/>
      <c r="F702" s="264"/>
      <c r="G702" s="264"/>
      <c r="H702" s="264"/>
      <c r="I702" s="264"/>
      <c r="J702" s="264"/>
      <c r="K702" s="264"/>
      <c r="L702" s="264"/>
      <c r="M702" s="264" t="s">
        <v>22</v>
      </c>
      <c r="N702" s="264"/>
      <c r="O702" s="264" t="s">
        <v>22</v>
      </c>
      <c r="P702" s="264"/>
      <c r="Q702" s="264"/>
      <c r="R702" s="264"/>
      <c r="S702" s="264"/>
      <c r="T702" s="264"/>
      <c r="U702" s="360"/>
      <c r="V702" s="360"/>
      <c r="W702" s="360"/>
      <c r="X702" s="360"/>
      <c r="Y702" s="360"/>
      <c r="Z702" s="360"/>
      <c r="AA702" s="360"/>
      <c r="AB702" s="360"/>
      <c r="AC702" s="360"/>
      <c r="AD702" s="360"/>
      <c r="AE702" s="360"/>
      <c r="AF702" s="360"/>
      <c r="AG702" s="360" t="s">
        <v>1582</v>
      </c>
      <c r="AH702" s="360"/>
      <c r="AI702" s="360"/>
      <c r="AJ702" s="360" t="s">
        <v>1589</v>
      </c>
      <c r="AK702" s="360"/>
      <c r="AL702" s="360" t="s">
        <v>5878</v>
      </c>
      <c r="AM702" s="360"/>
      <c r="AN702" s="360"/>
      <c r="AO702" s="360"/>
      <c r="AP702" s="360"/>
      <c r="AQ702" s="360"/>
      <c r="AR702" s="360"/>
      <c r="AS702" s="360"/>
      <c r="AT702" s="360"/>
      <c r="AU702" s="360" t="s">
        <v>22</v>
      </c>
      <c r="AV702" s="360"/>
      <c r="AW702" s="264"/>
      <c r="AX702" s="264"/>
      <c r="AY702" s="264"/>
      <c r="AZ702" s="264"/>
      <c r="BA702" s="264"/>
      <c r="BB702" s="264"/>
      <c r="BC702" s="264"/>
      <c r="BD702" s="264"/>
      <c r="BE702" s="264"/>
    </row>
    <row r="703">
      <c r="A703" s="264"/>
      <c r="B703" s="264"/>
      <c r="C703" s="264"/>
      <c r="D703" s="264"/>
      <c r="E703" s="264"/>
      <c r="F703" s="264"/>
      <c r="G703" s="264"/>
      <c r="H703" s="264"/>
      <c r="I703" s="264"/>
      <c r="J703" s="264"/>
      <c r="K703" s="264"/>
      <c r="L703" s="264"/>
      <c r="M703" s="264" t="s">
        <v>22</v>
      </c>
      <c r="N703" s="264"/>
      <c r="O703" s="264" t="s">
        <v>22</v>
      </c>
      <c r="P703" s="264"/>
      <c r="Q703" s="264"/>
      <c r="R703" s="264"/>
      <c r="S703" s="264"/>
      <c r="T703" s="264"/>
      <c r="U703" s="360"/>
      <c r="V703" s="360"/>
      <c r="W703" s="360"/>
      <c r="X703" s="360"/>
      <c r="Y703" s="360"/>
      <c r="Z703" s="360"/>
      <c r="AA703" s="360"/>
      <c r="AB703" s="360"/>
      <c r="AC703" s="360"/>
      <c r="AD703" s="360"/>
      <c r="AE703" s="360"/>
      <c r="AF703" s="360"/>
      <c r="AG703" s="360" t="s">
        <v>1582</v>
      </c>
      <c r="AH703" s="360"/>
      <c r="AI703" s="360"/>
      <c r="AJ703" s="360" t="s">
        <v>1589</v>
      </c>
      <c r="AK703" s="360"/>
      <c r="AL703" s="360" t="s">
        <v>5878</v>
      </c>
      <c r="AM703" s="360"/>
      <c r="AN703" s="360"/>
      <c r="AO703" s="360"/>
      <c r="AP703" s="360"/>
      <c r="AQ703" s="360"/>
      <c r="AR703" s="360"/>
      <c r="AS703" s="360"/>
      <c r="AT703" s="360"/>
      <c r="AU703" s="360" t="s">
        <v>22</v>
      </c>
      <c r="AV703" s="360"/>
      <c r="AW703" s="264"/>
      <c r="AX703" s="264"/>
      <c r="AY703" s="264"/>
      <c r="AZ703" s="264"/>
      <c r="BA703" s="264"/>
      <c r="BB703" s="264"/>
      <c r="BC703" s="264"/>
      <c r="BD703" s="264"/>
      <c r="BE703" s="264"/>
    </row>
    <row r="704">
      <c r="A704" s="264"/>
      <c r="B704" s="264"/>
      <c r="C704" s="264"/>
      <c r="D704" s="264"/>
      <c r="E704" s="264"/>
      <c r="F704" s="264"/>
      <c r="G704" s="264"/>
      <c r="H704" s="264"/>
      <c r="I704" s="264"/>
      <c r="J704" s="264"/>
      <c r="K704" s="264"/>
      <c r="L704" s="264"/>
      <c r="M704" s="264" t="s">
        <v>22</v>
      </c>
      <c r="N704" s="264"/>
      <c r="O704" s="264" t="s">
        <v>22</v>
      </c>
      <c r="P704" s="264"/>
      <c r="Q704" s="264"/>
      <c r="R704" s="264"/>
      <c r="S704" s="264"/>
      <c r="T704" s="264"/>
      <c r="U704" s="360"/>
      <c r="V704" s="360"/>
      <c r="W704" s="360"/>
      <c r="X704" s="360"/>
      <c r="Y704" s="360"/>
      <c r="Z704" s="360"/>
      <c r="AA704" s="360"/>
      <c r="AB704" s="360"/>
      <c r="AC704" s="360"/>
      <c r="AD704" s="360"/>
      <c r="AE704" s="360"/>
      <c r="AF704" s="360"/>
      <c r="AG704" s="360" t="s">
        <v>1582</v>
      </c>
      <c r="AH704" s="360"/>
      <c r="AI704" s="360"/>
      <c r="AJ704" s="360" t="s">
        <v>1589</v>
      </c>
      <c r="AK704" s="360"/>
      <c r="AL704" s="360" t="s">
        <v>5878</v>
      </c>
      <c r="AM704" s="360"/>
      <c r="AN704" s="360"/>
      <c r="AO704" s="360"/>
      <c r="AP704" s="360"/>
      <c r="AQ704" s="360"/>
      <c r="AR704" s="360"/>
      <c r="AS704" s="360"/>
      <c r="AT704" s="360"/>
      <c r="AU704" s="360" t="s">
        <v>22</v>
      </c>
      <c r="AV704" s="360"/>
      <c r="AW704" s="264"/>
      <c r="AX704" s="264"/>
      <c r="AY704" s="264"/>
      <c r="AZ704" s="264"/>
      <c r="BA704" s="264"/>
      <c r="BB704" s="264"/>
      <c r="BC704" s="264"/>
      <c r="BD704" s="264"/>
      <c r="BE704" s="264"/>
    </row>
    <row r="705">
      <c r="A705" s="264"/>
      <c r="B705" s="264"/>
      <c r="C705" s="264"/>
      <c r="D705" s="264"/>
      <c r="E705" s="264"/>
      <c r="F705" s="264"/>
      <c r="G705" s="264"/>
      <c r="H705" s="264"/>
      <c r="I705" s="264"/>
      <c r="J705" s="264"/>
      <c r="K705" s="264"/>
      <c r="L705" s="264"/>
      <c r="M705" s="264" t="s">
        <v>22</v>
      </c>
      <c r="N705" s="264"/>
      <c r="O705" s="264" t="s">
        <v>22</v>
      </c>
      <c r="P705" s="264"/>
      <c r="Q705" s="264"/>
      <c r="R705" s="264"/>
      <c r="S705" s="264"/>
      <c r="T705" s="264"/>
      <c r="U705" s="360"/>
      <c r="V705" s="360"/>
      <c r="W705" s="360"/>
      <c r="X705" s="360"/>
      <c r="Y705" s="360"/>
      <c r="Z705" s="360"/>
      <c r="AA705" s="360"/>
      <c r="AB705" s="360"/>
      <c r="AC705" s="360"/>
      <c r="AD705" s="360"/>
      <c r="AE705" s="360"/>
      <c r="AF705" s="360"/>
      <c r="AG705" s="360" t="s">
        <v>1582</v>
      </c>
      <c r="AH705" s="360"/>
      <c r="AI705" s="360"/>
      <c r="AJ705" s="360" t="s">
        <v>1589</v>
      </c>
      <c r="AK705" s="360"/>
      <c r="AL705" s="360" t="s">
        <v>5878</v>
      </c>
      <c r="AM705" s="360"/>
      <c r="AN705" s="360"/>
      <c r="AO705" s="360"/>
      <c r="AP705" s="360"/>
      <c r="AQ705" s="360"/>
      <c r="AR705" s="360"/>
      <c r="AS705" s="360"/>
      <c r="AT705" s="360"/>
      <c r="AU705" s="360" t="s">
        <v>22</v>
      </c>
      <c r="AV705" s="360"/>
      <c r="AW705" s="264"/>
      <c r="AX705" s="264"/>
      <c r="AY705" s="264"/>
      <c r="AZ705" s="264"/>
      <c r="BA705" s="264"/>
      <c r="BB705" s="264"/>
      <c r="BC705" s="264"/>
      <c r="BD705" s="264"/>
      <c r="BE705" s="264"/>
    </row>
    <row r="706">
      <c r="A706" s="264"/>
      <c r="B706" s="264"/>
      <c r="C706" s="264"/>
      <c r="D706" s="264"/>
      <c r="E706" s="264"/>
      <c r="F706" s="264"/>
      <c r="G706" s="264"/>
      <c r="H706" s="264"/>
      <c r="I706" s="264"/>
      <c r="J706" s="264"/>
      <c r="K706" s="264"/>
      <c r="L706" s="264"/>
      <c r="M706" s="264" t="s">
        <v>22</v>
      </c>
      <c r="N706" s="264"/>
      <c r="O706" s="264" t="s">
        <v>22</v>
      </c>
      <c r="P706" s="264"/>
      <c r="Q706" s="264"/>
      <c r="R706" s="264"/>
      <c r="S706" s="264"/>
      <c r="T706" s="264"/>
      <c r="U706" s="360"/>
      <c r="V706" s="360"/>
      <c r="W706" s="360"/>
      <c r="X706" s="360"/>
      <c r="Y706" s="360"/>
      <c r="Z706" s="360"/>
      <c r="AA706" s="360"/>
      <c r="AB706" s="360"/>
      <c r="AC706" s="360"/>
      <c r="AD706" s="360"/>
      <c r="AE706" s="360"/>
      <c r="AF706" s="360"/>
      <c r="AG706" s="360" t="s">
        <v>1582</v>
      </c>
      <c r="AH706" s="360"/>
      <c r="AI706" s="360"/>
      <c r="AJ706" s="360" t="s">
        <v>1589</v>
      </c>
      <c r="AK706" s="360"/>
      <c r="AL706" s="360" t="s">
        <v>5878</v>
      </c>
      <c r="AM706" s="360"/>
      <c r="AN706" s="360"/>
      <c r="AO706" s="360"/>
      <c r="AP706" s="360"/>
      <c r="AQ706" s="360"/>
      <c r="AR706" s="360"/>
      <c r="AS706" s="360"/>
      <c r="AT706" s="360"/>
      <c r="AU706" s="360" t="s">
        <v>22</v>
      </c>
      <c r="AV706" s="360"/>
      <c r="AW706" s="264"/>
      <c r="AX706" s="264"/>
      <c r="AY706" s="264"/>
      <c r="AZ706" s="264"/>
      <c r="BA706" s="264"/>
      <c r="BB706" s="264"/>
      <c r="BC706" s="264"/>
      <c r="BD706" s="264"/>
      <c r="BE706" s="264"/>
    </row>
    <row r="707">
      <c r="A707" s="264"/>
      <c r="B707" s="264"/>
      <c r="C707" s="264"/>
      <c r="D707" s="264"/>
      <c r="E707" s="264"/>
      <c r="F707" s="264"/>
      <c r="G707" s="264"/>
      <c r="H707" s="264"/>
      <c r="I707" s="264"/>
      <c r="J707" s="264"/>
      <c r="K707" s="264"/>
      <c r="L707" s="264"/>
      <c r="M707" s="264" t="s">
        <v>22</v>
      </c>
      <c r="N707" s="264"/>
      <c r="O707" s="264" t="s">
        <v>22</v>
      </c>
      <c r="P707" s="264"/>
      <c r="Q707" s="264"/>
      <c r="R707" s="264"/>
      <c r="S707" s="264"/>
      <c r="T707" s="264"/>
      <c r="U707" s="360"/>
      <c r="V707" s="360"/>
      <c r="W707" s="360"/>
      <c r="X707" s="360"/>
      <c r="Y707" s="360"/>
      <c r="Z707" s="360"/>
      <c r="AA707" s="360"/>
      <c r="AB707" s="360"/>
      <c r="AC707" s="360"/>
      <c r="AD707" s="360"/>
      <c r="AE707" s="360"/>
      <c r="AF707" s="360"/>
      <c r="AG707" s="360" t="s">
        <v>1582</v>
      </c>
      <c r="AH707" s="360"/>
      <c r="AI707" s="360"/>
      <c r="AJ707" s="360" t="s">
        <v>1589</v>
      </c>
      <c r="AK707" s="360"/>
      <c r="AL707" s="360" t="s">
        <v>5878</v>
      </c>
      <c r="AM707" s="360"/>
      <c r="AN707" s="360"/>
      <c r="AO707" s="360"/>
      <c r="AP707" s="360"/>
      <c r="AQ707" s="360"/>
      <c r="AR707" s="360"/>
      <c r="AS707" s="360"/>
      <c r="AT707" s="360"/>
      <c r="AU707" s="360" t="s">
        <v>22</v>
      </c>
      <c r="AV707" s="360"/>
      <c r="AW707" s="264"/>
      <c r="AX707" s="264"/>
      <c r="AY707" s="264"/>
      <c r="AZ707" s="264"/>
      <c r="BA707" s="264"/>
      <c r="BB707" s="264"/>
      <c r="BC707" s="264"/>
      <c r="BD707" s="264"/>
      <c r="BE707" s="264"/>
    </row>
    <row r="708">
      <c r="A708" s="264"/>
      <c r="B708" s="264"/>
      <c r="C708" s="264"/>
      <c r="D708" s="264"/>
      <c r="E708" s="264"/>
      <c r="F708" s="264"/>
      <c r="G708" s="264"/>
      <c r="H708" s="264"/>
      <c r="I708" s="264"/>
      <c r="J708" s="264"/>
      <c r="K708" s="264"/>
      <c r="L708" s="264"/>
      <c r="M708" s="264" t="s">
        <v>22</v>
      </c>
      <c r="N708" s="264"/>
      <c r="O708" s="264" t="s">
        <v>22</v>
      </c>
      <c r="P708" s="264"/>
      <c r="Q708" s="264"/>
      <c r="R708" s="264"/>
      <c r="S708" s="264"/>
      <c r="T708" s="264"/>
      <c r="U708" s="360"/>
      <c r="V708" s="360"/>
      <c r="W708" s="360"/>
      <c r="X708" s="360"/>
      <c r="Y708" s="360"/>
      <c r="Z708" s="360"/>
      <c r="AA708" s="360"/>
      <c r="AB708" s="360"/>
      <c r="AC708" s="360"/>
      <c r="AD708" s="360"/>
      <c r="AE708" s="360"/>
      <c r="AF708" s="360"/>
      <c r="AG708" s="360" t="s">
        <v>1582</v>
      </c>
      <c r="AH708" s="360"/>
      <c r="AI708" s="360"/>
      <c r="AJ708" s="360" t="s">
        <v>1589</v>
      </c>
      <c r="AK708" s="360"/>
      <c r="AL708" s="360" t="s">
        <v>5878</v>
      </c>
      <c r="AM708" s="360"/>
      <c r="AN708" s="360"/>
      <c r="AO708" s="360"/>
      <c r="AP708" s="360"/>
      <c r="AQ708" s="360"/>
      <c r="AR708" s="360"/>
      <c r="AS708" s="360"/>
      <c r="AT708" s="360"/>
      <c r="AU708" s="360" t="s">
        <v>22</v>
      </c>
      <c r="AV708" s="360"/>
      <c r="AW708" s="264"/>
      <c r="AX708" s="264"/>
      <c r="AY708" s="264"/>
      <c r="AZ708" s="264"/>
      <c r="BA708" s="264"/>
      <c r="BB708" s="264"/>
      <c r="BC708" s="264"/>
      <c r="BD708" s="264"/>
      <c r="BE708" s="264"/>
    </row>
    <row r="709">
      <c r="A709" s="264"/>
      <c r="B709" s="264"/>
      <c r="C709" s="264"/>
      <c r="D709" s="264"/>
      <c r="E709" s="264"/>
      <c r="F709" s="264"/>
      <c r="G709" s="264"/>
      <c r="H709" s="264"/>
      <c r="I709" s="264"/>
      <c r="J709" s="264"/>
      <c r="K709" s="264"/>
      <c r="L709" s="264"/>
      <c r="M709" s="264" t="s">
        <v>22</v>
      </c>
      <c r="N709" s="264"/>
      <c r="O709" s="264" t="s">
        <v>22</v>
      </c>
      <c r="P709" s="264"/>
      <c r="Q709" s="264"/>
      <c r="R709" s="264"/>
      <c r="S709" s="264"/>
      <c r="T709" s="264"/>
      <c r="U709" s="360"/>
      <c r="V709" s="360"/>
      <c r="W709" s="360"/>
      <c r="X709" s="360"/>
      <c r="Y709" s="360"/>
      <c r="Z709" s="360"/>
      <c r="AA709" s="360"/>
      <c r="AB709" s="360"/>
      <c r="AC709" s="360"/>
      <c r="AD709" s="360"/>
      <c r="AE709" s="360"/>
      <c r="AF709" s="360"/>
      <c r="AG709" s="360" t="s">
        <v>1582</v>
      </c>
      <c r="AH709" s="360"/>
      <c r="AI709" s="360"/>
      <c r="AJ709" s="360" t="s">
        <v>1589</v>
      </c>
      <c r="AK709" s="360"/>
      <c r="AL709" s="360" t="s">
        <v>5878</v>
      </c>
      <c r="AM709" s="360"/>
      <c r="AN709" s="360"/>
      <c r="AO709" s="360"/>
      <c r="AP709" s="360"/>
      <c r="AQ709" s="360"/>
      <c r="AR709" s="360"/>
      <c r="AS709" s="360"/>
      <c r="AT709" s="360"/>
      <c r="AU709" s="360" t="s">
        <v>22</v>
      </c>
      <c r="AV709" s="360"/>
      <c r="AW709" s="264"/>
      <c r="AX709" s="264"/>
      <c r="AY709" s="264"/>
      <c r="AZ709" s="264"/>
      <c r="BA709" s="264"/>
      <c r="BB709" s="264"/>
      <c r="BC709" s="264"/>
      <c r="BD709" s="264"/>
      <c r="BE709" s="264"/>
    </row>
    <row r="710">
      <c r="A710" s="264"/>
      <c r="B710" s="264"/>
      <c r="C710" s="264"/>
      <c r="D710" s="264"/>
      <c r="E710" s="264"/>
      <c r="F710" s="264"/>
      <c r="G710" s="264"/>
      <c r="H710" s="264"/>
      <c r="I710" s="264"/>
      <c r="J710" s="264"/>
      <c r="K710" s="264"/>
      <c r="L710" s="264"/>
      <c r="M710" s="264" t="s">
        <v>22</v>
      </c>
      <c r="N710" s="264"/>
      <c r="O710" s="264" t="s">
        <v>22</v>
      </c>
      <c r="P710" s="264"/>
      <c r="Q710" s="264"/>
      <c r="R710" s="264"/>
      <c r="S710" s="264"/>
      <c r="T710" s="264"/>
      <c r="U710" s="360"/>
      <c r="V710" s="360"/>
      <c r="W710" s="360"/>
      <c r="X710" s="360"/>
      <c r="Y710" s="360"/>
      <c r="Z710" s="360"/>
      <c r="AA710" s="360"/>
      <c r="AB710" s="360"/>
      <c r="AC710" s="360"/>
      <c r="AD710" s="360"/>
      <c r="AE710" s="360"/>
      <c r="AF710" s="360"/>
      <c r="AG710" s="360" t="s">
        <v>1582</v>
      </c>
      <c r="AH710" s="360"/>
      <c r="AI710" s="360"/>
      <c r="AJ710" s="360" t="s">
        <v>1589</v>
      </c>
      <c r="AK710" s="360"/>
      <c r="AL710" s="360" t="s">
        <v>5878</v>
      </c>
      <c r="AM710" s="360"/>
      <c r="AN710" s="360"/>
      <c r="AO710" s="360"/>
      <c r="AP710" s="360"/>
      <c r="AQ710" s="360"/>
      <c r="AR710" s="360"/>
      <c r="AS710" s="360"/>
      <c r="AT710" s="360"/>
      <c r="AU710" s="360" t="s">
        <v>22</v>
      </c>
      <c r="AV710" s="360"/>
      <c r="AW710" s="264"/>
      <c r="AX710" s="264"/>
      <c r="AY710" s="264"/>
      <c r="AZ710" s="264"/>
      <c r="BA710" s="264"/>
      <c r="BB710" s="264"/>
      <c r="BC710" s="264"/>
      <c r="BD710" s="264"/>
      <c r="BE710" s="264"/>
    </row>
    <row r="711">
      <c r="A711" s="264"/>
      <c r="B711" s="264"/>
      <c r="C711" s="264"/>
      <c r="D711" s="264"/>
      <c r="E711" s="264"/>
      <c r="F711" s="264"/>
      <c r="G711" s="264"/>
      <c r="H711" s="264"/>
      <c r="I711" s="264"/>
      <c r="J711" s="264"/>
      <c r="K711" s="264"/>
      <c r="L711" s="264"/>
      <c r="M711" s="264" t="s">
        <v>22</v>
      </c>
      <c r="N711" s="264"/>
      <c r="O711" s="264" t="s">
        <v>22</v>
      </c>
      <c r="P711" s="264"/>
      <c r="Q711" s="264"/>
      <c r="R711" s="264"/>
      <c r="S711" s="264"/>
      <c r="T711" s="264"/>
      <c r="U711" s="360"/>
      <c r="V711" s="360"/>
      <c r="W711" s="360"/>
      <c r="X711" s="360"/>
      <c r="Y711" s="360"/>
      <c r="Z711" s="360"/>
      <c r="AA711" s="360"/>
      <c r="AB711" s="360"/>
      <c r="AC711" s="360"/>
      <c r="AD711" s="360"/>
      <c r="AE711" s="360"/>
      <c r="AF711" s="360"/>
      <c r="AG711" s="360" t="s">
        <v>1582</v>
      </c>
      <c r="AH711" s="360"/>
      <c r="AI711" s="360"/>
      <c r="AJ711" s="360" t="s">
        <v>1589</v>
      </c>
      <c r="AK711" s="360"/>
      <c r="AL711" s="360" t="s">
        <v>5878</v>
      </c>
      <c r="AM711" s="360"/>
      <c r="AN711" s="360"/>
      <c r="AO711" s="360"/>
      <c r="AP711" s="360"/>
      <c r="AQ711" s="360"/>
      <c r="AR711" s="360"/>
      <c r="AS711" s="360"/>
      <c r="AT711" s="360"/>
      <c r="AU711" s="360" t="s">
        <v>22</v>
      </c>
      <c r="AV711" s="360"/>
      <c r="AW711" s="264"/>
      <c r="AX711" s="264"/>
      <c r="AY711" s="264"/>
      <c r="AZ711" s="264"/>
      <c r="BA711" s="264"/>
      <c r="BB711" s="264"/>
      <c r="BC711" s="264"/>
      <c r="BD711" s="264"/>
      <c r="BE711" s="264"/>
    </row>
    <row r="712">
      <c r="A712" s="264"/>
      <c r="B712" s="264"/>
      <c r="C712" s="264"/>
      <c r="D712" s="264"/>
      <c r="E712" s="264"/>
      <c r="F712" s="264"/>
      <c r="G712" s="264"/>
      <c r="H712" s="264"/>
      <c r="I712" s="264"/>
      <c r="J712" s="264"/>
      <c r="K712" s="264"/>
      <c r="L712" s="264"/>
      <c r="M712" s="264" t="s">
        <v>22</v>
      </c>
      <c r="N712" s="264"/>
      <c r="O712" s="264" t="s">
        <v>22</v>
      </c>
      <c r="P712" s="264"/>
      <c r="Q712" s="264"/>
      <c r="R712" s="264"/>
      <c r="S712" s="264"/>
      <c r="T712" s="264"/>
      <c r="U712" s="360"/>
      <c r="V712" s="360"/>
      <c r="W712" s="360"/>
      <c r="X712" s="360"/>
      <c r="Y712" s="360"/>
      <c r="Z712" s="360"/>
      <c r="AA712" s="360"/>
      <c r="AB712" s="360"/>
      <c r="AC712" s="360"/>
      <c r="AD712" s="360"/>
      <c r="AE712" s="360"/>
      <c r="AF712" s="360"/>
      <c r="AG712" s="360" t="s">
        <v>1582</v>
      </c>
      <c r="AH712" s="360"/>
      <c r="AI712" s="360"/>
      <c r="AJ712" s="360" t="s">
        <v>1589</v>
      </c>
      <c r="AK712" s="360"/>
      <c r="AL712" s="360" t="s">
        <v>5878</v>
      </c>
      <c r="AM712" s="360"/>
      <c r="AN712" s="360"/>
      <c r="AO712" s="360"/>
      <c r="AP712" s="360"/>
      <c r="AQ712" s="360"/>
      <c r="AR712" s="360"/>
      <c r="AS712" s="360"/>
      <c r="AT712" s="360"/>
      <c r="AU712" s="360" t="s">
        <v>22</v>
      </c>
      <c r="AV712" s="360"/>
      <c r="AW712" s="264"/>
      <c r="AX712" s="264"/>
      <c r="AY712" s="264"/>
      <c r="AZ712" s="264"/>
      <c r="BA712" s="264"/>
      <c r="BB712" s="264"/>
      <c r="BC712" s="264"/>
      <c r="BD712" s="264"/>
      <c r="BE712" s="264"/>
    </row>
    <row r="713">
      <c r="A713" s="264"/>
      <c r="B713" s="264"/>
      <c r="C713" s="264"/>
      <c r="D713" s="264"/>
      <c r="E713" s="264"/>
      <c r="F713" s="264"/>
      <c r="G713" s="264"/>
      <c r="H713" s="264"/>
      <c r="I713" s="264"/>
      <c r="J713" s="264"/>
      <c r="K713" s="264"/>
      <c r="L713" s="264"/>
      <c r="M713" s="264" t="s">
        <v>22</v>
      </c>
      <c r="N713" s="264"/>
      <c r="O713" s="264" t="s">
        <v>22</v>
      </c>
      <c r="P713" s="264"/>
      <c r="Q713" s="264"/>
      <c r="R713" s="264"/>
      <c r="S713" s="264"/>
      <c r="T713" s="264"/>
      <c r="U713" s="360"/>
      <c r="V713" s="360"/>
      <c r="W713" s="360"/>
      <c r="X713" s="360"/>
      <c r="Y713" s="360"/>
      <c r="Z713" s="360"/>
      <c r="AA713" s="360"/>
      <c r="AB713" s="360"/>
      <c r="AC713" s="360"/>
      <c r="AD713" s="360"/>
      <c r="AE713" s="360"/>
      <c r="AF713" s="360"/>
      <c r="AG713" s="360" t="s">
        <v>1582</v>
      </c>
      <c r="AH713" s="360"/>
      <c r="AI713" s="360"/>
      <c r="AJ713" s="360" t="s">
        <v>1589</v>
      </c>
      <c r="AK713" s="360"/>
      <c r="AL713" s="360" t="s">
        <v>5878</v>
      </c>
      <c r="AM713" s="360"/>
      <c r="AN713" s="360"/>
      <c r="AO713" s="360"/>
      <c r="AP713" s="360"/>
      <c r="AQ713" s="360"/>
      <c r="AR713" s="360"/>
      <c r="AS713" s="360"/>
      <c r="AT713" s="360"/>
      <c r="AU713" s="360" t="s">
        <v>22</v>
      </c>
      <c r="AV713" s="360"/>
      <c r="AW713" s="264"/>
      <c r="AX713" s="264"/>
      <c r="AY713" s="264"/>
      <c r="AZ713" s="264"/>
      <c r="BA713" s="264"/>
      <c r="BB713" s="264"/>
      <c r="BC713" s="264"/>
      <c r="BD713" s="264"/>
      <c r="BE713" s="264"/>
    </row>
    <row r="714">
      <c r="A714" s="264"/>
      <c r="B714" s="264"/>
      <c r="C714" s="264"/>
      <c r="D714" s="264"/>
      <c r="E714" s="264"/>
      <c r="F714" s="264"/>
      <c r="G714" s="264"/>
      <c r="H714" s="264"/>
      <c r="I714" s="264"/>
      <c r="J714" s="264"/>
      <c r="K714" s="264"/>
      <c r="L714" s="264"/>
      <c r="M714" s="264" t="s">
        <v>22</v>
      </c>
      <c r="N714" s="264"/>
      <c r="O714" s="264" t="s">
        <v>22</v>
      </c>
      <c r="P714" s="264"/>
      <c r="Q714" s="264"/>
      <c r="R714" s="264"/>
      <c r="S714" s="264"/>
      <c r="T714" s="264"/>
      <c r="U714" s="360"/>
      <c r="V714" s="360"/>
      <c r="W714" s="360"/>
      <c r="X714" s="360"/>
      <c r="Y714" s="360"/>
      <c r="Z714" s="360"/>
      <c r="AA714" s="360"/>
      <c r="AB714" s="360"/>
      <c r="AC714" s="360"/>
      <c r="AD714" s="360"/>
      <c r="AE714" s="360"/>
      <c r="AF714" s="360"/>
      <c r="AG714" s="360" t="s">
        <v>1582</v>
      </c>
      <c r="AH714" s="360"/>
      <c r="AI714" s="360"/>
      <c r="AJ714" s="360" t="s">
        <v>1589</v>
      </c>
      <c r="AK714" s="360"/>
      <c r="AL714" s="360" t="s">
        <v>5878</v>
      </c>
      <c r="AM714" s="360"/>
      <c r="AN714" s="360"/>
      <c r="AO714" s="360"/>
      <c r="AP714" s="360"/>
      <c r="AQ714" s="360"/>
      <c r="AR714" s="360"/>
      <c r="AS714" s="360"/>
      <c r="AT714" s="360"/>
      <c r="AU714" s="360" t="s">
        <v>22</v>
      </c>
      <c r="AV714" s="360"/>
      <c r="AW714" s="264"/>
      <c r="AX714" s="264"/>
      <c r="AY714" s="264"/>
      <c r="AZ714" s="264"/>
      <c r="BA714" s="264"/>
      <c r="BB714" s="264"/>
      <c r="BC714" s="264"/>
      <c r="BD714" s="264"/>
      <c r="BE714" s="264"/>
    </row>
    <row r="715">
      <c r="A715" s="264"/>
      <c r="B715" s="264"/>
      <c r="C715" s="264"/>
      <c r="D715" s="264"/>
      <c r="E715" s="264"/>
      <c r="F715" s="264"/>
      <c r="G715" s="264"/>
      <c r="H715" s="264"/>
      <c r="I715" s="264"/>
      <c r="J715" s="264"/>
      <c r="K715" s="264"/>
      <c r="L715" s="264"/>
      <c r="M715" s="264" t="s">
        <v>22</v>
      </c>
      <c r="N715" s="264"/>
      <c r="O715" s="264" t="s">
        <v>22</v>
      </c>
      <c r="P715" s="264"/>
      <c r="Q715" s="264"/>
      <c r="R715" s="264"/>
      <c r="S715" s="264"/>
      <c r="T715" s="264"/>
      <c r="U715" s="360"/>
      <c r="V715" s="360"/>
      <c r="W715" s="360"/>
      <c r="X715" s="360"/>
      <c r="Y715" s="360"/>
      <c r="Z715" s="360"/>
      <c r="AA715" s="360"/>
      <c r="AB715" s="360"/>
      <c r="AC715" s="360"/>
      <c r="AD715" s="360"/>
      <c r="AE715" s="360"/>
      <c r="AF715" s="360"/>
      <c r="AG715" s="360" t="s">
        <v>1582</v>
      </c>
      <c r="AH715" s="360"/>
      <c r="AI715" s="360"/>
      <c r="AJ715" s="360" t="s">
        <v>1589</v>
      </c>
      <c r="AK715" s="360"/>
      <c r="AL715" s="360" t="s">
        <v>5878</v>
      </c>
      <c r="AM715" s="360"/>
      <c r="AN715" s="360"/>
      <c r="AO715" s="360"/>
      <c r="AP715" s="360"/>
      <c r="AQ715" s="360"/>
      <c r="AR715" s="360"/>
      <c r="AS715" s="360"/>
      <c r="AT715" s="360"/>
      <c r="AU715" s="360" t="s">
        <v>22</v>
      </c>
      <c r="AV715" s="360"/>
      <c r="AW715" s="264"/>
      <c r="AX715" s="264"/>
      <c r="AY715" s="264"/>
      <c r="AZ715" s="264"/>
      <c r="BA715" s="264"/>
      <c r="BB715" s="264"/>
      <c r="BC715" s="264"/>
      <c r="BD715" s="264"/>
      <c r="BE715" s="264"/>
    </row>
    <row r="716">
      <c r="A716" s="264"/>
      <c r="B716" s="264"/>
      <c r="C716" s="264"/>
      <c r="D716" s="264"/>
      <c r="E716" s="264"/>
      <c r="F716" s="264"/>
      <c r="G716" s="264"/>
      <c r="H716" s="264"/>
      <c r="I716" s="264"/>
      <c r="J716" s="264"/>
      <c r="K716" s="264"/>
      <c r="L716" s="264"/>
      <c r="M716" s="264" t="s">
        <v>22</v>
      </c>
      <c r="N716" s="264"/>
      <c r="O716" s="264" t="s">
        <v>22</v>
      </c>
      <c r="P716" s="264"/>
      <c r="Q716" s="264"/>
      <c r="R716" s="264"/>
      <c r="S716" s="264"/>
      <c r="T716" s="264"/>
      <c r="U716" s="360"/>
      <c r="V716" s="360"/>
      <c r="W716" s="360"/>
      <c r="X716" s="360"/>
      <c r="Y716" s="360"/>
      <c r="Z716" s="360"/>
      <c r="AA716" s="360"/>
      <c r="AB716" s="360"/>
      <c r="AC716" s="360"/>
      <c r="AD716" s="360"/>
      <c r="AE716" s="360"/>
      <c r="AF716" s="360"/>
      <c r="AG716" s="360" t="s">
        <v>1582</v>
      </c>
      <c r="AH716" s="360"/>
      <c r="AI716" s="360"/>
      <c r="AJ716" s="360" t="s">
        <v>1589</v>
      </c>
      <c r="AK716" s="360"/>
      <c r="AL716" s="360" t="s">
        <v>5878</v>
      </c>
      <c r="AM716" s="360"/>
      <c r="AN716" s="360"/>
      <c r="AO716" s="360"/>
      <c r="AP716" s="360"/>
      <c r="AQ716" s="360"/>
      <c r="AR716" s="360"/>
      <c r="AS716" s="360"/>
      <c r="AT716" s="360"/>
      <c r="AU716" s="360" t="s">
        <v>22</v>
      </c>
      <c r="AV716" s="360"/>
      <c r="AW716" s="264"/>
      <c r="AX716" s="264"/>
      <c r="AY716" s="264"/>
      <c r="AZ716" s="264"/>
      <c r="BA716" s="264"/>
      <c r="BB716" s="264"/>
      <c r="BC716" s="264"/>
      <c r="BD716" s="264"/>
      <c r="BE716" s="264"/>
    </row>
    <row r="717">
      <c r="A717" s="264"/>
      <c r="B717" s="264"/>
      <c r="C717" s="264"/>
      <c r="D717" s="264"/>
      <c r="E717" s="264"/>
      <c r="F717" s="264"/>
      <c r="G717" s="264"/>
      <c r="H717" s="264"/>
      <c r="I717" s="264"/>
      <c r="J717" s="264"/>
      <c r="K717" s="264"/>
      <c r="L717" s="264"/>
      <c r="M717" s="264" t="s">
        <v>22</v>
      </c>
      <c r="N717" s="264"/>
      <c r="O717" s="264" t="s">
        <v>22</v>
      </c>
      <c r="P717" s="264"/>
      <c r="Q717" s="264"/>
      <c r="R717" s="264"/>
      <c r="S717" s="264"/>
      <c r="T717" s="264"/>
      <c r="U717" s="360"/>
      <c r="V717" s="360"/>
      <c r="W717" s="360"/>
      <c r="X717" s="360"/>
      <c r="Y717" s="360"/>
      <c r="Z717" s="360"/>
      <c r="AA717" s="360"/>
      <c r="AB717" s="360"/>
      <c r="AC717" s="360"/>
      <c r="AD717" s="360"/>
      <c r="AE717" s="360"/>
      <c r="AF717" s="360"/>
      <c r="AG717" s="360" t="s">
        <v>1582</v>
      </c>
      <c r="AH717" s="360"/>
      <c r="AI717" s="360"/>
      <c r="AJ717" s="360" t="s">
        <v>1589</v>
      </c>
      <c r="AK717" s="360"/>
      <c r="AL717" s="360" t="s">
        <v>5878</v>
      </c>
      <c r="AM717" s="360"/>
      <c r="AN717" s="360"/>
      <c r="AO717" s="360"/>
      <c r="AP717" s="360"/>
      <c r="AQ717" s="360"/>
      <c r="AR717" s="360"/>
      <c r="AS717" s="360"/>
      <c r="AT717" s="360"/>
      <c r="AU717" s="360" t="s">
        <v>22</v>
      </c>
      <c r="AV717" s="360"/>
      <c r="AW717" s="264"/>
      <c r="AX717" s="264"/>
      <c r="AY717" s="264"/>
      <c r="AZ717" s="264"/>
      <c r="BA717" s="264"/>
      <c r="BB717" s="264"/>
      <c r="BC717" s="264"/>
      <c r="BD717" s="264"/>
      <c r="BE717" s="264"/>
    </row>
    <row r="718">
      <c r="A718" s="264"/>
      <c r="B718" s="264"/>
      <c r="C718" s="264"/>
      <c r="D718" s="264"/>
      <c r="E718" s="264"/>
      <c r="F718" s="264"/>
      <c r="G718" s="264"/>
      <c r="H718" s="264"/>
      <c r="I718" s="264"/>
      <c r="J718" s="264"/>
      <c r="K718" s="264"/>
      <c r="L718" s="264"/>
      <c r="M718" s="264" t="s">
        <v>22</v>
      </c>
      <c r="N718" s="264"/>
      <c r="O718" s="264" t="s">
        <v>22</v>
      </c>
      <c r="P718" s="264"/>
      <c r="Q718" s="264"/>
      <c r="R718" s="264"/>
      <c r="S718" s="264"/>
      <c r="T718" s="264"/>
      <c r="U718" s="360"/>
      <c r="V718" s="360"/>
      <c r="W718" s="360"/>
      <c r="X718" s="360"/>
      <c r="Y718" s="360"/>
      <c r="Z718" s="360"/>
      <c r="AA718" s="360"/>
      <c r="AB718" s="360"/>
      <c r="AC718" s="360"/>
      <c r="AD718" s="360"/>
      <c r="AE718" s="360"/>
      <c r="AF718" s="360"/>
      <c r="AG718" s="360" t="s">
        <v>1582</v>
      </c>
      <c r="AH718" s="360"/>
      <c r="AI718" s="360"/>
      <c r="AJ718" s="360" t="s">
        <v>1589</v>
      </c>
      <c r="AK718" s="360"/>
      <c r="AL718" s="360" t="s">
        <v>5878</v>
      </c>
      <c r="AM718" s="360"/>
      <c r="AN718" s="360"/>
      <c r="AO718" s="360"/>
      <c r="AP718" s="360"/>
      <c r="AQ718" s="360"/>
      <c r="AR718" s="360"/>
      <c r="AS718" s="360"/>
      <c r="AT718" s="360"/>
      <c r="AU718" s="360" t="s">
        <v>22</v>
      </c>
      <c r="AV718" s="360"/>
      <c r="AW718" s="264"/>
      <c r="AX718" s="264"/>
      <c r="AY718" s="264"/>
      <c r="AZ718" s="264"/>
      <c r="BA718" s="264"/>
      <c r="BB718" s="264"/>
      <c r="BC718" s="264"/>
      <c r="BD718" s="264"/>
      <c r="BE718" s="264"/>
    </row>
    <row r="719">
      <c r="A719" s="264"/>
      <c r="B719" s="264"/>
      <c r="C719" s="264"/>
      <c r="D719" s="264"/>
      <c r="E719" s="264"/>
      <c r="F719" s="264"/>
      <c r="G719" s="264"/>
      <c r="H719" s="264"/>
      <c r="I719" s="264"/>
      <c r="J719" s="264"/>
      <c r="K719" s="264"/>
      <c r="L719" s="264"/>
      <c r="M719" s="264" t="s">
        <v>22</v>
      </c>
      <c r="N719" s="264"/>
      <c r="O719" s="264" t="s">
        <v>22</v>
      </c>
      <c r="P719" s="264"/>
      <c r="Q719" s="264"/>
      <c r="R719" s="264"/>
      <c r="S719" s="264"/>
      <c r="T719" s="264"/>
      <c r="U719" s="360"/>
      <c r="V719" s="360"/>
      <c r="W719" s="360"/>
      <c r="X719" s="360"/>
      <c r="Y719" s="360"/>
      <c r="Z719" s="360"/>
      <c r="AA719" s="360"/>
      <c r="AB719" s="360"/>
      <c r="AC719" s="360"/>
      <c r="AD719" s="360"/>
      <c r="AE719" s="360"/>
      <c r="AF719" s="360"/>
      <c r="AG719" s="360" t="s">
        <v>1582</v>
      </c>
      <c r="AH719" s="360"/>
      <c r="AI719" s="360"/>
      <c r="AJ719" s="360" t="s">
        <v>1589</v>
      </c>
      <c r="AK719" s="360"/>
      <c r="AL719" s="360" t="s">
        <v>5878</v>
      </c>
      <c r="AM719" s="360"/>
      <c r="AN719" s="360"/>
      <c r="AO719" s="360"/>
      <c r="AP719" s="360"/>
      <c r="AQ719" s="360"/>
      <c r="AR719" s="360"/>
      <c r="AS719" s="360"/>
      <c r="AT719" s="360"/>
      <c r="AU719" s="360" t="s">
        <v>22</v>
      </c>
      <c r="AV719" s="360"/>
      <c r="AW719" s="264"/>
      <c r="AX719" s="264"/>
      <c r="AY719" s="264"/>
      <c r="AZ719" s="264"/>
      <c r="BA719" s="264"/>
      <c r="BB719" s="264"/>
      <c r="BC719" s="264"/>
      <c r="BD719" s="264"/>
      <c r="BE719" s="264"/>
    </row>
    <row r="720">
      <c r="A720" s="264"/>
      <c r="B720" s="264"/>
      <c r="C720" s="264"/>
      <c r="D720" s="264"/>
      <c r="E720" s="264"/>
      <c r="F720" s="264"/>
      <c r="G720" s="264"/>
      <c r="H720" s="264"/>
      <c r="I720" s="264"/>
      <c r="J720" s="264"/>
      <c r="K720" s="264"/>
      <c r="L720" s="264"/>
      <c r="M720" s="264" t="s">
        <v>22</v>
      </c>
      <c r="N720" s="264"/>
      <c r="O720" s="264" t="s">
        <v>22</v>
      </c>
      <c r="P720" s="264"/>
      <c r="Q720" s="264"/>
      <c r="R720" s="264"/>
      <c r="S720" s="264"/>
      <c r="T720" s="264"/>
      <c r="U720" s="360"/>
      <c r="V720" s="360"/>
      <c r="W720" s="360"/>
      <c r="X720" s="360"/>
      <c r="Y720" s="360"/>
      <c r="Z720" s="360"/>
      <c r="AA720" s="360"/>
      <c r="AB720" s="360"/>
      <c r="AC720" s="360"/>
      <c r="AD720" s="360"/>
      <c r="AE720" s="360"/>
      <c r="AF720" s="360"/>
      <c r="AG720" s="360" t="s">
        <v>1582</v>
      </c>
      <c r="AH720" s="360"/>
      <c r="AI720" s="360"/>
      <c r="AJ720" s="360" t="s">
        <v>1589</v>
      </c>
      <c r="AK720" s="360"/>
      <c r="AL720" s="360" t="s">
        <v>5878</v>
      </c>
      <c r="AM720" s="360"/>
      <c r="AN720" s="360"/>
      <c r="AO720" s="360"/>
      <c r="AP720" s="360"/>
      <c r="AQ720" s="360"/>
      <c r="AR720" s="360"/>
      <c r="AS720" s="360"/>
      <c r="AT720" s="360"/>
      <c r="AU720" s="360" t="s">
        <v>22</v>
      </c>
      <c r="AV720" s="360"/>
      <c r="AW720" s="264"/>
      <c r="AX720" s="264"/>
      <c r="AY720" s="264"/>
      <c r="AZ720" s="264"/>
      <c r="BA720" s="264"/>
      <c r="BB720" s="264"/>
      <c r="BC720" s="264"/>
      <c r="BD720" s="264"/>
      <c r="BE720" s="264"/>
    </row>
    <row r="721">
      <c r="A721" s="264"/>
      <c r="B721" s="264"/>
      <c r="C721" s="264"/>
      <c r="D721" s="264"/>
      <c r="E721" s="264"/>
      <c r="F721" s="264"/>
      <c r="G721" s="264"/>
      <c r="H721" s="264"/>
      <c r="I721" s="264"/>
      <c r="J721" s="264"/>
      <c r="K721" s="264"/>
      <c r="L721" s="264"/>
      <c r="M721" s="264" t="s">
        <v>22</v>
      </c>
      <c r="N721" s="264"/>
      <c r="O721" s="264" t="s">
        <v>22</v>
      </c>
      <c r="P721" s="264"/>
      <c r="Q721" s="264"/>
      <c r="R721" s="264"/>
      <c r="S721" s="264"/>
      <c r="T721" s="264"/>
      <c r="U721" s="360"/>
      <c r="V721" s="360"/>
      <c r="W721" s="360"/>
      <c r="X721" s="360"/>
      <c r="Y721" s="360"/>
      <c r="Z721" s="360"/>
      <c r="AA721" s="360"/>
      <c r="AB721" s="360"/>
      <c r="AC721" s="360"/>
      <c r="AD721" s="360"/>
      <c r="AE721" s="360"/>
      <c r="AF721" s="360"/>
      <c r="AG721" s="360" t="s">
        <v>1582</v>
      </c>
      <c r="AH721" s="360"/>
      <c r="AI721" s="360"/>
      <c r="AJ721" s="360" t="s">
        <v>1589</v>
      </c>
      <c r="AK721" s="360"/>
      <c r="AL721" s="360" t="s">
        <v>5878</v>
      </c>
      <c r="AM721" s="360"/>
      <c r="AN721" s="360"/>
      <c r="AO721" s="360"/>
      <c r="AP721" s="360"/>
      <c r="AQ721" s="360"/>
      <c r="AR721" s="360"/>
      <c r="AS721" s="360"/>
      <c r="AT721" s="360"/>
      <c r="AU721" s="360" t="s">
        <v>22</v>
      </c>
      <c r="AV721" s="360"/>
      <c r="AW721" s="264"/>
      <c r="AX721" s="264"/>
      <c r="AY721" s="264"/>
      <c r="AZ721" s="264"/>
      <c r="BA721" s="264"/>
      <c r="BB721" s="264"/>
      <c r="BC721" s="264"/>
      <c r="BD721" s="264"/>
      <c r="BE721" s="264"/>
    </row>
    <row r="722">
      <c r="A722" s="264"/>
      <c r="B722" s="264"/>
      <c r="C722" s="264"/>
      <c r="D722" s="264"/>
      <c r="E722" s="264"/>
      <c r="F722" s="264"/>
      <c r="G722" s="264"/>
      <c r="H722" s="264"/>
      <c r="I722" s="264"/>
      <c r="J722" s="264"/>
      <c r="K722" s="264"/>
      <c r="L722" s="264"/>
      <c r="M722" s="264" t="s">
        <v>22</v>
      </c>
      <c r="N722" s="264"/>
      <c r="O722" s="264" t="s">
        <v>22</v>
      </c>
      <c r="P722" s="264"/>
      <c r="Q722" s="264"/>
      <c r="R722" s="264"/>
      <c r="S722" s="264"/>
      <c r="T722" s="264"/>
      <c r="U722" s="360"/>
      <c r="V722" s="360"/>
      <c r="W722" s="360"/>
      <c r="X722" s="360"/>
      <c r="Y722" s="360"/>
      <c r="Z722" s="360"/>
      <c r="AA722" s="360"/>
      <c r="AB722" s="360"/>
      <c r="AC722" s="360"/>
      <c r="AD722" s="360"/>
      <c r="AE722" s="360"/>
      <c r="AF722" s="360"/>
      <c r="AG722" s="360" t="s">
        <v>1582</v>
      </c>
      <c r="AH722" s="360"/>
      <c r="AI722" s="360"/>
      <c r="AJ722" s="360" t="s">
        <v>1589</v>
      </c>
      <c r="AK722" s="360"/>
      <c r="AL722" s="360" t="s">
        <v>5878</v>
      </c>
      <c r="AM722" s="360"/>
      <c r="AN722" s="360"/>
      <c r="AO722" s="360"/>
      <c r="AP722" s="360"/>
      <c r="AQ722" s="360"/>
      <c r="AR722" s="360"/>
      <c r="AS722" s="360"/>
      <c r="AT722" s="360"/>
      <c r="AU722" s="360" t="s">
        <v>22</v>
      </c>
      <c r="AV722" s="360"/>
      <c r="AW722" s="264"/>
      <c r="AX722" s="264"/>
      <c r="AY722" s="264"/>
      <c r="AZ722" s="264"/>
      <c r="BA722" s="264"/>
      <c r="BB722" s="264"/>
      <c r="BC722" s="264"/>
      <c r="BD722" s="264"/>
      <c r="BE722" s="264"/>
    </row>
    <row r="723">
      <c r="A723" s="264"/>
      <c r="B723" s="264"/>
      <c r="C723" s="264"/>
      <c r="D723" s="264"/>
      <c r="E723" s="264"/>
      <c r="F723" s="264"/>
      <c r="G723" s="264"/>
      <c r="H723" s="264"/>
      <c r="I723" s="264"/>
      <c r="J723" s="264"/>
      <c r="K723" s="264"/>
      <c r="L723" s="264"/>
      <c r="M723" s="264" t="s">
        <v>22</v>
      </c>
      <c r="N723" s="264"/>
      <c r="O723" s="264" t="s">
        <v>22</v>
      </c>
      <c r="P723" s="264"/>
      <c r="Q723" s="264"/>
      <c r="R723" s="264"/>
      <c r="S723" s="264"/>
      <c r="T723" s="264"/>
      <c r="U723" s="360"/>
      <c r="V723" s="360"/>
      <c r="W723" s="360"/>
      <c r="X723" s="360"/>
      <c r="Y723" s="360"/>
      <c r="Z723" s="360"/>
      <c r="AA723" s="360"/>
      <c r="AB723" s="360"/>
      <c r="AC723" s="360"/>
      <c r="AD723" s="360"/>
      <c r="AE723" s="360"/>
      <c r="AF723" s="360"/>
      <c r="AG723" s="360" t="s">
        <v>1582</v>
      </c>
      <c r="AH723" s="360"/>
      <c r="AI723" s="360"/>
      <c r="AJ723" s="360" t="s">
        <v>1589</v>
      </c>
      <c r="AK723" s="360"/>
      <c r="AL723" s="360" t="s">
        <v>5878</v>
      </c>
      <c r="AM723" s="360"/>
      <c r="AN723" s="360"/>
      <c r="AO723" s="360"/>
      <c r="AP723" s="360"/>
      <c r="AQ723" s="360"/>
      <c r="AR723" s="360"/>
      <c r="AS723" s="360"/>
      <c r="AT723" s="360"/>
      <c r="AU723" s="360" t="s">
        <v>22</v>
      </c>
      <c r="AV723" s="360"/>
      <c r="AW723" s="264"/>
      <c r="AX723" s="264"/>
      <c r="AY723" s="264"/>
      <c r="AZ723" s="264"/>
      <c r="BA723" s="264"/>
      <c r="BB723" s="264"/>
      <c r="BC723" s="264"/>
      <c r="BD723" s="264"/>
      <c r="BE723" s="264"/>
    </row>
    <row r="724">
      <c r="A724" s="264"/>
      <c r="B724" s="264"/>
      <c r="C724" s="264"/>
      <c r="D724" s="264"/>
      <c r="E724" s="264"/>
      <c r="F724" s="264"/>
      <c r="G724" s="264"/>
      <c r="H724" s="264"/>
      <c r="I724" s="264"/>
      <c r="J724" s="264"/>
      <c r="K724" s="264"/>
      <c r="L724" s="264"/>
      <c r="M724" s="264" t="s">
        <v>22</v>
      </c>
      <c r="N724" s="264"/>
      <c r="O724" s="264" t="s">
        <v>22</v>
      </c>
      <c r="P724" s="264"/>
      <c r="Q724" s="264"/>
      <c r="R724" s="264"/>
      <c r="S724" s="264"/>
      <c r="T724" s="264"/>
      <c r="U724" s="360"/>
      <c r="V724" s="360"/>
      <c r="W724" s="360"/>
      <c r="X724" s="360"/>
      <c r="Y724" s="360"/>
      <c r="Z724" s="360"/>
      <c r="AA724" s="360"/>
      <c r="AB724" s="360"/>
      <c r="AC724" s="360"/>
      <c r="AD724" s="360"/>
      <c r="AE724" s="360"/>
      <c r="AF724" s="360"/>
      <c r="AG724" s="360" t="s">
        <v>1582</v>
      </c>
      <c r="AH724" s="360"/>
      <c r="AI724" s="360"/>
      <c r="AJ724" s="360" t="s">
        <v>1589</v>
      </c>
      <c r="AK724" s="360"/>
      <c r="AL724" s="360" t="s">
        <v>5878</v>
      </c>
      <c r="AM724" s="360"/>
      <c r="AN724" s="360"/>
      <c r="AO724" s="360"/>
      <c r="AP724" s="360"/>
      <c r="AQ724" s="360"/>
      <c r="AR724" s="360"/>
      <c r="AS724" s="360"/>
      <c r="AT724" s="360"/>
      <c r="AU724" s="360" t="s">
        <v>22</v>
      </c>
      <c r="AV724" s="360"/>
      <c r="AW724" s="264"/>
      <c r="AX724" s="264"/>
      <c r="AY724" s="264"/>
      <c r="AZ724" s="264"/>
      <c r="BA724" s="264"/>
      <c r="BB724" s="264"/>
      <c r="BC724" s="264"/>
      <c r="BD724" s="264"/>
      <c r="BE724" s="264"/>
    </row>
    <row r="725">
      <c r="A725" s="264"/>
      <c r="B725" s="264"/>
      <c r="C725" s="264"/>
      <c r="D725" s="264"/>
      <c r="E725" s="264"/>
      <c r="F725" s="264"/>
      <c r="G725" s="264"/>
      <c r="H725" s="264"/>
      <c r="I725" s="264"/>
      <c r="J725" s="264"/>
      <c r="K725" s="264"/>
      <c r="L725" s="264"/>
      <c r="M725" s="264" t="s">
        <v>22</v>
      </c>
      <c r="N725" s="264"/>
      <c r="O725" s="264" t="s">
        <v>22</v>
      </c>
      <c r="P725" s="264"/>
      <c r="Q725" s="264"/>
      <c r="R725" s="264"/>
      <c r="S725" s="264"/>
      <c r="T725" s="264"/>
      <c r="U725" s="360"/>
      <c r="V725" s="360"/>
      <c r="W725" s="360"/>
      <c r="X725" s="360"/>
      <c r="Y725" s="360"/>
      <c r="Z725" s="360"/>
      <c r="AA725" s="360"/>
      <c r="AB725" s="360"/>
      <c r="AC725" s="360"/>
      <c r="AD725" s="360"/>
      <c r="AE725" s="360"/>
      <c r="AF725" s="360"/>
      <c r="AG725" s="360" t="s">
        <v>1582</v>
      </c>
      <c r="AH725" s="360"/>
      <c r="AI725" s="360"/>
      <c r="AJ725" s="360" t="s">
        <v>1589</v>
      </c>
      <c r="AK725" s="360"/>
      <c r="AL725" s="360" t="s">
        <v>5878</v>
      </c>
      <c r="AM725" s="360"/>
      <c r="AN725" s="360"/>
      <c r="AO725" s="360"/>
      <c r="AP725" s="360"/>
      <c r="AQ725" s="360"/>
      <c r="AR725" s="360"/>
      <c r="AS725" s="360"/>
      <c r="AT725" s="360"/>
      <c r="AU725" s="360" t="s">
        <v>22</v>
      </c>
      <c r="AV725" s="360"/>
      <c r="AW725" s="264"/>
      <c r="AX725" s="264"/>
      <c r="AY725" s="264"/>
      <c r="AZ725" s="264"/>
      <c r="BA725" s="264"/>
      <c r="BB725" s="264"/>
      <c r="BC725" s="264"/>
      <c r="BD725" s="264"/>
      <c r="BE725" s="264"/>
    </row>
    <row r="726">
      <c r="A726" s="264"/>
      <c r="B726" s="264"/>
      <c r="C726" s="264"/>
      <c r="D726" s="264"/>
      <c r="E726" s="264"/>
      <c r="F726" s="264"/>
      <c r="G726" s="264"/>
      <c r="H726" s="264"/>
      <c r="I726" s="264"/>
      <c r="J726" s="264"/>
      <c r="K726" s="264"/>
      <c r="L726" s="264"/>
      <c r="M726" s="264" t="s">
        <v>22</v>
      </c>
      <c r="N726" s="264"/>
      <c r="O726" s="264" t="s">
        <v>22</v>
      </c>
      <c r="P726" s="264"/>
      <c r="Q726" s="264"/>
      <c r="R726" s="264"/>
      <c r="S726" s="264"/>
      <c r="T726" s="264"/>
      <c r="U726" s="360"/>
      <c r="V726" s="360"/>
      <c r="W726" s="360"/>
      <c r="X726" s="360"/>
      <c r="Y726" s="360"/>
      <c r="Z726" s="360"/>
      <c r="AA726" s="360"/>
      <c r="AB726" s="360"/>
      <c r="AC726" s="360"/>
      <c r="AD726" s="360"/>
      <c r="AE726" s="360"/>
      <c r="AF726" s="360"/>
      <c r="AG726" s="360" t="s">
        <v>1582</v>
      </c>
      <c r="AH726" s="360"/>
      <c r="AI726" s="360"/>
      <c r="AJ726" s="360" t="s">
        <v>1589</v>
      </c>
      <c r="AK726" s="360"/>
      <c r="AL726" s="360" t="s">
        <v>5878</v>
      </c>
      <c r="AM726" s="360"/>
      <c r="AN726" s="360"/>
      <c r="AO726" s="360"/>
      <c r="AP726" s="360"/>
      <c r="AQ726" s="360"/>
      <c r="AR726" s="360"/>
      <c r="AS726" s="360"/>
      <c r="AT726" s="360"/>
      <c r="AU726" s="360" t="s">
        <v>22</v>
      </c>
      <c r="AV726" s="360"/>
      <c r="AW726" s="264"/>
      <c r="AX726" s="264"/>
      <c r="AY726" s="264"/>
      <c r="AZ726" s="264"/>
      <c r="BA726" s="264"/>
      <c r="BB726" s="264"/>
      <c r="BC726" s="264"/>
      <c r="BD726" s="264"/>
      <c r="BE726" s="264"/>
    </row>
    <row r="727">
      <c r="A727" s="264"/>
      <c r="B727" s="264"/>
      <c r="C727" s="264"/>
      <c r="D727" s="264"/>
      <c r="E727" s="264"/>
      <c r="F727" s="264"/>
      <c r="G727" s="264"/>
      <c r="H727" s="264"/>
      <c r="I727" s="264"/>
      <c r="J727" s="264"/>
      <c r="K727" s="264"/>
      <c r="L727" s="264"/>
      <c r="M727" s="264" t="s">
        <v>22</v>
      </c>
      <c r="N727" s="264"/>
      <c r="O727" s="264" t="s">
        <v>22</v>
      </c>
      <c r="P727" s="264"/>
      <c r="Q727" s="264"/>
      <c r="R727" s="264"/>
      <c r="S727" s="264"/>
      <c r="T727" s="264"/>
      <c r="U727" s="360"/>
      <c r="V727" s="360"/>
      <c r="W727" s="360"/>
      <c r="X727" s="360"/>
      <c r="Y727" s="360"/>
      <c r="Z727" s="360"/>
      <c r="AA727" s="360"/>
      <c r="AB727" s="360"/>
      <c r="AC727" s="360"/>
      <c r="AD727" s="360"/>
      <c r="AE727" s="360"/>
      <c r="AF727" s="360"/>
      <c r="AG727" s="360" t="s">
        <v>1582</v>
      </c>
      <c r="AH727" s="360"/>
      <c r="AI727" s="360"/>
      <c r="AJ727" s="360" t="s">
        <v>1589</v>
      </c>
      <c r="AK727" s="360"/>
      <c r="AL727" s="360" t="s">
        <v>5878</v>
      </c>
      <c r="AM727" s="360"/>
      <c r="AN727" s="360"/>
      <c r="AO727" s="360"/>
      <c r="AP727" s="360"/>
      <c r="AQ727" s="360"/>
      <c r="AR727" s="360"/>
      <c r="AS727" s="360"/>
      <c r="AT727" s="360"/>
      <c r="AU727" s="360" t="s">
        <v>22</v>
      </c>
      <c r="AV727" s="360"/>
      <c r="AW727" s="264"/>
      <c r="AX727" s="264"/>
      <c r="AY727" s="264"/>
      <c r="AZ727" s="264"/>
      <c r="BA727" s="264"/>
      <c r="BB727" s="264"/>
      <c r="BC727" s="264"/>
      <c r="BD727" s="264"/>
      <c r="BE727" s="264"/>
    </row>
    <row r="728">
      <c r="A728" s="264"/>
      <c r="B728" s="264"/>
      <c r="C728" s="264"/>
      <c r="D728" s="264"/>
      <c r="E728" s="264"/>
      <c r="F728" s="264"/>
      <c r="G728" s="264"/>
      <c r="H728" s="264"/>
      <c r="I728" s="264"/>
      <c r="J728" s="264"/>
      <c r="K728" s="264"/>
      <c r="L728" s="264"/>
      <c r="M728" s="264" t="s">
        <v>22</v>
      </c>
      <c r="N728" s="264"/>
      <c r="O728" s="264" t="s">
        <v>22</v>
      </c>
      <c r="P728" s="264"/>
      <c r="Q728" s="264"/>
      <c r="R728" s="264"/>
      <c r="S728" s="264"/>
      <c r="T728" s="264"/>
      <c r="U728" s="360"/>
      <c r="V728" s="360"/>
      <c r="W728" s="360"/>
      <c r="X728" s="360"/>
      <c r="Y728" s="360"/>
      <c r="Z728" s="360"/>
      <c r="AA728" s="360"/>
      <c r="AB728" s="360"/>
      <c r="AC728" s="360"/>
      <c r="AD728" s="360"/>
      <c r="AE728" s="360"/>
      <c r="AF728" s="360"/>
      <c r="AG728" s="360" t="s">
        <v>1582</v>
      </c>
      <c r="AH728" s="360"/>
      <c r="AI728" s="360"/>
      <c r="AJ728" s="360" t="s">
        <v>1589</v>
      </c>
      <c r="AK728" s="360"/>
      <c r="AL728" s="360" t="s">
        <v>5878</v>
      </c>
      <c r="AM728" s="360"/>
      <c r="AN728" s="360"/>
      <c r="AO728" s="360"/>
      <c r="AP728" s="360"/>
      <c r="AQ728" s="360"/>
      <c r="AR728" s="360"/>
      <c r="AS728" s="360"/>
      <c r="AT728" s="360"/>
      <c r="AU728" s="360" t="s">
        <v>22</v>
      </c>
      <c r="AV728" s="360"/>
      <c r="AW728" s="264"/>
      <c r="AX728" s="264"/>
      <c r="AY728" s="264"/>
      <c r="AZ728" s="264"/>
      <c r="BA728" s="264"/>
      <c r="BB728" s="264"/>
      <c r="BC728" s="264"/>
      <c r="BD728" s="264"/>
      <c r="BE728" s="264"/>
    </row>
    <row r="729">
      <c r="A729" s="264"/>
      <c r="B729" s="264"/>
      <c r="C729" s="264"/>
      <c r="D729" s="264"/>
      <c r="E729" s="264"/>
      <c r="F729" s="264"/>
      <c r="G729" s="264"/>
      <c r="H729" s="264"/>
      <c r="I729" s="264"/>
      <c r="J729" s="264"/>
      <c r="K729" s="264"/>
      <c r="L729" s="264"/>
      <c r="M729" s="264" t="s">
        <v>22</v>
      </c>
      <c r="N729" s="264"/>
      <c r="O729" s="264" t="s">
        <v>22</v>
      </c>
      <c r="P729" s="264"/>
      <c r="Q729" s="264"/>
      <c r="R729" s="264"/>
      <c r="S729" s="264"/>
      <c r="T729" s="264"/>
      <c r="U729" s="360"/>
      <c r="V729" s="360"/>
      <c r="W729" s="360"/>
      <c r="X729" s="360"/>
      <c r="Y729" s="360"/>
      <c r="Z729" s="360"/>
      <c r="AA729" s="360"/>
      <c r="AB729" s="360"/>
      <c r="AC729" s="360"/>
      <c r="AD729" s="360"/>
      <c r="AE729" s="360"/>
      <c r="AF729" s="360"/>
      <c r="AG729" s="360" t="s">
        <v>1582</v>
      </c>
      <c r="AH729" s="360"/>
      <c r="AI729" s="360"/>
      <c r="AJ729" s="360" t="s">
        <v>1589</v>
      </c>
      <c r="AK729" s="360"/>
      <c r="AL729" s="360" t="s">
        <v>5878</v>
      </c>
      <c r="AM729" s="360"/>
      <c r="AN729" s="360"/>
      <c r="AO729" s="360"/>
      <c r="AP729" s="360"/>
      <c r="AQ729" s="360"/>
      <c r="AR729" s="360"/>
      <c r="AS729" s="360"/>
      <c r="AT729" s="360"/>
      <c r="AU729" s="360" t="s">
        <v>22</v>
      </c>
      <c r="AV729" s="360"/>
      <c r="AW729" s="264"/>
      <c r="AX729" s="264"/>
      <c r="AY729" s="264"/>
      <c r="AZ729" s="264"/>
      <c r="BA729" s="264"/>
      <c r="BB729" s="264"/>
      <c r="BC729" s="264"/>
      <c r="BD729" s="264"/>
      <c r="BE729" s="264"/>
    </row>
    <row r="730">
      <c r="A730" s="264"/>
      <c r="B730" s="264"/>
      <c r="C730" s="264"/>
      <c r="D730" s="264"/>
      <c r="E730" s="264"/>
      <c r="F730" s="264"/>
      <c r="G730" s="264"/>
      <c r="H730" s="264"/>
      <c r="I730" s="264"/>
      <c r="J730" s="264"/>
      <c r="K730" s="264"/>
      <c r="L730" s="264"/>
      <c r="M730" s="264" t="s">
        <v>22</v>
      </c>
      <c r="N730" s="264"/>
      <c r="O730" s="264" t="s">
        <v>22</v>
      </c>
      <c r="P730" s="264"/>
      <c r="Q730" s="264"/>
      <c r="R730" s="264"/>
      <c r="S730" s="264"/>
      <c r="T730" s="264"/>
      <c r="U730" s="360"/>
      <c r="V730" s="360"/>
      <c r="W730" s="360"/>
      <c r="X730" s="360"/>
      <c r="Y730" s="360"/>
      <c r="Z730" s="360"/>
      <c r="AA730" s="360"/>
      <c r="AB730" s="360"/>
      <c r="AC730" s="360"/>
      <c r="AD730" s="360"/>
      <c r="AE730" s="360"/>
      <c r="AF730" s="360"/>
      <c r="AG730" s="360" t="s">
        <v>1582</v>
      </c>
      <c r="AH730" s="360"/>
      <c r="AI730" s="360"/>
      <c r="AJ730" s="360" t="s">
        <v>1589</v>
      </c>
      <c r="AK730" s="360"/>
      <c r="AL730" s="360" t="s">
        <v>5878</v>
      </c>
      <c r="AM730" s="360"/>
      <c r="AN730" s="360"/>
      <c r="AO730" s="360"/>
      <c r="AP730" s="360"/>
      <c r="AQ730" s="360"/>
      <c r="AR730" s="360"/>
      <c r="AS730" s="360"/>
      <c r="AT730" s="360"/>
      <c r="AU730" s="360" t="s">
        <v>22</v>
      </c>
      <c r="AV730" s="360"/>
      <c r="AW730" s="264"/>
      <c r="AX730" s="264"/>
      <c r="AY730" s="264"/>
      <c r="AZ730" s="264"/>
      <c r="BA730" s="264"/>
      <c r="BB730" s="264"/>
      <c r="BC730" s="264"/>
      <c r="BD730" s="264"/>
      <c r="BE730" s="264"/>
    </row>
    <row r="731">
      <c r="A731" s="264"/>
      <c r="B731" s="264"/>
      <c r="C731" s="264"/>
      <c r="D731" s="264"/>
      <c r="E731" s="264"/>
      <c r="F731" s="264"/>
      <c r="G731" s="264"/>
      <c r="H731" s="264"/>
      <c r="I731" s="264"/>
      <c r="J731" s="264"/>
      <c r="K731" s="264"/>
      <c r="L731" s="264"/>
      <c r="M731" s="264" t="s">
        <v>22</v>
      </c>
      <c r="N731" s="264"/>
      <c r="O731" s="264" t="s">
        <v>22</v>
      </c>
      <c r="P731" s="264"/>
      <c r="Q731" s="264"/>
      <c r="R731" s="264"/>
      <c r="S731" s="264"/>
      <c r="T731" s="264"/>
      <c r="U731" s="360"/>
      <c r="V731" s="360"/>
      <c r="W731" s="360"/>
      <c r="X731" s="360"/>
      <c r="Y731" s="360"/>
      <c r="Z731" s="360"/>
      <c r="AA731" s="360"/>
      <c r="AB731" s="360"/>
      <c r="AC731" s="360"/>
      <c r="AD731" s="360"/>
      <c r="AE731" s="360"/>
      <c r="AF731" s="360"/>
      <c r="AG731" s="360" t="s">
        <v>1582</v>
      </c>
      <c r="AH731" s="360"/>
      <c r="AI731" s="360"/>
      <c r="AJ731" s="360" t="s">
        <v>1589</v>
      </c>
      <c r="AK731" s="360"/>
      <c r="AL731" s="360" t="s">
        <v>5878</v>
      </c>
      <c r="AM731" s="360"/>
      <c r="AN731" s="360"/>
      <c r="AO731" s="360"/>
      <c r="AP731" s="360"/>
      <c r="AQ731" s="360"/>
      <c r="AR731" s="360"/>
      <c r="AS731" s="360"/>
      <c r="AT731" s="360"/>
      <c r="AU731" s="360" t="s">
        <v>22</v>
      </c>
      <c r="AV731" s="360"/>
      <c r="AW731" s="264"/>
      <c r="AX731" s="264"/>
      <c r="AY731" s="264"/>
      <c r="AZ731" s="264"/>
      <c r="BA731" s="264"/>
      <c r="BB731" s="264"/>
      <c r="BC731" s="264"/>
      <c r="BD731" s="264"/>
      <c r="BE731" s="264"/>
    </row>
    <row r="732">
      <c r="A732" s="264"/>
      <c r="B732" s="264"/>
      <c r="C732" s="264"/>
      <c r="D732" s="264"/>
      <c r="E732" s="264"/>
      <c r="F732" s="264"/>
      <c r="G732" s="264"/>
      <c r="H732" s="264"/>
      <c r="I732" s="264"/>
      <c r="J732" s="264"/>
      <c r="K732" s="264"/>
      <c r="L732" s="264"/>
      <c r="M732" s="264" t="s">
        <v>22</v>
      </c>
      <c r="N732" s="264"/>
      <c r="O732" s="264" t="s">
        <v>22</v>
      </c>
      <c r="P732" s="264"/>
      <c r="Q732" s="264"/>
      <c r="R732" s="264"/>
      <c r="S732" s="264"/>
      <c r="T732" s="264"/>
      <c r="U732" s="360"/>
      <c r="V732" s="360"/>
      <c r="W732" s="360"/>
      <c r="X732" s="360"/>
      <c r="Y732" s="360"/>
      <c r="Z732" s="360"/>
      <c r="AA732" s="360"/>
      <c r="AB732" s="360"/>
      <c r="AC732" s="360"/>
      <c r="AD732" s="360"/>
      <c r="AE732" s="360"/>
      <c r="AF732" s="360"/>
      <c r="AG732" s="360" t="s">
        <v>1582</v>
      </c>
      <c r="AH732" s="360"/>
      <c r="AI732" s="360"/>
      <c r="AJ732" s="360" t="s">
        <v>1589</v>
      </c>
      <c r="AK732" s="360"/>
      <c r="AL732" s="360" t="s">
        <v>5878</v>
      </c>
      <c r="AM732" s="360"/>
      <c r="AN732" s="360"/>
      <c r="AO732" s="360"/>
      <c r="AP732" s="360"/>
      <c r="AQ732" s="360"/>
      <c r="AR732" s="360"/>
      <c r="AS732" s="360"/>
      <c r="AT732" s="360"/>
      <c r="AU732" s="360" t="s">
        <v>22</v>
      </c>
      <c r="AV732" s="360"/>
      <c r="AW732" s="264"/>
      <c r="AX732" s="264"/>
      <c r="AY732" s="264"/>
      <c r="AZ732" s="264"/>
      <c r="BA732" s="264"/>
      <c r="BB732" s="264"/>
      <c r="BC732" s="264"/>
      <c r="BD732" s="264"/>
      <c r="BE732" s="264"/>
    </row>
    <row r="733">
      <c r="A733" s="264"/>
      <c r="B733" s="264"/>
      <c r="C733" s="264"/>
      <c r="D733" s="264"/>
      <c r="E733" s="264"/>
      <c r="F733" s="264"/>
      <c r="G733" s="264"/>
      <c r="H733" s="264"/>
      <c r="I733" s="264"/>
      <c r="J733" s="264"/>
      <c r="K733" s="264"/>
      <c r="L733" s="264"/>
      <c r="M733" s="264" t="s">
        <v>22</v>
      </c>
      <c r="N733" s="264"/>
      <c r="O733" s="264" t="s">
        <v>22</v>
      </c>
      <c r="P733" s="264"/>
      <c r="Q733" s="264"/>
      <c r="R733" s="264"/>
      <c r="S733" s="264"/>
      <c r="T733" s="264"/>
      <c r="U733" s="360"/>
      <c r="V733" s="360"/>
      <c r="W733" s="360"/>
      <c r="X733" s="360"/>
      <c r="Y733" s="360"/>
      <c r="Z733" s="360"/>
      <c r="AA733" s="360"/>
      <c r="AB733" s="360"/>
      <c r="AC733" s="360"/>
      <c r="AD733" s="360"/>
      <c r="AE733" s="360"/>
      <c r="AF733" s="360"/>
      <c r="AG733" s="360" t="s">
        <v>1582</v>
      </c>
      <c r="AH733" s="360"/>
      <c r="AI733" s="360"/>
      <c r="AJ733" s="360" t="s">
        <v>1589</v>
      </c>
      <c r="AK733" s="360"/>
      <c r="AL733" s="360" t="s">
        <v>5878</v>
      </c>
      <c r="AM733" s="360"/>
      <c r="AN733" s="360"/>
      <c r="AO733" s="360"/>
      <c r="AP733" s="360"/>
      <c r="AQ733" s="360"/>
      <c r="AR733" s="360"/>
      <c r="AS733" s="360"/>
      <c r="AT733" s="360"/>
      <c r="AU733" s="360" t="s">
        <v>22</v>
      </c>
      <c r="AV733" s="360"/>
      <c r="AW733" s="264"/>
      <c r="AX733" s="264"/>
      <c r="AY733" s="264"/>
      <c r="AZ733" s="264"/>
      <c r="BA733" s="264"/>
      <c r="BB733" s="264"/>
      <c r="BC733" s="264"/>
      <c r="BD733" s="264"/>
      <c r="BE733" s="264"/>
    </row>
    <row r="734">
      <c r="A734" s="264"/>
      <c r="B734" s="264"/>
      <c r="C734" s="264"/>
      <c r="D734" s="264"/>
      <c r="E734" s="264"/>
      <c r="F734" s="264"/>
      <c r="G734" s="264"/>
      <c r="H734" s="264"/>
      <c r="I734" s="264"/>
      <c r="J734" s="264"/>
      <c r="K734" s="264"/>
      <c r="L734" s="264"/>
      <c r="M734" s="264" t="s">
        <v>22</v>
      </c>
      <c r="N734" s="264"/>
      <c r="O734" s="264" t="s">
        <v>22</v>
      </c>
      <c r="P734" s="264"/>
      <c r="Q734" s="264"/>
      <c r="R734" s="264"/>
      <c r="S734" s="264"/>
      <c r="T734" s="264"/>
      <c r="U734" s="360"/>
      <c r="V734" s="360"/>
      <c r="W734" s="360"/>
      <c r="X734" s="360"/>
      <c r="Y734" s="360"/>
      <c r="Z734" s="360"/>
      <c r="AA734" s="360"/>
      <c r="AB734" s="360"/>
      <c r="AC734" s="360"/>
      <c r="AD734" s="360"/>
      <c r="AE734" s="360"/>
      <c r="AF734" s="360"/>
      <c r="AG734" s="360" t="s">
        <v>1582</v>
      </c>
      <c r="AH734" s="360"/>
      <c r="AI734" s="360"/>
      <c r="AJ734" s="360" t="s">
        <v>1589</v>
      </c>
      <c r="AK734" s="360"/>
      <c r="AL734" s="360" t="s">
        <v>5878</v>
      </c>
      <c r="AM734" s="360"/>
      <c r="AN734" s="360"/>
      <c r="AO734" s="360"/>
      <c r="AP734" s="360"/>
      <c r="AQ734" s="360"/>
      <c r="AR734" s="360"/>
      <c r="AS734" s="360"/>
      <c r="AT734" s="360"/>
      <c r="AU734" s="360" t="s">
        <v>22</v>
      </c>
      <c r="AV734" s="360"/>
      <c r="AW734" s="264"/>
      <c r="AX734" s="264"/>
      <c r="AY734" s="264"/>
      <c r="AZ734" s="264"/>
      <c r="BA734" s="264"/>
      <c r="BB734" s="264"/>
      <c r="BC734" s="264"/>
      <c r="BD734" s="264"/>
      <c r="BE734" s="264"/>
    </row>
    <row r="735">
      <c r="A735" s="264"/>
      <c r="B735" s="264"/>
      <c r="C735" s="264"/>
      <c r="D735" s="264"/>
      <c r="E735" s="264"/>
      <c r="F735" s="264"/>
      <c r="G735" s="264"/>
      <c r="H735" s="264"/>
      <c r="I735" s="264"/>
      <c r="J735" s="264"/>
      <c r="K735" s="264"/>
      <c r="L735" s="264"/>
      <c r="M735" s="264" t="s">
        <v>22</v>
      </c>
      <c r="N735" s="264"/>
      <c r="O735" s="264" t="s">
        <v>22</v>
      </c>
      <c r="P735" s="264"/>
      <c r="Q735" s="264"/>
      <c r="R735" s="264"/>
      <c r="S735" s="264"/>
      <c r="T735" s="264"/>
      <c r="U735" s="360"/>
      <c r="V735" s="360"/>
      <c r="W735" s="360"/>
      <c r="X735" s="360"/>
      <c r="Y735" s="360"/>
      <c r="Z735" s="360"/>
      <c r="AA735" s="360"/>
      <c r="AB735" s="360"/>
      <c r="AC735" s="360"/>
      <c r="AD735" s="360"/>
      <c r="AE735" s="360"/>
      <c r="AF735" s="360"/>
      <c r="AG735" s="360" t="s">
        <v>1582</v>
      </c>
      <c r="AH735" s="360"/>
      <c r="AI735" s="360"/>
      <c r="AJ735" s="360" t="s">
        <v>1589</v>
      </c>
      <c r="AK735" s="360"/>
      <c r="AL735" s="360" t="s">
        <v>5878</v>
      </c>
      <c r="AM735" s="360"/>
      <c r="AN735" s="360"/>
      <c r="AO735" s="360"/>
      <c r="AP735" s="360"/>
      <c r="AQ735" s="360"/>
      <c r="AR735" s="360"/>
      <c r="AS735" s="360"/>
      <c r="AT735" s="360"/>
      <c r="AU735" s="360" t="s">
        <v>22</v>
      </c>
      <c r="AV735" s="360"/>
      <c r="AW735" s="264"/>
      <c r="AX735" s="264"/>
      <c r="AY735" s="264"/>
      <c r="AZ735" s="264"/>
      <c r="BA735" s="264"/>
      <c r="BB735" s="264"/>
      <c r="BC735" s="264"/>
      <c r="BD735" s="264"/>
      <c r="BE735" s="264"/>
    </row>
    <row r="736">
      <c r="A736" s="264"/>
      <c r="B736" s="264"/>
      <c r="C736" s="264"/>
      <c r="D736" s="264"/>
      <c r="E736" s="264"/>
      <c r="F736" s="264"/>
      <c r="G736" s="264"/>
      <c r="H736" s="264"/>
      <c r="I736" s="264"/>
      <c r="J736" s="264"/>
      <c r="K736" s="264"/>
      <c r="L736" s="264"/>
      <c r="M736" s="264" t="s">
        <v>22</v>
      </c>
      <c r="N736" s="264"/>
      <c r="O736" s="264" t="s">
        <v>22</v>
      </c>
      <c r="P736" s="264"/>
      <c r="Q736" s="264"/>
      <c r="R736" s="264"/>
      <c r="S736" s="264"/>
      <c r="T736" s="264"/>
      <c r="U736" s="360"/>
      <c r="V736" s="360"/>
      <c r="W736" s="360"/>
      <c r="X736" s="360"/>
      <c r="Y736" s="360"/>
      <c r="Z736" s="360"/>
      <c r="AA736" s="360"/>
      <c r="AB736" s="360"/>
      <c r="AC736" s="360"/>
      <c r="AD736" s="360"/>
      <c r="AE736" s="360"/>
      <c r="AF736" s="360"/>
      <c r="AG736" s="360" t="s">
        <v>1582</v>
      </c>
      <c r="AH736" s="360"/>
      <c r="AI736" s="360"/>
      <c r="AJ736" s="360" t="s">
        <v>1589</v>
      </c>
      <c r="AK736" s="360"/>
      <c r="AL736" s="360" t="s">
        <v>5878</v>
      </c>
      <c r="AM736" s="360"/>
      <c r="AN736" s="360"/>
      <c r="AO736" s="360"/>
      <c r="AP736" s="360"/>
      <c r="AQ736" s="360"/>
      <c r="AR736" s="360"/>
      <c r="AS736" s="360"/>
      <c r="AT736" s="360"/>
      <c r="AU736" s="360" t="s">
        <v>22</v>
      </c>
      <c r="AV736" s="360"/>
      <c r="AW736" s="264"/>
      <c r="AX736" s="264"/>
      <c r="AY736" s="264"/>
      <c r="AZ736" s="264"/>
      <c r="BA736" s="264"/>
      <c r="BB736" s="264"/>
      <c r="BC736" s="264"/>
      <c r="BD736" s="264"/>
      <c r="BE736" s="264"/>
    </row>
    <row r="737">
      <c r="A737" s="264"/>
      <c r="B737" s="264"/>
      <c r="C737" s="264"/>
      <c r="D737" s="264"/>
      <c r="E737" s="264"/>
      <c r="F737" s="264"/>
      <c r="G737" s="264"/>
      <c r="H737" s="264"/>
      <c r="I737" s="264"/>
      <c r="J737" s="264"/>
      <c r="K737" s="264"/>
      <c r="L737" s="264"/>
      <c r="M737" s="264" t="s">
        <v>22</v>
      </c>
      <c r="N737" s="264"/>
      <c r="O737" s="264" t="s">
        <v>22</v>
      </c>
      <c r="P737" s="264"/>
      <c r="Q737" s="264"/>
      <c r="R737" s="264"/>
      <c r="S737" s="264"/>
      <c r="T737" s="264"/>
      <c r="U737" s="360"/>
      <c r="V737" s="360"/>
      <c r="W737" s="360"/>
      <c r="X737" s="360"/>
      <c r="Y737" s="360"/>
      <c r="Z737" s="360"/>
      <c r="AA737" s="360"/>
      <c r="AB737" s="360"/>
      <c r="AC737" s="360"/>
      <c r="AD737" s="360"/>
      <c r="AE737" s="360"/>
      <c r="AF737" s="360"/>
      <c r="AG737" s="360" t="s">
        <v>1582</v>
      </c>
      <c r="AH737" s="360"/>
      <c r="AI737" s="360"/>
      <c r="AJ737" s="360" t="s">
        <v>1589</v>
      </c>
      <c r="AK737" s="360"/>
      <c r="AL737" s="360" t="s">
        <v>5878</v>
      </c>
      <c r="AM737" s="360"/>
      <c r="AN737" s="360"/>
      <c r="AO737" s="360"/>
      <c r="AP737" s="360"/>
      <c r="AQ737" s="360"/>
      <c r="AR737" s="360"/>
      <c r="AS737" s="360"/>
      <c r="AT737" s="360"/>
      <c r="AU737" s="360" t="s">
        <v>22</v>
      </c>
      <c r="AV737" s="360"/>
      <c r="AW737" s="264"/>
      <c r="AX737" s="264"/>
      <c r="AY737" s="264"/>
      <c r="AZ737" s="264"/>
      <c r="BA737" s="264"/>
      <c r="BB737" s="264"/>
      <c r="BC737" s="264"/>
      <c r="BD737" s="264"/>
      <c r="BE737" s="264"/>
    </row>
    <row r="738">
      <c r="A738" s="264"/>
      <c r="B738" s="264"/>
      <c r="C738" s="264"/>
      <c r="D738" s="264"/>
      <c r="E738" s="264"/>
      <c r="F738" s="264"/>
      <c r="G738" s="264"/>
      <c r="H738" s="264"/>
      <c r="I738" s="264"/>
      <c r="J738" s="264"/>
      <c r="K738" s="264"/>
      <c r="L738" s="264"/>
      <c r="M738" s="264" t="s">
        <v>22</v>
      </c>
      <c r="N738" s="264"/>
      <c r="O738" s="264" t="s">
        <v>22</v>
      </c>
      <c r="P738" s="264"/>
      <c r="Q738" s="264"/>
      <c r="R738" s="264"/>
      <c r="S738" s="264"/>
      <c r="T738" s="264"/>
      <c r="U738" s="360"/>
      <c r="V738" s="360"/>
      <c r="W738" s="360"/>
      <c r="X738" s="360"/>
      <c r="Y738" s="360"/>
      <c r="Z738" s="360"/>
      <c r="AA738" s="360"/>
      <c r="AB738" s="360"/>
      <c r="AC738" s="360"/>
      <c r="AD738" s="360"/>
      <c r="AE738" s="360"/>
      <c r="AF738" s="360"/>
      <c r="AG738" s="360" t="s">
        <v>1582</v>
      </c>
      <c r="AH738" s="360"/>
      <c r="AI738" s="360"/>
      <c r="AJ738" s="360" t="s">
        <v>1589</v>
      </c>
      <c r="AK738" s="360"/>
      <c r="AL738" s="360" t="s">
        <v>5878</v>
      </c>
      <c r="AM738" s="360"/>
      <c r="AN738" s="360"/>
      <c r="AO738" s="360"/>
      <c r="AP738" s="360"/>
      <c r="AQ738" s="360"/>
      <c r="AR738" s="360"/>
      <c r="AS738" s="360"/>
      <c r="AT738" s="360"/>
      <c r="AU738" s="360" t="s">
        <v>22</v>
      </c>
      <c r="AV738" s="360"/>
      <c r="AW738" s="264"/>
      <c r="AX738" s="264"/>
      <c r="AY738" s="264"/>
      <c r="AZ738" s="264"/>
      <c r="BA738" s="264"/>
      <c r="BB738" s="264"/>
      <c r="BC738" s="264"/>
      <c r="BD738" s="264"/>
      <c r="BE738" s="264"/>
    </row>
    <row r="739">
      <c r="A739" s="264"/>
      <c r="B739" s="264"/>
      <c r="C739" s="264"/>
      <c r="D739" s="264"/>
      <c r="E739" s="264"/>
      <c r="F739" s="264"/>
      <c r="G739" s="264"/>
      <c r="H739" s="264"/>
      <c r="I739" s="264"/>
      <c r="J739" s="264"/>
      <c r="K739" s="264"/>
      <c r="L739" s="264"/>
      <c r="M739" s="264" t="s">
        <v>22</v>
      </c>
      <c r="N739" s="264"/>
      <c r="O739" s="264" t="s">
        <v>22</v>
      </c>
      <c r="P739" s="264"/>
      <c r="Q739" s="264"/>
      <c r="R739" s="264"/>
      <c r="S739" s="264"/>
      <c r="T739" s="264"/>
      <c r="U739" s="360"/>
      <c r="V739" s="360"/>
      <c r="W739" s="360"/>
      <c r="X739" s="360"/>
      <c r="Y739" s="360"/>
      <c r="Z739" s="360"/>
      <c r="AA739" s="360"/>
      <c r="AB739" s="360"/>
      <c r="AC739" s="360"/>
      <c r="AD739" s="360"/>
      <c r="AE739" s="360"/>
      <c r="AF739" s="360"/>
      <c r="AG739" s="360" t="s">
        <v>1582</v>
      </c>
      <c r="AH739" s="360"/>
      <c r="AI739" s="360"/>
      <c r="AJ739" s="360" t="s">
        <v>1589</v>
      </c>
      <c r="AK739" s="360"/>
      <c r="AL739" s="360" t="s">
        <v>5878</v>
      </c>
      <c r="AM739" s="360"/>
      <c r="AN739" s="360"/>
      <c r="AO739" s="360"/>
      <c r="AP739" s="360"/>
      <c r="AQ739" s="360"/>
      <c r="AR739" s="360"/>
      <c r="AS739" s="360"/>
      <c r="AT739" s="360"/>
      <c r="AU739" s="360" t="s">
        <v>22</v>
      </c>
      <c r="AV739" s="360"/>
      <c r="AW739" s="264"/>
      <c r="AX739" s="264"/>
      <c r="AY739" s="264"/>
      <c r="AZ739" s="264"/>
      <c r="BA739" s="264"/>
      <c r="BB739" s="264"/>
      <c r="BC739" s="264"/>
      <c r="BD739" s="264"/>
      <c r="BE739" s="264"/>
    </row>
    <row r="740">
      <c r="A740" s="264"/>
      <c r="B740" s="264"/>
      <c r="C740" s="264"/>
      <c r="D740" s="264"/>
      <c r="E740" s="264"/>
      <c r="F740" s="264"/>
      <c r="G740" s="264"/>
      <c r="H740" s="264"/>
      <c r="I740" s="264"/>
      <c r="J740" s="264"/>
      <c r="K740" s="264"/>
      <c r="L740" s="264"/>
      <c r="M740" s="264" t="s">
        <v>22</v>
      </c>
      <c r="N740" s="264"/>
      <c r="O740" s="264" t="s">
        <v>22</v>
      </c>
      <c r="P740" s="264"/>
      <c r="Q740" s="264"/>
      <c r="R740" s="264"/>
      <c r="S740" s="264"/>
      <c r="T740" s="264"/>
      <c r="U740" s="360"/>
      <c r="V740" s="360"/>
      <c r="W740" s="360"/>
      <c r="X740" s="360"/>
      <c r="Y740" s="360"/>
      <c r="Z740" s="360"/>
      <c r="AA740" s="360"/>
      <c r="AB740" s="360"/>
      <c r="AC740" s="360"/>
      <c r="AD740" s="360"/>
      <c r="AE740" s="360"/>
      <c r="AF740" s="360"/>
      <c r="AG740" s="360" t="s">
        <v>1582</v>
      </c>
      <c r="AH740" s="360"/>
      <c r="AI740" s="360"/>
      <c r="AJ740" s="360" t="s">
        <v>1589</v>
      </c>
      <c r="AK740" s="360"/>
      <c r="AL740" s="360" t="s">
        <v>5878</v>
      </c>
      <c r="AM740" s="360"/>
      <c r="AN740" s="360"/>
      <c r="AO740" s="360"/>
      <c r="AP740" s="360"/>
      <c r="AQ740" s="360"/>
      <c r="AR740" s="360"/>
      <c r="AS740" s="360"/>
      <c r="AT740" s="360"/>
      <c r="AU740" s="360" t="s">
        <v>22</v>
      </c>
      <c r="AV740" s="360"/>
      <c r="AW740" s="264"/>
      <c r="AX740" s="264"/>
      <c r="AY740" s="264"/>
      <c r="AZ740" s="264"/>
      <c r="BA740" s="264"/>
      <c r="BB740" s="264"/>
      <c r="BC740" s="264"/>
      <c r="BD740" s="264"/>
      <c r="BE740" s="264"/>
    </row>
    <row r="741">
      <c r="A741" s="264"/>
      <c r="B741" s="264"/>
      <c r="C741" s="264"/>
      <c r="D741" s="264"/>
      <c r="E741" s="264"/>
      <c r="F741" s="264"/>
      <c r="G741" s="264"/>
      <c r="H741" s="264"/>
      <c r="I741" s="264"/>
      <c r="J741" s="264"/>
      <c r="K741" s="264"/>
      <c r="L741" s="264"/>
      <c r="M741" s="264" t="s">
        <v>22</v>
      </c>
      <c r="N741" s="264"/>
      <c r="O741" s="264" t="s">
        <v>22</v>
      </c>
      <c r="P741" s="264"/>
      <c r="Q741" s="264"/>
      <c r="R741" s="264"/>
      <c r="S741" s="264"/>
      <c r="T741" s="264"/>
      <c r="U741" s="360"/>
      <c r="V741" s="360"/>
      <c r="W741" s="360"/>
      <c r="X741" s="360"/>
      <c r="Y741" s="360"/>
      <c r="Z741" s="360"/>
      <c r="AA741" s="360"/>
      <c r="AB741" s="360"/>
      <c r="AC741" s="360"/>
      <c r="AD741" s="360"/>
      <c r="AE741" s="360"/>
      <c r="AF741" s="360"/>
      <c r="AG741" s="360" t="s">
        <v>1582</v>
      </c>
      <c r="AH741" s="360"/>
      <c r="AI741" s="360"/>
      <c r="AJ741" s="360" t="s">
        <v>1589</v>
      </c>
      <c r="AK741" s="360"/>
      <c r="AL741" s="360" t="s">
        <v>5878</v>
      </c>
      <c r="AM741" s="360"/>
      <c r="AN741" s="360"/>
      <c r="AO741" s="360"/>
      <c r="AP741" s="360"/>
      <c r="AQ741" s="360"/>
      <c r="AR741" s="360"/>
      <c r="AS741" s="360"/>
      <c r="AT741" s="360"/>
      <c r="AU741" s="360" t="s">
        <v>22</v>
      </c>
      <c r="AV741" s="360"/>
      <c r="AW741" s="264"/>
      <c r="AX741" s="264"/>
      <c r="AY741" s="264"/>
      <c r="AZ741" s="264"/>
      <c r="BA741" s="264"/>
      <c r="BB741" s="264"/>
      <c r="BC741" s="264"/>
      <c r="BD741" s="264"/>
      <c r="BE741" s="264"/>
    </row>
    <row r="742">
      <c r="A742" s="264"/>
      <c r="B742" s="264"/>
      <c r="C742" s="264"/>
      <c r="D742" s="264"/>
      <c r="E742" s="264"/>
      <c r="F742" s="264"/>
      <c r="G742" s="264"/>
      <c r="H742" s="264"/>
      <c r="I742" s="264"/>
      <c r="J742" s="264"/>
      <c r="K742" s="264"/>
      <c r="L742" s="264"/>
      <c r="M742" s="264" t="s">
        <v>22</v>
      </c>
      <c r="N742" s="264"/>
      <c r="O742" s="264" t="s">
        <v>22</v>
      </c>
      <c r="P742" s="264"/>
      <c r="Q742" s="264"/>
      <c r="R742" s="264"/>
      <c r="S742" s="264"/>
      <c r="T742" s="264"/>
      <c r="U742" s="360"/>
      <c r="V742" s="360"/>
      <c r="W742" s="360"/>
      <c r="X742" s="360"/>
      <c r="Y742" s="360"/>
      <c r="Z742" s="360"/>
      <c r="AA742" s="360"/>
      <c r="AB742" s="360"/>
      <c r="AC742" s="360"/>
      <c r="AD742" s="360"/>
      <c r="AE742" s="360"/>
      <c r="AF742" s="360"/>
      <c r="AG742" s="360" t="s">
        <v>1582</v>
      </c>
      <c r="AH742" s="360"/>
      <c r="AI742" s="360"/>
      <c r="AJ742" s="360" t="s">
        <v>1589</v>
      </c>
      <c r="AK742" s="360"/>
      <c r="AL742" s="360" t="s">
        <v>5878</v>
      </c>
      <c r="AM742" s="360"/>
      <c r="AN742" s="360"/>
      <c r="AO742" s="360"/>
      <c r="AP742" s="360"/>
      <c r="AQ742" s="360"/>
      <c r="AR742" s="360"/>
      <c r="AS742" s="360"/>
      <c r="AT742" s="360"/>
      <c r="AU742" s="360" t="s">
        <v>22</v>
      </c>
      <c r="AV742" s="360"/>
      <c r="AW742" s="264"/>
      <c r="AX742" s="264"/>
      <c r="AY742" s="264"/>
      <c r="AZ742" s="264"/>
      <c r="BA742" s="264"/>
      <c r="BB742" s="264"/>
      <c r="BC742" s="264"/>
      <c r="BD742" s="264"/>
      <c r="BE742" s="264"/>
    </row>
    <row r="743">
      <c r="A743" s="264"/>
      <c r="B743" s="264"/>
      <c r="C743" s="264"/>
      <c r="D743" s="264"/>
      <c r="E743" s="264"/>
      <c r="F743" s="264"/>
      <c r="G743" s="264"/>
      <c r="H743" s="264"/>
      <c r="I743" s="264"/>
      <c r="J743" s="264"/>
      <c r="K743" s="264"/>
      <c r="L743" s="264"/>
      <c r="M743" s="264" t="s">
        <v>22</v>
      </c>
      <c r="N743" s="264"/>
      <c r="O743" s="264" t="s">
        <v>22</v>
      </c>
      <c r="P743" s="264"/>
      <c r="Q743" s="264"/>
      <c r="R743" s="264"/>
      <c r="S743" s="264"/>
      <c r="T743" s="264"/>
      <c r="U743" s="360"/>
      <c r="V743" s="360"/>
      <c r="W743" s="360"/>
      <c r="X743" s="360"/>
      <c r="Y743" s="360"/>
      <c r="Z743" s="360"/>
      <c r="AA743" s="360"/>
      <c r="AB743" s="360"/>
      <c r="AC743" s="360"/>
      <c r="AD743" s="360"/>
      <c r="AE743" s="360"/>
      <c r="AF743" s="360"/>
      <c r="AG743" s="360" t="s">
        <v>1582</v>
      </c>
      <c r="AH743" s="360"/>
      <c r="AI743" s="360"/>
      <c r="AJ743" s="360" t="s">
        <v>1589</v>
      </c>
      <c r="AK743" s="360"/>
      <c r="AL743" s="360" t="s">
        <v>5878</v>
      </c>
      <c r="AM743" s="360"/>
      <c r="AN743" s="360"/>
      <c r="AO743" s="360"/>
      <c r="AP743" s="360"/>
      <c r="AQ743" s="360"/>
      <c r="AR743" s="360"/>
      <c r="AS743" s="360"/>
      <c r="AT743" s="360"/>
      <c r="AU743" s="360" t="s">
        <v>22</v>
      </c>
      <c r="AV743" s="360"/>
      <c r="AW743" s="264"/>
      <c r="AX743" s="264"/>
      <c r="AY743" s="264"/>
      <c r="AZ743" s="264"/>
      <c r="BA743" s="264"/>
      <c r="BB743" s="264"/>
      <c r="BC743" s="264"/>
      <c r="BD743" s="264"/>
      <c r="BE743" s="264"/>
    </row>
    <row r="744">
      <c r="A744" s="264"/>
      <c r="B744" s="264"/>
      <c r="C744" s="264"/>
      <c r="D744" s="264"/>
      <c r="E744" s="264"/>
      <c r="F744" s="264"/>
      <c r="G744" s="264"/>
      <c r="H744" s="264"/>
      <c r="I744" s="264"/>
      <c r="J744" s="264"/>
      <c r="K744" s="264"/>
      <c r="L744" s="264"/>
      <c r="M744" s="264" t="s">
        <v>22</v>
      </c>
      <c r="N744" s="264"/>
      <c r="O744" s="264" t="s">
        <v>22</v>
      </c>
      <c r="P744" s="264"/>
      <c r="Q744" s="264"/>
      <c r="R744" s="264"/>
      <c r="S744" s="264"/>
      <c r="T744" s="264"/>
      <c r="U744" s="360"/>
      <c r="V744" s="360"/>
      <c r="W744" s="360"/>
      <c r="X744" s="360"/>
      <c r="Y744" s="360"/>
      <c r="Z744" s="360"/>
      <c r="AA744" s="360"/>
      <c r="AB744" s="360"/>
      <c r="AC744" s="360"/>
      <c r="AD744" s="360"/>
      <c r="AE744" s="360"/>
      <c r="AF744" s="360"/>
      <c r="AG744" s="360" t="s">
        <v>1582</v>
      </c>
      <c r="AH744" s="360"/>
      <c r="AI744" s="360"/>
      <c r="AJ744" s="360" t="s">
        <v>1589</v>
      </c>
      <c r="AK744" s="360"/>
      <c r="AL744" s="360" t="s">
        <v>5878</v>
      </c>
      <c r="AM744" s="360"/>
      <c r="AN744" s="360"/>
      <c r="AO744" s="360"/>
      <c r="AP744" s="360"/>
      <c r="AQ744" s="360"/>
      <c r="AR744" s="360"/>
      <c r="AS744" s="360"/>
      <c r="AT744" s="360"/>
      <c r="AU744" s="360" t="s">
        <v>22</v>
      </c>
      <c r="AV744" s="360"/>
      <c r="AW744" s="264"/>
      <c r="AX744" s="264"/>
      <c r="AY744" s="264"/>
      <c r="AZ744" s="264"/>
      <c r="BA744" s="264"/>
      <c r="BB744" s="264"/>
      <c r="BC744" s="264"/>
      <c r="BD744" s="264"/>
      <c r="BE744" s="264"/>
    </row>
    <row r="745">
      <c r="A745" s="264"/>
      <c r="B745" s="264"/>
      <c r="C745" s="264"/>
      <c r="D745" s="264"/>
      <c r="E745" s="264"/>
      <c r="F745" s="264"/>
      <c r="G745" s="264"/>
      <c r="H745" s="264"/>
      <c r="I745" s="264"/>
      <c r="J745" s="264"/>
      <c r="K745" s="264"/>
      <c r="L745" s="264"/>
      <c r="M745" s="264" t="s">
        <v>22</v>
      </c>
      <c r="N745" s="264"/>
      <c r="O745" s="264" t="s">
        <v>22</v>
      </c>
      <c r="P745" s="264"/>
      <c r="Q745" s="264"/>
      <c r="R745" s="264"/>
      <c r="S745" s="264"/>
      <c r="T745" s="264"/>
      <c r="U745" s="360"/>
      <c r="V745" s="360"/>
      <c r="W745" s="360"/>
      <c r="X745" s="360"/>
      <c r="Y745" s="360"/>
      <c r="Z745" s="360"/>
      <c r="AA745" s="360"/>
      <c r="AB745" s="360"/>
      <c r="AC745" s="360"/>
      <c r="AD745" s="360"/>
      <c r="AE745" s="360"/>
      <c r="AF745" s="360"/>
      <c r="AG745" s="360" t="s">
        <v>1582</v>
      </c>
      <c r="AH745" s="360"/>
      <c r="AI745" s="360"/>
      <c r="AJ745" s="360" t="s">
        <v>1589</v>
      </c>
      <c r="AK745" s="360"/>
      <c r="AL745" s="360" t="s">
        <v>5878</v>
      </c>
      <c r="AM745" s="360"/>
      <c r="AN745" s="360"/>
      <c r="AO745" s="360"/>
      <c r="AP745" s="360"/>
      <c r="AQ745" s="360"/>
      <c r="AR745" s="360"/>
      <c r="AS745" s="360"/>
      <c r="AT745" s="360"/>
      <c r="AU745" s="360" t="s">
        <v>22</v>
      </c>
      <c r="AV745" s="360"/>
      <c r="AW745" s="264"/>
      <c r="AX745" s="264"/>
      <c r="AY745" s="264"/>
      <c r="AZ745" s="264"/>
      <c r="BA745" s="264"/>
      <c r="BB745" s="264"/>
      <c r="BC745" s="264"/>
      <c r="BD745" s="264"/>
      <c r="BE745" s="264"/>
    </row>
    <row r="746">
      <c r="A746" s="264"/>
      <c r="B746" s="264"/>
      <c r="C746" s="264"/>
      <c r="D746" s="264"/>
      <c r="E746" s="264"/>
      <c r="F746" s="264"/>
      <c r="G746" s="264"/>
      <c r="H746" s="264"/>
      <c r="I746" s="264"/>
      <c r="J746" s="264"/>
      <c r="K746" s="264"/>
      <c r="L746" s="264"/>
      <c r="M746" s="264" t="s">
        <v>22</v>
      </c>
      <c r="N746" s="264"/>
      <c r="O746" s="264" t="s">
        <v>22</v>
      </c>
      <c r="P746" s="264"/>
      <c r="Q746" s="264"/>
      <c r="R746" s="264"/>
      <c r="S746" s="264"/>
      <c r="T746" s="264"/>
      <c r="U746" s="360"/>
      <c r="V746" s="360"/>
      <c r="W746" s="360"/>
      <c r="X746" s="360"/>
      <c r="Y746" s="360"/>
      <c r="Z746" s="360"/>
      <c r="AA746" s="360"/>
      <c r="AB746" s="360"/>
      <c r="AC746" s="360"/>
      <c r="AD746" s="360"/>
      <c r="AE746" s="360"/>
      <c r="AF746" s="360"/>
      <c r="AG746" s="360" t="s">
        <v>1582</v>
      </c>
      <c r="AH746" s="360"/>
      <c r="AI746" s="360"/>
      <c r="AJ746" s="360" t="s">
        <v>1589</v>
      </c>
      <c r="AK746" s="360"/>
      <c r="AL746" s="360" t="s">
        <v>5878</v>
      </c>
      <c r="AM746" s="360"/>
      <c r="AN746" s="360"/>
      <c r="AO746" s="360"/>
      <c r="AP746" s="360"/>
      <c r="AQ746" s="360"/>
      <c r="AR746" s="360"/>
      <c r="AS746" s="360"/>
      <c r="AT746" s="360"/>
      <c r="AU746" s="360" t="s">
        <v>22</v>
      </c>
      <c r="AV746" s="360"/>
      <c r="AW746" s="264"/>
      <c r="AX746" s="264"/>
      <c r="AY746" s="264"/>
      <c r="AZ746" s="264"/>
      <c r="BA746" s="264"/>
      <c r="BB746" s="264"/>
      <c r="BC746" s="264"/>
      <c r="BD746" s="264"/>
      <c r="BE746" s="264"/>
    </row>
    <row r="747">
      <c r="A747" s="264"/>
      <c r="B747" s="264"/>
      <c r="C747" s="264"/>
      <c r="D747" s="264"/>
      <c r="E747" s="264"/>
      <c r="F747" s="264"/>
      <c r="G747" s="264"/>
      <c r="H747" s="264"/>
      <c r="I747" s="264"/>
      <c r="J747" s="264"/>
      <c r="K747" s="264"/>
      <c r="L747" s="264"/>
      <c r="M747" s="264" t="s">
        <v>22</v>
      </c>
      <c r="N747" s="264"/>
      <c r="O747" s="264" t="s">
        <v>22</v>
      </c>
      <c r="P747" s="264"/>
      <c r="Q747" s="264"/>
      <c r="R747" s="264"/>
      <c r="S747" s="264"/>
      <c r="T747" s="264"/>
      <c r="U747" s="360"/>
      <c r="V747" s="360"/>
      <c r="W747" s="360"/>
      <c r="X747" s="360"/>
      <c r="Y747" s="360"/>
      <c r="Z747" s="360"/>
      <c r="AA747" s="360"/>
      <c r="AB747" s="360"/>
      <c r="AC747" s="360"/>
      <c r="AD747" s="360"/>
      <c r="AE747" s="360"/>
      <c r="AF747" s="360"/>
      <c r="AG747" s="360" t="s">
        <v>1582</v>
      </c>
      <c r="AH747" s="360"/>
      <c r="AI747" s="360"/>
      <c r="AJ747" s="360" t="s">
        <v>1589</v>
      </c>
      <c r="AK747" s="360"/>
      <c r="AL747" s="360" t="s">
        <v>5878</v>
      </c>
      <c r="AM747" s="360"/>
      <c r="AN747" s="360"/>
      <c r="AO747" s="360"/>
      <c r="AP747" s="360"/>
      <c r="AQ747" s="360"/>
      <c r="AR747" s="360"/>
      <c r="AS747" s="360"/>
      <c r="AT747" s="360"/>
      <c r="AU747" s="360" t="s">
        <v>22</v>
      </c>
      <c r="AV747" s="360"/>
      <c r="AW747" s="264"/>
      <c r="AX747" s="264"/>
      <c r="AY747" s="264"/>
      <c r="AZ747" s="264"/>
      <c r="BA747" s="264"/>
      <c r="BB747" s="264"/>
      <c r="BC747" s="264"/>
      <c r="BD747" s="264"/>
      <c r="BE747" s="264"/>
    </row>
    <row r="748">
      <c r="A748" s="264"/>
      <c r="B748" s="264"/>
      <c r="C748" s="264"/>
      <c r="D748" s="264"/>
      <c r="E748" s="264"/>
      <c r="F748" s="264"/>
      <c r="G748" s="264"/>
      <c r="H748" s="264"/>
      <c r="I748" s="264"/>
      <c r="J748" s="264"/>
      <c r="K748" s="264"/>
      <c r="L748" s="264"/>
      <c r="M748" s="264" t="s">
        <v>22</v>
      </c>
      <c r="N748" s="264"/>
      <c r="O748" s="264" t="s">
        <v>22</v>
      </c>
      <c r="P748" s="264"/>
      <c r="Q748" s="264"/>
      <c r="R748" s="264"/>
      <c r="S748" s="264"/>
      <c r="T748" s="264"/>
      <c r="U748" s="360"/>
      <c r="V748" s="360"/>
      <c r="W748" s="360"/>
      <c r="X748" s="360"/>
      <c r="Y748" s="360"/>
      <c r="Z748" s="360"/>
      <c r="AA748" s="360"/>
      <c r="AB748" s="360"/>
      <c r="AC748" s="360"/>
      <c r="AD748" s="360"/>
      <c r="AE748" s="360"/>
      <c r="AF748" s="360"/>
      <c r="AG748" s="360" t="s">
        <v>1582</v>
      </c>
      <c r="AH748" s="360"/>
      <c r="AI748" s="360"/>
      <c r="AJ748" s="360" t="s">
        <v>1589</v>
      </c>
      <c r="AK748" s="360"/>
      <c r="AL748" s="360" t="s">
        <v>5878</v>
      </c>
      <c r="AM748" s="360"/>
      <c r="AN748" s="360"/>
      <c r="AO748" s="360"/>
      <c r="AP748" s="360"/>
      <c r="AQ748" s="360"/>
      <c r="AR748" s="360"/>
      <c r="AS748" s="360"/>
      <c r="AT748" s="360"/>
      <c r="AU748" s="360" t="s">
        <v>22</v>
      </c>
      <c r="AV748" s="360"/>
      <c r="AW748" s="264"/>
      <c r="AX748" s="264"/>
      <c r="AY748" s="264"/>
      <c r="AZ748" s="264"/>
      <c r="BA748" s="264"/>
      <c r="BB748" s="264"/>
      <c r="BC748" s="264"/>
      <c r="BD748" s="264"/>
      <c r="BE748" s="264"/>
    </row>
    <row r="749">
      <c r="A749" s="264"/>
      <c r="B749" s="264"/>
      <c r="C749" s="264"/>
      <c r="D749" s="264"/>
      <c r="E749" s="264"/>
      <c r="F749" s="264"/>
      <c r="G749" s="264"/>
      <c r="H749" s="264"/>
      <c r="I749" s="264"/>
      <c r="J749" s="264"/>
      <c r="K749" s="264"/>
      <c r="L749" s="264"/>
      <c r="M749" s="264" t="s">
        <v>22</v>
      </c>
      <c r="N749" s="264"/>
      <c r="O749" s="264" t="s">
        <v>22</v>
      </c>
      <c r="P749" s="264"/>
      <c r="Q749" s="264"/>
      <c r="R749" s="264"/>
      <c r="S749" s="264"/>
      <c r="T749" s="264"/>
      <c r="U749" s="360"/>
      <c r="V749" s="360"/>
      <c r="W749" s="360"/>
      <c r="X749" s="360"/>
      <c r="Y749" s="360"/>
      <c r="Z749" s="360"/>
      <c r="AA749" s="360"/>
      <c r="AB749" s="360"/>
      <c r="AC749" s="360"/>
      <c r="AD749" s="360"/>
      <c r="AE749" s="360"/>
      <c r="AF749" s="360"/>
      <c r="AG749" s="360" t="s">
        <v>1582</v>
      </c>
      <c r="AH749" s="360"/>
      <c r="AI749" s="360"/>
      <c r="AJ749" s="360" t="s">
        <v>1589</v>
      </c>
      <c r="AK749" s="360"/>
      <c r="AL749" s="360" t="s">
        <v>5878</v>
      </c>
      <c r="AM749" s="360"/>
      <c r="AN749" s="360"/>
      <c r="AO749" s="360"/>
      <c r="AP749" s="360"/>
      <c r="AQ749" s="360"/>
      <c r="AR749" s="360"/>
      <c r="AS749" s="360"/>
      <c r="AT749" s="360"/>
      <c r="AU749" s="360" t="s">
        <v>22</v>
      </c>
      <c r="AV749" s="360"/>
      <c r="AW749" s="264"/>
      <c r="AX749" s="264"/>
      <c r="AY749" s="264"/>
      <c r="AZ749" s="264"/>
      <c r="BA749" s="264"/>
      <c r="BB749" s="264"/>
      <c r="BC749" s="264"/>
      <c r="BD749" s="264"/>
      <c r="BE749" s="264"/>
    </row>
    <row r="750">
      <c r="A750" s="264"/>
      <c r="B750" s="264"/>
      <c r="C750" s="264"/>
      <c r="D750" s="264"/>
      <c r="E750" s="264"/>
      <c r="F750" s="264"/>
      <c r="G750" s="264"/>
      <c r="H750" s="264"/>
      <c r="I750" s="264"/>
      <c r="J750" s="264"/>
      <c r="K750" s="264"/>
      <c r="L750" s="264"/>
      <c r="M750" s="264" t="s">
        <v>22</v>
      </c>
      <c r="N750" s="264"/>
      <c r="O750" s="264" t="s">
        <v>22</v>
      </c>
      <c r="P750" s="264"/>
      <c r="Q750" s="264"/>
      <c r="R750" s="264"/>
      <c r="S750" s="264"/>
      <c r="T750" s="264"/>
      <c r="U750" s="360"/>
      <c r="V750" s="360"/>
      <c r="W750" s="360"/>
      <c r="X750" s="360"/>
      <c r="Y750" s="360"/>
      <c r="Z750" s="360"/>
      <c r="AA750" s="360"/>
      <c r="AB750" s="360"/>
      <c r="AC750" s="360"/>
      <c r="AD750" s="360"/>
      <c r="AE750" s="360"/>
      <c r="AF750" s="360"/>
      <c r="AG750" s="360" t="s">
        <v>1582</v>
      </c>
      <c r="AH750" s="360"/>
      <c r="AI750" s="360"/>
      <c r="AJ750" s="360" t="s">
        <v>1589</v>
      </c>
      <c r="AK750" s="360"/>
      <c r="AL750" s="360" t="s">
        <v>5878</v>
      </c>
      <c r="AM750" s="360"/>
      <c r="AN750" s="360"/>
      <c r="AO750" s="360"/>
      <c r="AP750" s="360"/>
      <c r="AQ750" s="360"/>
      <c r="AR750" s="360"/>
      <c r="AS750" s="360"/>
      <c r="AT750" s="360"/>
      <c r="AU750" s="360" t="s">
        <v>22</v>
      </c>
      <c r="AV750" s="360"/>
      <c r="AW750" s="264"/>
      <c r="AX750" s="264"/>
      <c r="AY750" s="264"/>
      <c r="AZ750" s="264"/>
      <c r="BA750" s="264"/>
      <c r="BB750" s="264"/>
      <c r="BC750" s="264"/>
      <c r="BD750" s="264"/>
      <c r="BE750" s="264"/>
    </row>
    <row r="751">
      <c r="A751" s="264"/>
      <c r="B751" s="264"/>
      <c r="C751" s="264"/>
      <c r="D751" s="264"/>
      <c r="E751" s="264"/>
      <c r="F751" s="264"/>
      <c r="G751" s="264"/>
      <c r="H751" s="264"/>
      <c r="I751" s="264"/>
      <c r="J751" s="264"/>
      <c r="K751" s="264"/>
      <c r="L751" s="264"/>
      <c r="M751" s="264" t="s">
        <v>22</v>
      </c>
      <c r="N751" s="264"/>
      <c r="O751" s="264" t="s">
        <v>22</v>
      </c>
      <c r="P751" s="264"/>
      <c r="Q751" s="264"/>
      <c r="R751" s="264"/>
      <c r="S751" s="264"/>
      <c r="T751" s="264"/>
      <c r="U751" s="360"/>
      <c r="V751" s="360"/>
      <c r="W751" s="360"/>
      <c r="X751" s="360"/>
      <c r="Y751" s="360"/>
      <c r="Z751" s="360"/>
      <c r="AA751" s="360"/>
      <c r="AB751" s="360"/>
      <c r="AC751" s="360"/>
      <c r="AD751" s="360"/>
      <c r="AE751" s="360"/>
      <c r="AF751" s="360"/>
      <c r="AG751" s="360" t="s">
        <v>1582</v>
      </c>
      <c r="AH751" s="360"/>
      <c r="AI751" s="360"/>
      <c r="AJ751" s="360" t="s">
        <v>1589</v>
      </c>
      <c r="AK751" s="360"/>
      <c r="AL751" s="360" t="s">
        <v>5878</v>
      </c>
      <c r="AM751" s="360"/>
      <c r="AN751" s="360"/>
      <c r="AO751" s="360"/>
      <c r="AP751" s="360"/>
      <c r="AQ751" s="360"/>
      <c r="AR751" s="360"/>
      <c r="AS751" s="360"/>
      <c r="AT751" s="360"/>
      <c r="AU751" s="360" t="s">
        <v>22</v>
      </c>
      <c r="AV751" s="360"/>
      <c r="AW751" s="264"/>
      <c r="AX751" s="264"/>
      <c r="AY751" s="264"/>
      <c r="AZ751" s="264"/>
      <c r="BA751" s="264"/>
      <c r="BB751" s="264"/>
      <c r="BC751" s="264"/>
      <c r="BD751" s="264"/>
      <c r="BE751" s="264"/>
    </row>
    <row r="752">
      <c r="A752" s="264"/>
      <c r="B752" s="264"/>
      <c r="C752" s="264"/>
      <c r="D752" s="264"/>
      <c r="E752" s="264"/>
      <c r="F752" s="264"/>
      <c r="G752" s="264"/>
      <c r="H752" s="264"/>
      <c r="I752" s="264"/>
      <c r="J752" s="264"/>
      <c r="K752" s="264"/>
      <c r="L752" s="264"/>
      <c r="M752" s="264" t="s">
        <v>22</v>
      </c>
      <c r="N752" s="264"/>
      <c r="O752" s="264" t="s">
        <v>22</v>
      </c>
      <c r="P752" s="264"/>
      <c r="Q752" s="264"/>
      <c r="R752" s="264"/>
      <c r="S752" s="264"/>
      <c r="T752" s="264"/>
      <c r="U752" s="360"/>
      <c r="V752" s="360"/>
      <c r="W752" s="360"/>
      <c r="X752" s="360"/>
      <c r="Y752" s="360"/>
      <c r="Z752" s="360"/>
      <c r="AA752" s="360"/>
      <c r="AB752" s="360"/>
      <c r="AC752" s="360"/>
      <c r="AD752" s="360"/>
      <c r="AE752" s="360"/>
      <c r="AF752" s="360"/>
      <c r="AG752" s="360" t="s">
        <v>1582</v>
      </c>
      <c r="AH752" s="360"/>
      <c r="AI752" s="360"/>
      <c r="AJ752" s="360" t="s">
        <v>1589</v>
      </c>
      <c r="AK752" s="360"/>
      <c r="AL752" s="360" t="s">
        <v>5878</v>
      </c>
      <c r="AM752" s="360"/>
      <c r="AN752" s="360"/>
      <c r="AO752" s="360"/>
      <c r="AP752" s="360"/>
      <c r="AQ752" s="360"/>
      <c r="AR752" s="360"/>
      <c r="AS752" s="360"/>
      <c r="AT752" s="360"/>
      <c r="AU752" s="360" t="s">
        <v>22</v>
      </c>
      <c r="AV752" s="360"/>
      <c r="AW752" s="264"/>
      <c r="AX752" s="264"/>
      <c r="AY752" s="264"/>
      <c r="AZ752" s="264"/>
      <c r="BA752" s="264"/>
      <c r="BB752" s="264"/>
      <c r="BC752" s="264"/>
      <c r="BD752" s="264"/>
      <c r="BE752" s="264"/>
    </row>
    <row r="753">
      <c r="A753" s="264"/>
      <c r="B753" s="264"/>
      <c r="C753" s="264"/>
      <c r="D753" s="264"/>
      <c r="E753" s="264"/>
      <c r="F753" s="264"/>
      <c r="G753" s="264"/>
      <c r="H753" s="264"/>
      <c r="I753" s="264"/>
      <c r="J753" s="264"/>
      <c r="K753" s="264"/>
      <c r="L753" s="264"/>
      <c r="M753" s="264" t="s">
        <v>22</v>
      </c>
      <c r="N753" s="264"/>
      <c r="O753" s="264" t="s">
        <v>22</v>
      </c>
      <c r="P753" s="264"/>
      <c r="Q753" s="264"/>
      <c r="R753" s="264"/>
      <c r="S753" s="264"/>
      <c r="T753" s="264"/>
      <c r="U753" s="360"/>
      <c r="V753" s="360"/>
      <c r="W753" s="360"/>
      <c r="X753" s="360"/>
      <c r="Y753" s="360"/>
      <c r="Z753" s="360"/>
      <c r="AA753" s="360"/>
      <c r="AB753" s="360"/>
      <c r="AC753" s="360"/>
      <c r="AD753" s="360"/>
      <c r="AE753" s="360"/>
      <c r="AF753" s="360"/>
      <c r="AG753" s="360" t="s">
        <v>1582</v>
      </c>
      <c r="AH753" s="360"/>
      <c r="AI753" s="360"/>
      <c r="AJ753" s="360" t="s">
        <v>1589</v>
      </c>
      <c r="AK753" s="360"/>
      <c r="AL753" s="360" t="s">
        <v>5878</v>
      </c>
      <c r="AM753" s="360"/>
      <c r="AN753" s="360"/>
      <c r="AO753" s="360"/>
      <c r="AP753" s="360"/>
      <c r="AQ753" s="360"/>
      <c r="AR753" s="360"/>
      <c r="AS753" s="360"/>
      <c r="AT753" s="360"/>
      <c r="AU753" s="360" t="s">
        <v>22</v>
      </c>
      <c r="AV753" s="360"/>
      <c r="AW753" s="264"/>
      <c r="AX753" s="264"/>
      <c r="AY753" s="264"/>
      <c r="AZ753" s="264"/>
      <c r="BA753" s="264"/>
      <c r="BB753" s="264"/>
      <c r="BC753" s="264"/>
      <c r="BD753" s="264"/>
      <c r="BE753" s="264"/>
    </row>
    <row r="754">
      <c r="A754" s="264"/>
      <c r="B754" s="264"/>
      <c r="C754" s="264"/>
      <c r="D754" s="264"/>
      <c r="E754" s="264"/>
      <c r="F754" s="264"/>
      <c r="G754" s="264"/>
      <c r="H754" s="264"/>
      <c r="I754" s="264"/>
      <c r="J754" s="264"/>
      <c r="K754" s="264"/>
      <c r="L754" s="264"/>
      <c r="M754" s="264" t="s">
        <v>22</v>
      </c>
      <c r="N754" s="264"/>
      <c r="O754" s="264" t="s">
        <v>22</v>
      </c>
      <c r="P754" s="264"/>
      <c r="Q754" s="264"/>
      <c r="R754" s="264"/>
      <c r="S754" s="264"/>
      <c r="T754" s="264"/>
      <c r="U754" s="360"/>
      <c r="V754" s="360"/>
      <c r="W754" s="360"/>
      <c r="X754" s="360"/>
      <c r="Y754" s="360"/>
      <c r="Z754" s="360"/>
      <c r="AA754" s="360"/>
      <c r="AB754" s="360"/>
      <c r="AC754" s="360"/>
      <c r="AD754" s="360"/>
      <c r="AE754" s="360"/>
      <c r="AF754" s="360"/>
      <c r="AG754" s="360" t="s">
        <v>1582</v>
      </c>
      <c r="AH754" s="360"/>
      <c r="AI754" s="360"/>
      <c r="AJ754" s="360" t="s">
        <v>1589</v>
      </c>
      <c r="AK754" s="360"/>
      <c r="AL754" s="360" t="s">
        <v>5878</v>
      </c>
      <c r="AM754" s="360"/>
      <c r="AN754" s="360"/>
      <c r="AO754" s="360"/>
      <c r="AP754" s="360"/>
      <c r="AQ754" s="360"/>
      <c r="AR754" s="360"/>
      <c r="AS754" s="360"/>
      <c r="AT754" s="360"/>
      <c r="AU754" s="360" t="s">
        <v>22</v>
      </c>
      <c r="AV754" s="360"/>
      <c r="AW754" s="264"/>
      <c r="AX754" s="264"/>
      <c r="AY754" s="264"/>
      <c r="AZ754" s="264"/>
      <c r="BA754" s="264"/>
      <c r="BB754" s="264"/>
      <c r="BC754" s="264"/>
      <c r="BD754" s="264"/>
      <c r="BE754" s="264"/>
    </row>
    <row r="755">
      <c r="A755" s="264"/>
      <c r="B755" s="264"/>
      <c r="C755" s="264"/>
      <c r="D755" s="264"/>
      <c r="E755" s="264"/>
      <c r="F755" s="264"/>
      <c r="G755" s="264"/>
      <c r="H755" s="264"/>
      <c r="I755" s="264"/>
      <c r="J755" s="264"/>
      <c r="K755" s="264"/>
      <c r="L755" s="264"/>
      <c r="M755" s="264" t="s">
        <v>22</v>
      </c>
      <c r="N755" s="264"/>
      <c r="O755" s="264" t="s">
        <v>22</v>
      </c>
      <c r="P755" s="264"/>
      <c r="Q755" s="264"/>
      <c r="R755" s="264"/>
      <c r="S755" s="264"/>
      <c r="T755" s="264"/>
      <c r="U755" s="360"/>
      <c r="V755" s="360"/>
      <c r="W755" s="360"/>
      <c r="X755" s="360"/>
      <c r="Y755" s="360"/>
      <c r="Z755" s="360"/>
      <c r="AA755" s="360"/>
      <c r="AB755" s="360"/>
      <c r="AC755" s="360"/>
      <c r="AD755" s="360"/>
      <c r="AE755" s="360"/>
      <c r="AF755" s="360"/>
      <c r="AG755" s="360" t="s">
        <v>1582</v>
      </c>
      <c r="AH755" s="360"/>
      <c r="AI755" s="360"/>
      <c r="AJ755" s="360" t="s">
        <v>1589</v>
      </c>
      <c r="AK755" s="360"/>
      <c r="AL755" s="360" t="s">
        <v>5878</v>
      </c>
      <c r="AM755" s="360"/>
      <c r="AN755" s="360"/>
      <c r="AO755" s="360"/>
      <c r="AP755" s="360"/>
      <c r="AQ755" s="360"/>
      <c r="AR755" s="360"/>
      <c r="AS755" s="360"/>
      <c r="AT755" s="360"/>
      <c r="AU755" s="360" t="s">
        <v>22</v>
      </c>
      <c r="AV755" s="360"/>
      <c r="AW755" s="264"/>
      <c r="AX755" s="264"/>
      <c r="AY755" s="264"/>
      <c r="AZ755" s="264"/>
      <c r="BA755" s="264"/>
      <c r="BB755" s="264"/>
      <c r="BC755" s="264"/>
      <c r="BD755" s="264"/>
      <c r="BE755" s="264"/>
    </row>
    <row r="756">
      <c r="A756" s="264"/>
      <c r="B756" s="264"/>
      <c r="C756" s="264"/>
      <c r="D756" s="264"/>
      <c r="E756" s="264"/>
      <c r="F756" s="264"/>
      <c r="G756" s="264"/>
      <c r="H756" s="264"/>
      <c r="I756" s="264"/>
      <c r="J756" s="264"/>
      <c r="K756" s="264"/>
      <c r="L756" s="264"/>
      <c r="M756" s="264" t="s">
        <v>22</v>
      </c>
      <c r="N756" s="264"/>
      <c r="O756" s="264" t="s">
        <v>22</v>
      </c>
      <c r="P756" s="264"/>
      <c r="Q756" s="264"/>
      <c r="R756" s="264"/>
      <c r="S756" s="264"/>
      <c r="T756" s="264"/>
      <c r="U756" s="360"/>
      <c r="V756" s="360"/>
      <c r="W756" s="360"/>
      <c r="X756" s="360"/>
      <c r="Y756" s="360"/>
      <c r="Z756" s="360"/>
      <c r="AA756" s="360"/>
      <c r="AB756" s="360"/>
      <c r="AC756" s="360"/>
      <c r="AD756" s="360"/>
      <c r="AE756" s="360"/>
      <c r="AF756" s="360"/>
      <c r="AG756" s="360" t="s">
        <v>1582</v>
      </c>
      <c r="AH756" s="360"/>
      <c r="AI756" s="360"/>
      <c r="AJ756" s="360" t="s">
        <v>1589</v>
      </c>
      <c r="AK756" s="360"/>
      <c r="AL756" s="360" t="s">
        <v>5878</v>
      </c>
      <c r="AM756" s="360"/>
      <c r="AN756" s="360"/>
      <c r="AO756" s="360"/>
      <c r="AP756" s="360"/>
      <c r="AQ756" s="360"/>
      <c r="AR756" s="360"/>
      <c r="AS756" s="360"/>
      <c r="AT756" s="360"/>
      <c r="AU756" s="360" t="s">
        <v>22</v>
      </c>
      <c r="AV756" s="360"/>
      <c r="AW756" s="264"/>
      <c r="AX756" s="264"/>
      <c r="AY756" s="264"/>
      <c r="AZ756" s="264"/>
      <c r="BA756" s="264"/>
      <c r="BB756" s="264"/>
      <c r="BC756" s="264"/>
      <c r="BD756" s="264"/>
      <c r="BE756" s="264"/>
    </row>
    <row r="757">
      <c r="A757" s="264"/>
      <c r="B757" s="264"/>
      <c r="C757" s="264"/>
      <c r="D757" s="264"/>
      <c r="E757" s="264"/>
      <c r="F757" s="264"/>
      <c r="G757" s="264"/>
      <c r="H757" s="264"/>
      <c r="I757" s="264"/>
      <c r="J757" s="264"/>
      <c r="K757" s="264"/>
      <c r="L757" s="264"/>
      <c r="M757" s="264" t="s">
        <v>22</v>
      </c>
      <c r="N757" s="264"/>
      <c r="O757" s="264" t="s">
        <v>22</v>
      </c>
      <c r="P757" s="264"/>
      <c r="Q757" s="264"/>
      <c r="R757" s="264"/>
      <c r="S757" s="264"/>
      <c r="T757" s="264"/>
      <c r="U757" s="360"/>
      <c r="V757" s="360"/>
      <c r="W757" s="360"/>
      <c r="X757" s="360"/>
      <c r="Y757" s="360"/>
      <c r="Z757" s="360"/>
      <c r="AA757" s="360"/>
      <c r="AB757" s="360"/>
      <c r="AC757" s="360"/>
      <c r="AD757" s="360"/>
      <c r="AE757" s="360"/>
      <c r="AF757" s="360"/>
      <c r="AG757" s="360" t="s">
        <v>1582</v>
      </c>
      <c r="AH757" s="360"/>
      <c r="AI757" s="360"/>
      <c r="AJ757" s="360" t="s">
        <v>1589</v>
      </c>
      <c r="AK757" s="360"/>
      <c r="AL757" s="360" t="s">
        <v>5878</v>
      </c>
      <c r="AM757" s="360"/>
      <c r="AN757" s="360"/>
      <c r="AO757" s="360"/>
      <c r="AP757" s="360"/>
      <c r="AQ757" s="360"/>
      <c r="AR757" s="360"/>
      <c r="AS757" s="360"/>
      <c r="AT757" s="360"/>
      <c r="AU757" s="360" t="s">
        <v>22</v>
      </c>
      <c r="AV757" s="360"/>
      <c r="AW757" s="264"/>
      <c r="AX757" s="264"/>
      <c r="AY757" s="264"/>
      <c r="AZ757" s="264"/>
      <c r="BA757" s="264"/>
      <c r="BB757" s="264"/>
      <c r="BC757" s="264"/>
      <c r="BD757" s="264"/>
      <c r="BE757" s="264"/>
    </row>
    <row r="758">
      <c r="A758" s="264"/>
      <c r="B758" s="264"/>
      <c r="C758" s="264"/>
      <c r="D758" s="264"/>
      <c r="E758" s="264"/>
      <c r="F758" s="264"/>
      <c r="G758" s="264"/>
      <c r="H758" s="264"/>
      <c r="I758" s="264"/>
      <c r="J758" s="264"/>
      <c r="K758" s="264"/>
      <c r="L758" s="264"/>
      <c r="M758" s="264" t="s">
        <v>22</v>
      </c>
      <c r="N758" s="264"/>
      <c r="O758" s="264" t="s">
        <v>22</v>
      </c>
      <c r="P758" s="264"/>
      <c r="Q758" s="264"/>
      <c r="R758" s="264"/>
      <c r="S758" s="264"/>
      <c r="T758" s="264"/>
      <c r="U758" s="360"/>
      <c r="V758" s="360"/>
      <c r="W758" s="360"/>
      <c r="X758" s="360"/>
      <c r="Y758" s="360"/>
      <c r="Z758" s="360"/>
      <c r="AA758" s="360"/>
      <c r="AB758" s="360"/>
      <c r="AC758" s="360"/>
      <c r="AD758" s="360"/>
      <c r="AE758" s="360"/>
      <c r="AF758" s="360"/>
      <c r="AG758" s="360" t="s">
        <v>1582</v>
      </c>
      <c r="AH758" s="360"/>
      <c r="AI758" s="360"/>
      <c r="AJ758" s="360" t="s">
        <v>1589</v>
      </c>
      <c r="AK758" s="360"/>
      <c r="AL758" s="360" t="s">
        <v>5878</v>
      </c>
      <c r="AM758" s="360"/>
      <c r="AN758" s="360"/>
      <c r="AO758" s="360"/>
      <c r="AP758" s="360"/>
      <c r="AQ758" s="360"/>
      <c r="AR758" s="360"/>
      <c r="AS758" s="360"/>
      <c r="AT758" s="360"/>
      <c r="AU758" s="360" t="s">
        <v>22</v>
      </c>
      <c r="AV758" s="360"/>
      <c r="AW758" s="264"/>
      <c r="AX758" s="264"/>
      <c r="AY758" s="264"/>
      <c r="AZ758" s="264"/>
      <c r="BA758" s="264"/>
      <c r="BB758" s="264"/>
      <c r="BC758" s="264"/>
      <c r="BD758" s="264"/>
      <c r="BE758" s="264"/>
    </row>
    <row r="759">
      <c r="A759" s="264"/>
      <c r="B759" s="264"/>
      <c r="C759" s="264"/>
      <c r="D759" s="264"/>
      <c r="E759" s="264"/>
      <c r="F759" s="264"/>
      <c r="G759" s="264"/>
      <c r="H759" s="264"/>
      <c r="I759" s="264"/>
      <c r="J759" s="264"/>
      <c r="K759" s="264"/>
      <c r="L759" s="264"/>
      <c r="M759" s="264" t="s">
        <v>22</v>
      </c>
      <c r="N759" s="264"/>
      <c r="O759" s="264" t="s">
        <v>22</v>
      </c>
      <c r="P759" s="264"/>
      <c r="Q759" s="264"/>
      <c r="R759" s="264"/>
      <c r="S759" s="264"/>
      <c r="T759" s="264"/>
      <c r="U759" s="360"/>
      <c r="V759" s="360"/>
      <c r="W759" s="360"/>
      <c r="X759" s="360"/>
      <c r="Y759" s="360"/>
      <c r="Z759" s="360"/>
      <c r="AA759" s="360"/>
      <c r="AB759" s="360"/>
      <c r="AC759" s="360"/>
      <c r="AD759" s="360"/>
      <c r="AE759" s="360"/>
      <c r="AF759" s="360"/>
      <c r="AG759" s="360" t="s">
        <v>1582</v>
      </c>
      <c r="AH759" s="360"/>
      <c r="AI759" s="360"/>
      <c r="AJ759" s="360" t="s">
        <v>1589</v>
      </c>
      <c r="AK759" s="360"/>
      <c r="AL759" s="360" t="s">
        <v>5878</v>
      </c>
      <c r="AM759" s="360"/>
      <c r="AN759" s="360"/>
      <c r="AO759" s="360"/>
      <c r="AP759" s="360"/>
      <c r="AQ759" s="360"/>
      <c r="AR759" s="360"/>
      <c r="AS759" s="360"/>
      <c r="AT759" s="360"/>
      <c r="AU759" s="360" t="s">
        <v>22</v>
      </c>
      <c r="AV759" s="360"/>
      <c r="AW759" s="264"/>
      <c r="AX759" s="264"/>
      <c r="AY759" s="264"/>
      <c r="AZ759" s="264"/>
      <c r="BA759" s="264"/>
      <c r="BB759" s="264"/>
      <c r="BC759" s="264"/>
      <c r="BD759" s="264"/>
      <c r="BE759" s="264"/>
    </row>
    <row r="760">
      <c r="A760" s="264"/>
      <c r="B760" s="264"/>
      <c r="C760" s="264"/>
      <c r="D760" s="264"/>
      <c r="E760" s="264"/>
      <c r="F760" s="264"/>
      <c r="G760" s="264"/>
      <c r="H760" s="264"/>
      <c r="I760" s="264"/>
      <c r="J760" s="264"/>
      <c r="K760" s="264"/>
      <c r="L760" s="264"/>
      <c r="M760" s="264" t="s">
        <v>22</v>
      </c>
      <c r="N760" s="264"/>
      <c r="O760" s="264" t="s">
        <v>22</v>
      </c>
      <c r="P760" s="264"/>
      <c r="Q760" s="264"/>
      <c r="R760" s="264"/>
      <c r="S760" s="264"/>
      <c r="T760" s="264"/>
      <c r="U760" s="360"/>
      <c r="V760" s="360"/>
      <c r="W760" s="360"/>
      <c r="X760" s="360"/>
      <c r="Y760" s="360"/>
      <c r="Z760" s="360"/>
      <c r="AA760" s="360"/>
      <c r="AB760" s="360"/>
      <c r="AC760" s="360"/>
      <c r="AD760" s="360"/>
      <c r="AE760" s="360"/>
      <c r="AF760" s="360"/>
      <c r="AG760" s="360" t="s">
        <v>1582</v>
      </c>
      <c r="AH760" s="360"/>
      <c r="AI760" s="360"/>
      <c r="AJ760" s="360" t="s">
        <v>1589</v>
      </c>
      <c r="AK760" s="360"/>
      <c r="AL760" s="360" t="s">
        <v>5878</v>
      </c>
      <c r="AM760" s="360"/>
      <c r="AN760" s="360"/>
      <c r="AO760" s="360"/>
      <c r="AP760" s="360"/>
      <c r="AQ760" s="360"/>
      <c r="AR760" s="360"/>
      <c r="AS760" s="360"/>
      <c r="AT760" s="360"/>
      <c r="AU760" s="360" t="s">
        <v>22</v>
      </c>
      <c r="AV760" s="360"/>
      <c r="AW760" s="264"/>
      <c r="AX760" s="264"/>
      <c r="AY760" s="264"/>
      <c r="AZ760" s="264"/>
      <c r="BA760" s="264"/>
      <c r="BB760" s="264"/>
      <c r="BC760" s="264"/>
      <c r="BD760" s="264"/>
      <c r="BE760" s="264"/>
    </row>
    <row r="761">
      <c r="A761" s="264"/>
      <c r="B761" s="264"/>
      <c r="C761" s="264"/>
      <c r="D761" s="264"/>
      <c r="E761" s="264"/>
      <c r="F761" s="264"/>
      <c r="G761" s="264"/>
      <c r="H761" s="264"/>
      <c r="I761" s="264"/>
      <c r="J761" s="264"/>
      <c r="K761" s="264"/>
      <c r="L761" s="264"/>
      <c r="M761" s="264" t="s">
        <v>22</v>
      </c>
      <c r="N761" s="264"/>
      <c r="O761" s="264" t="s">
        <v>22</v>
      </c>
      <c r="P761" s="264"/>
      <c r="Q761" s="264"/>
      <c r="R761" s="264"/>
      <c r="S761" s="264"/>
      <c r="T761" s="264"/>
      <c r="U761" s="360"/>
      <c r="V761" s="360"/>
      <c r="W761" s="360"/>
      <c r="X761" s="360"/>
      <c r="Y761" s="360"/>
      <c r="Z761" s="360"/>
      <c r="AA761" s="360"/>
      <c r="AB761" s="360"/>
      <c r="AC761" s="360"/>
      <c r="AD761" s="360"/>
      <c r="AE761" s="360"/>
      <c r="AF761" s="360"/>
      <c r="AG761" s="360" t="s">
        <v>1582</v>
      </c>
      <c r="AH761" s="360"/>
      <c r="AI761" s="360"/>
      <c r="AJ761" s="360" t="s">
        <v>1589</v>
      </c>
      <c r="AK761" s="360"/>
      <c r="AL761" s="360" t="s">
        <v>5878</v>
      </c>
      <c r="AM761" s="360"/>
      <c r="AN761" s="360"/>
      <c r="AO761" s="360"/>
      <c r="AP761" s="360"/>
      <c r="AQ761" s="360"/>
      <c r="AR761" s="360"/>
      <c r="AS761" s="360"/>
      <c r="AT761" s="360"/>
      <c r="AU761" s="360" t="s">
        <v>22</v>
      </c>
      <c r="AV761" s="360"/>
      <c r="AW761" s="264"/>
      <c r="AX761" s="264"/>
      <c r="AY761" s="264"/>
      <c r="AZ761" s="264"/>
      <c r="BA761" s="264"/>
      <c r="BB761" s="264"/>
      <c r="BC761" s="264"/>
      <c r="BD761" s="264"/>
      <c r="BE761" s="264"/>
    </row>
    <row r="762">
      <c r="A762" s="264"/>
      <c r="B762" s="264"/>
      <c r="C762" s="264"/>
      <c r="D762" s="264"/>
      <c r="E762" s="264"/>
      <c r="F762" s="264"/>
      <c r="G762" s="264"/>
      <c r="H762" s="264"/>
      <c r="I762" s="264"/>
      <c r="J762" s="264"/>
      <c r="K762" s="264"/>
      <c r="L762" s="264"/>
      <c r="M762" s="264" t="s">
        <v>22</v>
      </c>
      <c r="N762" s="264"/>
      <c r="O762" s="264" t="s">
        <v>22</v>
      </c>
      <c r="P762" s="264"/>
      <c r="Q762" s="264"/>
      <c r="R762" s="264"/>
      <c r="S762" s="264"/>
      <c r="T762" s="264"/>
      <c r="U762" s="360"/>
      <c r="V762" s="360"/>
      <c r="W762" s="360"/>
      <c r="X762" s="360"/>
      <c r="Y762" s="360"/>
      <c r="Z762" s="360"/>
      <c r="AA762" s="360"/>
      <c r="AB762" s="360"/>
      <c r="AC762" s="360"/>
      <c r="AD762" s="360"/>
      <c r="AE762" s="360"/>
      <c r="AF762" s="360"/>
      <c r="AG762" s="360" t="s">
        <v>1582</v>
      </c>
      <c r="AH762" s="360"/>
      <c r="AI762" s="360"/>
      <c r="AJ762" s="360" t="s">
        <v>1589</v>
      </c>
      <c r="AK762" s="360"/>
      <c r="AL762" s="360" t="s">
        <v>5878</v>
      </c>
      <c r="AM762" s="360"/>
      <c r="AN762" s="360"/>
      <c r="AO762" s="360"/>
      <c r="AP762" s="360"/>
      <c r="AQ762" s="360"/>
      <c r="AR762" s="360"/>
      <c r="AS762" s="360"/>
      <c r="AT762" s="360"/>
      <c r="AU762" s="360" t="s">
        <v>22</v>
      </c>
      <c r="AV762" s="360"/>
      <c r="AW762" s="264"/>
      <c r="AX762" s="264"/>
      <c r="AY762" s="264"/>
      <c r="AZ762" s="264"/>
      <c r="BA762" s="264"/>
      <c r="BB762" s="264"/>
      <c r="BC762" s="264"/>
      <c r="BD762" s="264"/>
      <c r="BE762" s="264"/>
    </row>
    <row r="763">
      <c r="A763" s="264"/>
      <c r="B763" s="264"/>
      <c r="C763" s="264"/>
      <c r="D763" s="264"/>
      <c r="E763" s="264"/>
      <c r="F763" s="264"/>
      <c r="G763" s="264"/>
      <c r="H763" s="264"/>
      <c r="I763" s="264"/>
      <c r="J763" s="264"/>
      <c r="K763" s="264"/>
      <c r="L763" s="264"/>
      <c r="M763" s="264" t="s">
        <v>22</v>
      </c>
      <c r="N763" s="264"/>
      <c r="O763" s="264" t="s">
        <v>22</v>
      </c>
      <c r="P763" s="264"/>
      <c r="Q763" s="264"/>
      <c r="R763" s="264"/>
      <c r="S763" s="264"/>
      <c r="T763" s="264"/>
      <c r="U763" s="360"/>
      <c r="V763" s="360"/>
      <c r="W763" s="360"/>
      <c r="X763" s="360"/>
      <c r="Y763" s="360"/>
      <c r="Z763" s="360"/>
      <c r="AA763" s="360"/>
      <c r="AB763" s="360"/>
      <c r="AC763" s="360"/>
      <c r="AD763" s="360"/>
      <c r="AE763" s="360"/>
      <c r="AF763" s="360"/>
      <c r="AG763" s="360" t="s">
        <v>1582</v>
      </c>
      <c r="AH763" s="360"/>
      <c r="AI763" s="360"/>
      <c r="AJ763" s="360" t="s">
        <v>1589</v>
      </c>
      <c r="AK763" s="360"/>
      <c r="AL763" s="360" t="s">
        <v>5878</v>
      </c>
      <c r="AM763" s="360"/>
      <c r="AN763" s="360"/>
      <c r="AO763" s="360"/>
      <c r="AP763" s="360"/>
      <c r="AQ763" s="360"/>
      <c r="AR763" s="360"/>
      <c r="AS763" s="360"/>
      <c r="AT763" s="360"/>
      <c r="AU763" s="360" t="s">
        <v>22</v>
      </c>
      <c r="AV763" s="360"/>
      <c r="AW763" s="264"/>
      <c r="AX763" s="264"/>
      <c r="AY763" s="264"/>
      <c r="AZ763" s="264"/>
      <c r="BA763" s="264"/>
      <c r="BB763" s="264"/>
      <c r="BC763" s="264"/>
      <c r="BD763" s="264"/>
      <c r="BE763" s="264"/>
    </row>
    <row r="764">
      <c r="A764" s="264"/>
      <c r="B764" s="264"/>
      <c r="C764" s="264"/>
      <c r="D764" s="264"/>
      <c r="E764" s="264"/>
      <c r="F764" s="264"/>
      <c r="G764" s="264"/>
      <c r="H764" s="264"/>
      <c r="I764" s="264"/>
      <c r="J764" s="264"/>
      <c r="K764" s="264"/>
      <c r="L764" s="264"/>
      <c r="M764" s="264" t="s">
        <v>22</v>
      </c>
      <c r="N764" s="264"/>
      <c r="O764" s="264" t="s">
        <v>22</v>
      </c>
      <c r="P764" s="264"/>
      <c r="Q764" s="264"/>
      <c r="R764" s="264"/>
      <c r="S764" s="264"/>
      <c r="T764" s="264"/>
      <c r="U764" s="360"/>
      <c r="V764" s="360"/>
      <c r="W764" s="360"/>
      <c r="X764" s="360"/>
      <c r="Y764" s="360"/>
      <c r="Z764" s="360"/>
      <c r="AA764" s="360"/>
      <c r="AB764" s="360"/>
      <c r="AC764" s="360"/>
      <c r="AD764" s="360"/>
      <c r="AE764" s="360"/>
      <c r="AF764" s="360"/>
      <c r="AG764" s="360" t="s">
        <v>1582</v>
      </c>
      <c r="AH764" s="360"/>
      <c r="AI764" s="360"/>
      <c r="AJ764" s="360" t="s">
        <v>1589</v>
      </c>
      <c r="AK764" s="360"/>
      <c r="AL764" s="360" t="s">
        <v>5878</v>
      </c>
      <c r="AM764" s="360"/>
      <c r="AN764" s="360"/>
      <c r="AO764" s="360"/>
      <c r="AP764" s="360"/>
      <c r="AQ764" s="360"/>
      <c r="AR764" s="360"/>
      <c r="AS764" s="360"/>
      <c r="AT764" s="360"/>
      <c r="AU764" s="360" t="s">
        <v>22</v>
      </c>
      <c r="AV764" s="360"/>
      <c r="AW764" s="264"/>
      <c r="AX764" s="264"/>
      <c r="AY764" s="264"/>
      <c r="AZ764" s="264"/>
      <c r="BA764" s="264"/>
      <c r="BB764" s="264"/>
      <c r="BC764" s="264"/>
      <c r="BD764" s="264"/>
      <c r="BE764" s="264"/>
    </row>
    <row r="765">
      <c r="A765" s="264"/>
      <c r="B765" s="264"/>
      <c r="C765" s="264"/>
      <c r="D765" s="264"/>
      <c r="E765" s="264"/>
      <c r="F765" s="264"/>
      <c r="G765" s="264"/>
      <c r="H765" s="264"/>
      <c r="I765" s="264"/>
      <c r="J765" s="264"/>
      <c r="K765" s="264"/>
      <c r="L765" s="264"/>
      <c r="M765" s="264" t="s">
        <v>22</v>
      </c>
      <c r="N765" s="264"/>
      <c r="O765" s="264" t="s">
        <v>22</v>
      </c>
      <c r="P765" s="264"/>
      <c r="Q765" s="264"/>
      <c r="R765" s="264"/>
      <c r="S765" s="264"/>
      <c r="T765" s="264"/>
      <c r="U765" s="360"/>
      <c r="V765" s="360"/>
      <c r="W765" s="360"/>
      <c r="X765" s="360"/>
      <c r="Y765" s="360"/>
      <c r="Z765" s="360"/>
      <c r="AA765" s="360"/>
      <c r="AB765" s="360"/>
      <c r="AC765" s="360"/>
      <c r="AD765" s="360"/>
      <c r="AE765" s="360"/>
      <c r="AF765" s="360"/>
      <c r="AG765" s="360" t="s">
        <v>1582</v>
      </c>
      <c r="AH765" s="360"/>
      <c r="AI765" s="360"/>
      <c r="AJ765" s="360" t="s">
        <v>1589</v>
      </c>
      <c r="AK765" s="360"/>
      <c r="AL765" s="360" t="s">
        <v>5878</v>
      </c>
      <c r="AM765" s="360"/>
      <c r="AN765" s="360"/>
      <c r="AO765" s="360"/>
      <c r="AP765" s="360"/>
      <c r="AQ765" s="360"/>
      <c r="AR765" s="360"/>
      <c r="AS765" s="360"/>
      <c r="AT765" s="360"/>
      <c r="AU765" s="360" t="s">
        <v>22</v>
      </c>
      <c r="AV765" s="360"/>
      <c r="AW765" s="264"/>
      <c r="AX765" s="264"/>
      <c r="AY765" s="264"/>
      <c r="AZ765" s="264"/>
      <c r="BA765" s="264"/>
      <c r="BB765" s="264"/>
      <c r="BC765" s="264"/>
      <c r="BD765" s="264"/>
      <c r="BE765" s="264"/>
    </row>
    <row r="766">
      <c r="A766" s="264"/>
      <c r="B766" s="264"/>
      <c r="C766" s="264"/>
      <c r="D766" s="264"/>
      <c r="E766" s="264"/>
      <c r="F766" s="264"/>
      <c r="G766" s="264"/>
      <c r="H766" s="264"/>
      <c r="I766" s="264"/>
      <c r="J766" s="264"/>
      <c r="K766" s="264"/>
      <c r="L766" s="264"/>
      <c r="M766" s="264" t="s">
        <v>22</v>
      </c>
      <c r="N766" s="264"/>
      <c r="O766" s="264" t="s">
        <v>22</v>
      </c>
      <c r="P766" s="264"/>
      <c r="Q766" s="264"/>
      <c r="R766" s="264"/>
      <c r="S766" s="264"/>
      <c r="T766" s="264"/>
      <c r="U766" s="360"/>
      <c r="V766" s="360"/>
      <c r="W766" s="360"/>
      <c r="X766" s="360"/>
      <c r="Y766" s="360"/>
      <c r="Z766" s="360"/>
      <c r="AA766" s="360"/>
      <c r="AB766" s="360"/>
      <c r="AC766" s="360"/>
      <c r="AD766" s="360"/>
      <c r="AE766" s="360"/>
      <c r="AF766" s="360"/>
      <c r="AG766" s="360" t="s">
        <v>1582</v>
      </c>
      <c r="AH766" s="360"/>
      <c r="AI766" s="360"/>
      <c r="AJ766" s="360" t="s">
        <v>1589</v>
      </c>
      <c r="AK766" s="360"/>
      <c r="AL766" s="360" t="s">
        <v>5878</v>
      </c>
      <c r="AM766" s="360"/>
      <c r="AN766" s="360"/>
      <c r="AO766" s="360"/>
      <c r="AP766" s="360"/>
      <c r="AQ766" s="360"/>
      <c r="AR766" s="360"/>
      <c r="AS766" s="360"/>
      <c r="AT766" s="360"/>
      <c r="AU766" s="360" t="s">
        <v>22</v>
      </c>
      <c r="AV766" s="360"/>
      <c r="AW766" s="264"/>
      <c r="AX766" s="264"/>
      <c r="AY766" s="264"/>
      <c r="AZ766" s="264"/>
      <c r="BA766" s="264"/>
      <c r="BB766" s="264"/>
      <c r="BC766" s="264"/>
      <c r="BD766" s="264"/>
      <c r="BE766" s="264"/>
    </row>
    <row r="767">
      <c r="A767" s="264"/>
      <c r="B767" s="264"/>
      <c r="C767" s="264"/>
      <c r="D767" s="264"/>
      <c r="E767" s="264"/>
      <c r="F767" s="264"/>
      <c r="G767" s="264"/>
      <c r="H767" s="264"/>
      <c r="I767" s="264"/>
      <c r="J767" s="264"/>
      <c r="K767" s="264"/>
      <c r="L767" s="264"/>
      <c r="M767" s="264" t="s">
        <v>22</v>
      </c>
      <c r="N767" s="264"/>
      <c r="O767" s="264" t="s">
        <v>22</v>
      </c>
      <c r="P767" s="264"/>
      <c r="Q767" s="264"/>
      <c r="R767" s="264"/>
      <c r="S767" s="264"/>
      <c r="T767" s="264"/>
      <c r="U767" s="360"/>
      <c r="V767" s="360"/>
      <c r="W767" s="360"/>
      <c r="X767" s="360"/>
      <c r="Y767" s="360"/>
      <c r="Z767" s="360"/>
      <c r="AA767" s="360"/>
      <c r="AB767" s="360"/>
      <c r="AC767" s="360"/>
      <c r="AD767" s="360"/>
      <c r="AE767" s="360"/>
      <c r="AF767" s="360"/>
      <c r="AG767" s="360" t="s">
        <v>1582</v>
      </c>
      <c r="AH767" s="360"/>
      <c r="AI767" s="360"/>
      <c r="AJ767" s="360" t="s">
        <v>1589</v>
      </c>
      <c r="AK767" s="360"/>
      <c r="AL767" s="360" t="s">
        <v>5878</v>
      </c>
      <c r="AM767" s="360"/>
      <c r="AN767" s="360"/>
      <c r="AO767" s="360"/>
      <c r="AP767" s="360"/>
      <c r="AQ767" s="360"/>
      <c r="AR767" s="360"/>
      <c r="AS767" s="360"/>
      <c r="AT767" s="360"/>
      <c r="AU767" s="360" t="s">
        <v>22</v>
      </c>
      <c r="AV767" s="360"/>
      <c r="AW767" s="264"/>
      <c r="AX767" s="264"/>
      <c r="AY767" s="264"/>
      <c r="AZ767" s="264"/>
      <c r="BA767" s="264"/>
      <c r="BB767" s="264"/>
      <c r="BC767" s="264"/>
      <c r="BD767" s="264"/>
      <c r="BE767" s="264"/>
    </row>
    <row r="768">
      <c r="A768" s="264"/>
      <c r="B768" s="264"/>
      <c r="C768" s="264"/>
      <c r="D768" s="264"/>
      <c r="E768" s="264"/>
      <c r="F768" s="264"/>
      <c r="G768" s="264"/>
      <c r="H768" s="264"/>
      <c r="I768" s="264"/>
      <c r="J768" s="264"/>
      <c r="K768" s="264"/>
      <c r="L768" s="264"/>
      <c r="M768" s="264" t="s">
        <v>22</v>
      </c>
      <c r="N768" s="264"/>
      <c r="O768" s="264" t="s">
        <v>22</v>
      </c>
      <c r="P768" s="264"/>
      <c r="Q768" s="264"/>
      <c r="R768" s="264"/>
      <c r="S768" s="264"/>
      <c r="T768" s="264"/>
      <c r="U768" s="360"/>
      <c r="V768" s="360"/>
      <c r="W768" s="360"/>
      <c r="X768" s="360"/>
      <c r="Y768" s="360"/>
      <c r="Z768" s="360"/>
      <c r="AA768" s="360"/>
      <c r="AB768" s="360"/>
      <c r="AC768" s="360"/>
      <c r="AD768" s="360"/>
      <c r="AE768" s="360"/>
      <c r="AF768" s="360"/>
      <c r="AG768" s="360" t="s">
        <v>1582</v>
      </c>
      <c r="AH768" s="360"/>
      <c r="AI768" s="360"/>
      <c r="AJ768" s="360" t="s">
        <v>1589</v>
      </c>
      <c r="AK768" s="360"/>
      <c r="AL768" s="360" t="s">
        <v>5878</v>
      </c>
      <c r="AM768" s="360"/>
      <c r="AN768" s="360"/>
      <c r="AO768" s="360"/>
      <c r="AP768" s="360"/>
      <c r="AQ768" s="360"/>
      <c r="AR768" s="360"/>
      <c r="AS768" s="360"/>
      <c r="AT768" s="360"/>
      <c r="AU768" s="360" t="s">
        <v>22</v>
      </c>
      <c r="AV768" s="360"/>
      <c r="AW768" s="264"/>
      <c r="AX768" s="264"/>
      <c r="AY768" s="264"/>
      <c r="AZ768" s="264"/>
      <c r="BA768" s="264"/>
      <c r="BB768" s="264"/>
      <c r="BC768" s="264"/>
      <c r="BD768" s="264"/>
      <c r="BE768" s="264"/>
    </row>
    <row r="769">
      <c r="A769" s="264"/>
      <c r="B769" s="264"/>
      <c r="C769" s="264"/>
      <c r="D769" s="264"/>
      <c r="E769" s="264"/>
      <c r="F769" s="264"/>
      <c r="G769" s="264"/>
      <c r="H769" s="264"/>
      <c r="I769" s="264"/>
      <c r="J769" s="264"/>
      <c r="K769" s="264"/>
      <c r="L769" s="264"/>
      <c r="M769" s="264" t="s">
        <v>22</v>
      </c>
      <c r="N769" s="264"/>
      <c r="O769" s="264" t="s">
        <v>22</v>
      </c>
      <c r="P769" s="264"/>
      <c r="Q769" s="264"/>
      <c r="R769" s="264"/>
      <c r="S769" s="264"/>
      <c r="T769" s="264"/>
      <c r="U769" s="360"/>
      <c r="V769" s="360"/>
      <c r="W769" s="360"/>
      <c r="X769" s="360"/>
      <c r="Y769" s="360"/>
      <c r="Z769" s="360"/>
      <c r="AA769" s="360"/>
      <c r="AB769" s="360"/>
      <c r="AC769" s="360"/>
      <c r="AD769" s="360"/>
      <c r="AE769" s="360"/>
      <c r="AF769" s="360"/>
      <c r="AG769" s="360" t="s">
        <v>1582</v>
      </c>
      <c r="AH769" s="360"/>
      <c r="AI769" s="360"/>
      <c r="AJ769" s="360" t="s">
        <v>1589</v>
      </c>
      <c r="AK769" s="360"/>
      <c r="AL769" s="360" t="s">
        <v>5878</v>
      </c>
      <c r="AM769" s="360"/>
      <c r="AN769" s="360"/>
      <c r="AO769" s="360"/>
      <c r="AP769" s="360"/>
      <c r="AQ769" s="360"/>
      <c r="AR769" s="360"/>
      <c r="AS769" s="360"/>
      <c r="AT769" s="360"/>
      <c r="AU769" s="360" t="s">
        <v>22</v>
      </c>
      <c r="AV769" s="360"/>
      <c r="AW769" s="264"/>
      <c r="AX769" s="264"/>
      <c r="AY769" s="264"/>
      <c r="AZ769" s="264"/>
      <c r="BA769" s="264"/>
      <c r="BB769" s="264"/>
      <c r="BC769" s="264"/>
      <c r="BD769" s="264"/>
      <c r="BE769" s="264"/>
    </row>
    <row r="770">
      <c r="A770" s="264"/>
      <c r="B770" s="264"/>
      <c r="C770" s="264"/>
      <c r="D770" s="264"/>
      <c r="E770" s="264"/>
      <c r="F770" s="264"/>
      <c r="G770" s="264"/>
      <c r="H770" s="264"/>
      <c r="I770" s="264"/>
      <c r="J770" s="264"/>
      <c r="K770" s="264"/>
      <c r="L770" s="264"/>
      <c r="M770" s="264" t="s">
        <v>22</v>
      </c>
      <c r="N770" s="264"/>
      <c r="O770" s="264" t="s">
        <v>22</v>
      </c>
      <c r="P770" s="264"/>
      <c r="Q770" s="264"/>
      <c r="R770" s="264"/>
      <c r="S770" s="264"/>
      <c r="T770" s="264"/>
      <c r="U770" s="360"/>
      <c r="V770" s="360"/>
      <c r="W770" s="360"/>
      <c r="X770" s="360"/>
      <c r="Y770" s="360"/>
      <c r="Z770" s="360"/>
      <c r="AA770" s="360"/>
      <c r="AB770" s="360"/>
      <c r="AC770" s="360"/>
      <c r="AD770" s="360"/>
      <c r="AE770" s="360"/>
      <c r="AF770" s="360"/>
      <c r="AG770" s="360" t="s">
        <v>1582</v>
      </c>
      <c r="AH770" s="360"/>
      <c r="AI770" s="360"/>
      <c r="AJ770" s="360" t="s">
        <v>1589</v>
      </c>
      <c r="AK770" s="360"/>
      <c r="AL770" s="360" t="s">
        <v>5878</v>
      </c>
      <c r="AM770" s="360"/>
      <c r="AN770" s="360"/>
      <c r="AO770" s="360"/>
      <c r="AP770" s="360"/>
      <c r="AQ770" s="360"/>
      <c r="AR770" s="360"/>
      <c r="AS770" s="360"/>
      <c r="AT770" s="360"/>
      <c r="AU770" s="360" t="s">
        <v>22</v>
      </c>
      <c r="AV770" s="360"/>
      <c r="AW770" s="264"/>
      <c r="AX770" s="264"/>
      <c r="AY770" s="264"/>
      <c r="AZ770" s="264"/>
      <c r="BA770" s="264"/>
      <c r="BB770" s="264"/>
      <c r="BC770" s="264"/>
      <c r="BD770" s="264"/>
      <c r="BE770" s="264"/>
    </row>
    <row r="771">
      <c r="A771" s="264"/>
      <c r="B771" s="264"/>
      <c r="C771" s="264"/>
      <c r="D771" s="264"/>
      <c r="E771" s="264"/>
      <c r="F771" s="264"/>
      <c r="G771" s="264"/>
      <c r="H771" s="264"/>
      <c r="I771" s="264"/>
      <c r="J771" s="264"/>
      <c r="K771" s="264"/>
      <c r="L771" s="264"/>
      <c r="M771" s="264" t="s">
        <v>22</v>
      </c>
      <c r="N771" s="264"/>
      <c r="O771" s="264" t="s">
        <v>22</v>
      </c>
      <c r="P771" s="264"/>
      <c r="Q771" s="264"/>
      <c r="R771" s="264"/>
      <c r="S771" s="264"/>
      <c r="T771" s="264"/>
      <c r="U771" s="360"/>
      <c r="V771" s="360"/>
      <c r="W771" s="360"/>
      <c r="X771" s="360"/>
      <c r="Y771" s="360"/>
      <c r="Z771" s="360"/>
      <c r="AA771" s="360"/>
      <c r="AB771" s="360"/>
      <c r="AC771" s="360"/>
      <c r="AD771" s="360"/>
      <c r="AE771" s="360"/>
      <c r="AF771" s="360"/>
      <c r="AG771" s="360" t="s">
        <v>1582</v>
      </c>
      <c r="AH771" s="360"/>
      <c r="AI771" s="360"/>
      <c r="AJ771" s="360" t="s">
        <v>1589</v>
      </c>
      <c r="AK771" s="360"/>
      <c r="AL771" s="360" t="s">
        <v>5878</v>
      </c>
      <c r="AM771" s="360"/>
      <c r="AN771" s="360"/>
      <c r="AO771" s="360"/>
      <c r="AP771" s="360"/>
      <c r="AQ771" s="360"/>
      <c r="AR771" s="360"/>
      <c r="AS771" s="360"/>
      <c r="AT771" s="360"/>
      <c r="AU771" s="360" t="s">
        <v>22</v>
      </c>
      <c r="AV771" s="360"/>
      <c r="AW771" s="264"/>
      <c r="AX771" s="264"/>
      <c r="AY771" s="264"/>
      <c r="AZ771" s="264"/>
      <c r="BA771" s="264"/>
      <c r="BB771" s="264"/>
      <c r="BC771" s="264"/>
      <c r="BD771" s="264"/>
      <c r="BE771" s="264"/>
    </row>
    <row r="772">
      <c r="A772" s="264"/>
      <c r="B772" s="264"/>
      <c r="C772" s="264"/>
      <c r="D772" s="264"/>
      <c r="E772" s="264"/>
      <c r="F772" s="264"/>
      <c r="G772" s="264"/>
      <c r="H772" s="264"/>
      <c r="I772" s="264"/>
      <c r="J772" s="264"/>
      <c r="K772" s="264"/>
      <c r="L772" s="264"/>
      <c r="M772" s="264" t="s">
        <v>22</v>
      </c>
      <c r="N772" s="264"/>
      <c r="O772" s="264" t="s">
        <v>22</v>
      </c>
      <c r="P772" s="264"/>
      <c r="Q772" s="264"/>
      <c r="R772" s="264"/>
      <c r="S772" s="264"/>
      <c r="T772" s="264"/>
      <c r="U772" s="360"/>
      <c r="V772" s="360"/>
      <c r="W772" s="360"/>
      <c r="X772" s="360"/>
      <c r="Y772" s="360"/>
      <c r="Z772" s="360"/>
      <c r="AA772" s="360"/>
      <c r="AB772" s="360"/>
      <c r="AC772" s="360"/>
      <c r="AD772" s="360"/>
      <c r="AE772" s="360"/>
      <c r="AF772" s="360"/>
      <c r="AG772" s="360" t="s">
        <v>1582</v>
      </c>
      <c r="AH772" s="360"/>
      <c r="AI772" s="360"/>
      <c r="AJ772" s="360" t="s">
        <v>1589</v>
      </c>
      <c r="AK772" s="360"/>
      <c r="AL772" s="360" t="s">
        <v>5878</v>
      </c>
      <c r="AM772" s="360"/>
      <c r="AN772" s="360"/>
      <c r="AO772" s="360"/>
      <c r="AP772" s="360"/>
      <c r="AQ772" s="360"/>
      <c r="AR772" s="360"/>
      <c r="AS772" s="360"/>
      <c r="AT772" s="360"/>
      <c r="AU772" s="360" t="s">
        <v>22</v>
      </c>
      <c r="AV772" s="360"/>
      <c r="AW772" s="264"/>
      <c r="AX772" s="264"/>
      <c r="AY772" s="264"/>
      <c r="AZ772" s="264"/>
      <c r="BA772" s="264"/>
      <c r="BB772" s="264"/>
      <c r="BC772" s="264"/>
      <c r="BD772" s="264"/>
      <c r="BE772" s="264"/>
    </row>
    <row r="773">
      <c r="A773" s="264"/>
      <c r="B773" s="264"/>
      <c r="C773" s="264"/>
      <c r="D773" s="264"/>
      <c r="E773" s="264"/>
      <c r="F773" s="264"/>
      <c r="G773" s="264"/>
      <c r="H773" s="264"/>
      <c r="I773" s="264"/>
      <c r="J773" s="264"/>
      <c r="K773" s="264"/>
      <c r="L773" s="264"/>
      <c r="M773" s="264" t="s">
        <v>22</v>
      </c>
      <c r="N773" s="264"/>
      <c r="O773" s="264" t="s">
        <v>22</v>
      </c>
      <c r="P773" s="264"/>
      <c r="Q773" s="264"/>
      <c r="R773" s="264"/>
      <c r="S773" s="264"/>
      <c r="T773" s="264"/>
      <c r="U773" s="360"/>
      <c r="V773" s="360"/>
      <c r="W773" s="360"/>
      <c r="X773" s="360"/>
      <c r="Y773" s="360"/>
      <c r="Z773" s="360"/>
      <c r="AA773" s="360"/>
      <c r="AB773" s="360"/>
      <c r="AC773" s="360"/>
      <c r="AD773" s="360"/>
      <c r="AE773" s="360"/>
      <c r="AF773" s="360"/>
      <c r="AG773" s="360" t="s">
        <v>1582</v>
      </c>
      <c r="AH773" s="360"/>
      <c r="AI773" s="360"/>
      <c r="AJ773" s="360" t="s">
        <v>1589</v>
      </c>
      <c r="AK773" s="360"/>
      <c r="AL773" s="360" t="s">
        <v>5878</v>
      </c>
      <c r="AM773" s="360"/>
      <c r="AN773" s="360"/>
      <c r="AO773" s="360"/>
      <c r="AP773" s="360"/>
      <c r="AQ773" s="360"/>
      <c r="AR773" s="360"/>
      <c r="AS773" s="360"/>
      <c r="AT773" s="360"/>
      <c r="AU773" s="360" t="s">
        <v>22</v>
      </c>
      <c r="AV773" s="360"/>
      <c r="AW773" s="264"/>
      <c r="AX773" s="264"/>
      <c r="AY773" s="264"/>
      <c r="AZ773" s="264"/>
      <c r="BA773" s="264"/>
      <c r="BB773" s="264"/>
      <c r="BC773" s="264"/>
      <c r="BD773" s="264"/>
      <c r="BE773" s="264"/>
    </row>
    <row r="774">
      <c r="A774" s="264"/>
      <c r="B774" s="264"/>
      <c r="C774" s="264"/>
      <c r="D774" s="264"/>
      <c r="E774" s="264"/>
      <c r="F774" s="264"/>
      <c r="G774" s="264"/>
      <c r="H774" s="264"/>
      <c r="I774" s="264"/>
      <c r="J774" s="264"/>
      <c r="K774" s="264"/>
      <c r="L774" s="264"/>
      <c r="M774" s="264" t="s">
        <v>22</v>
      </c>
      <c r="N774" s="264"/>
      <c r="O774" s="264" t="s">
        <v>22</v>
      </c>
      <c r="P774" s="264"/>
      <c r="Q774" s="264"/>
      <c r="R774" s="264"/>
      <c r="S774" s="264"/>
      <c r="T774" s="264"/>
      <c r="U774" s="360"/>
      <c r="V774" s="360"/>
      <c r="W774" s="360"/>
      <c r="X774" s="360"/>
      <c r="Y774" s="360"/>
      <c r="Z774" s="360"/>
      <c r="AA774" s="360"/>
      <c r="AB774" s="360"/>
      <c r="AC774" s="360"/>
      <c r="AD774" s="360"/>
      <c r="AE774" s="360"/>
      <c r="AF774" s="360"/>
      <c r="AG774" s="360" t="s">
        <v>1582</v>
      </c>
      <c r="AH774" s="360"/>
      <c r="AI774" s="360"/>
      <c r="AJ774" s="360" t="s">
        <v>1589</v>
      </c>
      <c r="AK774" s="360"/>
      <c r="AL774" s="360" t="s">
        <v>5878</v>
      </c>
      <c r="AM774" s="360"/>
      <c r="AN774" s="360"/>
      <c r="AO774" s="360"/>
      <c r="AP774" s="360"/>
      <c r="AQ774" s="360"/>
      <c r="AR774" s="360"/>
      <c r="AS774" s="360"/>
      <c r="AT774" s="360"/>
      <c r="AU774" s="360" t="s">
        <v>22</v>
      </c>
      <c r="AV774" s="360"/>
      <c r="AW774" s="264"/>
      <c r="AX774" s="264"/>
      <c r="AY774" s="264"/>
      <c r="AZ774" s="264"/>
      <c r="BA774" s="264"/>
      <c r="BB774" s="264"/>
      <c r="BC774" s="264"/>
      <c r="BD774" s="264"/>
      <c r="BE774" s="264"/>
    </row>
    <row r="775">
      <c r="A775" s="264"/>
      <c r="B775" s="264"/>
      <c r="C775" s="264"/>
      <c r="D775" s="264"/>
      <c r="E775" s="264"/>
      <c r="F775" s="264"/>
      <c r="G775" s="264"/>
      <c r="H775" s="264"/>
      <c r="I775" s="264"/>
      <c r="J775" s="264"/>
      <c r="K775" s="264"/>
      <c r="L775" s="264"/>
      <c r="M775" s="264" t="s">
        <v>22</v>
      </c>
      <c r="N775" s="264"/>
      <c r="O775" s="264" t="s">
        <v>22</v>
      </c>
      <c r="P775" s="264"/>
      <c r="Q775" s="264"/>
      <c r="R775" s="264"/>
      <c r="S775" s="264"/>
      <c r="T775" s="264"/>
      <c r="U775" s="360"/>
      <c r="V775" s="360"/>
      <c r="W775" s="360"/>
      <c r="X775" s="360"/>
      <c r="Y775" s="360"/>
      <c r="Z775" s="360"/>
      <c r="AA775" s="360"/>
      <c r="AB775" s="360"/>
      <c r="AC775" s="360"/>
      <c r="AD775" s="360"/>
      <c r="AE775" s="360"/>
      <c r="AF775" s="360"/>
      <c r="AG775" s="360" t="s">
        <v>1582</v>
      </c>
      <c r="AH775" s="360"/>
      <c r="AI775" s="360"/>
      <c r="AJ775" s="360" t="s">
        <v>1589</v>
      </c>
      <c r="AK775" s="360"/>
      <c r="AL775" s="360" t="s">
        <v>5878</v>
      </c>
      <c r="AM775" s="360"/>
      <c r="AN775" s="360"/>
      <c r="AO775" s="360"/>
      <c r="AP775" s="360"/>
      <c r="AQ775" s="360"/>
      <c r="AR775" s="360"/>
      <c r="AS775" s="360"/>
      <c r="AT775" s="360"/>
      <c r="AU775" s="360" t="s">
        <v>22</v>
      </c>
      <c r="AV775" s="360"/>
      <c r="AW775" s="264"/>
      <c r="AX775" s="264"/>
      <c r="AY775" s="264"/>
      <c r="AZ775" s="264"/>
      <c r="BA775" s="264"/>
      <c r="BB775" s="264"/>
      <c r="BC775" s="264"/>
      <c r="BD775" s="264"/>
      <c r="BE775" s="264"/>
    </row>
    <row r="776">
      <c r="A776" s="264"/>
      <c r="B776" s="264"/>
      <c r="C776" s="264"/>
      <c r="D776" s="264"/>
      <c r="E776" s="264"/>
      <c r="F776" s="264"/>
      <c r="G776" s="264"/>
      <c r="H776" s="264"/>
      <c r="I776" s="264"/>
      <c r="J776" s="264"/>
      <c r="K776" s="264"/>
      <c r="L776" s="264"/>
      <c r="M776" s="264" t="s">
        <v>22</v>
      </c>
      <c r="N776" s="264"/>
      <c r="O776" s="264" t="s">
        <v>22</v>
      </c>
      <c r="P776" s="264"/>
      <c r="Q776" s="264"/>
      <c r="R776" s="264"/>
      <c r="S776" s="264"/>
      <c r="T776" s="264"/>
      <c r="U776" s="360"/>
      <c r="V776" s="360"/>
      <c r="W776" s="360"/>
      <c r="X776" s="360"/>
      <c r="Y776" s="360"/>
      <c r="Z776" s="360"/>
      <c r="AA776" s="360"/>
      <c r="AB776" s="360"/>
      <c r="AC776" s="360"/>
      <c r="AD776" s="360"/>
      <c r="AE776" s="360"/>
      <c r="AF776" s="360"/>
      <c r="AG776" s="360" t="s">
        <v>1582</v>
      </c>
      <c r="AH776" s="360"/>
      <c r="AI776" s="360"/>
      <c r="AJ776" s="360" t="s">
        <v>1589</v>
      </c>
      <c r="AK776" s="360"/>
      <c r="AL776" s="360" t="s">
        <v>5878</v>
      </c>
      <c r="AM776" s="360"/>
      <c r="AN776" s="360"/>
      <c r="AO776" s="360"/>
      <c r="AP776" s="360"/>
      <c r="AQ776" s="360"/>
      <c r="AR776" s="360"/>
      <c r="AS776" s="360"/>
      <c r="AT776" s="360"/>
      <c r="AU776" s="360" t="s">
        <v>22</v>
      </c>
      <c r="AV776" s="360"/>
      <c r="AW776" s="264"/>
      <c r="AX776" s="264"/>
      <c r="AY776" s="264"/>
      <c r="AZ776" s="264"/>
      <c r="BA776" s="264"/>
      <c r="BB776" s="264"/>
      <c r="BC776" s="264"/>
      <c r="BD776" s="264"/>
      <c r="BE776" s="264"/>
    </row>
    <row r="777">
      <c r="A777" s="264"/>
      <c r="B777" s="264"/>
      <c r="C777" s="264"/>
      <c r="D777" s="264"/>
      <c r="E777" s="264"/>
      <c r="F777" s="264"/>
      <c r="G777" s="264"/>
      <c r="H777" s="264"/>
      <c r="I777" s="264"/>
      <c r="J777" s="264"/>
      <c r="K777" s="264"/>
      <c r="L777" s="264"/>
      <c r="M777" s="264" t="s">
        <v>22</v>
      </c>
      <c r="N777" s="264"/>
      <c r="O777" s="264" t="s">
        <v>22</v>
      </c>
      <c r="P777" s="264"/>
      <c r="Q777" s="264"/>
      <c r="R777" s="264"/>
      <c r="S777" s="264"/>
      <c r="T777" s="264"/>
      <c r="U777" s="360"/>
      <c r="V777" s="360"/>
      <c r="W777" s="360"/>
      <c r="X777" s="360"/>
      <c r="Y777" s="360"/>
      <c r="Z777" s="360"/>
      <c r="AA777" s="360"/>
      <c r="AB777" s="360"/>
      <c r="AC777" s="360"/>
      <c r="AD777" s="360"/>
      <c r="AE777" s="360"/>
      <c r="AF777" s="360"/>
      <c r="AG777" s="360" t="s">
        <v>1582</v>
      </c>
      <c r="AH777" s="360"/>
      <c r="AI777" s="360"/>
      <c r="AJ777" s="360" t="s">
        <v>1589</v>
      </c>
      <c r="AK777" s="360"/>
      <c r="AL777" s="360" t="s">
        <v>5878</v>
      </c>
      <c r="AM777" s="360"/>
      <c r="AN777" s="360"/>
      <c r="AO777" s="360"/>
      <c r="AP777" s="360"/>
      <c r="AQ777" s="360"/>
      <c r="AR777" s="360"/>
      <c r="AS777" s="360"/>
      <c r="AT777" s="360"/>
      <c r="AU777" s="360" t="s">
        <v>22</v>
      </c>
      <c r="AV777" s="360"/>
      <c r="AW777" s="264"/>
      <c r="AX777" s="264"/>
      <c r="AY777" s="264"/>
      <c r="AZ777" s="264"/>
      <c r="BA777" s="264"/>
      <c r="BB777" s="264"/>
      <c r="BC777" s="264"/>
      <c r="BD777" s="264"/>
      <c r="BE777" s="264"/>
    </row>
    <row r="778">
      <c r="A778" s="264"/>
      <c r="B778" s="264"/>
      <c r="C778" s="264"/>
      <c r="D778" s="264"/>
      <c r="E778" s="264"/>
      <c r="F778" s="264"/>
      <c r="G778" s="264"/>
      <c r="H778" s="264"/>
      <c r="I778" s="264"/>
      <c r="J778" s="264"/>
      <c r="K778" s="264"/>
      <c r="L778" s="264"/>
      <c r="M778" s="264" t="s">
        <v>22</v>
      </c>
      <c r="N778" s="264"/>
      <c r="O778" s="264" t="s">
        <v>22</v>
      </c>
      <c r="P778" s="264"/>
      <c r="Q778" s="264"/>
      <c r="R778" s="264"/>
      <c r="S778" s="264"/>
      <c r="T778" s="264"/>
      <c r="U778" s="360"/>
      <c r="V778" s="360"/>
      <c r="W778" s="360"/>
      <c r="X778" s="360"/>
      <c r="Y778" s="360"/>
      <c r="Z778" s="360"/>
      <c r="AA778" s="360"/>
      <c r="AB778" s="360"/>
      <c r="AC778" s="360"/>
      <c r="AD778" s="360"/>
      <c r="AE778" s="360"/>
      <c r="AF778" s="360"/>
      <c r="AG778" s="360" t="s">
        <v>1582</v>
      </c>
      <c r="AH778" s="360"/>
      <c r="AI778" s="360"/>
      <c r="AJ778" s="360" t="s">
        <v>1589</v>
      </c>
      <c r="AK778" s="360"/>
      <c r="AL778" s="360" t="s">
        <v>5878</v>
      </c>
      <c r="AM778" s="360"/>
      <c r="AN778" s="360"/>
      <c r="AO778" s="360"/>
      <c r="AP778" s="360"/>
      <c r="AQ778" s="360"/>
      <c r="AR778" s="360"/>
      <c r="AS778" s="360"/>
      <c r="AT778" s="360"/>
      <c r="AU778" s="360" t="s">
        <v>22</v>
      </c>
      <c r="AV778" s="360"/>
      <c r="AW778" s="264"/>
      <c r="AX778" s="264"/>
      <c r="AY778" s="264"/>
      <c r="AZ778" s="264"/>
      <c r="BA778" s="264"/>
      <c r="BB778" s="264"/>
      <c r="BC778" s="264"/>
      <c r="BD778" s="264"/>
      <c r="BE778" s="264"/>
    </row>
    <row r="779">
      <c r="A779" s="264"/>
      <c r="B779" s="264"/>
      <c r="C779" s="264"/>
      <c r="D779" s="264"/>
      <c r="E779" s="264"/>
      <c r="F779" s="264"/>
      <c r="G779" s="264"/>
      <c r="H779" s="264"/>
      <c r="I779" s="264"/>
      <c r="J779" s="264"/>
      <c r="K779" s="264"/>
      <c r="L779" s="264"/>
      <c r="M779" s="264" t="s">
        <v>22</v>
      </c>
      <c r="N779" s="264"/>
      <c r="O779" s="264" t="s">
        <v>22</v>
      </c>
      <c r="P779" s="264"/>
      <c r="Q779" s="264"/>
      <c r="R779" s="264"/>
      <c r="S779" s="264"/>
      <c r="T779" s="264"/>
      <c r="U779" s="360"/>
      <c r="V779" s="360"/>
      <c r="W779" s="360"/>
      <c r="X779" s="360"/>
      <c r="Y779" s="360"/>
      <c r="Z779" s="360"/>
      <c r="AA779" s="360"/>
      <c r="AB779" s="360"/>
      <c r="AC779" s="360"/>
      <c r="AD779" s="360"/>
      <c r="AE779" s="360"/>
      <c r="AF779" s="360"/>
      <c r="AG779" s="360" t="s">
        <v>1582</v>
      </c>
      <c r="AH779" s="360"/>
      <c r="AI779" s="360"/>
      <c r="AJ779" s="360" t="s">
        <v>1589</v>
      </c>
      <c r="AK779" s="360"/>
      <c r="AL779" s="360" t="s">
        <v>5878</v>
      </c>
      <c r="AM779" s="360"/>
      <c r="AN779" s="360"/>
      <c r="AO779" s="360"/>
      <c r="AP779" s="360"/>
      <c r="AQ779" s="360"/>
      <c r="AR779" s="360"/>
      <c r="AS779" s="360"/>
      <c r="AT779" s="360"/>
      <c r="AU779" s="360" t="s">
        <v>22</v>
      </c>
      <c r="AV779" s="360"/>
      <c r="AW779" s="264"/>
      <c r="AX779" s="264"/>
      <c r="AY779" s="264"/>
      <c r="AZ779" s="264"/>
      <c r="BA779" s="264"/>
      <c r="BB779" s="264"/>
      <c r="BC779" s="264"/>
      <c r="BD779" s="264"/>
      <c r="BE779" s="264"/>
    </row>
    <row r="780">
      <c r="A780" s="264"/>
      <c r="B780" s="264"/>
      <c r="C780" s="264"/>
      <c r="D780" s="264"/>
      <c r="E780" s="264"/>
      <c r="F780" s="264"/>
      <c r="G780" s="264"/>
      <c r="H780" s="264"/>
      <c r="I780" s="264"/>
      <c r="J780" s="264"/>
      <c r="K780" s="264"/>
      <c r="L780" s="264"/>
      <c r="M780" s="264" t="s">
        <v>22</v>
      </c>
      <c r="N780" s="264"/>
      <c r="O780" s="264" t="s">
        <v>22</v>
      </c>
      <c r="P780" s="264"/>
      <c r="Q780" s="264"/>
      <c r="R780" s="264"/>
      <c r="S780" s="264"/>
      <c r="T780" s="264"/>
      <c r="U780" s="360"/>
      <c r="V780" s="360"/>
      <c r="W780" s="360"/>
      <c r="X780" s="360"/>
      <c r="Y780" s="360"/>
      <c r="Z780" s="360"/>
      <c r="AA780" s="360"/>
      <c r="AB780" s="360"/>
      <c r="AC780" s="360"/>
      <c r="AD780" s="360"/>
      <c r="AE780" s="360"/>
      <c r="AF780" s="360"/>
      <c r="AG780" s="360" t="s">
        <v>1582</v>
      </c>
      <c r="AH780" s="360"/>
      <c r="AI780" s="360"/>
      <c r="AJ780" s="360" t="s">
        <v>1589</v>
      </c>
      <c r="AK780" s="360"/>
      <c r="AL780" s="360" t="s">
        <v>5878</v>
      </c>
      <c r="AM780" s="360"/>
      <c r="AN780" s="360"/>
      <c r="AO780" s="360"/>
      <c r="AP780" s="360"/>
      <c r="AQ780" s="360"/>
      <c r="AR780" s="360"/>
      <c r="AS780" s="360"/>
      <c r="AT780" s="360"/>
      <c r="AU780" s="360" t="s">
        <v>22</v>
      </c>
      <c r="AV780" s="360"/>
      <c r="AW780" s="264"/>
      <c r="AX780" s="264"/>
      <c r="AY780" s="264"/>
      <c r="AZ780" s="264"/>
      <c r="BA780" s="264"/>
      <c r="BB780" s="264"/>
      <c r="BC780" s="264"/>
      <c r="BD780" s="264"/>
      <c r="BE780" s="264"/>
    </row>
    <row r="781">
      <c r="A781" s="264"/>
      <c r="B781" s="264"/>
      <c r="C781" s="264"/>
      <c r="D781" s="264"/>
      <c r="E781" s="264"/>
      <c r="F781" s="264"/>
      <c r="G781" s="264"/>
      <c r="H781" s="264"/>
      <c r="I781" s="264"/>
      <c r="J781" s="264"/>
      <c r="K781" s="264"/>
      <c r="L781" s="264"/>
      <c r="M781" s="264" t="s">
        <v>22</v>
      </c>
      <c r="N781" s="264"/>
      <c r="O781" s="264" t="s">
        <v>22</v>
      </c>
      <c r="P781" s="264"/>
      <c r="Q781" s="264"/>
      <c r="R781" s="264"/>
      <c r="S781" s="264"/>
      <c r="T781" s="264"/>
      <c r="U781" s="360"/>
      <c r="V781" s="360"/>
      <c r="W781" s="360"/>
      <c r="X781" s="360"/>
      <c r="Y781" s="360"/>
      <c r="Z781" s="360"/>
      <c r="AA781" s="360"/>
      <c r="AB781" s="360"/>
      <c r="AC781" s="360"/>
      <c r="AD781" s="360"/>
      <c r="AE781" s="360"/>
      <c r="AF781" s="360"/>
      <c r="AG781" s="360" t="s">
        <v>1582</v>
      </c>
      <c r="AH781" s="360"/>
      <c r="AI781" s="360"/>
      <c r="AJ781" s="360" t="s">
        <v>1589</v>
      </c>
      <c r="AK781" s="360"/>
      <c r="AL781" s="360" t="s">
        <v>5878</v>
      </c>
      <c r="AM781" s="360"/>
      <c r="AN781" s="360"/>
      <c r="AO781" s="360"/>
      <c r="AP781" s="360"/>
      <c r="AQ781" s="360"/>
      <c r="AR781" s="360"/>
      <c r="AS781" s="360"/>
      <c r="AT781" s="360"/>
      <c r="AU781" s="360" t="s">
        <v>22</v>
      </c>
      <c r="AV781" s="360"/>
      <c r="AW781" s="264"/>
      <c r="AX781" s="264"/>
      <c r="AY781" s="264"/>
      <c r="AZ781" s="264"/>
      <c r="BA781" s="264"/>
      <c r="BB781" s="264"/>
      <c r="BC781" s="264"/>
      <c r="BD781" s="264"/>
      <c r="BE781" s="264"/>
    </row>
    <row r="782">
      <c r="A782" s="264"/>
      <c r="B782" s="264"/>
      <c r="C782" s="264"/>
      <c r="D782" s="264"/>
      <c r="E782" s="264"/>
      <c r="F782" s="264"/>
      <c r="G782" s="264"/>
      <c r="H782" s="264"/>
      <c r="I782" s="264"/>
      <c r="J782" s="264"/>
      <c r="K782" s="264"/>
      <c r="L782" s="264"/>
      <c r="M782" s="264" t="s">
        <v>22</v>
      </c>
      <c r="N782" s="264"/>
      <c r="O782" s="264" t="s">
        <v>22</v>
      </c>
      <c r="P782" s="264"/>
      <c r="Q782" s="264"/>
      <c r="R782" s="264"/>
      <c r="S782" s="264"/>
      <c r="T782" s="264"/>
      <c r="U782" s="360"/>
      <c r="V782" s="360"/>
      <c r="W782" s="360"/>
      <c r="X782" s="360"/>
      <c r="Y782" s="360"/>
      <c r="Z782" s="360"/>
      <c r="AA782" s="360"/>
      <c r="AB782" s="360"/>
      <c r="AC782" s="360"/>
      <c r="AD782" s="360"/>
      <c r="AE782" s="360"/>
      <c r="AF782" s="360"/>
      <c r="AG782" s="360" t="s">
        <v>1582</v>
      </c>
      <c r="AH782" s="360"/>
      <c r="AI782" s="360"/>
      <c r="AJ782" s="360" t="s">
        <v>1589</v>
      </c>
      <c r="AK782" s="360"/>
      <c r="AL782" s="360" t="s">
        <v>5878</v>
      </c>
      <c r="AM782" s="360"/>
      <c r="AN782" s="360"/>
      <c r="AO782" s="360"/>
      <c r="AP782" s="360"/>
      <c r="AQ782" s="360"/>
      <c r="AR782" s="360"/>
      <c r="AS782" s="360"/>
      <c r="AT782" s="360"/>
      <c r="AU782" s="360" t="s">
        <v>22</v>
      </c>
      <c r="AV782" s="360"/>
      <c r="AW782" s="264"/>
      <c r="AX782" s="264"/>
      <c r="AY782" s="264"/>
      <c r="AZ782" s="264"/>
      <c r="BA782" s="264"/>
      <c r="BB782" s="264"/>
      <c r="BC782" s="264"/>
      <c r="BD782" s="264"/>
      <c r="BE782" s="264"/>
    </row>
    <row r="783">
      <c r="A783" s="264"/>
      <c r="B783" s="264"/>
      <c r="C783" s="264"/>
      <c r="D783" s="264"/>
      <c r="E783" s="264"/>
      <c r="F783" s="264"/>
      <c r="G783" s="264"/>
      <c r="H783" s="264"/>
      <c r="I783" s="264"/>
      <c r="J783" s="264"/>
      <c r="K783" s="264"/>
      <c r="L783" s="264"/>
      <c r="M783" s="264" t="s">
        <v>22</v>
      </c>
      <c r="N783" s="264"/>
      <c r="O783" s="264" t="s">
        <v>22</v>
      </c>
      <c r="P783" s="264"/>
      <c r="Q783" s="264"/>
      <c r="R783" s="264"/>
      <c r="S783" s="264"/>
      <c r="T783" s="264"/>
      <c r="U783" s="360"/>
      <c r="V783" s="360"/>
      <c r="W783" s="360"/>
      <c r="X783" s="360"/>
      <c r="Y783" s="360"/>
      <c r="Z783" s="360"/>
      <c r="AA783" s="360"/>
      <c r="AB783" s="360"/>
      <c r="AC783" s="360"/>
      <c r="AD783" s="360"/>
      <c r="AE783" s="360"/>
      <c r="AF783" s="360"/>
      <c r="AG783" s="360" t="s">
        <v>1582</v>
      </c>
      <c r="AH783" s="360"/>
      <c r="AI783" s="360"/>
      <c r="AJ783" s="360" t="s">
        <v>1589</v>
      </c>
      <c r="AK783" s="360"/>
      <c r="AL783" s="360" t="s">
        <v>5878</v>
      </c>
      <c r="AM783" s="360"/>
      <c r="AN783" s="360"/>
      <c r="AO783" s="360"/>
      <c r="AP783" s="360"/>
      <c r="AQ783" s="360"/>
      <c r="AR783" s="360"/>
      <c r="AS783" s="360"/>
      <c r="AT783" s="360"/>
      <c r="AU783" s="360" t="s">
        <v>22</v>
      </c>
      <c r="AV783" s="360"/>
      <c r="AW783" s="264"/>
      <c r="AX783" s="264"/>
      <c r="AY783" s="264"/>
      <c r="AZ783" s="264"/>
      <c r="BA783" s="264"/>
      <c r="BB783" s="264"/>
      <c r="BC783" s="264"/>
      <c r="BD783" s="264"/>
      <c r="BE783" s="264"/>
    </row>
    <row r="784">
      <c r="A784" s="264"/>
      <c r="B784" s="264"/>
      <c r="C784" s="264"/>
      <c r="D784" s="264"/>
      <c r="E784" s="264"/>
      <c r="F784" s="264"/>
      <c r="G784" s="264"/>
      <c r="H784" s="264"/>
      <c r="I784" s="264"/>
      <c r="J784" s="264"/>
      <c r="K784" s="264"/>
      <c r="L784" s="264"/>
      <c r="M784" s="264" t="s">
        <v>22</v>
      </c>
      <c r="N784" s="264"/>
      <c r="O784" s="264" t="s">
        <v>22</v>
      </c>
      <c r="P784" s="264"/>
      <c r="Q784" s="264"/>
      <c r="R784" s="264"/>
      <c r="S784" s="264"/>
      <c r="T784" s="264"/>
      <c r="U784" s="360"/>
      <c r="V784" s="360"/>
      <c r="W784" s="360"/>
      <c r="X784" s="360"/>
      <c r="Y784" s="360"/>
      <c r="Z784" s="360"/>
      <c r="AA784" s="360"/>
      <c r="AB784" s="360"/>
      <c r="AC784" s="360"/>
      <c r="AD784" s="360"/>
      <c r="AE784" s="360"/>
      <c r="AF784" s="360"/>
      <c r="AG784" s="360" t="s">
        <v>1582</v>
      </c>
      <c r="AH784" s="360"/>
      <c r="AI784" s="360"/>
      <c r="AJ784" s="360" t="s">
        <v>1589</v>
      </c>
      <c r="AK784" s="360"/>
      <c r="AL784" s="360" t="s">
        <v>5878</v>
      </c>
      <c r="AM784" s="360"/>
      <c r="AN784" s="360"/>
      <c r="AO784" s="360"/>
      <c r="AP784" s="360"/>
      <c r="AQ784" s="360"/>
      <c r="AR784" s="360"/>
      <c r="AS784" s="360"/>
      <c r="AT784" s="360"/>
      <c r="AU784" s="360" t="s">
        <v>22</v>
      </c>
      <c r="AV784" s="360"/>
      <c r="AW784" s="264"/>
      <c r="AX784" s="264"/>
      <c r="AY784" s="264"/>
      <c r="AZ784" s="264"/>
      <c r="BA784" s="264"/>
      <c r="BB784" s="264"/>
      <c r="BC784" s="264"/>
      <c r="BD784" s="264"/>
      <c r="BE784" s="264"/>
    </row>
    <row r="785">
      <c r="A785" s="264"/>
      <c r="B785" s="264"/>
      <c r="C785" s="264"/>
      <c r="D785" s="264"/>
      <c r="E785" s="264"/>
      <c r="F785" s="264"/>
      <c r="G785" s="264"/>
      <c r="H785" s="264"/>
      <c r="I785" s="264"/>
      <c r="J785" s="264"/>
      <c r="K785" s="264"/>
      <c r="L785" s="264"/>
      <c r="M785" s="264" t="s">
        <v>22</v>
      </c>
      <c r="N785" s="264"/>
      <c r="O785" s="264" t="s">
        <v>22</v>
      </c>
      <c r="P785" s="264"/>
      <c r="Q785" s="264"/>
      <c r="R785" s="264"/>
      <c r="S785" s="264"/>
      <c r="T785" s="264"/>
      <c r="U785" s="360"/>
      <c r="V785" s="360"/>
      <c r="W785" s="360"/>
      <c r="X785" s="360"/>
      <c r="Y785" s="360"/>
      <c r="Z785" s="360"/>
      <c r="AA785" s="360"/>
      <c r="AB785" s="360"/>
      <c r="AC785" s="360"/>
      <c r="AD785" s="360"/>
      <c r="AE785" s="360"/>
      <c r="AF785" s="360"/>
      <c r="AG785" s="360" t="s">
        <v>1582</v>
      </c>
      <c r="AH785" s="360"/>
      <c r="AI785" s="360"/>
      <c r="AJ785" s="360" t="s">
        <v>1589</v>
      </c>
      <c r="AK785" s="360"/>
      <c r="AL785" s="360" t="s">
        <v>5878</v>
      </c>
      <c r="AM785" s="360"/>
      <c r="AN785" s="360"/>
      <c r="AO785" s="360"/>
      <c r="AP785" s="360"/>
      <c r="AQ785" s="360"/>
      <c r="AR785" s="360"/>
      <c r="AS785" s="360"/>
      <c r="AT785" s="360"/>
      <c r="AU785" s="360" t="s">
        <v>22</v>
      </c>
      <c r="AV785" s="360"/>
      <c r="AW785" s="264"/>
      <c r="AX785" s="264"/>
      <c r="AY785" s="264"/>
      <c r="AZ785" s="264"/>
      <c r="BA785" s="264"/>
      <c r="BB785" s="264"/>
      <c r="BC785" s="264"/>
      <c r="BD785" s="264"/>
      <c r="BE785" s="264"/>
    </row>
    <row r="786">
      <c r="A786" s="264"/>
      <c r="B786" s="264"/>
      <c r="C786" s="264"/>
      <c r="D786" s="264"/>
      <c r="E786" s="264"/>
      <c r="F786" s="264"/>
      <c r="G786" s="264"/>
      <c r="H786" s="264"/>
      <c r="I786" s="264"/>
      <c r="J786" s="264"/>
      <c r="K786" s="264"/>
      <c r="L786" s="264"/>
      <c r="M786" s="264" t="s">
        <v>22</v>
      </c>
      <c r="N786" s="264"/>
      <c r="O786" s="264" t="s">
        <v>22</v>
      </c>
      <c r="P786" s="264"/>
      <c r="Q786" s="264"/>
      <c r="R786" s="264"/>
      <c r="S786" s="264"/>
      <c r="T786" s="264"/>
      <c r="U786" s="360"/>
      <c r="V786" s="360"/>
      <c r="W786" s="360"/>
      <c r="X786" s="360"/>
      <c r="Y786" s="360"/>
      <c r="Z786" s="360"/>
      <c r="AA786" s="360"/>
      <c r="AB786" s="360"/>
      <c r="AC786" s="360"/>
      <c r="AD786" s="360"/>
      <c r="AE786" s="360"/>
      <c r="AF786" s="360"/>
      <c r="AG786" s="360" t="s">
        <v>1582</v>
      </c>
      <c r="AH786" s="360"/>
      <c r="AI786" s="360"/>
      <c r="AJ786" s="360" t="s">
        <v>1589</v>
      </c>
      <c r="AK786" s="360"/>
      <c r="AL786" s="360" t="s">
        <v>5878</v>
      </c>
      <c r="AM786" s="360"/>
      <c r="AN786" s="360"/>
      <c r="AO786" s="360"/>
      <c r="AP786" s="360"/>
      <c r="AQ786" s="360"/>
      <c r="AR786" s="360"/>
      <c r="AS786" s="360"/>
      <c r="AT786" s="360"/>
      <c r="AU786" s="360" t="s">
        <v>22</v>
      </c>
      <c r="AV786" s="360"/>
      <c r="AW786" s="264"/>
      <c r="AX786" s="264"/>
      <c r="AY786" s="264"/>
      <c r="AZ786" s="264"/>
      <c r="BA786" s="264"/>
      <c r="BB786" s="264"/>
      <c r="BC786" s="264"/>
      <c r="BD786" s="264"/>
      <c r="BE786" s="264"/>
    </row>
    <row r="787">
      <c r="A787" s="264"/>
      <c r="B787" s="264"/>
      <c r="C787" s="264"/>
      <c r="D787" s="264"/>
      <c r="E787" s="264"/>
      <c r="F787" s="264"/>
      <c r="G787" s="264"/>
      <c r="H787" s="264"/>
      <c r="I787" s="264"/>
      <c r="J787" s="264"/>
      <c r="K787" s="264"/>
      <c r="L787" s="264"/>
      <c r="M787" s="264" t="s">
        <v>22</v>
      </c>
      <c r="N787" s="264"/>
      <c r="O787" s="264" t="s">
        <v>22</v>
      </c>
      <c r="P787" s="264"/>
      <c r="Q787" s="264"/>
      <c r="R787" s="264"/>
      <c r="S787" s="264"/>
      <c r="T787" s="264"/>
      <c r="U787" s="360"/>
      <c r="V787" s="360"/>
      <c r="W787" s="360"/>
      <c r="X787" s="360"/>
      <c r="Y787" s="360"/>
      <c r="Z787" s="360"/>
      <c r="AA787" s="360"/>
      <c r="AB787" s="360"/>
      <c r="AC787" s="360"/>
      <c r="AD787" s="360"/>
      <c r="AE787" s="360"/>
      <c r="AF787" s="360"/>
      <c r="AG787" s="360" t="s">
        <v>1582</v>
      </c>
      <c r="AH787" s="360"/>
      <c r="AI787" s="360"/>
      <c r="AJ787" s="360" t="s">
        <v>1589</v>
      </c>
      <c r="AK787" s="360"/>
      <c r="AL787" s="360" t="s">
        <v>5878</v>
      </c>
      <c r="AM787" s="360"/>
      <c r="AN787" s="360"/>
      <c r="AO787" s="360"/>
      <c r="AP787" s="360"/>
      <c r="AQ787" s="360"/>
      <c r="AR787" s="360"/>
      <c r="AS787" s="360"/>
      <c r="AT787" s="360"/>
      <c r="AU787" s="360" t="s">
        <v>22</v>
      </c>
      <c r="AV787" s="360"/>
      <c r="AW787" s="264"/>
      <c r="AX787" s="264"/>
      <c r="AY787" s="264"/>
      <c r="AZ787" s="264"/>
      <c r="BA787" s="264"/>
      <c r="BB787" s="264"/>
      <c r="BC787" s="264"/>
      <c r="BD787" s="264"/>
      <c r="BE787" s="264"/>
    </row>
    <row r="788">
      <c r="A788" s="264"/>
      <c r="B788" s="264"/>
      <c r="C788" s="264"/>
      <c r="D788" s="264"/>
      <c r="E788" s="264"/>
      <c r="F788" s="264"/>
      <c r="G788" s="264"/>
      <c r="H788" s="264"/>
      <c r="I788" s="264"/>
      <c r="J788" s="264"/>
      <c r="K788" s="264"/>
      <c r="L788" s="264"/>
      <c r="M788" s="264" t="s">
        <v>22</v>
      </c>
      <c r="N788" s="264"/>
      <c r="O788" s="264" t="s">
        <v>22</v>
      </c>
      <c r="P788" s="264"/>
      <c r="Q788" s="264"/>
      <c r="R788" s="264"/>
      <c r="S788" s="264"/>
      <c r="T788" s="264"/>
      <c r="U788" s="360"/>
      <c r="V788" s="360"/>
      <c r="W788" s="360"/>
      <c r="X788" s="360"/>
      <c r="Y788" s="360"/>
      <c r="Z788" s="360"/>
      <c r="AA788" s="360"/>
      <c r="AB788" s="360"/>
      <c r="AC788" s="360"/>
      <c r="AD788" s="360"/>
      <c r="AE788" s="360"/>
      <c r="AF788" s="360"/>
      <c r="AG788" s="360" t="s">
        <v>1582</v>
      </c>
      <c r="AH788" s="360"/>
      <c r="AI788" s="360"/>
      <c r="AJ788" s="360" t="s">
        <v>1589</v>
      </c>
      <c r="AK788" s="360"/>
      <c r="AL788" s="360" t="s">
        <v>5878</v>
      </c>
      <c r="AM788" s="360"/>
      <c r="AN788" s="360"/>
      <c r="AO788" s="360"/>
      <c r="AP788" s="360"/>
      <c r="AQ788" s="360"/>
      <c r="AR788" s="360"/>
      <c r="AS788" s="360"/>
      <c r="AT788" s="360"/>
      <c r="AU788" s="360" t="s">
        <v>22</v>
      </c>
      <c r="AV788" s="360"/>
      <c r="AW788" s="264"/>
      <c r="AX788" s="264"/>
      <c r="AY788" s="264"/>
      <c r="AZ788" s="264"/>
      <c r="BA788" s="264"/>
      <c r="BB788" s="264"/>
      <c r="BC788" s="264"/>
      <c r="BD788" s="264"/>
      <c r="BE788" s="264"/>
    </row>
    <row r="789">
      <c r="A789" s="264"/>
      <c r="B789" s="264"/>
      <c r="C789" s="264"/>
      <c r="D789" s="264"/>
      <c r="E789" s="264"/>
      <c r="F789" s="264"/>
      <c r="G789" s="264"/>
      <c r="H789" s="264"/>
      <c r="I789" s="264"/>
      <c r="J789" s="264"/>
      <c r="K789" s="264"/>
      <c r="L789" s="264"/>
      <c r="M789" s="264" t="s">
        <v>22</v>
      </c>
      <c r="N789" s="264"/>
      <c r="O789" s="264" t="s">
        <v>22</v>
      </c>
      <c r="P789" s="264"/>
      <c r="Q789" s="264"/>
      <c r="R789" s="264"/>
      <c r="S789" s="264"/>
      <c r="T789" s="264"/>
      <c r="U789" s="360"/>
      <c r="V789" s="360"/>
      <c r="W789" s="360"/>
      <c r="X789" s="360"/>
      <c r="Y789" s="360"/>
      <c r="Z789" s="360"/>
      <c r="AA789" s="360"/>
      <c r="AB789" s="360"/>
      <c r="AC789" s="360"/>
      <c r="AD789" s="360"/>
      <c r="AE789" s="360"/>
      <c r="AF789" s="360"/>
      <c r="AG789" s="360" t="s">
        <v>1582</v>
      </c>
      <c r="AH789" s="360"/>
      <c r="AI789" s="360"/>
      <c r="AJ789" s="360" t="s">
        <v>1589</v>
      </c>
      <c r="AK789" s="360"/>
      <c r="AL789" s="360" t="s">
        <v>5878</v>
      </c>
      <c r="AM789" s="360"/>
      <c r="AN789" s="360"/>
      <c r="AO789" s="360"/>
      <c r="AP789" s="360"/>
      <c r="AQ789" s="360"/>
      <c r="AR789" s="360"/>
      <c r="AS789" s="360"/>
      <c r="AT789" s="360"/>
      <c r="AU789" s="360" t="s">
        <v>22</v>
      </c>
      <c r="AV789" s="360"/>
      <c r="AW789" s="264"/>
      <c r="AX789" s="264"/>
      <c r="AY789" s="264"/>
      <c r="AZ789" s="264"/>
      <c r="BA789" s="264"/>
      <c r="BB789" s="264"/>
      <c r="BC789" s="264"/>
      <c r="BD789" s="264"/>
      <c r="BE789" s="264"/>
    </row>
    <row r="790">
      <c r="A790" s="264"/>
      <c r="B790" s="264"/>
      <c r="C790" s="264"/>
      <c r="D790" s="264"/>
      <c r="E790" s="264"/>
      <c r="F790" s="264"/>
      <c r="G790" s="264"/>
      <c r="H790" s="264"/>
      <c r="I790" s="264"/>
      <c r="J790" s="264"/>
      <c r="K790" s="264"/>
      <c r="L790" s="264"/>
      <c r="M790" s="264" t="s">
        <v>22</v>
      </c>
      <c r="N790" s="264"/>
      <c r="O790" s="264" t="s">
        <v>22</v>
      </c>
      <c r="P790" s="264"/>
      <c r="Q790" s="264"/>
      <c r="R790" s="264"/>
      <c r="S790" s="264"/>
      <c r="T790" s="264"/>
      <c r="U790" s="360"/>
      <c r="V790" s="360"/>
      <c r="W790" s="360"/>
      <c r="X790" s="360"/>
      <c r="Y790" s="360"/>
      <c r="Z790" s="360"/>
      <c r="AA790" s="360"/>
      <c r="AB790" s="360"/>
      <c r="AC790" s="360"/>
      <c r="AD790" s="360"/>
      <c r="AE790" s="360"/>
      <c r="AF790" s="360"/>
      <c r="AG790" s="360" t="s">
        <v>1582</v>
      </c>
      <c r="AH790" s="360"/>
      <c r="AI790" s="360"/>
      <c r="AJ790" s="360" t="s">
        <v>1589</v>
      </c>
      <c r="AK790" s="360"/>
      <c r="AL790" s="360" t="s">
        <v>5878</v>
      </c>
      <c r="AM790" s="360"/>
      <c r="AN790" s="360"/>
      <c r="AO790" s="360"/>
      <c r="AP790" s="360"/>
      <c r="AQ790" s="360"/>
      <c r="AR790" s="360"/>
      <c r="AS790" s="360"/>
      <c r="AT790" s="360"/>
      <c r="AU790" s="360" t="s">
        <v>22</v>
      </c>
      <c r="AV790" s="360"/>
      <c r="AW790" s="264"/>
      <c r="AX790" s="264"/>
      <c r="AY790" s="264"/>
      <c r="AZ790" s="264"/>
      <c r="BA790" s="264"/>
      <c r="BB790" s="264"/>
      <c r="BC790" s="264"/>
      <c r="BD790" s="264"/>
      <c r="BE790" s="264"/>
    </row>
    <row r="791">
      <c r="A791" s="264"/>
      <c r="B791" s="264"/>
      <c r="C791" s="264"/>
      <c r="D791" s="264"/>
      <c r="E791" s="264"/>
      <c r="F791" s="264"/>
      <c r="G791" s="264"/>
      <c r="H791" s="264"/>
      <c r="I791" s="264"/>
      <c r="J791" s="264"/>
      <c r="K791" s="264"/>
      <c r="L791" s="264"/>
      <c r="M791" s="264" t="s">
        <v>22</v>
      </c>
      <c r="N791" s="264"/>
      <c r="O791" s="264" t="s">
        <v>22</v>
      </c>
      <c r="P791" s="264"/>
      <c r="Q791" s="264"/>
      <c r="R791" s="264"/>
      <c r="S791" s="264"/>
      <c r="T791" s="264"/>
      <c r="U791" s="360"/>
      <c r="V791" s="360"/>
      <c r="W791" s="360"/>
      <c r="X791" s="360"/>
      <c r="Y791" s="360"/>
      <c r="Z791" s="360"/>
      <c r="AA791" s="360"/>
      <c r="AB791" s="360"/>
      <c r="AC791" s="360"/>
      <c r="AD791" s="360"/>
      <c r="AE791" s="360"/>
      <c r="AF791" s="360"/>
      <c r="AG791" s="360" t="s">
        <v>1582</v>
      </c>
      <c r="AH791" s="360"/>
      <c r="AI791" s="360"/>
      <c r="AJ791" s="360" t="s">
        <v>1589</v>
      </c>
      <c r="AK791" s="360"/>
      <c r="AL791" s="360" t="s">
        <v>5878</v>
      </c>
      <c r="AM791" s="360"/>
      <c r="AN791" s="360"/>
      <c r="AO791" s="360"/>
      <c r="AP791" s="360"/>
      <c r="AQ791" s="360"/>
      <c r="AR791" s="360"/>
      <c r="AS791" s="360"/>
      <c r="AT791" s="360"/>
      <c r="AU791" s="360" t="s">
        <v>22</v>
      </c>
      <c r="AV791" s="360"/>
      <c r="AW791" s="264"/>
      <c r="AX791" s="264"/>
      <c r="AY791" s="264"/>
      <c r="AZ791" s="264"/>
      <c r="BA791" s="264"/>
      <c r="BB791" s="264"/>
      <c r="BC791" s="264"/>
      <c r="BD791" s="264"/>
      <c r="BE791" s="264"/>
    </row>
    <row r="792">
      <c r="A792" s="264"/>
      <c r="B792" s="264"/>
      <c r="C792" s="264"/>
      <c r="D792" s="264"/>
      <c r="E792" s="264"/>
      <c r="F792" s="264"/>
      <c r="G792" s="264"/>
      <c r="H792" s="264"/>
      <c r="I792" s="264"/>
      <c r="J792" s="264"/>
      <c r="K792" s="264"/>
      <c r="L792" s="264"/>
      <c r="M792" s="264" t="s">
        <v>22</v>
      </c>
      <c r="N792" s="264"/>
      <c r="O792" s="264" t="s">
        <v>22</v>
      </c>
      <c r="P792" s="264"/>
      <c r="Q792" s="264"/>
      <c r="R792" s="264"/>
      <c r="S792" s="264"/>
      <c r="T792" s="264"/>
      <c r="U792" s="360"/>
      <c r="V792" s="360"/>
      <c r="W792" s="360"/>
      <c r="X792" s="360"/>
      <c r="Y792" s="360"/>
      <c r="Z792" s="360"/>
      <c r="AA792" s="360"/>
      <c r="AB792" s="360"/>
      <c r="AC792" s="360"/>
      <c r="AD792" s="360"/>
      <c r="AE792" s="360"/>
      <c r="AF792" s="360"/>
      <c r="AG792" s="360" t="s">
        <v>1582</v>
      </c>
      <c r="AH792" s="360"/>
      <c r="AI792" s="360"/>
      <c r="AJ792" s="360" t="s">
        <v>1589</v>
      </c>
      <c r="AK792" s="360"/>
      <c r="AL792" s="360" t="s">
        <v>5878</v>
      </c>
      <c r="AM792" s="360"/>
      <c r="AN792" s="360"/>
      <c r="AO792" s="360"/>
      <c r="AP792" s="360"/>
      <c r="AQ792" s="360"/>
      <c r="AR792" s="360"/>
      <c r="AS792" s="360"/>
      <c r="AT792" s="360"/>
      <c r="AU792" s="360" t="s">
        <v>22</v>
      </c>
      <c r="AV792" s="360"/>
      <c r="AW792" s="264"/>
      <c r="AX792" s="264"/>
      <c r="AY792" s="264"/>
      <c r="AZ792" s="264"/>
      <c r="BA792" s="264"/>
      <c r="BB792" s="264"/>
      <c r="BC792" s="264"/>
      <c r="BD792" s="264"/>
      <c r="BE792" s="264"/>
    </row>
    <row r="793">
      <c r="A793" s="264"/>
      <c r="B793" s="264"/>
      <c r="C793" s="264"/>
      <c r="D793" s="264"/>
      <c r="E793" s="264"/>
      <c r="F793" s="264"/>
      <c r="G793" s="264"/>
      <c r="H793" s="264"/>
      <c r="I793" s="264"/>
      <c r="J793" s="264"/>
      <c r="K793" s="264"/>
      <c r="L793" s="264"/>
      <c r="M793" s="264" t="s">
        <v>22</v>
      </c>
      <c r="N793" s="264"/>
      <c r="O793" s="264" t="s">
        <v>22</v>
      </c>
      <c r="P793" s="264"/>
      <c r="Q793" s="264"/>
      <c r="R793" s="264"/>
      <c r="S793" s="264"/>
      <c r="T793" s="264"/>
      <c r="U793" s="360"/>
      <c r="V793" s="360"/>
      <c r="W793" s="360"/>
      <c r="X793" s="360"/>
      <c r="Y793" s="360"/>
      <c r="Z793" s="360"/>
      <c r="AA793" s="360"/>
      <c r="AB793" s="360"/>
      <c r="AC793" s="360"/>
      <c r="AD793" s="360"/>
      <c r="AE793" s="360"/>
      <c r="AF793" s="360"/>
      <c r="AG793" s="360" t="s">
        <v>1582</v>
      </c>
      <c r="AH793" s="360"/>
      <c r="AI793" s="360"/>
      <c r="AJ793" s="360" t="s">
        <v>1589</v>
      </c>
      <c r="AK793" s="360"/>
      <c r="AL793" s="360" t="s">
        <v>5878</v>
      </c>
      <c r="AM793" s="360"/>
      <c r="AN793" s="360"/>
      <c r="AO793" s="360"/>
      <c r="AP793" s="360"/>
      <c r="AQ793" s="360"/>
      <c r="AR793" s="360"/>
      <c r="AS793" s="360"/>
      <c r="AT793" s="360"/>
      <c r="AU793" s="360" t="s">
        <v>22</v>
      </c>
      <c r="AV793" s="360"/>
      <c r="AW793" s="264"/>
      <c r="AX793" s="264"/>
      <c r="AY793" s="264"/>
      <c r="AZ793" s="264"/>
      <c r="BA793" s="264"/>
      <c r="BB793" s="264"/>
      <c r="BC793" s="264"/>
      <c r="BD793" s="264"/>
      <c r="BE793" s="264"/>
    </row>
    <row r="794">
      <c r="A794" s="264"/>
      <c r="B794" s="264"/>
      <c r="C794" s="264"/>
      <c r="D794" s="264"/>
      <c r="E794" s="264"/>
      <c r="F794" s="264"/>
      <c r="G794" s="264"/>
      <c r="H794" s="264"/>
      <c r="I794" s="264"/>
      <c r="J794" s="264"/>
      <c r="K794" s="264"/>
      <c r="L794" s="264"/>
      <c r="M794" s="264" t="s">
        <v>22</v>
      </c>
      <c r="N794" s="264"/>
      <c r="O794" s="264" t="s">
        <v>22</v>
      </c>
      <c r="P794" s="264"/>
      <c r="Q794" s="264"/>
      <c r="R794" s="264"/>
      <c r="S794" s="264"/>
      <c r="T794" s="264"/>
      <c r="U794" s="360"/>
      <c r="V794" s="360"/>
      <c r="W794" s="360"/>
      <c r="X794" s="360"/>
      <c r="Y794" s="360"/>
      <c r="Z794" s="360"/>
      <c r="AA794" s="360"/>
      <c r="AB794" s="360"/>
      <c r="AC794" s="360"/>
      <c r="AD794" s="360"/>
      <c r="AE794" s="360"/>
      <c r="AF794" s="360"/>
      <c r="AG794" s="360" t="s">
        <v>1582</v>
      </c>
      <c r="AH794" s="360"/>
      <c r="AI794" s="360"/>
      <c r="AJ794" s="360" t="s">
        <v>1589</v>
      </c>
      <c r="AK794" s="360"/>
      <c r="AL794" s="360" t="s">
        <v>5878</v>
      </c>
      <c r="AM794" s="360"/>
      <c r="AN794" s="360"/>
      <c r="AO794" s="360"/>
      <c r="AP794" s="360"/>
      <c r="AQ794" s="360"/>
      <c r="AR794" s="360"/>
      <c r="AS794" s="360"/>
      <c r="AT794" s="360"/>
      <c r="AU794" s="360" t="s">
        <v>22</v>
      </c>
      <c r="AV794" s="360"/>
      <c r="AW794" s="264"/>
      <c r="AX794" s="264"/>
      <c r="AY794" s="264"/>
      <c r="AZ794" s="264"/>
      <c r="BA794" s="264"/>
      <c r="BB794" s="264"/>
      <c r="BC794" s="264"/>
      <c r="BD794" s="264"/>
      <c r="BE794" s="264"/>
    </row>
    <row r="795">
      <c r="A795" s="264"/>
      <c r="B795" s="264"/>
      <c r="C795" s="264"/>
      <c r="D795" s="264"/>
      <c r="E795" s="264"/>
      <c r="F795" s="264"/>
      <c r="G795" s="264"/>
      <c r="H795" s="264"/>
      <c r="I795" s="264"/>
      <c r="J795" s="264"/>
      <c r="K795" s="264"/>
      <c r="L795" s="264"/>
      <c r="M795" s="264" t="s">
        <v>22</v>
      </c>
      <c r="N795" s="264"/>
      <c r="O795" s="264" t="s">
        <v>22</v>
      </c>
      <c r="P795" s="264"/>
      <c r="Q795" s="264"/>
      <c r="R795" s="264"/>
      <c r="S795" s="264"/>
      <c r="T795" s="264"/>
      <c r="U795" s="360"/>
      <c r="V795" s="360"/>
      <c r="W795" s="360"/>
      <c r="X795" s="360"/>
      <c r="Y795" s="360"/>
      <c r="Z795" s="360"/>
      <c r="AA795" s="360"/>
      <c r="AB795" s="360"/>
      <c r="AC795" s="360"/>
      <c r="AD795" s="360"/>
      <c r="AE795" s="360"/>
      <c r="AF795" s="360"/>
      <c r="AG795" s="360" t="s">
        <v>1582</v>
      </c>
      <c r="AH795" s="360"/>
      <c r="AI795" s="360"/>
      <c r="AJ795" s="360" t="s">
        <v>1589</v>
      </c>
      <c r="AK795" s="360"/>
      <c r="AL795" s="360" t="s">
        <v>5878</v>
      </c>
      <c r="AM795" s="360"/>
      <c r="AN795" s="360"/>
      <c r="AO795" s="360"/>
      <c r="AP795" s="360"/>
      <c r="AQ795" s="360"/>
      <c r="AR795" s="360"/>
      <c r="AS795" s="360"/>
      <c r="AT795" s="360"/>
      <c r="AU795" s="360" t="s">
        <v>22</v>
      </c>
      <c r="AV795" s="360"/>
      <c r="AW795" s="264"/>
      <c r="AX795" s="264"/>
      <c r="AY795" s="264"/>
      <c r="AZ795" s="264"/>
      <c r="BA795" s="264"/>
      <c r="BB795" s="264"/>
      <c r="BC795" s="264"/>
      <c r="BD795" s="264"/>
      <c r="BE795" s="264"/>
    </row>
    <row r="796">
      <c r="A796" s="264"/>
      <c r="B796" s="264"/>
      <c r="C796" s="264"/>
      <c r="D796" s="264"/>
      <c r="E796" s="264"/>
      <c r="F796" s="264"/>
      <c r="G796" s="264"/>
      <c r="H796" s="264"/>
      <c r="I796" s="264"/>
      <c r="J796" s="264"/>
      <c r="K796" s="264"/>
      <c r="L796" s="264"/>
      <c r="M796" s="264" t="s">
        <v>22</v>
      </c>
      <c r="N796" s="264"/>
      <c r="O796" s="264" t="s">
        <v>22</v>
      </c>
      <c r="P796" s="264"/>
      <c r="Q796" s="264"/>
      <c r="R796" s="264"/>
      <c r="S796" s="264"/>
      <c r="T796" s="264"/>
      <c r="U796" s="360"/>
      <c r="V796" s="360"/>
      <c r="W796" s="360"/>
      <c r="X796" s="360"/>
      <c r="Y796" s="360"/>
      <c r="Z796" s="360"/>
      <c r="AA796" s="360"/>
      <c r="AB796" s="360"/>
      <c r="AC796" s="360"/>
      <c r="AD796" s="360"/>
      <c r="AE796" s="360"/>
      <c r="AF796" s="360"/>
      <c r="AG796" s="360" t="s">
        <v>1582</v>
      </c>
      <c r="AH796" s="360"/>
      <c r="AI796" s="360"/>
      <c r="AJ796" s="360" t="s">
        <v>1589</v>
      </c>
      <c r="AK796" s="360"/>
      <c r="AL796" s="360" t="s">
        <v>5878</v>
      </c>
      <c r="AM796" s="360"/>
      <c r="AN796" s="360"/>
      <c r="AO796" s="360"/>
      <c r="AP796" s="360"/>
      <c r="AQ796" s="360"/>
      <c r="AR796" s="360"/>
      <c r="AS796" s="360"/>
      <c r="AT796" s="360"/>
      <c r="AU796" s="360" t="s">
        <v>22</v>
      </c>
      <c r="AV796" s="360"/>
      <c r="AW796" s="264"/>
      <c r="AX796" s="264"/>
      <c r="AY796" s="264"/>
      <c r="AZ796" s="264"/>
      <c r="BA796" s="264"/>
      <c r="BB796" s="264"/>
      <c r="BC796" s="264"/>
      <c r="BD796" s="264"/>
      <c r="BE796" s="264"/>
    </row>
    <row r="797">
      <c r="A797" s="264"/>
      <c r="B797" s="264"/>
      <c r="C797" s="264"/>
      <c r="D797" s="264"/>
      <c r="E797" s="264"/>
      <c r="F797" s="264"/>
      <c r="G797" s="264"/>
      <c r="H797" s="264"/>
      <c r="I797" s="264"/>
      <c r="J797" s="264"/>
      <c r="K797" s="264"/>
      <c r="L797" s="264"/>
      <c r="M797" s="264" t="s">
        <v>22</v>
      </c>
      <c r="N797" s="264"/>
      <c r="O797" s="264" t="s">
        <v>22</v>
      </c>
      <c r="P797" s="264"/>
      <c r="Q797" s="264"/>
      <c r="R797" s="264"/>
      <c r="S797" s="264"/>
      <c r="T797" s="264"/>
      <c r="U797" s="360"/>
      <c r="V797" s="360"/>
      <c r="W797" s="360"/>
      <c r="X797" s="360"/>
      <c r="Y797" s="360"/>
      <c r="Z797" s="360"/>
      <c r="AA797" s="360"/>
      <c r="AB797" s="360"/>
      <c r="AC797" s="360"/>
      <c r="AD797" s="360"/>
      <c r="AE797" s="360"/>
      <c r="AF797" s="360"/>
      <c r="AG797" s="360" t="s">
        <v>1582</v>
      </c>
      <c r="AH797" s="360"/>
      <c r="AI797" s="360"/>
      <c r="AJ797" s="360" t="s">
        <v>1589</v>
      </c>
      <c r="AK797" s="360"/>
      <c r="AL797" s="360" t="s">
        <v>5878</v>
      </c>
      <c r="AM797" s="360"/>
      <c r="AN797" s="360"/>
      <c r="AO797" s="360"/>
      <c r="AP797" s="360"/>
      <c r="AQ797" s="360"/>
      <c r="AR797" s="360"/>
      <c r="AS797" s="360"/>
      <c r="AT797" s="360"/>
      <c r="AU797" s="360" t="s">
        <v>22</v>
      </c>
      <c r="AV797" s="360"/>
      <c r="AW797" s="264"/>
      <c r="AX797" s="264"/>
      <c r="AY797" s="264"/>
      <c r="AZ797" s="264"/>
      <c r="BA797" s="264"/>
      <c r="BB797" s="264"/>
      <c r="BC797" s="264"/>
      <c r="BD797" s="264"/>
      <c r="BE797" s="264"/>
    </row>
    <row r="798">
      <c r="A798" s="264"/>
      <c r="B798" s="264"/>
      <c r="C798" s="264"/>
      <c r="D798" s="264"/>
      <c r="E798" s="264"/>
      <c r="F798" s="264"/>
      <c r="G798" s="264"/>
      <c r="H798" s="264"/>
      <c r="I798" s="264"/>
      <c r="J798" s="264"/>
      <c r="K798" s="264"/>
      <c r="L798" s="264"/>
      <c r="M798" s="264" t="s">
        <v>22</v>
      </c>
      <c r="N798" s="264"/>
      <c r="O798" s="264" t="s">
        <v>22</v>
      </c>
      <c r="P798" s="264"/>
      <c r="Q798" s="264"/>
      <c r="R798" s="264"/>
      <c r="S798" s="264"/>
      <c r="T798" s="264"/>
      <c r="U798" s="360"/>
      <c r="V798" s="360"/>
      <c r="W798" s="360"/>
      <c r="X798" s="360"/>
      <c r="Y798" s="360"/>
      <c r="Z798" s="360"/>
      <c r="AA798" s="360"/>
      <c r="AB798" s="360"/>
      <c r="AC798" s="360"/>
      <c r="AD798" s="360"/>
      <c r="AE798" s="360"/>
      <c r="AF798" s="360"/>
      <c r="AG798" s="360" t="s">
        <v>1582</v>
      </c>
      <c r="AH798" s="360"/>
      <c r="AI798" s="360"/>
      <c r="AJ798" s="360" t="s">
        <v>1589</v>
      </c>
      <c r="AK798" s="360"/>
      <c r="AL798" s="360" t="s">
        <v>5878</v>
      </c>
      <c r="AM798" s="360"/>
      <c r="AN798" s="360"/>
      <c r="AO798" s="360"/>
      <c r="AP798" s="360"/>
      <c r="AQ798" s="360"/>
      <c r="AR798" s="360"/>
      <c r="AS798" s="360"/>
      <c r="AT798" s="360"/>
      <c r="AU798" s="360" t="s">
        <v>22</v>
      </c>
      <c r="AV798" s="360"/>
      <c r="AW798" s="264"/>
      <c r="AX798" s="264"/>
      <c r="AY798" s="264"/>
      <c r="AZ798" s="264"/>
      <c r="BA798" s="264"/>
      <c r="BB798" s="264"/>
      <c r="BC798" s="264"/>
      <c r="BD798" s="264"/>
      <c r="BE798" s="264"/>
    </row>
    <row r="799">
      <c r="A799" s="264"/>
      <c r="B799" s="264"/>
      <c r="C799" s="264"/>
      <c r="D799" s="264"/>
      <c r="E799" s="264"/>
      <c r="F799" s="264"/>
      <c r="G799" s="264"/>
      <c r="H799" s="264"/>
      <c r="I799" s="264"/>
      <c r="J799" s="264"/>
      <c r="K799" s="264"/>
      <c r="L799" s="264"/>
      <c r="M799" s="264" t="s">
        <v>22</v>
      </c>
      <c r="N799" s="264"/>
      <c r="O799" s="264" t="s">
        <v>22</v>
      </c>
      <c r="P799" s="264"/>
      <c r="Q799" s="264"/>
      <c r="R799" s="264"/>
      <c r="S799" s="264"/>
      <c r="T799" s="264"/>
      <c r="U799" s="360"/>
      <c r="V799" s="360"/>
      <c r="W799" s="360"/>
      <c r="X799" s="360"/>
      <c r="Y799" s="360"/>
      <c r="Z799" s="360"/>
      <c r="AA799" s="360"/>
      <c r="AB799" s="360"/>
      <c r="AC799" s="360"/>
      <c r="AD799" s="360"/>
      <c r="AE799" s="360"/>
      <c r="AF799" s="360"/>
      <c r="AG799" s="360" t="s">
        <v>1582</v>
      </c>
      <c r="AH799" s="360"/>
      <c r="AI799" s="360"/>
      <c r="AJ799" s="360" t="s">
        <v>1589</v>
      </c>
      <c r="AK799" s="360"/>
      <c r="AL799" s="360" t="s">
        <v>5878</v>
      </c>
      <c r="AM799" s="360"/>
      <c r="AN799" s="360"/>
      <c r="AO799" s="360"/>
      <c r="AP799" s="360"/>
      <c r="AQ799" s="360"/>
      <c r="AR799" s="360"/>
      <c r="AS799" s="360"/>
      <c r="AT799" s="360"/>
      <c r="AU799" s="360" t="s">
        <v>22</v>
      </c>
      <c r="AV799" s="360"/>
      <c r="AW799" s="264"/>
      <c r="AX799" s="264"/>
      <c r="AY799" s="264"/>
      <c r="AZ799" s="264"/>
      <c r="BA799" s="264"/>
      <c r="BB799" s="264"/>
      <c r="BC799" s="264"/>
      <c r="BD799" s="264"/>
      <c r="BE799" s="264"/>
    </row>
    <row r="800">
      <c r="A800" s="264"/>
      <c r="B800" s="264"/>
      <c r="C800" s="264"/>
      <c r="D800" s="264"/>
      <c r="E800" s="264"/>
      <c r="F800" s="264"/>
      <c r="G800" s="264"/>
      <c r="H800" s="264"/>
      <c r="I800" s="264"/>
      <c r="J800" s="264"/>
      <c r="K800" s="264"/>
      <c r="L800" s="264"/>
      <c r="M800" s="264" t="s">
        <v>22</v>
      </c>
      <c r="N800" s="264"/>
      <c r="O800" s="264" t="s">
        <v>22</v>
      </c>
      <c r="P800" s="264"/>
      <c r="Q800" s="264"/>
      <c r="R800" s="264"/>
      <c r="S800" s="264"/>
      <c r="T800" s="264"/>
      <c r="U800" s="360"/>
      <c r="V800" s="360"/>
      <c r="W800" s="360"/>
      <c r="X800" s="360"/>
      <c r="Y800" s="360"/>
      <c r="Z800" s="360"/>
      <c r="AA800" s="360"/>
      <c r="AB800" s="360"/>
      <c r="AC800" s="360"/>
      <c r="AD800" s="360"/>
      <c r="AE800" s="360"/>
      <c r="AF800" s="360"/>
      <c r="AG800" s="360" t="s">
        <v>1582</v>
      </c>
      <c r="AH800" s="360"/>
      <c r="AI800" s="360"/>
      <c r="AJ800" s="360" t="s">
        <v>1589</v>
      </c>
      <c r="AK800" s="360"/>
      <c r="AL800" s="360" t="s">
        <v>5878</v>
      </c>
      <c r="AM800" s="360"/>
      <c r="AN800" s="360"/>
      <c r="AO800" s="360"/>
      <c r="AP800" s="360"/>
      <c r="AQ800" s="360"/>
      <c r="AR800" s="360"/>
      <c r="AS800" s="360"/>
      <c r="AT800" s="360"/>
      <c r="AU800" s="360" t="s">
        <v>22</v>
      </c>
      <c r="AV800" s="360"/>
      <c r="AW800" s="264"/>
      <c r="AX800" s="264"/>
      <c r="AY800" s="264"/>
      <c r="AZ800" s="264"/>
      <c r="BA800" s="264"/>
      <c r="BB800" s="264"/>
      <c r="BC800" s="264"/>
      <c r="BD800" s="264"/>
      <c r="BE800" s="264"/>
    </row>
    <row r="801">
      <c r="A801" s="264"/>
      <c r="B801" s="264"/>
      <c r="C801" s="264"/>
      <c r="D801" s="264"/>
      <c r="E801" s="264"/>
      <c r="F801" s="264"/>
      <c r="G801" s="264"/>
      <c r="H801" s="264"/>
      <c r="I801" s="264"/>
      <c r="J801" s="264"/>
      <c r="K801" s="264"/>
      <c r="L801" s="264"/>
      <c r="M801" s="264" t="s">
        <v>22</v>
      </c>
      <c r="N801" s="264"/>
      <c r="O801" s="264" t="s">
        <v>22</v>
      </c>
      <c r="P801" s="264"/>
      <c r="Q801" s="264"/>
      <c r="R801" s="264"/>
      <c r="S801" s="264"/>
      <c r="T801" s="264"/>
      <c r="U801" s="360"/>
      <c r="V801" s="360"/>
      <c r="W801" s="360"/>
      <c r="X801" s="360"/>
      <c r="Y801" s="360"/>
      <c r="Z801" s="360"/>
      <c r="AA801" s="360"/>
      <c r="AB801" s="360"/>
      <c r="AC801" s="360"/>
      <c r="AD801" s="360"/>
      <c r="AE801" s="360"/>
      <c r="AF801" s="360"/>
      <c r="AG801" s="360" t="s">
        <v>1582</v>
      </c>
      <c r="AH801" s="360"/>
      <c r="AI801" s="360"/>
      <c r="AJ801" s="360" t="s">
        <v>1589</v>
      </c>
      <c r="AK801" s="360"/>
      <c r="AL801" s="360" t="s">
        <v>5878</v>
      </c>
      <c r="AM801" s="360"/>
      <c r="AN801" s="360"/>
      <c r="AO801" s="360"/>
      <c r="AP801" s="360"/>
      <c r="AQ801" s="360"/>
      <c r="AR801" s="360"/>
      <c r="AS801" s="360"/>
      <c r="AT801" s="360"/>
      <c r="AU801" s="360" t="s">
        <v>22</v>
      </c>
      <c r="AV801" s="360"/>
      <c r="AW801" s="264"/>
      <c r="AX801" s="264"/>
      <c r="AY801" s="264"/>
      <c r="AZ801" s="264"/>
      <c r="BA801" s="264"/>
      <c r="BB801" s="264"/>
      <c r="BC801" s="264"/>
      <c r="BD801" s="264"/>
      <c r="BE801" s="264"/>
    </row>
    <row r="802">
      <c r="A802" s="264"/>
      <c r="B802" s="264"/>
      <c r="C802" s="264"/>
      <c r="D802" s="264"/>
      <c r="E802" s="264"/>
      <c r="F802" s="264"/>
      <c r="G802" s="264"/>
      <c r="H802" s="264"/>
      <c r="I802" s="264"/>
      <c r="J802" s="264"/>
      <c r="K802" s="264"/>
      <c r="L802" s="264"/>
      <c r="M802" s="264" t="s">
        <v>22</v>
      </c>
      <c r="N802" s="264"/>
      <c r="O802" s="264" t="s">
        <v>22</v>
      </c>
      <c r="P802" s="264"/>
      <c r="Q802" s="264"/>
      <c r="R802" s="264"/>
      <c r="S802" s="264"/>
      <c r="T802" s="264"/>
      <c r="U802" s="360"/>
      <c r="V802" s="360"/>
      <c r="W802" s="360"/>
      <c r="X802" s="360"/>
      <c r="Y802" s="360"/>
      <c r="Z802" s="360"/>
      <c r="AA802" s="360"/>
      <c r="AB802" s="360"/>
      <c r="AC802" s="360"/>
      <c r="AD802" s="360"/>
      <c r="AE802" s="360"/>
      <c r="AF802" s="360"/>
      <c r="AG802" s="360" t="s">
        <v>1582</v>
      </c>
      <c r="AH802" s="360"/>
      <c r="AI802" s="360"/>
      <c r="AJ802" s="360" t="s">
        <v>1589</v>
      </c>
      <c r="AK802" s="360"/>
      <c r="AL802" s="360" t="s">
        <v>5878</v>
      </c>
      <c r="AM802" s="360"/>
      <c r="AN802" s="360"/>
      <c r="AO802" s="360"/>
      <c r="AP802" s="360"/>
      <c r="AQ802" s="360"/>
      <c r="AR802" s="360"/>
      <c r="AS802" s="360"/>
      <c r="AT802" s="360"/>
      <c r="AU802" s="360" t="s">
        <v>22</v>
      </c>
      <c r="AV802" s="360"/>
      <c r="AW802" s="264"/>
      <c r="AX802" s="264"/>
      <c r="AY802" s="264"/>
      <c r="AZ802" s="264"/>
      <c r="BA802" s="264"/>
      <c r="BB802" s="264"/>
      <c r="BC802" s="264"/>
      <c r="BD802" s="264"/>
      <c r="BE802" s="264"/>
    </row>
    <row r="803">
      <c r="A803" s="264"/>
      <c r="B803" s="264"/>
      <c r="C803" s="264"/>
      <c r="D803" s="264"/>
      <c r="E803" s="264"/>
      <c r="F803" s="264"/>
      <c r="G803" s="264"/>
      <c r="H803" s="264"/>
      <c r="I803" s="264"/>
      <c r="J803" s="264"/>
      <c r="K803" s="264"/>
      <c r="L803" s="264"/>
      <c r="M803" s="264" t="s">
        <v>22</v>
      </c>
      <c r="N803" s="264"/>
      <c r="O803" s="264" t="s">
        <v>22</v>
      </c>
      <c r="P803" s="264"/>
      <c r="Q803" s="264"/>
      <c r="R803" s="264"/>
      <c r="S803" s="264"/>
      <c r="T803" s="264"/>
      <c r="U803" s="360"/>
      <c r="V803" s="360"/>
      <c r="W803" s="360"/>
      <c r="X803" s="360"/>
      <c r="Y803" s="360"/>
      <c r="Z803" s="360"/>
      <c r="AA803" s="360"/>
      <c r="AB803" s="360"/>
      <c r="AC803" s="360"/>
      <c r="AD803" s="360"/>
      <c r="AE803" s="360"/>
      <c r="AF803" s="360"/>
      <c r="AG803" s="360" t="s">
        <v>1582</v>
      </c>
      <c r="AH803" s="360"/>
      <c r="AI803" s="360"/>
      <c r="AJ803" s="360" t="s">
        <v>1589</v>
      </c>
      <c r="AK803" s="360"/>
      <c r="AL803" s="360" t="s">
        <v>5878</v>
      </c>
      <c r="AM803" s="360"/>
      <c r="AN803" s="360"/>
      <c r="AO803" s="360"/>
      <c r="AP803" s="360"/>
      <c r="AQ803" s="360"/>
      <c r="AR803" s="360"/>
      <c r="AS803" s="360"/>
      <c r="AT803" s="360"/>
      <c r="AU803" s="360" t="s">
        <v>22</v>
      </c>
      <c r="AV803" s="360"/>
      <c r="AW803" s="264"/>
      <c r="AX803" s="264"/>
      <c r="AY803" s="264"/>
      <c r="AZ803" s="264"/>
      <c r="BA803" s="264"/>
      <c r="BB803" s="264"/>
      <c r="BC803" s="264"/>
      <c r="BD803" s="264"/>
      <c r="BE803" s="264"/>
    </row>
    <row r="804">
      <c r="A804" s="264"/>
      <c r="B804" s="264"/>
      <c r="C804" s="264"/>
      <c r="D804" s="264"/>
      <c r="E804" s="264"/>
      <c r="F804" s="264"/>
      <c r="G804" s="264"/>
      <c r="H804" s="264"/>
      <c r="I804" s="264"/>
      <c r="J804" s="264"/>
      <c r="K804" s="264"/>
      <c r="L804" s="264"/>
      <c r="M804" s="264" t="s">
        <v>22</v>
      </c>
      <c r="N804" s="264"/>
      <c r="O804" s="264" t="s">
        <v>22</v>
      </c>
      <c r="P804" s="264"/>
      <c r="Q804" s="264"/>
      <c r="R804" s="264"/>
      <c r="S804" s="264"/>
      <c r="T804" s="264"/>
      <c r="U804" s="360"/>
      <c r="V804" s="360"/>
      <c r="W804" s="360"/>
      <c r="X804" s="360"/>
      <c r="Y804" s="360"/>
      <c r="Z804" s="360"/>
      <c r="AA804" s="360"/>
      <c r="AB804" s="360"/>
      <c r="AC804" s="360"/>
      <c r="AD804" s="360"/>
      <c r="AE804" s="360"/>
      <c r="AF804" s="360"/>
      <c r="AG804" s="360" t="s">
        <v>1582</v>
      </c>
      <c r="AH804" s="360"/>
      <c r="AI804" s="360"/>
      <c r="AJ804" s="360" t="s">
        <v>1589</v>
      </c>
      <c r="AK804" s="360"/>
      <c r="AL804" s="360" t="s">
        <v>5878</v>
      </c>
      <c r="AM804" s="360"/>
      <c r="AN804" s="360"/>
      <c r="AO804" s="360"/>
      <c r="AP804" s="360"/>
      <c r="AQ804" s="360"/>
      <c r="AR804" s="360"/>
      <c r="AS804" s="360"/>
      <c r="AT804" s="360"/>
      <c r="AU804" s="360" t="s">
        <v>22</v>
      </c>
      <c r="AV804" s="360"/>
      <c r="AW804" s="264"/>
      <c r="AX804" s="264"/>
      <c r="AY804" s="264"/>
      <c r="AZ804" s="264"/>
      <c r="BA804" s="264"/>
      <c r="BB804" s="264"/>
      <c r="BC804" s="264"/>
      <c r="BD804" s="264"/>
      <c r="BE804" s="264"/>
    </row>
    <row r="805">
      <c r="A805" s="264"/>
      <c r="B805" s="264"/>
      <c r="C805" s="264"/>
      <c r="D805" s="264"/>
      <c r="E805" s="264"/>
      <c r="F805" s="264"/>
      <c r="G805" s="264"/>
      <c r="H805" s="264"/>
      <c r="I805" s="264"/>
      <c r="J805" s="264"/>
      <c r="K805" s="264"/>
      <c r="L805" s="264"/>
      <c r="M805" s="264" t="s">
        <v>22</v>
      </c>
      <c r="N805" s="264"/>
      <c r="O805" s="264" t="s">
        <v>22</v>
      </c>
      <c r="P805" s="264"/>
      <c r="Q805" s="264"/>
      <c r="R805" s="264"/>
      <c r="S805" s="264"/>
      <c r="T805" s="264"/>
      <c r="U805" s="360"/>
      <c r="V805" s="360"/>
      <c r="W805" s="360"/>
      <c r="X805" s="360"/>
      <c r="Y805" s="360"/>
      <c r="Z805" s="360"/>
      <c r="AA805" s="360"/>
      <c r="AB805" s="360"/>
      <c r="AC805" s="360"/>
      <c r="AD805" s="360"/>
      <c r="AE805" s="360"/>
      <c r="AF805" s="360"/>
      <c r="AG805" s="360" t="s">
        <v>1582</v>
      </c>
      <c r="AH805" s="360"/>
      <c r="AI805" s="360"/>
      <c r="AJ805" s="360" t="s">
        <v>1589</v>
      </c>
      <c r="AK805" s="360"/>
      <c r="AL805" s="360" t="s">
        <v>5878</v>
      </c>
      <c r="AM805" s="360"/>
      <c r="AN805" s="360"/>
      <c r="AO805" s="360"/>
      <c r="AP805" s="360"/>
      <c r="AQ805" s="360"/>
      <c r="AR805" s="360"/>
      <c r="AS805" s="360"/>
      <c r="AT805" s="360"/>
      <c r="AU805" s="360" t="s">
        <v>22</v>
      </c>
      <c r="AV805" s="360"/>
      <c r="AW805" s="264"/>
      <c r="AX805" s="264"/>
      <c r="AY805" s="264"/>
      <c r="AZ805" s="264"/>
      <c r="BA805" s="264"/>
      <c r="BB805" s="264"/>
      <c r="BC805" s="264"/>
      <c r="BD805" s="264"/>
      <c r="BE805" s="264"/>
    </row>
    <row r="806">
      <c r="A806" s="264"/>
      <c r="B806" s="264"/>
      <c r="C806" s="264"/>
      <c r="D806" s="264"/>
      <c r="E806" s="264"/>
      <c r="F806" s="264"/>
      <c r="G806" s="264"/>
      <c r="H806" s="264"/>
      <c r="I806" s="264"/>
      <c r="J806" s="264"/>
      <c r="K806" s="264"/>
      <c r="L806" s="264"/>
      <c r="M806" s="264" t="s">
        <v>22</v>
      </c>
      <c r="N806" s="264"/>
      <c r="O806" s="264" t="s">
        <v>22</v>
      </c>
      <c r="P806" s="264"/>
      <c r="Q806" s="264"/>
      <c r="R806" s="264"/>
      <c r="S806" s="264"/>
      <c r="T806" s="264"/>
      <c r="U806" s="360"/>
      <c r="V806" s="360"/>
      <c r="W806" s="360"/>
      <c r="X806" s="360"/>
      <c r="Y806" s="360"/>
      <c r="Z806" s="360"/>
      <c r="AA806" s="360"/>
      <c r="AB806" s="360"/>
      <c r="AC806" s="360"/>
      <c r="AD806" s="360"/>
      <c r="AE806" s="360"/>
      <c r="AF806" s="360"/>
      <c r="AG806" s="360" t="s">
        <v>1582</v>
      </c>
      <c r="AH806" s="360"/>
      <c r="AI806" s="360"/>
      <c r="AJ806" s="360" t="s">
        <v>1589</v>
      </c>
      <c r="AK806" s="360"/>
      <c r="AL806" s="360" t="s">
        <v>5878</v>
      </c>
      <c r="AM806" s="360"/>
      <c r="AN806" s="360"/>
      <c r="AO806" s="360"/>
      <c r="AP806" s="360"/>
      <c r="AQ806" s="360"/>
      <c r="AR806" s="360"/>
      <c r="AS806" s="360"/>
      <c r="AT806" s="360"/>
      <c r="AU806" s="360" t="s">
        <v>22</v>
      </c>
      <c r="AV806" s="360"/>
      <c r="AW806" s="264"/>
      <c r="AX806" s="264"/>
      <c r="AY806" s="264"/>
      <c r="AZ806" s="264"/>
      <c r="BA806" s="264"/>
      <c r="BB806" s="264"/>
      <c r="BC806" s="264"/>
      <c r="BD806" s="264"/>
      <c r="BE806" s="264"/>
    </row>
    <row r="807">
      <c r="A807" s="264"/>
      <c r="B807" s="264"/>
      <c r="C807" s="264"/>
      <c r="D807" s="264"/>
      <c r="E807" s="264"/>
      <c r="F807" s="264"/>
      <c r="G807" s="264"/>
      <c r="H807" s="264"/>
      <c r="I807" s="264"/>
      <c r="J807" s="264"/>
      <c r="K807" s="264"/>
      <c r="L807" s="264"/>
      <c r="M807" s="264" t="s">
        <v>22</v>
      </c>
      <c r="N807" s="264"/>
      <c r="O807" s="264" t="s">
        <v>22</v>
      </c>
      <c r="P807" s="264"/>
      <c r="Q807" s="264"/>
      <c r="R807" s="264"/>
      <c r="S807" s="264"/>
      <c r="T807" s="264"/>
      <c r="U807" s="360"/>
      <c r="V807" s="360"/>
      <c r="W807" s="360"/>
      <c r="X807" s="360"/>
      <c r="Y807" s="360"/>
      <c r="Z807" s="360"/>
      <c r="AA807" s="360"/>
      <c r="AB807" s="360"/>
      <c r="AC807" s="360"/>
      <c r="AD807" s="360"/>
      <c r="AE807" s="360"/>
      <c r="AF807" s="360"/>
      <c r="AG807" s="360" t="s">
        <v>1582</v>
      </c>
      <c r="AH807" s="360"/>
      <c r="AI807" s="360"/>
      <c r="AJ807" s="360" t="s">
        <v>1589</v>
      </c>
      <c r="AK807" s="360"/>
      <c r="AL807" s="360" t="s">
        <v>5878</v>
      </c>
      <c r="AM807" s="360"/>
      <c r="AN807" s="360"/>
      <c r="AO807" s="360"/>
      <c r="AP807" s="360"/>
      <c r="AQ807" s="360"/>
      <c r="AR807" s="360"/>
      <c r="AS807" s="360"/>
      <c r="AT807" s="360"/>
      <c r="AU807" s="360" t="s">
        <v>22</v>
      </c>
      <c r="AV807" s="360"/>
      <c r="AW807" s="264"/>
      <c r="AX807" s="264"/>
      <c r="AY807" s="264"/>
      <c r="AZ807" s="264"/>
      <c r="BA807" s="264"/>
      <c r="BB807" s="264"/>
      <c r="BC807" s="264"/>
      <c r="BD807" s="264"/>
      <c r="BE807" s="264"/>
    </row>
    <row r="808">
      <c r="A808" s="264"/>
      <c r="B808" s="264"/>
      <c r="C808" s="264"/>
      <c r="D808" s="264"/>
      <c r="E808" s="264"/>
      <c r="F808" s="264"/>
      <c r="G808" s="264"/>
      <c r="H808" s="264"/>
      <c r="I808" s="264"/>
      <c r="J808" s="264"/>
      <c r="K808" s="264"/>
      <c r="L808" s="264"/>
      <c r="M808" s="264" t="s">
        <v>22</v>
      </c>
      <c r="N808" s="264"/>
      <c r="O808" s="264" t="s">
        <v>22</v>
      </c>
      <c r="P808" s="264"/>
      <c r="Q808" s="264"/>
      <c r="R808" s="264"/>
      <c r="S808" s="264"/>
      <c r="T808" s="264"/>
      <c r="U808" s="360"/>
      <c r="V808" s="360"/>
      <c r="W808" s="360"/>
      <c r="X808" s="360"/>
      <c r="Y808" s="360"/>
      <c r="Z808" s="360"/>
      <c r="AA808" s="360"/>
      <c r="AB808" s="360"/>
      <c r="AC808" s="360"/>
      <c r="AD808" s="360"/>
      <c r="AE808" s="360"/>
      <c r="AF808" s="360"/>
      <c r="AG808" s="360" t="s">
        <v>1582</v>
      </c>
      <c r="AH808" s="360"/>
      <c r="AI808" s="360"/>
      <c r="AJ808" s="360" t="s">
        <v>1589</v>
      </c>
      <c r="AK808" s="360"/>
      <c r="AL808" s="360" t="s">
        <v>5878</v>
      </c>
      <c r="AM808" s="360"/>
      <c r="AN808" s="360"/>
      <c r="AO808" s="360"/>
      <c r="AP808" s="360"/>
      <c r="AQ808" s="360"/>
      <c r="AR808" s="360"/>
      <c r="AS808" s="360"/>
      <c r="AT808" s="360"/>
      <c r="AU808" s="360" t="s">
        <v>22</v>
      </c>
      <c r="AV808" s="360"/>
      <c r="AW808" s="264"/>
      <c r="AX808" s="264"/>
      <c r="AY808" s="264"/>
      <c r="AZ808" s="264"/>
      <c r="BA808" s="264"/>
      <c r="BB808" s="264"/>
      <c r="BC808" s="264"/>
      <c r="BD808" s="264"/>
      <c r="BE808" s="264"/>
    </row>
    <row r="809">
      <c r="A809" s="264"/>
      <c r="B809" s="264"/>
      <c r="C809" s="264"/>
      <c r="D809" s="264"/>
      <c r="E809" s="264"/>
      <c r="F809" s="264"/>
      <c r="G809" s="264"/>
      <c r="H809" s="264"/>
      <c r="I809" s="264"/>
      <c r="J809" s="264"/>
      <c r="K809" s="264"/>
      <c r="L809" s="264"/>
      <c r="M809" s="264" t="s">
        <v>22</v>
      </c>
      <c r="N809" s="264"/>
      <c r="O809" s="264" t="s">
        <v>22</v>
      </c>
      <c r="P809" s="264"/>
      <c r="Q809" s="264"/>
      <c r="R809" s="264"/>
      <c r="S809" s="264"/>
      <c r="T809" s="264"/>
      <c r="U809" s="360"/>
      <c r="V809" s="360"/>
      <c r="W809" s="360"/>
      <c r="X809" s="360"/>
      <c r="Y809" s="360"/>
      <c r="Z809" s="360"/>
      <c r="AA809" s="360"/>
      <c r="AB809" s="360"/>
      <c r="AC809" s="360"/>
      <c r="AD809" s="360"/>
      <c r="AE809" s="360"/>
      <c r="AF809" s="360"/>
      <c r="AG809" s="360" t="s">
        <v>1582</v>
      </c>
      <c r="AH809" s="360"/>
      <c r="AI809" s="360"/>
      <c r="AJ809" s="360" t="s">
        <v>1589</v>
      </c>
      <c r="AK809" s="360"/>
      <c r="AL809" s="360" t="s">
        <v>5878</v>
      </c>
      <c r="AM809" s="360"/>
      <c r="AN809" s="360"/>
      <c r="AO809" s="360"/>
      <c r="AP809" s="360"/>
      <c r="AQ809" s="360"/>
      <c r="AR809" s="360"/>
      <c r="AS809" s="360"/>
      <c r="AT809" s="360"/>
      <c r="AU809" s="360" t="s">
        <v>22</v>
      </c>
      <c r="AV809" s="360"/>
      <c r="AW809" s="264"/>
      <c r="AX809" s="264"/>
      <c r="AY809" s="264"/>
      <c r="AZ809" s="264"/>
      <c r="BA809" s="264"/>
      <c r="BB809" s="264"/>
      <c r="BC809" s="264"/>
      <c r="BD809" s="264"/>
      <c r="BE809" s="264"/>
    </row>
    <row r="810">
      <c r="A810" s="264"/>
      <c r="B810" s="264"/>
      <c r="C810" s="264"/>
      <c r="D810" s="264"/>
      <c r="E810" s="264"/>
      <c r="F810" s="264"/>
      <c r="G810" s="264"/>
      <c r="H810" s="264"/>
      <c r="I810" s="264"/>
      <c r="J810" s="264"/>
      <c r="K810" s="264"/>
      <c r="L810" s="264"/>
      <c r="M810" s="264" t="s">
        <v>22</v>
      </c>
      <c r="N810" s="264"/>
      <c r="O810" s="264" t="s">
        <v>22</v>
      </c>
      <c r="P810" s="264"/>
      <c r="Q810" s="264"/>
      <c r="R810" s="264"/>
      <c r="S810" s="264"/>
      <c r="T810" s="264"/>
      <c r="U810" s="360"/>
      <c r="V810" s="360"/>
      <c r="W810" s="360"/>
      <c r="X810" s="360"/>
      <c r="Y810" s="360"/>
      <c r="Z810" s="360"/>
      <c r="AA810" s="360"/>
      <c r="AB810" s="360"/>
      <c r="AC810" s="360"/>
      <c r="AD810" s="360"/>
      <c r="AE810" s="360"/>
      <c r="AF810" s="360"/>
      <c r="AG810" s="360" t="s">
        <v>1582</v>
      </c>
      <c r="AH810" s="360"/>
      <c r="AI810" s="360"/>
      <c r="AJ810" s="360" t="s">
        <v>1589</v>
      </c>
      <c r="AK810" s="360"/>
      <c r="AL810" s="360" t="s">
        <v>5878</v>
      </c>
      <c r="AM810" s="360"/>
      <c r="AN810" s="360"/>
      <c r="AO810" s="360"/>
      <c r="AP810" s="360"/>
      <c r="AQ810" s="360"/>
      <c r="AR810" s="360"/>
      <c r="AS810" s="360"/>
      <c r="AT810" s="360"/>
      <c r="AU810" s="360" t="s">
        <v>22</v>
      </c>
      <c r="AV810" s="360"/>
      <c r="AW810" s="264"/>
      <c r="AX810" s="264"/>
      <c r="AY810" s="264"/>
      <c r="AZ810" s="264"/>
      <c r="BA810" s="264"/>
      <c r="BB810" s="264"/>
      <c r="BC810" s="264"/>
      <c r="BD810" s="264"/>
      <c r="BE810" s="264"/>
    </row>
    <row r="811">
      <c r="A811" s="264"/>
      <c r="B811" s="264"/>
      <c r="C811" s="264"/>
      <c r="D811" s="264"/>
      <c r="E811" s="264"/>
      <c r="F811" s="264"/>
      <c r="G811" s="264"/>
      <c r="H811" s="264"/>
      <c r="I811" s="264"/>
      <c r="J811" s="264"/>
      <c r="K811" s="264"/>
      <c r="L811" s="264"/>
      <c r="M811" s="264" t="s">
        <v>22</v>
      </c>
      <c r="N811" s="264"/>
      <c r="O811" s="264" t="s">
        <v>22</v>
      </c>
      <c r="P811" s="264"/>
      <c r="Q811" s="264"/>
      <c r="R811" s="264"/>
      <c r="S811" s="264"/>
      <c r="T811" s="264"/>
      <c r="U811" s="360"/>
      <c r="V811" s="360"/>
      <c r="W811" s="360"/>
      <c r="X811" s="360"/>
      <c r="Y811" s="360"/>
      <c r="Z811" s="360"/>
      <c r="AA811" s="360"/>
      <c r="AB811" s="360"/>
      <c r="AC811" s="360"/>
      <c r="AD811" s="360"/>
      <c r="AE811" s="360"/>
      <c r="AF811" s="360"/>
      <c r="AG811" s="360" t="s">
        <v>1582</v>
      </c>
      <c r="AH811" s="360"/>
      <c r="AI811" s="360"/>
      <c r="AJ811" s="360" t="s">
        <v>1589</v>
      </c>
      <c r="AK811" s="360"/>
      <c r="AL811" s="360" t="s">
        <v>5878</v>
      </c>
      <c r="AM811" s="360"/>
      <c r="AN811" s="360"/>
      <c r="AO811" s="360"/>
      <c r="AP811" s="360"/>
      <c r="AQ811" s="360"/>
      <c r="AR811" s="360"/>
      <c r="AS811" s="360"/>
      <c r="AT811" s="360"/>
      <c r="AU811" s="360" t="s">
        <v>22</v>
      </c>
      <c r="AV811" s="360"/>
      <c r="AW811" s="264"/>
      <c r="AX811" s="264"/>
      <c r="AY811" s="264"/>
      <c r="AZ811" s="264"/>
      <c r="BA811" s="264"/>
      <c r="BB811" s="264"/>
      <c r="BC811" s="264"/>
      <c r="BD811" s="264"/>
      <c r="BE811" s="264"/>
    </row>
    <row r="812">
      <c r="A812" s="264"/>
      <c r="B812" s="264"/>
      <c r="C812" s="264"/>
      <c r="D812" s="264"/>
      <c r="E812" s="264"/>
      <c r="F812" s="264"/>
      <c r="G812" s="264"/>
      <c r="H812" s="264"/>
      <c r="I812" s="264"/>
      <c r="J812" s="264"/>
      <c r="K812" s="264"/>
      <c r="L812" s="264"/>
      <c r="M812" s="264" t="s">
        <v>22</v>
      </c>
      <c r="N812" s="264"/>
      <c r="O812" s="264" t="s">
        <v>22</v>
      </c>
      <c r="P812" s="264"/>
      <c r="Q812" s="264"/>
      <c r="R812" s="264"/>
      <c r="S812" s="264"/>
      <c r="T812" s="264"/>
      <c r="U812" s="360"/>
      <c r="V812" s="360"/>
      <c r="W812" s="360"/>
      <c r="X812" s="360"/>
      <c r="Y812" s="360"/>
      <c r="Z812" s="360"/>
      <c r="AA812" s="360"/>
      <c r="AB812" s="360"/>
      <c r="AC812" s="360"/>
      <c r="AD812" s="360"/>
      <c r="AE812" s="360"/>
      <c r="AF812" s="360"/>
      <c r="AG812" s="360" t="s">
        <v>1582</v>
      </c>
      <c r="AH812" s="360"/>
      <c r="AI812" s="360"/>
      <c r="AJ812" s="360" t="s">
        <v>1589</v>
      </c>
      <c r="AK812" s="360"/>
      <c r="AL812" s="360" t="s">
        <v>5878</v>
      </c>
      <c r="AM812" s="360"/>
      <c r="AN812" s="360"/>
      <c r="AO812" s="360"/>
      <c r="AP812" s="360"/>
      <c r="AQ812" s="360"/>
      <c r="AR812" s="360"/>
      <c r="AS812" s="360"/>
      <c r="AT812" s="360"/>
      <c r="AU812" s="360" t="s">
        <v>22</v>
      </c>
      <c r="AV812" s="360"/>
      <c r="AW812" s="264"/>
      <c r="AX812" s="264"/>
      <c r="AY812" s="264"/>
      <c r="AZ812" s="264"/>
      <c r="BA812" s="264"/>
      <c r="BB812" s="264"/>
      <c r="BC812" s="264"/>
      <c r="BD812" s="264"/>
      <c r="BE812" s="264"/>
    </row>
    <row r="813">
      <c r="A813" s="264"/>
      <c r="B813" s="264"/>
      <c r="C813" s="264"/>
      <c r="D813" s="264"/>
      <c r="E813" s="264"/>
      <c r="F813" s="264"/>
      <c r="G813" s="264"/>
      <c r="H813" s="264"/>
      <c r="I813" s="264"/>
      <c r="J813" s="264"/>
      <c r="K813" s="264"/>
      <c r="L813" s="264"/>
      <c r="M813" s="264" t="s">
        <v>22</v>
      </c>
      <c r="N813" s="264"/>
      <c r="O813" s="264" t="s">
        <v>22</v>
      </c>
      <c r="P813" s="264"/>
      <c r="Q813" s="264"/>
      <c r="R813" s="264"/>
      <c r="S813" s="264"/>
      <c r="T813" s="264"/>
      <c r="U813" s="360"/>
      <c r="V813" s="360"/>
      <c r="W813" s="360"/>
      <c r="X813" s="360"/>
      <c r="Y813" s="360"/>
      <c r="Z813" s="360"/>
      <c r="AA813" s="360"/>
      <c r="AB813" s="360"/>
      <c r="AC813" s="360"/>
      <c r="AD813" s="360"/>
      <c r="AE813" s="360"/>
      <c r="AF813" s="360"/>
      <c r="AG813" s="360" t="s">
        <v>1582</v>
      </c>
      <c r="AH813" s="360"/>
      <c r="AI813" s="360"/>
      <c r="AJ813" s="360" t="s">
        <v>1589</v>
      </c>
      <c r="AK813" s="360"/>
      <c r="AL813" s="360" t="s">
        <v>5878</v>
      </c>
      <c r="AM813" s="360"/>
      <c r="AN813" s="360"/>
      <c r="AO813" s="360"/>
      <c r="AP813" s="360"/>
      <c r="AQ813" s="360"/>
      <c r="AR813" s="360"/>
      <c r="AS813" s="360"/>
      <c r="AT813" s="360"/>
      <c r="AU813" s="360" t="s">
        <v>22</v>
      </c>
      <c r="AV813" s="360"/>
      <c r="AW813" s="264"/>
      <c r="AX813" s="264"/>
      <c r="AY813" s="264"/>
      <c r="AZ813" s="264"/>
      <c r="BA813" s="264"/>
      <c r="BB813" s="264"/>
      <c r="BC813" s="264"/>
      <c r="BD813" s="264"/>
      <c r="BE813" s="264"/>
    </row>
    <row r="814">
      <c r="A814" s="264"/>
      <c r="B814" s="264"/>
      <c r="C814" s="264"/>
      <c r="D814" s="264"/>
      <c r="E814" s="264"/>
      <c r="F814" s="264"/>
      <c r="G814" s="264"/>
      <c r="H814" s="264"/>
      <c r="I814" s="264"/>
      <c r="J814" s="264"/>
      <c r="K814" s="264"/>
      <c r="L814" s="264"/>
      <c r="M814" s="264" t="s">
        <v>22</v>
      </c>
      <c r="N814" s="264"/>
      <c r="O814" s="264" t="s">
        <v>22</v>
      </c>
      <c r="P814" s="264"/>
      <c r="Q814" s="264"/>
      <c r="R814" s="264"/>
      <c r="S814" s="264"/>
      <c r="T814" s="264"/>
      <c r="U814" s="360"/>
      <c r="V814" s="360"/>
      <c r="W814" s="360"/>
      <c r="X814" s="360"/>
      <c r="Y814" s="360"/>
      <c r="Z814" s="360"/>
      <c r="AA814" s="360"/>
      <c r="AB814" s="360"/>
      <c r="AC814" s="360"/>
      <c r="AD814" s="360"/>
      <c r="AE814" s="360"/>
      <c r="AF814" s="360"/>
      <c r="AG814" s="360" t="s">
        <v>1582</v>
      </c>
      <c r="AH814" s="360"/>
      <c r="AI814" s="360"/>
      <c r="AJ814" s="360" t="s">
        <v>1589</v>
      </c>
      <c r="AK814" s="360"/>
      <c r="AL814" s="360" t="s">
        <v>5878</v>
      </c>
      <c r="AM814" s="360"/>
      <c r="AN814" s="360"/>
      <c r="AO814" s="360"/>
      <c r="AP814" s="360"/>
      <c r="AQ814" s="360"/>
      <c r="AR814" s="360"/>
      <c r="AS814" s="360"/>
      <c r="AT814" s="360"/>
      <c r="AU814" s="360" t="s">
        <v>22</v>
      </c>
      <c r="AV814" s="360"/>
      <c r="AW814" s="264"/>
      <c r="AX814" s="264"/>
      <c r="AY814" s="264"/>
      <c r="AZ814" s="264"/>
      <c r="BA814" s="264"/>
      <c r="BB814" s="264"/>
      <c r="BC814" s="264"/>
      <c r="BD814" s="264"/>
      <c r="BE814" s="264"/>
    </row>
    <row r="815">
      <c r="A815" s="264"/>
      <c r="B815" s="264"/>
      <c r="C815" s="264"/>
      <c r="D815" s="264"/>
      <c r="E815" s="264"/>
      <c r="F815" s="264"/>
      <c r="G815" s="264"/>
      <c r="H815" s="264"/>
      <c r="I815" s="264"/>
      <c r="J815" s="264"/>
      <c r="K815" s="264"/>
      <c r="L815" s="264"/>
      <c r="M815" s="264" t="s">
        <v>22</v>
      </c>
      <c r="N815" s="264"/>
      <c r="O815" s="264" t="s">
        <v>22</v>
      </c>
      <c r="P815" s="264"/>
      <c r="Q815" s="264"/>
      <c r="R815" s="264"/>
      <c r="S815" s="264"/>
      <c r="T815" s="264"/>
      <c r="U815" s="360"/>
      <c r="V815" s="360"/>
      <c r="W815" s="360"/>
      <c r="X815" s="360"/>
      <c r="Y815" s="360"/>
      <c r="Z815" s="360"/>
      <c r="AA815" s="360"/>
      <c r="AB815" s="360"/>
      <c r="AC815" s="360"/>
      <c r="AD815" s="360"/>
      <c r="AE815" s="360"/>
      <c r="AF815" s="360"/>
      <c r="AG815" s="360" t="s">
        <v>1582</v>
      </c>
      <c r="AH815" s="360"/>
      <c r="AI815" s="360"/>
      <c r="AJ815" s="360" t="s">
        <v>1589</v>
      </c>
      <c r="AK815" s="360"/>
      <c r="AL815" s="360" t="s">
        <v>5878</v>
      </c>
      <c r="AM815" s="360"/>
      <c r="AN815" s="360"/>
      <c r="AO815" s="360"/>
      <c r="AP815" s="360"/>
      <c r="AQ815" s="360"/>
      <c r="AR815" s="360"/>
      <c r="AS815" s="360"/>
      <c r="AT815" s="360"/>
      <c r="AU815" s="360" t="s">
        <v>22</v>
      </c>
      <c r="AV815" s="360"/>
      <c r="AW815" s="264"/>
      <c r="AX815" s="264"/>
      <c r="AY815" s="264"/>
      <c r="AZ815" s="264"/>
      <c r="BA815" s="264"/>
      <c r="BB815" s="264"/>
      <c r="BC815" s="264"/>
      <c r="BD815" s="264"/>
      <c r="BE815" s="264"/>
    </row>
    <row r="816">
      <c r="A816" s="264"/>
      <c r="B816" s="264"/>
      <c r="C816" s="264"/>
      <c r="D816" s="264"/>
      <c r="E816" s="264"/>
      <c r="F816" s="264"/>
      <c r="G816" s="264"/>
      <c r="H816" s="264"/>
      <c r="I816" s="264"/>
      <c r="J816" s="264"/>
      <c r="K816" s="264"/>
      <c r="L816" s="264"/>
      <c r="M816" s="264" t="s">
        <v>22</v>
      </c>
      <c r="N816" s="264"/>
      <c r="O816" s="264" t="s">
        <v>22</v>
      </c>
      <c r="P816" s="264"/>
      <c r="Q816" s="264"/>
      <c r="R816" s="264"/>
      <c r="S816" s="264"/>
      <c r="T816" s="264"/>
      <c r="U816" s="360"/>
      <c r="V816" s="360"/>
      <c r="W816" s="360"/>
      <c r="X816" s="360"/>
      <c r="Y816" s="360"/>
      <c r="Z816" s="360"/>
      <c r="AA816" s="360"/>
      <c r="AB816" s="360"/>
      <c r="AC816" s="360"/>
      <c r="AD816" s="360"/>
      <c r="AE816" s="360"/>
      <c r="AF816" s="360"/>
      <c r="AG816" s="360" t="s">
        <v>1582</v>
      </c>
      <c r="AH816" s="360"/>
      <c r="AI816" s="360"/>
      <c r="AJ816" s="360" t="s">
        <v>1589</v>
      </c>
      <c r="AK816" s="360"/>
      <c r="AL816" s="360" t="s">
        <v>5878</v>
      </c>
      <c r="AM816" s="360"/>
      <c r="AN816" s="360"/>
      <c r="AO816" s="360"/>
      <c r="AP816" s="360"/>
      <c r="AQ816" s="360"/>
      <c r="AR816" s="360"/>
      <c r="AS816" s="360"/>
      <c r="AT816" s="360"/>
      <c r="AU816" s="360" t="s">
        <v>22</v>
      </c>
      <c r="AV816" s="360"/>
      <c r="AW816" s="264"/>
      <c r="AX816" s="264"/>
      <c r="AY816" s="264"/>
      <c r="AZ816" s="264"/>
      <c r="BA816" s="264"/>
      <c r="BB816" s="264"/>
      <c r="BC816" s="264"/>
      <c r="BD816" s="264"/>
      <c r="BE816" s="264"/>
    </row>
    <row r="817">
      <c r="A817" s="264"/>
      <c r="B817" s="264"/>
      <c r="C817" s="264"/>
      <c r="D817" s="264"/>
      <c r="E817" s="264"/>
      <c r="F817" s="264"/>
      <c r="G817" s="264"/>
      <c r="H817" s="264"/>
      <c r="I817" s="264"/>
      <c r="J817" s="264"/>
      <c r="K817" s="264"/>
      <c r="L817" s="264"/>
      <c r="M817" s="264" t="s">
        <v>22</v>
      </c>
      <c r="N817" s="264"/>
      <c r="O817" s="264" t="s">
        <v>22</v>
      </c>
      <c r="P817" s="264"/>
      <c r="Q817" s="264"/>
      <c r="R817" s="264"/>
      <c r="S817" s="264"/>
      <c r="T817" s="264"/>
      <c r="U817" s="360"/>
      <c r="V817" s="360"/>
      <c r="W817" s="360"/>
      <c r="X817" s="360"/>
      <c r="Y817" s="360"/>
      <c r="Z817" s="360"/>
      <c r="AA817" s="360"/>
      <c r="AB817" s="360"/>
      <c r="AC817" s="360"/>
      <c r="AD817" s="360"/>
      <c r="AE817" s="360"/>
      <c r="AF817" s="360"/>
      <c r="AG817" s="360" t="s">
        <v>1582</v>
      </c>
      <c r="AH817" s="360"/>
      <c r="AI817" s="360"/>
      <c r="AJ817" s="360" t="s">
        <v>1589</v>
      </c>
      <c r="AK817" s="360"/>
      <c r="AL817" s="360" t="s">
        <v>5878</v>
      </c>
      <c r="AM817" s="360"/>
      <c r="AN817" s="360"/>
      <c r="AO817" s="360"/>
      <c r="AP817" s="360"/>
      <c r="AQ817" s="360"/>
      <c r="AR817" s="360"/>
      <c r="AS817" s="360"/>
      <c r="AT817" s="360"/>
      <c r="AU817" s="360" t="s">
        <v>22</v>
      </c>
      <c r="AV817" s="360"/>
      <c r="AW817" s="264"/>
      <c r="AX817" s="264"/>
      <c r="AY817" s="264"/>
      <c r="AZ817" s="264"/>
      <c r="BA817" s="264"/>
      <c r="BB817" s="264"/>
      <c r="BC817" s="264"/>
      <c r="BD817" s="264"/>
      <c r="BE817" s="264"/>
    </row>
    <row r="818">
      <c r="A818" s="264"/>
      <c r="B818" s="264"/>
      <c r="C818" s="264"/>
      <c r="D818" s="264"/>
      <c r="E818" s="264"/>
      <c r="F818" s="264"/>
      <c r="G818" s="264"/>
      <c r="H818" s="264"/>
      <c r="I818" s="264"/>
      <c r="J818" s="264"/>
      <c r="K818" s="264"/>
      <c r="L818" s="264"/>
      <c r="M818" s="264" t="s">
        <v>22</v>
      </c>
      <c r="N818" s="264"/>
      <c r="O818" s="264" t="s">
        <v>22</v>
      </c>
      <c r="P818" s="264"/>
      <c r="Q818" s="264"/>
      <c r="R818" s="264"/>
      <c r="S818" s="264"/>
      <c r="T818" s="264"/>
      <c r="U818" s="360"/>
      <c r="V818" s="360"/>
      <c r="W818" s="360"/>
      <c r="X818" s="360"/>
      <c r="Y818" s="360"/>
      <c r="Z818" s="360"/>
      <c r="AA818" s="360"/>
      <c r="AB818" s="360"/>
      <c r="AC818" s="360"/>
      <c r="AD818" s="360"/>
      <c r="AE818" s="360"/>
      <c r="AF818" s="360"/>
      <c r="AG818" s="360" t="s">
        <v>1582</v>
      </c>
      <c r="AH818" s="360"/>
      <c r="AI818" s="360"/>
      <c r="AJ818" s="360" t="s">
        <v>1589</v>
      </c>
      <c r="AK818" s="360"/>
      <c r="AL818" s="360" t="s">
        <v>5878</v>
      </c>
      <c r="AM818" s="360"/>
      <c r="AN818" s="360"/>
      <c r="AO818" s="360"/>
      <c r="AP818" s="360"/>
      <c r="AQ818" s="360"/>
      <c r="AR818" s="360"/>
      <c r="AS818" s="360"/>
      <c r="AT818" s="360"/>
      <c r="AU818" s="360" t="s">
        <v>22</v>
      </c>
      <c r="AV818" s="360"/>
      <c r="AW818" s="264"/>
      <c r="AX818" s="264"/>
      <c r="AY818" s="264"/>
      <c r="AZ818" s="264"/>
      <c r="BA818" s="264"/>
      <c r="BB818" s="264"/>
      <c r="BC818" s="264"/>
      <c r="BD818" s="264"/>
      <c r="BE818" s="264"/>
    </row>
    <row r="819">
      <c r="A819" s="264"/>
      <c r="B819" s="264"/>
      <c r="C819" s="264"/>
      <c r="D819" s="264"/>
      <c r="E819" s="264"/>
      <c r="F819" s="264"/>
      <c r="G819" s="264"/>
      <c r="H819" s="264"/>
      <c r="I819" s="264"/>
      <c r="J819" s="264"/>
      <c r="K819" s="264"/>
      <c r="L819" s="264"/>
      <c r="M819" s="264" t="s">
        <v>22</v>
      </c>
      <c r="N819" s="264"/>
      <c r="O819" s="264" t="s">
        <v>22</v>
      </c>
      <c r="P819" s="264"/>
      <c r="Q819" s="264"/>
      <c r="R819" s="264"/>
      <c r="S819" s="264"/>
      <c r="T819" s="264"/>
      <c r="U819" s="360"/>
      <c r="V819" s="360"/>
      <c r="W819" s="360"/>
      <c r="X819" s="360"/>
      <c r="Y819" s="360"/>
      <c r="Z819" s="360"/>
      <c r="AA819" s="360"/>
      <c r="AB819" s="360"/>
      <c r="AC819" s="360"/>
      <c r="AD819" s="360"/>
      <c r="AE819" s="360"/>
      <c r="AF819" s="360"/>
      <c r="AG819" s="360" t="s">
        <v>1582</v>
      </c>
      <c r="AH819" s="360"/>
      <c r="AI819" s="360"/>
      <c r="AJ819" s="360" t="s">
        <v>1589</v>
      </c>
      <c r="AK819" s="360"/>
      <c r="AL819" s="360" t="s">
        <v>5878</v>
      </c>
      <c r="AM819" s="360"/>
      <c r="AN819" s="360"/>
      <c r="AO819" s="360"/>
      <c r="AP819" s="360"/>
      <c r="AQ819" s="360"/>
      <c r="AR819" s="360"/>
      <c r="AS819" s="360"/>
      <c r="AT819" s="360"/>
      <c r="AU819" s="360" t="s">
        <v>22</v>
      </c>
      <c r="AV819" s="360"/>
      <c r="AW819" s="264"/>
      <c r="AX819" s="264"/>
      <c r="AY819" s="264"/>
      <c r="AZ819" s="264"/>
      <c r="BA819" s="264"/>
      <c r="BB819" s="264"/>
      <c r="BC819" s="264"/>
      <c r="BD819" s="264"/>
      <c r="BE819" s="264"/>
    </row>
    <row r="820">
      <c r="A820" s="264"/>
      <c r="B820" s="264"/>
      <c r="C820" s="264"/>
      <c r="D820" s="264"/>
      <c r="E820" s="264"/>
      <c r="F820" s="264"/>
      <c r="G820" s="264"/>
      <c r="H820" s="264"/>
      <c r="I820" s="264"/>
      <c r="J820" s="264"/>
      <c r="K820" s="264"/>
      <c r="L820" s="264"/>
      <c r="M820" s="264" t="s">
        <v>22</v>
      </c>
      <c r="N820" s="264"/>
      <c r="O820" s="264" t="s">
        <v>22</v>
      </c>
      <c r="P820" s="264"/>
      <c r="Q820" s="264"/>
      <c r="R820" s="264"/>
      <c r="S820" s="264"/>
      <c r="T820" s="264"/>
      <c r="U820" s="360"/>
      <c r="V820" s="360"/>
      <c r="W820" s="360"/>
      <c r="X820" s="360"/>
      <c r="Y820" s="360"/>
      <c r="Z820" s="360"/>
      <c r="AA820" s="360"/>
      <c r="AB820" s="360"/>
      <c r="AC820" s="360"/>
      <c r="AD820" s="360"/>
      <c r="AE820" s="360"/>
      <c r="AF820" s="360"/>
      <c r="AG820" s="360" t="s">
        <v>1582</v>
      </c>
      <c r="AH820" s="360"/>
      <c r="AI820" s="360"/>
      <c r="AJ820" s="360" t="s">
        <v>1589</v>
      </c>
      <c r="AK820" s="360"/>
      <c r="AL820" s="360" t="s">
        <v>5878</v>
      </c>
      <c r="AM820" s="360"/>
      <c r="AN820" s="360"/>
      <c r="AO820" s="360"/>
      <c r="AP820" s="360"/>
      <c r="AQ820" s="360"/>
      <c r="AR820" s="360"/>
      <c r="AS820" s="360"/>
      <c r="AT820" s="360"/>
      <c r="AU820" s="360" t="s">
        <v>22</v>
      </c>
      <c r="AV820" s="360"/>
      <c r="AW820" s="264"/>
      <c r="AX820" s="264"/>
      <c r="AY820" s="264"/>
      <c r="AZ820" s="264"/>
      <c r="BA820" s="264"/>
      <c r="BB820" s="264"/>
      <c r="BC820" s="264"/>
      <c r="BD820" s="264"/>
      <c r="BE820" s="264"/>
    </row>
    <row r="821">
      <c r="A821" s="264"/>
      <c r="B821" s="264"/>
      <c r="C821" s="264"/>
      <c r="D821" s="264"/>
      <c r="E821" s="264"/>
      <c r="F821" s="264"/>
      <c r="G821" s="264"/>
      <c r="H821" s="264"/>
      <c r="I821" s="264"/>
      <c r="J821" s="264"/>
      <c r="K821" s="264"/>
      <c r="L821" s="264"/>
      <c r="M821" s="264" t="s">
        <v>22</v>
      </c>
      <c r="N821" s="264"/>
      <c r="O821" s="264" t="s">
        <v>22</v>
      </c>
      <c r="P821" s="264"/>
      <c r="Q821" s="264"/>
      <c r="R821" s="264"/>
      <c r="S821" s="264"/>
      <c r="T821" s="264"/>
      <c r="U821" s="360"/>
      <c r="V821" s="360"/>
      <c r="W821" s="360"/>
      <c r="X821" s="360"/>
      <c r="Y821" s="360"/>
      <c r="Z821" s="360"/>
      <c r="AA821" s="360"/>
      <c r="AB821" s="360"/>
      <c r="AC821" s="360"/>
      <c r="AD821" s="360"/>
      <c r="AE821" s="360"/>
      <c r="AF821" s="360"/>
      <c r="AG821" s="360" t="s">
        <v>1582</v>
      </c>
      <c r="AH821" s="360"/>
      <c r="AI821" s="360"/>
      <c r="AJ821" s="360" t="s">
        <v>1589</v>
      </c>
      <c r="AK821" s="360"/>
      <c r="AL821" s="360" t="s">
        <v>5878</v>
      </c>
      <c r="AM821" s="360"/>
      <c r="AN821" s="360"/>
      <c r="AO821" s="360"/>
      <c r="AP821" s="360"/>
      <c r="AQ821" s="360"/>
      <c r="AR821" s="360"/>
      <c r="AS821" s="360"/>
      <c r="AT821" s="360"/>
      <c r="AU821" s="360" t="s">
        <v>22</v>
      </c>
      <c r="AV821" s="360"/>
      <c r="AW821" s="264"/>
      <c r="AX821" s="264"/>
      <c r="AY821" s="264"/>
      <c r="AZ821" s="264"/>
      <c r="BA821" s="264"/>
      <c r="BB821" s="264"/>
      <c r="BC821" s="264"/>
      <c r="BD821" s="264"/>
      <c r="BE821" s="264"/>
    </row>
    <row r="822">
      <c r="A822" s="264"/>
      <c r="B822" s="264"/>
      <c r="C822" s="264"/>
      <c r="D822" s="264"/>
      <c r="E822" s="264"/>
      <c r="F822" s="264"/>
      <c r="G822" s="264"/>
      <c r="H822" s="264"/>
      <c r="I822" s="264"/>
      <c r="J822" s="264"/>
      <c r="K822" s="264"/>
      <c r="L822" s="264"/>
      <c r="M822" s="264" t="s">
        <v>22</v>
      </c>
      <c r="N822" s="264"/>
      <c r="O822" s="264" t="s">
        <v>22</v>
      </c>
      <c r="P822" s="264"/>
      <c r="Q822" s="264"/>
      <c r="R822" s="264"/>
      <c r="S822" s="264"/>
      <c r="T822" s="264"/>
      <c r="U822" s="360"/>
      <c r="V822" s="360"/>
      <c r="W822" s="360"/>
      <c r="X822" s="360"/>
      <c r="Y822" s="360"/>
      <c r="Z822" s="360"/>
      <c r="AA822" s="360"/>
      <c r="AB822" s="360"/>
      <c r="AC822" s="360"/>
      <c r="AD822" s="360"/>
      <c r="AE822" s="360"/>
      <c r="AF822" s="360"/>
      <c r="AG822" s="360" t="s">
        <v>1582</v>
      </c>
      <c r="AH822" s="360"/>
      <c r="AI822" s="360"/>
      <c r="AJ822" s="360" t="s">
        <v>1589</v>
      </c>
      <c r="AK822" s="360"/>
      <c r="AL822" s="360" t="s">
        <v>5878</v>
      </c>
      <c r="AM822" s="360"/>
      <c r="AN822" s="360"/>
      <c r="AO822" s="360"/>
      <c r="AP822" s="360"/>
      <c r="AQ822" s="360"/>
      <c r="AR822" s="360"/>
      <c r="AS822" s="360"/>
      <c r="AT822" s="360"/>
      <c r="AU822" s="360" t="s">
        <v>22</v>
      </c>
      <c r="AV822" s="360"/>
      <c r="AW822" s="264"/>
      <c r="AX822" s="264"/>
      <c r="AY822" s="264"/>
      <c r="AZ822" s="264"/>
      <c r="BA822" s="264"/>
      <c r="BB822" s="264"/>
      <c r="BC822" s="264"/>
      <c r="BD822" s="264"/>
      <c r="BE822" s="264"/>
    </row>
    <row r="823">
      <c r="A823" s="264"/>
      <c r="B823" s="264"/>
      <c r="C823" s="264"/>
      <c r="D823" s="264"/>
      <c r="E823" s="264"/>
      <c r="F823" s="264"/>
      <c r="G823" s="264"/>
      <c r="H823" s="264"/>
      <c r="I823" s="264"/>
      <c r="J823" s="264"/>
      <c r="K823" s="264"/>
      <c r="L823" s="264"/>
      <c r="M823" s="264" t="s">
        <v>22</v>
      </c>
      <c r="N823" s="264"/>
      <c r="O823" s="264" t="s">
        <v>22</v>
      </c>
      <c r="P823" s="264"/>
      <c r="Q823" s="264"/>
      <c r="R823" s="264"/>
      <c r="S823" s="264"/>
      <c r="T823" s="264"/>
      <c r="U823" s="360"/>
      <c r="V823" s="360"/>
      <c r="W823" s="360"/>
      <c r="X823" s="360"/>
      <c r="Y823" s="360"/>
      <c r="Z823" s="360"/>
      <c r="AA823" s="360"/>
      <c r="AB823" s="360"/>
      <c r="AC823" s="360"/>
      <c r="AD823" s="360"/>
      <c r="AE823" s="360"/>
      <c r="AF823" s="360"/>
      <c r="AG823" s="360" t="s">
        <v>1582</v>
      </c>
      <c r="AH823" s="360"/>
      <c r="AI823" s="360"/>
      <c r="AJ823" s="360" t="s">
        <v>1589</v>
      </c>
      <c r="AK823" s="360"/>
      <c r="AL823" s="360" t="s">
        <v>5878</v>
      </c>
      <c r="AM823" s="360"/>
      <c r="AN823" s="360"/>
      <c r="AO823" s="360"/>
      <c r="AP823" s="360"/>
      <c r="AQ823" s="360"/>
      <c r="AR823" s="360"/>
      <c r="AS823" s="360"/>
      <c r="AT823" s="360"/>
      <c r="AU823" s="360" t="s">
        <v>22</v>
      </c>
      <c r="AV823" s="360"/>
      <c r="AW823" s="264"/>
      <c r="AX823" s="264"/>
      <c r="AY823" s="264"/>
      <c r="AZ823" s="264"/>
      <c r="BA823" s="264"/>
      <c r="BB823" s="264"/>
      <c r="BC823" s="264"/>
      <c r="BD823" s="264"/>
      <c r="BE823" s="264"/>
    </row>
    <row r="824">
      <c r="A824" s="264"/>
      <c r="B824" s="264"/>
      <c r="C824" s="264"/>
      <c r="D824" s="264"/>
      <c r="E824" s="264"/>
      <c r="F824" s="264"/>
      <c r="G824" s="264"/>
      <c r="H824" s="264"/>
      <c r="I824" s="264"/>
      <c r="J824" s="264"/>
      <c r="K824" s="264"/>
      <c r="L824" s="264"/>
      <c r="M824" s="264" t="s">
        <v>22</v>
      </c>
      <c r="N824" s="264"/>
      <c r="O824" s="264" t="s">
        <v>22</v>
      </c>
      <c r="P824" s="264"/>
      <c r="Q824" s="264"/>
      <c r="R824" s="264"/>
      <c r="S824" s="264"/>
      <c r="T824" s="264"/>
      <c r="U824" s="360"/>
      <c r="V824" s="360"/>
      <c r="W824" s="360"/>
      <c r="X824" s="360"/>
      <c r="Y824" s="360"/>
      <c r="Z824" s="360"/>
      <c r="AA824" s="360"/>
      <c r="AB824" s="360"/>
      <c r="AC824" s="360"/>
      <c r="AD824" s="360"/>
      <c r="AE824" s="360"/>
      <c r="AF824" s="360"/>
      <c r="AG824" s="360" t="s">
        <v>1582</v>
      </c>
      <c r="AH824" s="360"/>
      <c r="AI824" s="360"/>
      <c r="AJ824" s="360" t="s">
        <v>1589</v>
      </c>
      <c r="AK824" s="360"/>
      <c r="AL824" s="360" t="s">
        <v>5878</v>
      </c>
      <c r="AM824" s="360"/>
      <c r="AN824" s="360"/>
      <c r="AO824" s="360"/>
      <c r="AP824" s="360"/>
      <c r="AQ824" s="360"/>
      <c r="AR824" s="360"/>
      <c r="AS824" s="360"/>
      <c r="AT824" s="360"/>
      <c r="AU824" s="360" t="s">
        <v>22</v>
      </c>
      <c r="AV824" s="360"/>
      <c r="AW824" s="264"/>
      <c r="AX824" s="264"/>
      <c r="AY824" s="264"/>
      <c r="AZ824" s="264"/>
      <c r="BA824" s="264"/>
      <c r="BB824" s="264"/>
      <c r="BC824" s="264"/>
      <c r="BD824" s="264"/>
      <c r="BE824" s="264"/>
    </row>
    <row r="825">
      <c r="A825" s="264"/>
      <c r="B825" s="264"/>
      <c r="C825" s="264"/>
      <c r="D825" s="264"/>
      <c r="E825" s="264"/>
      <c r="F825" s="264"/>
      <c r="G825" s="264"/>
      <c r="H825" s="264"/>
      <c r="I825" s="264"/>
      <c r="J825" s="264"/>
      <c r="K825" s="264"/>
      <c r="L825" s="264"/>
      <c r="M825" s="264" t="s">
        <v>22</v>
      </c>
      <c r="N825" s="264"/>
      <c r="O825" s="264" t="s">
        <v>22</v>
      </c>
      <c r="P825" s="264"/>
      <c r="Q825" s="264"/>
      <c r="R825" s="264"/>
      <c r="S825" s="264"/>
      <c r="T825" s="264"/>
      <c r="U825" s="360"/>
      <c r="V825" s="360"/>
      <c r="W825" s="360"/>
      <c r="X825" s="360"/>
      <c r="Y825" s="360"/>
      <c r="Z825" s="360"/>
      <c r="AA825" s="360"/>
      <c r="AB825" s="360"/>
      <c r="AC825" s="360"/>
      <c r="AD825" s="360"/>
      <c r="AE825" s="360"/>
      <c r="AF825" s="360"/>
      <c r="AG825" s="360" t="s">
        <v>1582</v>
      </c>
      <c r="AH825" s="360"/>
      <c r="AI825" s="360"/>
      <c r="AJ825" s="360" t="s">
        <v>1589</v>
      </c>
      <c r="AK825" s="360"/>
      <c r="AL825" s="360" t="s">
        <v>5878</v>
      </c>
      <c r="AM825" s="360"/>
      <c r="AN825" s="360"/>
      <c r="AO825" s="360"/>
      <c r="AP825" s="360"/>
      <c r="AQ825" s="360"/>
      <c r="AR825" s="360"/>
      <c r="AS825" s="360"/>
      <c r="AT825" s="360"/>
      <c r="AU825" s="360" t="s">
        <v>22</v>
      </c>
      <c r="AV825" s="360"/>
      <c r="AW825" s="264"/>
      <c r="AX825" s="264"/>
      <c r="AY825" s="264"/>
      <c r="AZ825" s="264"/>
      <c r="BA825" s="264"/>
      <c r="BB825" s="264"/>
      <c r="BC825" s="264"/>
      <c r="BD825" s="264"/>
      <c r="BE825" s="264"/>
    </row>
    <row r="826">
      <c r="A826" s="264"/>
      <c r="B826" s="264"/>
      <c r="C826" s="264"/>
      <c r="D826" s="264"/>
      <c r="E826" s="264"/>
      <c r="F826" s="264"/>
      <c r="G826" s="264"/>
      <c r="H826" s="264"/>
      <c r="I826" s="264"/>
      <c r="J826" s="264"/>
      <c r="K826" s="264"/>
      <c r="L826" s="264"/>
      <c r="M826" s="264" t="s">
        <v>22</v>
      </c>
      <c r="N826" s="264"/>
      <c r="O826" s="264" t="s">
        <v>22</v>
      </c>
      <c r="P826" s="264"/>
      <c r="Q826" s="264"/>
      <c r="R826" s="264"/>
      <c r="S826" s="264"/>
      <c r="T826" s="264"/>
      <c r="U826" s="360"/>
      <c r="V826" s="360"/>
      <c r="W826" s="360"/>
      <c r="X826" s="360"/>
      <c r="Y826" s="360"/>
      <c r="Z826" s="360"/>
      <c r="AA826" s="360"/>
      <c r="AB826" s="360"/>
      <c r="AC826" s="360"/>
      <c r="AD826" s="360"/>
      <c r="AE826" s="360"/>
      <c r="AF826" s="360"/>
      <c r="AG826" s="360" t="s">
        <v>1582</v>
      </c>
      <c r="AH826" s="360"/>
      <c r="AI826" s="360"/>
      <c r="AJ826" s="360" t="s">
        <v>1589</v>
      </c>
      <c r="AK826" s="360"/>
      <c r="AL826" s="360" t="s">
        <v>5878</v>
      </c>
      <c r="AM826" s="360"/>
      <c r="AN826" s="360"/>
      <c r="AO826" s="360"/>
      <c r="AP826" s="360"/>
      <c r="AQ826" s="360"/>
      <c r="AR826" s="360"/>
      <c r="AS826" s="360"/>
      <c r="AT826" s="360"/>
      <c r="AU826" s="360" t="s">
        <v>22</v>
      </c>
      <c r="AV826" s="360"/>
      <c r="AW826" s="264"/>
      <c r="AX826" s="264"/>
      <c r="AY826" s="264"/>
      <c r="AZ826" s="264"/>
      <c r="BA826" s="264"/>
      <c r="BB826" s="264"/>
      <c r="BC826" s="264"/>
      <c r="BD826" s="264"/>
      <c r="BE826" s="264"/>
    </row>
    <row r="827">
      <c r="A827" s="264"/>
      <c r="B827" s="264"/>
      <c r="C827" s="264"/>
      <c r="D827" s="264"/>
      <c r="E827" s="264"/>
      <c r="F827" s="264"/>
      <c r="G827" s="264"/>
      <c r="H827" s="264"/>
      <c r="I827" s="264"/>
      <c r="J827" s="264"/>
      <c r="K827" s="264"/>
      <c r="L827" s="264"/>
      <c r="M827" s="264" t="s">
        <v>22</v>
      </c>
      <c r="N827" s="264"/>
      <c r="O827" s="264" t="s">
        <v>22</v>
      </c>
      <c r="P827" s="264"/>
      <c r="Q827" s="264"/>
      <c r="R827" s="264"/>
      <c r="S827" s="264"/>
      <c r="T827" s="264"/>
      <c r="U827" s="360"/>
      <c r="V827" s="360"/>
      <c r="W827" s="360"/>
      <c r="X827" s="360"/>
      <c r="Y827" s="360"/>
      <c r="Z827" s="360"/>
      <c r="AA827" s="360"/>
      <c r="AB827" s="360"/>
      <c r="AC827" s="360"/>
      <c r="AD827" s="360"/>
      <c r="AE827" s="360"/>
      <c r="AF827" s="360"/>
      <c r="AG827" s="360" t="s">
        <v>1582</v>
      </c>
      <c r="AH827" s="360"/>
      <c r="AI827" s="360"/>
      <c r="AJ827" s="360" t="s">
        <v>1589</v>
      </c>
      <c r="AK827" s="360"/>
      <c r="AL827" s="360" t="s">
        <v>5878</v>
      </c>
      <c r="AM827" s="360"/>
      <c r="AN827" s="360"/>
      <c r="AO827" s="360"/>
      <c r="AP827" s="360"/>
      <c r="AQ827" s="360"/>
      <c r="AR827" s="360"/>
      <c r="AS827" s="360"/>
      <c r="AT827" s="360"/>
      <c r="AU827" s="360" t="s">
        <v>22</v>
      </c>
      <c r="AV827" s="360"/>
      <c r="AW827" s="264"/>
      <c r="AX827" s="264"/>
      <c r="AY827" s="264"/>
      <c r="AZ827" s="264"/>
      <c r="BA827" s="264"/>
      <c r="BB827" s="264"/>
      <c r="BC827" s="264"/>
      <c r="BD827" s="264"/>
      <c r="BE827" s="264"/>
    </row>
    <row r="828">
      <c r="A828" s="264"/>
      <c r="B828" s="264"/>
      <c r="C828" s="264"/>
      <c r="D828" s="264"/>
      <c r="E828" s="264"/>
      <c r="F828" s="264"/>
      <c r="G828" s="264"/>
      <c r="H828" s="264"/>
      <c r="I828" s="264"/>
      <c r="J828" s="264"/>
      <c r="K828" s="264"/>
      <c r="L828" s="264"/>
      <c r="M828" s="264" t="s">
        <v>22</v>
      </c>
      <c r="N828" s="264"/>
      <c r="O828" s="264" t="s">
        <v>22</v>
      </c>
      <c r="P828" s="264"/>
      <c r="Q828" s="264"/>
      <c r="R828" s="264"/>
      <c r="S828" s="264"/>
      <c r="T828" s="264"/>
      <c r="U828" s="360"/>
      <c r="V828" s="360"/>
      <c r="W828" s="360"/>
      <c r="X828" s="360"/>
      <c r="Y828" s="360"/>
      <c r="Z828" s="360"/>
      <c r="AA828" s="360"/>
      <c r="AB828" s="360"/>
      <c r="AC828" s="360"/>
      <c r="AD828" s="360"/>
      <c r="AE828" s="360"/>
      <c r="AF828" s="360"/>
      <c r="AG828" s="360" t="s">
        <v>1582</v>
      </c>
      <c r="AH828" s="360"/>
      <c r="AI828" s="360"/>
      <c r="AJ828" s="360" t="s">
        <v>1589</v>
      </c>
      <c r="AK828" s="360"/>
      <c r="AL828" s="360" t="s">
        <v>5878</v>
      </c>
      <c r="AM828" s="360"/>
      <c r="AN828" s="360"/>
      <c r="AO828" s="360"/>
      <c r="AP828" s="360"/>
      <c r="AQ828" s="360"/>
      <c r="AR828" s="360"/>
      <c r="AS828" s="360"/>
      <c r="AT828" s="360"/>
      <c r="AU828" s="360" t="s">
        <v>22</v>
      </c>
      <c r="AV828" s="360"/>
      <c r="AW828" s="264"/>
      <c r="AX828" s="264"/>
      <c r="AY828" s="264"/>
      <c r="AZ828" s="264"/>
      <c r="BA828" s="264"/>
      <c r="BB828" s="264"/>
      <c r="BC828" s="264"/>
      <c r="BD828" s="264"/>
      <c r="BE828" s="264"/>
    </row>
    <row r="829">
      <c r="A829" s="264"/>
      <c r="B829" s="264"/>
      <c r="C829" s="264"/>
      <c r="D829" s="264"/>
      <c r="E829" s="264"/>
      <c r="F829" s="264"/>
      <c r="G829" s="264"/>
      <c r="H829" s="264"/>
      <c r="I829" s="264"/>
      <c r="J829" s="264"/>
      <c r="K829" s="264"/>
      <c r="L829" s="264"/>
      <c r="M829" s="264" t="s">
        <v>22</v>
      </c>
      <c r="N829" s="264"/>
      <c r="O829" s="264" t="s">
        <v>22</v>
      </c>
      <c r="P829" s="264"/>
      <c r="Q829" s="264"/>
      <c r="R829" s="264"/>
      <c r="S829" s="264"/>
      <c r="T829" s="264"/>
      <c r="U829" s="360"/>
      <c r="V829" s="360"/>
      <c r="W829" s="360"/>
      <c r="X829" s="360"/>
      <c r="Y829" s="360"/>
      <c r="Z829" s="360"/>
      <c r="AA829" s="360"/>
      <c r="AB829" s="360"/>
      <c r="AC829" s="360"/>
      <c r="AD829" s="360"/>
      <c r="AE829" s="360"/>
      <c r="AF829" s="360"/>
      <c r="AG829" s="360" t="s">
        <v>1582</v>
      </c>
      <c r="AH829" s="360"/>
      <c r="AI829" s="360"/>
      <c r="AJ829" s="360" t="s">
        <v>1589</v>
      </c>
      <c r="AK829" s="360"/>
      <c r="AL829" s="360" t="s">
        <v>5878</v>
      </c>
      <c r="AM829" s="360"/>
      <c r="AN829" s="360"/>
      <c r="AO829" s="360"/>
      <c r="AP829" s="360"/>
      <c r="AQ829" s="360"/>
      <c r="AR829" s="360"/>
      <c r="AS829" s="360"/>
      <c r="AT829" s="360"/>
      <c r="AU829" s="360" t="s">
        <v>22</v>
      </c>
      <c r="AV829" s="360"/>
      <c r="AW829" s="264"/>
      <c r="AX829" s="264"/>
      <c r="AY829" s="264"/>
      <c r="AZ829" s="264"/>
      <c r="BA829" s="264"/>
      <c r="BB829" s="264"/>
      <c r="BC829" s="264"/>
      <c r="BD829" s="264"/>
      <c r="BE829" s="264"/>
    </row>
    <row r="830">
      <c r="A830" s="264"/>
      <c r="B830" s="264"/>
      <c r="C830" s="264"/>
      <c r="D830" s="264"/>
      <c r="E830" s="264"/>
      <c r="F830" s="264"/>
      <c r="G830" s="264"/>
      <c r="H830" s="264"/>
      <c r="I830" s="264"/>
      <c r="J830" s="264"/>
      <c r="K830" s="264"/>
      <c r="L830" s="264"/>
      <c r="M830" s="264" t="s">
        <v>22</v>
      </c>
      <c r="N830" s="264"/>
      <c r="O830" s="264" t="s">
        <v>22</v>
      </c>
      <c r="P830" s="264"/>
      <c r="Q830" s="264"/>
      <c r="R830" s="264"/>
      <c r="S830" s="264"/>
      <c r="T830" s="264"/>
      <c r="U830" s="360"/>
      <c r="V830" s="360"/>
      <c r="W830" s="360"/>
      <c r="X830" s="360"/>
      <c r="Y830" s="360"/>
      <c r="Z830" s="360"/>
      <c r="AA830" s="360"/>
      <c r="AB830" s="360"/>
      <c r="AC830" s="360"/>
      <c r="AD830" s="360"/>
      <c r="AE830" s="360"/>
      <c r="AF830" s="360"/>
      <c r="AG830" s="360" t="s">
        <v>1582</v>
      </c>
      <c r="AH830" s="360"/>
      <c r="AI830" s="360"/>
      <c r="AJ830" s="360" t="s">
        <v>1589</v>
      </c>
      <c r="AK830" s="360"/>
      <c r="AL830" s="360" t="s">
        <v>5878</v>
      </c>
      <c r="AM830" s="360"/>
      <c r="AN830" s="360"/>
      <c r="AO830" s="360"/>
      <c r="AP830" s="360"/>
      <c r="AQ830" s="360"/>
      <c r="AR830" s="360"/>
      <c r="AS830" s="360"/>
      <c r="AT830" s="360"/>
      <c r="AU830" s="360" t="s">
        <v>22</v>
      </c>
      <c r="AV830" s="360"/>
      <c r="AW830" s="264"/>
      <c r="AX830" s="264"/>
      <c r="AY830" s="264"/>
      <c r="AZ830" s="264"/>
      <c r="BA830" s="264"/>
      <c r="BB830" s="264"/>
      <c r="BC830" s="264"/>
      <c r="BD830" s="264"/>
      <c r="BE830" s="264"/>
    </row>
    <row r="831">
      <c r="A831" s="264"/>
      <c r="B831" s="264"/>
      <c r="C831" s="264"/>
      <c r="D831" s="264"/>
      <c r="E831" s="264"/>
      <c r="F831" s="264"/>
      <c r="G831" s="264"/>
      <c r="H831" s="264"/>
      <c r="I831" s="264"/>
      <c r="J831" s="264"/>
      <c r="K831" s="264"/>
      <c r="L831" s="264"/>
      <c r="M831" s="264" t="s">
        <v>22</v>
      </c>
      <c r="N831" s="264"/>
      <c r="O831" s="264" t="s">
        <v>22</v>
      </c>
      <c r="P831" s="264"/>
      <c r="Q831" s="264"/>
      <c r="R831" s="264"/>
      <c r="S831" s="264"/>
      <c r="T831" s="264"/>
      <c r="U831" s="360"/>
      <c r="V831" s="360"/>
      <c r="W831" s="360"/>
      <c r="X831" s="360"/>
      <c r="Y831" s="360"/>
      <c r="Z831" s="360"/>
      <c r="AA831" s="360"/>
      <c r="AB831" s="360"/>
      <c r="AC831" s="360"/>
      <c r="AD831" s="360"/>
      <c r="AE831" s="360"/>
      <c r="AF831" s="360"/>
      <c r="AG831" s="360" t="s">
        <v>1582</v>
      </c>
      <c r="AH831" s="360"/>
      <c r="AI831" s="360"/>
      <c r="AJ831" s="360" t="s">
        <v>1589</v>
      </c>
      <c r="AK831" s="360"/>
      <c r="AL831" s="360" t="s">
        <v>5878</v>
      </c>
      <c r="AM831" s="360"/>
      <c r="AN831" s="360"/>
      <c r="AO831" s="360"/>
      <c r="AP831" s="360"/>
      <c r="AQ831" s="360"/>
      <c r="AR831" s="360"/>
      <c r="AS831" s="360"/>
      <c r="AT831" s="360"/>
      <c r="AU831" s="360" t="s">
        <v>22</v>
      </c>
      <c r="AV831" s="360"/>
      <c r="AW831" s="264"/>
      <c r="AX831" s="264"/>
      <c r="AY831" s="264"/>
      <c r="AZ831" s="264"/>
      <c r="BA831" s="264"/>
      <c r="BB831" s="264"/>
      <c r="BC831" s="264"/>
      <c r="BD831" s="264"/>
      <c r="BE831" s="264"/>
    </row>
    <row r="832">
      <c r="A832" s="264"/>
      <c r="B832" s="264"/>
      <c r="C832" s="264"/>
      <c r="D832" s="264"/>
      <c r="E832" s="264"/>
      <c r="F832" s="264"/>
      <c r="G832" s="264"/>
      <c r="H832" s="264"/>
      <c r="I832" s="264"/>
      <c r="J832" s="264"/>
      <c r="K832" s="264"/>
      <c r="L832" s="264"/>
      <c r="M832" s="264" t="s">
        <v>22</v>
      </c>
      <c r="N832" s="264"/>
      <c r="O832" s="264" t="s">
        <v>22</v>
      </c>
      <c r="P832" s="264"/>
      <c r="Q832" s="264"/>
      <c r="R832" s="264"/>
      <c r="S832" s="264"/>
      <c r="T832" s="264"/>
      <c r="U832" s="360"/>
      <c r="V832" s="360"/>
      <c r="W832" s="360"/>
      <c r="X832" s="360"/>
      <c r="Y832" s="360"/>
      <c r="Z832" s="360"/>
      <c r="AA832" s="360"/>
      <c r="AB832" s="360"/>
      <c r="AC832" s="360"/>
      <c r="AD832" s="360"/>
      <c r="AE832" s="360"/>
      <c r="AF832" s="360"/>
      <c r="AG832" s="360" t="s">
        <v>1582</v>
      </c>
      <c r="AH832" s="360"/>
      <c r="AI832" s="360"/>
      <c r="AJ832" s="360" t="s">
        <v>1589</v>
      </c>
      <c r="AK832" s="360"/>
      <c r="AL832" s="360" t="s">
        <v>5878</v>
      </c>
      <c r="AM832" s="360"/>
      <c r="AN832" s="360"/>
      <c r="AO832" s="360"/>
      <c r="AP832" s="360"/>
      <c r="AQ832" s="360"/>
      <c r="AR832" s="360"/>
      <c r="AS832" s="360"/>
      <c r="AT832" s="360"/>
      <c r="AU832" s="360" t="s">
        <v>22</v>
      </c>
      <c r="AV832" s="360"/>
      <c r="AW832" s="264"/>
      <c r="AX832" s="264"/>
      <c r="AY832" s="264"/>
      <c r="AZ832" s="264"/>
      <c r="BA832" s="264"/>
      <c r="BB832" s="264"/>
      <c r="BC832" s="264"/>
      <c r="BD832" s="264"/>
      <c r="BE832" s="264"/>
    </row>
    <row r="833">
      <c r="A833" s="264"/>
      <c r="B833" s="264"/>
      <c r="C833" s="264"/>
      <c r="D833" s="264"/>
      <c r="E833" s="264"/>
      <c r="F833" s="264"/>
      <c r="G833" s="264"/>
      <c r="H833" s="264"/>
      <c r="I833" s="264"/>
      <c r="J833" s="264"/>
      <c r="K833" s="264"/>
      <c r="L833" s="264"/>
      <c r="M833" s="264" t="s">
        <v>22</v>
      </c>
      <c r="N833" s="264"/>
      <c r="O833" s="264" t="s">
        <v>22</v>
      </c>
      <c r="P833" s="264"/>
      <c r="Q833" s="264"/>
      <c r="R833" s="264"/>
      <c r="S833" s="264"/>
      <c r="T833" s="264"/>
      <c r="U833" s="360"/>
      <c r="V833" s="360"/>
      <c r="W833" s="360"/>
      <c r="X833" s="360"/>
      <c r="Y833" s="360"/>
      <c r="Z833" s="360"/>
      <c r="AA833" s="360"/>
      <c r="AB833" s="360"/>
      <c r="AC833" s="360"/>
      <c r="AD833" s="360"/>
      <c r="AE833" s="360"/>
      <c r="AF833" s="360"/>
      <c r="AG833" s="360" t="s">
        <v>1582</v>
      </c>
      <c r="AH833" s="360"/>
      <c r="AI833" s="360"/>
      <c r="AJ833" s="360" t="s">
        <v>1589</v>
      </c>
      <c r="AK833" s="360"/>
      <c r="AL833" s="360" t="s">
        <v>5878</v>
      </c>
      <c r="AM833" s="360"/>
      <c r="AN833" s="360"/>
      <c r="AO833" s="360"/>
      <c r="AP833" s="360"/>
      <c r="AQ833" s="360"/>
      <c r="AR833" s="360"/>
      <c r="AS833" s="360"/>
      <c r="AT833" s="360"/>
      <c r="AU833" s="360" t="s">
        <v>22</v>
      </c>
      <c r="AV833" s="360"/>
      <c r="AW833" s="264"/>
      <c r="AX833" s="264"/>
      <c r="AY833" s="264"/>
      <c r="AZ833" s="264"/>
      <c r="BA833" s="264"/>
      <c r="BB833" s="264"/>
      <c r="BC833" s="264"/>
      <c r="BD833" s="264"/>
      <c r="BE833" s="264"/>
    </row>
    <row r="834">
      <c r="A834" s="264"/>
      <c r="B834" s="264"/>
      <c r="C834" s="264"/>
      <c r="D834" s="264"/>
      <c r="E834" s="264"/>
      <c r="F834" s="264"/>
      <c r="G834" s="264"/>
      <c r="H834" s="264"/>
      <c r="I834" s="264"/>
      <c r="J834" s="264"/>
      <c r="K834" s="264"/>
      <c r="L834" s="264"/>
      <c r="M834" s="264" t="s">
        <v>22</v>
      </c>
      <c r="N834" s="264"/>
      <c r="O834" s="264" t="s">
        <v>22</v>
      </c>
      <c r="P834" s="264"/>
      <c r="Q834" s="264"/>
      <c r="R834" s="264"/>
      <c r="S834" s="264"/>
      <c r="T834" s="264"/>
      <c r="U834" s="360"/>
      <c r="V834" s="360"/>
      <c r="W834" s="360"/>
      <c r="X834" s="360"/>
      <c r="Y834" s="360"/>
      <c r="Z834" s="360"/>
      <c r="AA834" s="360"/>
      <c r="AB834" s="360"/>
      <c r="AC834" s="360"/>
      <c r="AD834" s="360"/>
      <c r="AE834" s="360"/>
      <c r="AF834" s="360"/>
      <c r="AG834" s="360" t="s">
        <v>1582</v>
      </c>
      <c r="AH834" s="360"/>
      <c r="AI834" s="360"/>
      <c r="AJ834" s="360" t="s">
        <v>1589</v>
      </c>
      <c r="AK834" s="360"/>
      <c r="AL834" s="360" t="s">
        <v>5878</v>
      </c>
      <c r="AM834" s="360"/>
      <c r="AN834" s="360"/>
      <c r="AO834" s="360"/>
      <c r="AP834" s="360"/>
      <c r="AQ834" s="360"/>
      <c r="AR834" s="360"/>
      <c r="AS834" s="360"/>
      <c r="AT834" s="360"/>
      <c r="AU834" s="360" t="s">
        <v>22</v>
      </c>
      <c r="AV834" s="360"/>
      <c r="AW834" s="264"/>
      <c r="AX834" s="264"/>
      <c r="AY834" s="264"/>
      <c r="AZ834" s="264"/>
      <c r="BA834" s="264"/>
      <c r="BB834" s="264"/>
      <c r="BC834" s="264"/>
      <c r="BD834" s="264"/>
      <c r="BE834" s="264"/>
    </row>
    <row r="835">
      <c r="A835" s="264"/>
      <c r="B835" s="264"/>
      <c r="C835" s="264"/>
      <c r="D835" s="264"/>
      <c r="E835" s="264"/>
      <c r="F835" s="264"/>
      <c r="G835" s="264"/>
      <c r="H835" s="264"/>
      <c r="I835" s="264"/>
      <c r="J835" s="264"/>
      <c r="K835" s="264"/>
      <c r="L835" s="264"/>
      <c r="M835" s="264" t="s">
        <v>22</v>
      </c>
      <c r="N835" s="264"/>
      <c r="O835" s="264" t="s">
        <v>22</v>
      </c>
      <c r="P835" s="264"/>
      <c r="Q835" s="264"/>
      <c r="R835" s="264"/>
      <c r="S835" s="264"/>
      <c r="T835" s="264"/>
      <c r="U835" s="360"/>
      <c r="V835" s="360"/>
      <c r="W835" s="360"/>
      <c r="X835" s="360"/>
      <c r="Y835" s="360"/>
      <c r="Z835" s="360"/>
      <c r="AA835" s="360"/>
      <c r="AB835" s="360"/>
      <c r="AC835" s="360"/>
      <c r="AD835" s="360"/>
      <c r="AE835" s="360"/>
      <c r="AF835" s="360"/>
      <c r="AG835" s="360" t="s">
        <v>1582</v>
      </c>
      <c r="AH835" s="360"/>
      <c r="AI835" s="360"/>
      <c r="AJ835" s="360" t="s">
        <v>1589</v>
      </c>
      <c r="AK835" s="360"/>
      <c r="AL835" s="360" t="s">
        <v>5878</v>
      </c>
      <c r="AM835" s="360"/>
      <c r="AN835" s="360"/>
      <c r="AO835" s="360"/>
      <c r="AP835" s="360"/>
      <c r="AQ835" s="360"/>
      <c r="AR835" s="360"/>
      <c r="AS835" s="360"/>
      <c r="AT835" s="360"/>
      <c r="AU835" s="360" t="s">
        <v>22</v>
      </c>
      <c r="AV835" s="360"/>
      <c r="AW835" s="264"/>
      <c r="AX835" s="264"/>
      <c r="AY835" s="264"/>
      <c r="AZ835" s="264"/>
      <c r="BA835" s="264"/>
      <c r="BB835" s="264"/>
      <c r="BC835" s="264"/>
      <c r="BD835" s="264"/>
      <c r="BE835" s="264"/>
    </row>
    <row r="836">
      <c r="A836" s="264"/>
      <c r="B836" s="264"/>
      <c r="C836" s="264"/>
      <c r="D836" s="264"/>
      <c r="E836" s="264"/>
      <c r="F836" s="264"/>
      <c r="G836" s="264"/>
      <c r="H836" s="264"/>
      <c r="I836" s="264"/>
      <c r="J836" s="264"/>
      <c r="K836" s="264"/>
      <c r="L836" s="264"/>
      <c r="M836" s="264" t="s">
        <v>22</v>
      </c>
      <c r="N836" s="264"/>
      <c r="O836" s="264" t="s">
        <v>22</v>
      </c>
      <c r="P836" s="264"/>
      <c r="Q836" s="264"/>
      <c r="R836" s="264"/>
      <c r="S836" s="264"/>
      <c r="T836" s="264"/>
      <c r="U836" s="360"/>
      <c r="V836" s="360"/>
      <c r="W836" s="360"/>
      <c r="X836" s="360"/>
      <c r="Y836" s="360"/>
      <c r="Z836" s="360"/>
      <c r="AA836" s="360"/>
      <c r="AB836" s="360"/>
      <c r="AC836" s="360"/>
      <c r="AD836" s="360"/>
      <c r="AE836" s="360"/>
      <c r="AF836" s="360"/>
      <c r="AG836" s="360" t="s">
        <v>1582</v>
      </c>
      <c r="AH836" s="360"/>
      <c r="AI836" s="360"/>
      <c r="AJ836" s="360" t="s">
        <v>1589</v>
      </c>
      <c r="AK836" s="360"/>
      <c r="AL836" s="360" t="s">
        <v>5878</v>
      </c>
      <c r="AM836" s="360"/>
      <c r="AN836" s="360"/>
      <c r="AO836" s="360"/>
      <c r="AP836" s="360"/>
      <c r="AQ836" s="360"/>
      <c r="AR836" s="360"/>
      <c r="AS836" s="360"/>
      <c r="AT836" s="360"/>
      <c r="AU836" s="360" t="s">
        <v>22</v>
      </c>
      <c r="AV836" s="360"/>
      <c r="AW836" s="264"/>
      <c r="AX836" s="264"/>
      <c r="AY836" s="264"/>
      <c r="AZ836" s="264"/>
      <c r="BA836" s="264"/>
      <c r="BB836" s="264"/>
      <c r="BC836" s="264"/>
      <c r="BD836" s="264"/>
      <c r="BE836" s="264"/>
    </row>
    <row r="837">
      <c r="A837" s="264"/>
      <c r="B837" s="264"/>
      <c r="C837" s="264"/>
      <c r="D837" s="264"/>
      <c r="E837" s="264"/>
      <c r="F837" s="264"/>
      <c r="G837" s="264"/>
      <c r="H837" s="264"/>
      <c r="I837" s="264"/>
      <c r="J837" s="264"/>
      <c r="K837" s="264"/>
      <c r="L837" s="264"/>
      <c r="M837" s="264" t="s">
        <v>22</v>
      </c>
      <c r="N837" s="264"/>
      <c r="O837" s="264" t="s">
        <v>22</v>
      </c>
      <c r="P837" s="264"/>
      <c r="Q837" s="264"/>
      <c r="R837" s="264"/>
      <c r="S837" s="264"/>
      <c r="T837" s="264"/>
      <c r="U837" s="360"/>
      <c r="V837" s="360"/>
      <c r="W837" s="360"/>
      <c r="X837" s="360"/>
      <c r="Y837" s="360"/>
      <c r="Z837" s="360"/>
      <c r="AA837" s="360"/>
      <c r="AB837" s="360"/>
      <c r="AC837" s="360"/>
      <c r="AD837" s="360"/>
      <c r="AE837" s="360"/>
      <c r="AF837" s="360"/>
      <c r="AG837" s="360" t="s">
        <v>1582</v>
      </c>
      <c r="AH837" s="360"/>
      <c r="AI837" s="360"/>
      <c r="AJ837" s="360" t="s">
        <v>1589</v>
      </c>
      <c r="AK837" s="360"/>
      <c r="AL837" s="360" t="s">
        <v>5878</v>
      </c>
      <c r="AM837" s="360"/>
      <c r="AN837" s="360"/>
      <c r="AO837" s="360"/>
      <c r="AP837" s="360"/>
      <c r="AQ837" s="360"/>
      <c r="AR837" s="360"/>
      <c r="AS837" s="360"/>
      <c r="AT837" s="360"/>
      <c r="AU837" s="360" t="s">
        <v>22</v>
      </c>
      <c r="AV837" s="360"/>
      <c r="AW837" s="264"/>
      <c r="AX837" s="264"/>
      <c r="AY837" s="264"/>
      <c r="AZ837" s="264"/>
      <c r="BA837" s="264"/>
      <c r="BB837" s="264"/>
      <c r="BC837" s="264"/>
      <c r="BD837" s="264"/>
      <c r="BE837" s="264"/>
    </row>
    <row r="838">
      <c r="A838" s="264"/>
      <c r="B838" s="264"/>
      <c r="C838" s="264"/>
      <c r="D838" s="264"/>
      <c r="E838" s="264"/>
      <c r="F838" s="264"/>
      <c r="G838" s="264"/>
      <c r="H838" s="264"/>
      <c r="I838" s="264"/>
      <c r="J838" s="264"/>
      <c r="K838" s="264"/>
      <c r="L838" s="264"/>
      <c r="M838" s="264" t="s">
        <v>22</v>
      </c>
      <c r="N838" s="264"/>
      <c r="O838" s="264" t="s">
        <v>22</v>
      </c>
      <c r="P838" s="264"/>
      <c r="Q838" s="264"/>
      <c r="R838" s="264"/>
      <c r="S838" s="264"/>
      <c r="T838" s="264"/>
      <c r="U838" s="360"/>
      <c r="V838" s="360"/>
      <c r="W838" s="360"/>
      <c r="X838" s="360"/>
      <c r="Y838" s="360"/>
      <c r="Z838" s="360"/>
      <c r="AA838" s="360"/>
      <c r="AB838" s="360"/>
      <c r="AC838" s="360"/>
      <c r="AD838" s="360"/>
      <c r="AE838" s="360"/>
      <c r="AF838" s="360"/>
      <c r="AG838" s="360" t="s">
        <v>1582</v>
      </c>
      <c r="AH838" s="360"/>
      <c r="AI838" s="360"/>
      <c r="AJ838" s="360" t="s">
        <v>1589</v>
      </c>
      <c r="AK838" s="360"/>
      <c r="AL838" s="360" t="s">
        <v>5878</v>
      </c>
      <c r="AM838" s="360"/>
      <c r="AN838" s="360"/>
      <c r="AO838" s="360"/>
      <c r="AP838" s="360"/>
      <c r="AQ838" s="360"/>
      <c r="AR838" s="360"/>
      <c r="AS838" s="360"/>
      <c r="AT838" s="360"/>
      <c r="AU838" s="360" t="s">
        <v>22</v>
      </c>
      <c r="AV838" s="360"/>
      <c r="AW838" s="264"/>
      <c r="AX838" s="264"/>
      <c r="AY838" s="264"/>
      <c r="AZ838" s="264"/>
      <c r="BA838" s="264"/>
      <c r="BB838" s="264"/>
      <c r="BC838" s="264"/>
      <c r="BD838" s="264"/>
      <c r="BE838" s="264"/>
    </row>
    <row r="839">
      <c r="A839" s="264"/>
      <c r="B839" s="264"/>
      <c r="C839" s="264"/>
      <c r="D839" s="264"/>
      <c r="E839" s="264"/>
      <c r="F839" s="264"/>
      <c r="G839" s="264"/>
      <c r="H839" s="264"/>
      <c r="I839" s="264"/>
      <c r="J839" s="264"/>
      <c r="K839" s="264"/>
      <c r="L839" s="264"/>
      <c r="M839" s="264" t="s">
        <v>22</v>
      </c>
      <c r="N839" s="264"/>
      <c r="O839" s="264" t="s">
        <v>22</v>
      </c>
      <c r="P839" s="264"/>
      <c r="Q839" s="264"/>
      <c r="R839" s="264"/>
      <c r="S839" s="264"/>
      <c r="T839" s="264"/>
      <c r="U839" s="360"/>
      <c r="V839" s="360"/>
      <c r="W839" s="360"/>
      <c r="X839" s="360"/>
      <c r="Y839" s="360"/>
      <c r="Z839" s="360"/>
      <c r="AA839" s="360"/>
      <c r="AB839" s="360"/>
      <c r="AC839" s="360"/>
      <c r="AD839" s="360"/>
      <c r="AE839" s="360"/>
      <c r="AF839" s="360"/>
      <c r="AG839" s="360" t="s">
        <v>1582</v>
      </c>
      <c r="AH839" s="360"/>
      <c r="AI839" s="360"/>
      <c r="AJ839" s="360" t="s">
        <v>1589</v>
      </c>
      <c r="AK839" s="360"/>
      <c r="AL839" s="360" t="s">
        <v>5878</v>
      </c>
      <c r="AM839" s="360"/>
      <c r="AN839" s="360"/>
      <c r="AO839" s="360"/>
      <c r="AP839" s="360"/>
      <c r="AQ839" s="360"/>
      <c r="AR839" s="360"/>
      <c r="AS839" s="360"/>
      <c r="AT839" s="360"/>
      <c r="AU839" s="360" t="s">
        <v>22</v>
      </c>
      <c r="AV839" s="360"/>
      <c r="AW839" s="264"/>
      <c r="AX839" s="264"/>
      <c r="AY839" s="264"/>
      <c r="AZ839" s="264"/>
      <c r="BA839" s="264"/>
      <c r="BB839" s="264"/>
      <c r="BC839" s="264"/>
      <c r="BD839" s="264"/>
      <c r="BE839" s="264"/>
    </row>
    <row r="840">
      <c r="A840" s="264"/>
      <c r="B840" s="264"/>
      <c r="C840" s="264"/>
      <c r="D840" s="264"/>
      <c r="E840" s="264"/>
      <c r="F840" s="264"/>
      <c r="G840" s="264"/>
      <c r="H840" s="264"/>
      <c r="I840" s="264"/>
      <c r="J840" s="264"/>
      <c r="K840" s="264"/>
      <c r="L840" s="264"/>
      <c r="M840" s="264" t="s">
        <v>22</v>
      </c>
      <c r="N840" s="264"/>
      <c r="O840" s="264" t="s">
        <v>22</v>
      </c>
      <c r="P840" s="264"/>
      <c r="Q840" s="264"/>
      <c r="R840" s="264"/>
      <c r="S840" s="264"/>
      <c r="T840" s="264"/>
      <c r="U840" s="360"/>
      <c r="V840" s="360"/>
      <c r="W840" s="360"/>
      <c r="X840" s="360"/>
      <c r="Y840" s="360"/>
      <c r="Z840" s="360"/>
      <c r="AA840" s="360"/>
      <c r="AB840" s="360"/>
      <c r="AC840" s="360"/>
      <c r="AD840" s="360"/>
      <c r="AE840" s="360"/>
      <c r="AF840" s="360"/>
      <c r="AG840" s="360" t="s">
        <v>1582</v>
      </c>
      <c r="AH840" s="360"/>
      <c r="AI840" s="360"/>
      <c r="AJ840" s="360" t="s">
        <v>1589</v>
      </c>
      <c r="AK840" s="360"/>
      <c r="AL840" s="360" t="s">
        <v>5878</v>
      </c>
      <c r="AM840" s="360"/>
      <c r="AN840" s="360"/>
      <c r="AO840" s="360"/>
      <c r="AP840" s="360"/>
      <c r="AQ840" s="360"/>
      <c r="AR840" s="360"/>
      <c r="AS840" s="360"/>
      <c r="AT840" s="360"/>
      <c r="AU840" s="360" t="s">
        <v>22</v>
      </c>
      <c r="AV840" s="360"/>
      <c r="AW840" s="264"/>
      <c r="AX840" s="264"/>
      <c r="AY840" s="264"/>
      <c r="AZ840" s="264"/>
      <c r="BA840" s="264"/>
      <c r="BB840" s="264"/>
      <c r="BC840" s="264"/>
      <c r="BD840" s="264"/>
      <c r="BE840" s="264"/>
    </row>
    <row r="841">
      <c r="A841" s="264"/>
      <c r="B841" s="264"/>
      <c r="C841" s="264"/>
      <c r="D841" s="264"/>
      <c r="E841" s="264"/>
      <c r="F841" s="264"/>
      <c r="G841" s="264"/>
      <c r="H841" s="264"/>
      <c r="I841" s="264"/>
      <c r="J841" s="264"/>
      <c r="K841" s="264"/>
      <c r="L841" s="264"/>
      <c r="M841" s="264" t="s">
        <v>22</v>
      </c>
      <c r="N841" s="264"/>
      <c r="O841" s="264" t="s">
        <v>22</v>
      </c>
      <c r="P841" s="264"/>
      <c r="Q841" s="264"/>
      <c r="R841" s="264"/>
      <c r="S841" s="264"/>
      <c r="T841" s="264"/>
      <c r="U841" s="360"/>
      <c r="V841" s="360"/>
      <c r="W841" s="360"/>
      <c r="X841" s="360"/>
      <c r="Y841" s="360"/>
      <c r="Z841" s="360"/>
      <c r="AA841" s="360"/>
      <c r="AB841" s="360"/>
      <c r="AC841" s="360"/>
      <c r="AD841" s="360"/>
      <c r="AE841" s="360"/>
      <c r="AF841" s="360"/>
      <c r="AG841" s="360" t="s">
        <v>1582</v>
      </c>
      <c r="AH841" s="360"/>
      <c r="AI841" s="360"/>
      <c r="AJ841" s="360" t="s">
        <v>1589</v>
      </c>
      <c r="AK841" s="360"/>
      <c r="AL841" s="360" t="s">
        <v>5878</v>
      </c>
      <c r="AM841" s="360"/>
      <c r="AN841" s="360"/>
      <c r="AO841" s="360"/>
      <c r="AP841" s="360"/>
      <c r="AQ841" s="360"/>
      <c r="AR841" s="360"/>
      <c r="AS841" s="360"/>
      <c r="AT841" s="360"/>
      <c r="AU841" s="360" t="s">
        <v>22</v>
      </c>
      <c r="AV841" s="360"/>
      <c r="AW841" s="264"/>
      <c r="AX841" s="264"/>
      <c r="AY841" s="264"/>
      <c r="AZ841" s="264"/>
      <c r="BA841" s="264"/>
      <c r="BB841" s="264"/>
      <c r="BC841" s="264"/>
      <c r="BD841" s="264"/>
      <c r="BE841" s="264"/>
    </row>
    <row r="842">
      <c r="A842" s="264"/>
      <c r="B842" s="264"/>
      <c r="C842" s="264"/>
      <c r="D842" s="264"/>
      <c r="E842" s="264"/>
      <c r="F842" s="264"/>
      <c r="G842" s="264"/>
      <c r="H842" s="264"/>
      <c r="I842" s="264"/>
      <c r="J842" s="264"/>
      <c r="K842" s="264"/>
      <c r="L842" s="264"/>
      <c r="M842" s="264" t="s">
        <v>22</v>
      </c>
      <c r="N842" s="264"/>
      <c r="O842" s="264" t="s">
        <v>22</v>
      </c>
      <c r="P842" s="264"/>
      <c r="Q842" s="264"/>
      <c r="R842" s="264"/>
      <c r="S842" s="264"/>
      <c r="T842" s="264"/>
      <c r="U842" s="360"/>
      <c r="V842" s="360"/>
      <c r="W842" s="360"/>
      <c r="X842" s="360"/>
      <c r="Y842" s="360"/>
      <c r="Z842" s="360"/>
      <c r="AA842" s="360"/>
      <c r="AB842" s="360"/>
      <c r="AC842" s="360"/>
      <c r="AD842" s="360"/>
      <c r="AE842" s="360"/>
      <c r="AF842" s="360"/>
      <c r="AG842" s="360" t="s">
        <v>1582</v>
      </c>
      <c r="AH842" s="360"/>
      <c r="AI842" s="360"/>
      <c r="AJ842" s="360" t="s">
        <v>1589</v>
      </c>
      <c r="AK842" s="360"/>
      <c r="AL842" s="360" t="s">
        <v>5878</v>
      </c>
      <c r="AM842" s="360"/>
      <c r="AN842" s="360"/>
      <c r="AO842" s="360"/>
      <c r="AP842" s="360"/>
      <c r="AQ842" s="360"/>
      <c r="AR842" s="360"/>
      <c r="AS842" s="360"/>
      <c r="AT842" s="360"/>
      <c r="AU842" s="360" t="s">
        <v>22</v>
      </c>
      <c r="AV842" s="360"/>
      <c r="AW842" s="264"/>
      <c r="AX842" s="264"/>
      <c r="AY842" s="264"/>
      <c r="AZ842" s="264"/>
      <c r="BA842" s="264"/>
      <c r="BB842" s="264"/>
      <c r="BC842" s="264"/>
      <c r="BD842" s="264"/>
      <c r="BE842" s="264"/>
    </row>
    <row r="843">
      <c r="A843" s="264"/>
      <c r="B843" s="264"/>
      <c r="C843" s="264"/>
      <c r="D843" s="264"/>
      <c r="E843" s="264"/>
      <c r="F843" s="264"/>
      <c r="G843" s="264"/>
      <c r="H843" s="264"/>
      <c r="I843" s="264"/>
      <c r="J843" s="264"/>
      <c r="K843" s="264"/>
      <c r="L843" s="264"/>
      <c r="M843" s="264" t="s">
        <v>22</v>
      </c>
      <c r="N843" s="264"/>
      <c r="O843" s="264" t="s">
        <v>22</v>
      </c>
      <c r="P843" s="264"/>
      <c r="Q843" s="264"/>
      <c r="R843" s="264"/>
      <c r="S843" s="264"/>
      <c r="T843" s="264"/>
      <c r="U843" s="360"/>
      <c r="V843" s="360"/>
      <c r="W843" s="360"/>
      <c r="X843" s="360"/>
      <c r="Y843" s="360"/>
      <c r="Z843" s="360"/>
      <c r="AA843" s="360"/>
      <c r="AB843" s="360"/>
      <c r="AC843" s="360"/>
      <c r="AD843" s="360"/>
      <c r="AE843" s="360"/>
      <c r="AF843" s="360"/>
      <c r="AG843" s="360" t="s">
        <v>1582</v>
      </c>
      <c r="AH843" s="360"/>
      <c r="AI843" s="360"/>
      <c r="AJ843" s="360" t="s">
        <v>1589</v>
      </c>
      <c r="AK843" s="360"/>
      <c r="AL843" s="360" t="s">
        <v>5878</v>
      </c>
      <c r="AM843" s="360"/>
      <c r="AN843" s="360"/>
      <c r="AO843" s="360"/>
      <c r="AP843" s="360"/>
      <c r="AQ843" s="360"/>
      <c r="AR843" s="360"/>
      <c r="AS843" s="360"/>
      <c r="AT843" s="360"/>
      <c r="AU843" s="360" t="s">
        <v>22</v>
      </c>
      <c r="AV843" s="360"/>
      <c r="AW843" s="264"/>
      <c r="AX843" s="264"/>
      <c r="AY843" s="264"/>
      <c r="AZ843" s="264"/>
      <c r="BA843" s="264"/>
      <c r="BB843" s="264"/>
      <c r="BC843" s="264"/>
      <c r="BD843" s="264"/>
      <c r="BE843" s="264"/>
    </row>
    <row r="844">
      <c r="A844" s="264"/>
      <c r="B844" s="264"/>
      <c r="C844" s="264"/>
      <c r="D844" s="264"/>
      <c r="E844" s="264"/>
      <c r="F844" s="264"/>
      <c r="G844" s="264"/>
      <c r="H844" s="264"/>
      <c r="I844" s="264"/>
      <c r="J844" s="264"/>
      <c r="K844" s="264"/>
      <c r="L844" s="264"/>
      <c r="M844" s="264" t="s">
        <v>22</v>
      </c>
      <c r="N844" s="264"/>
      <c r="O844" s="264" t="s">
        <v>22</v>
      </c>
      <c r="P844" s="264"/>
      <c r="Q844" s="264"/>
      <c r="R844" s="264"/>
      <c r="S844" s="264"/>
      <c r="T844" s="264"/>
      <c r="U844" s="360"/>
      <c r="V844" s="360"/>
      <c r="W844" s="360"/>
      <c r="X844" s="360"/>
      <c r="Y844" s="360"/>
      <c r="Z844" s="360"/>
      <c r="AA844" s="360"/>
      <c r="AB844" s="360"/>
      <c r="AC844" s="360"/>
      <c r="AD844" s="360"/>
      <c r="AE844" s="360"/>
      <c r="AF844" s="360"/>
      <c r="AG844" s="360" t="s">
        <v>1582</v>
      </c>
      <c r="AH844" s="360"/>
      <c r="AI844" s="360"/>
      <c r="AJ844" s="360" t="s">
        <v>1589</v>
      </c>
      <c r="AK844" s="360"/>
      <c r="AL844" s="360" t="s">
        <v>5878</v>
      </c>
      <c r="AM844" s="360"/>
      <c r="AN844" s="360"/>
      <c r="AO844" s="360"/>
      <c r="AP844" s="360"/>
      <c r="AQ844" s="360"/>
      <c r="AR844" s="360"/>
      <c r="AS844" s="360"/>
      <c r="AT844" s="360"/>
      <c r="AU844" s="360" t="s">
        <v>22</v>
      </c>
      <c r="AV844" s="360"/>
      <c r="AW844" s="264"/>
      <c r="AX844" s="264"/>
      <c r="AY844" s="264"/>
      <c r="AZ844" s="264"/>
      <c r="BA844" s="264"/>
      <c r="BB844" s="264"/>
      <c r="BC844" s="264"/>
      <c r="BD844" s="264"/>
      <c r="BE844" s="264"/>
    </row>
    <row r="845">
      <c r="A845" s="264"/>
      <c r="B845" s="264"/>
      <c r="C845" s="264"/>
      <c r="D845" s="264"/>
      <c r="E845" s="264"/>
      <c r="F845" s="264"/>
      <c r="G845" s="264"/>
      <c r="H845" s="264"/>
      <c r="I845" s="264"/>
      <c r="J845" s="264"/>
      <c r="K845" s="264"/>
      <c r="L845" s="264"/>
      <c r="M845" s="264" t="s">
        <v>22</v>
      </c>
      <c r="N845" s="264"/>
      <c r="O845" s="264" t="s">
        <v>22</v>
      </c>
      <c r="P845" s="264"/>
      <c r="Q845" s="264"/>
      <c r="R845" s="264"/>
      <c r="S845" s="264"/>
      <c r="T845" s="264"/>
      <c r="U845" s="360"/>
      <c r="V845" s="360"/>
      <c r="W845" s="360"/>
      <c r="X845" s="360"/>
      <c r="Y845" s="360"/>
      <c r="Z845" s="360"/>
      <c r="AA845" s="360"/>
      <c r="AB845" s="360"/>
      <c r="AC845" s="360"/>
      <c r="AD845" s="360"/>
      <c r="AE845" s="360"/>
      <c r="AF845" s="360"/>
      <c r="AG845" s="360" t="s">
        <v>1582</v>
      </c>
      <c r="AH845" s="360"/>
      <c r="AI845" s="360"/>
      <c r="AJ845" s="360" t="s">
        <v>1589</v>
      </c>
      <c r="AK845" s="360"/>
      <c r="AL845" s="360" t="s">
        <v>5878</v>
      </c>
      <c r="AM845" s="360"/>
      <c r="AN845" s="360"/>
      <c r="AO845" s="360"/>
      <c r="AP845" s="360"/>
      <c r="AQ845" s="360"/>
      <c r="AR845" s="360"/>
      <c r="AS845" s="360"/>
      <c r="AT845" s="360"/>
      <c r="AU845" s="360" t="s">
        <v>22</v>
      </c>
      <c r="AV845" s="360"/>
      <c r="AW845" s="264"/>
      <c r="AX845" s="264"/>
      <c r="AY845" s="264"/>
      <c r="AZ845" s="264"/>
      <c r="BA845" s="264"/>
      <c r="BB845" s="264"/>
      <c r="BC845" s="264"/>
      <c r="BD845" s="264"/>
      <c r="BE845" s="264"/>
    </row>
    <row r="846">
      <c r="A846" s="264"/>
      <c r="B846" s="264"/>
      <c r="C846" s="264"/>
      <c r="D846" s="264"/>
      <c r="E846" s="264"/>
      <c r="F846" s="264"/>
      <c r="G846" s="264"/>
      <c r="H846" s="264"/>
      <c r="I846" s="264"/>
      <c r="J846" s="264"/>
      <c r="K846" s="264"/>
      <c r="L846" s="264"/>
      <c r="M846" s="264" t="s">
        <v>22</v>
      </c>
      <c r="N846" s="264"/>
      <c r="O846" s="264" t="s">
        <v>22</v>
      </c>
      <c r="P846" s="264"/>
      <c r="Q846" s="264"/>
      <c r="R846" s="264"/>
      <c r="S846" s="264"/>
      <c r="T846" s="264"/>
      <c r="U846" s="360"/>
      <c r="V846" s="360"/>
      <c r="W846" s="360"/>
      <c r="X846" s="360"/>
      <c r="Y846" s="360"/>
      <c r="Z846" s="360"/>
      <c r="AA846" s="360"/>
      <c r="AB846" s="360"/>
      <c r="AC846" s="360"/>
      <c r="AD846" s="360"/>
      <c r="AE846" s="360"/>
      <c r="AF846" s="360"/>
      <c r="AG846" s="360" t="s">
        <v>1582</v>
      </c>
      <c r="AH846" s="360"/>
      <c r="AI846" s="360"/>
      <c r="AJ846" s="360" t="s">
        <v>1589</v>
      </c>
      <c r="AK846" s="360"/>
      <c r="AL846" s="360" t="s">
        <v>5878</v>
      </c>
      <c r="AM846" s="360"/>
      <c r="AN846" s="360"/>
      <c r="AO846" s="360"/>
      <c r="AP846" s="360"/>
      <c r="AQ846" s="360"/>
      <c r="AR846" s="360"/>
      <c r="AS846" s="360"/>
      <c r="AT846" s="360"/>
      <c r="AU846" s="360" t="s">
        <v>22</v>
      </c>
      <c r="AV846" s="360"/>
      <c r="AW846" s="264"/>
      <c r="AX846" s="264"/>
      <c r="AY846" s="264"/>
      <c r="AZ846" s="264"/>
      <c r="BA846" s="264"/>
      <c r="BB846" s="264"/>
      <c r="BC846" s="264"/>
      <c r="BD846" s="264"/>
      <c r="BE846" s="264"/>
    </row>
    <row r="847">
      <c r="A847" s="264"/>
      <c r="B847" s="264"/>
      <c r="C847" s="264"/>
      <c r="D847" s="264"/>
      <c r="E847" s="264"/>
      <c r="F847" s="264"/>
      <c r="G847" s="264"/>
      <c r="H847" s="264"/>
      <c r="I847" s="264"/>
      <c r="J847" s="264"/>
      <c r="K847" s="264"/>
      <c r="L847" s="264"/>
      <c r="M847" s="264" t="s">
        <v>22</v>
      </c>
      <c r="N847" s="264"/>
      <c r="O847" s="264" t="s">
        <v>22</v>
      </c>
      <c r="P847" s="264"/>
      <c r="Q847" s="264"/>
      <c r="R847" s="264"/>
      <c r="S847" s="264"/>
      <c r="T847" s="264"/>
      <c r="U847" s="360"/>
      <c r="V847" s="360"/>
      <c r="W847" s="360"/>
      <c r="X847" s="360"/>
      <c r="Y847" s="360"/>
      <c r="Z847" s="360"/>
      <c r="AA847" s="360"/>
      <c r="AB847" s="360"/>
      <c r="AC847" s="360"/>
      <c r="AD847" s="360"/>
      <c r="AE847" s="360"/>
      <c r="AF847" s="360"/>
      <c r="AG847" s="360" t="s">
        <v>1582</v>
      </c>
      <c r="AH847" s="360"/>
      <c r="AI847" s="360"/>
      <c r="AJ847" s="360" t="s">
        <v>1589</v>
      </c>
      <c r="AK847" s="360"/>
      <c r="AL847" s="360" t="s">
        <v>5878</v>
      </c>
      <c r="AM847" s="360"/>
      <c r="AN847" s="360"/>
      <c r="AO847" s="360"/>
      <c r="AP847" s="360"/>
      <c r="AQ847" s="360"/>
      <c r="AR847" s="360"/>
      <c r="AS847" s="360"/>
      <c r="AT847" s="360"/>
      <c r="AU847" s="360" t="s">
        <v>22</v>
      </c>
      <c r="AV847" s="360"/>
      <c r="AW847" s="264"/>
      <c r="AX847" s="264"/>
      <c r="AY847" s="264"/>
      <c r="AZ847" s="264"/>
      <c r="BA847" s="264"/>
      <c r="BB847" s="264"/>
      <c r="BC847" s="264"/>
      <c r="BD847" s="264"/>
      <c r="BE847" s="264"/>
    </row>
    <row r="848">
      <c r="A848" s="264"/>
      <c r="B848" s="264"/>
      <c r="C848" s="264"/>
      <c r="D848" s="264"/>
      <c r="E848" s="264"/>
      <c r="F848" s="264"/>
      <c r="G848" s="264"/>
      <c r="H848" s="264"/>
      <c r="I848" s="264"/>
      <c r="J848" s="264"/>
      <c r="K848" s="264"/>
      <c r="L848" s="264"/>
      <c r="M848" s="264" t="s">
        <v>22</v>
      </c>
      <c r="N848" s="264"/>
      <c r="O848" s="264" t="s">
        <v>22</v>
      </c>
      <c r="P848" s="264"/>
      <c r="Q848" s="264"/>
      <c r="R848" s="264"/>
      <c r="S848" s="264"/>
      <c r="T848" s="264"/>
      <c r="U848" s="360"/>
      <c r="V848" s="360"/>
      <c r="W848" s="360"/>
      <c r="X848" s="360"/>
      <c r="Y848" s="360"/>
      <c r="Z848" s="360"/>
      <c r="AA848" s="360"/>
      <c r="AB848" s="360"/>
      <c r="AC848" s="360"/>
      <c r="AD848" s="360"/>
      <c r="AE848" s="360"/>
      <c r="AF848" s="360"/>
      <c r="AG848" s="360" t="s">
        <v>1582</v>
      </c>
      <c r="AH848" s="360"/>
      <c r="AI848" s="360"/>
      <c r="AJ848" s="360" t="s">
        <v>1589</v>
      </c>
      <c r="AK848" s="360"/>
      <c r="AL848" s="360" t="s">
        <v>5878</v>
      </c>
      <c r="AM848" s="360"/>
      <c r="AN848" s="360"/>
      <c r="AO848" s="360"/>
      <c r="AP848" s="360"/>
      <c r="AQ848" s="360"/>
      <c r="AR848" s="360"/>
      <c r="AS848" s="360"/>
      <c r="AT848" s="360"/>
      <c r="AU848" s="360" t="s">
        <v>22</v>
      </c>
      <c r="AV848" s="360"/>
      <c r="AW848" s="264"/>
      <c r="AX848" s="264"/>
      <c r="AY848" s="264"/>
      <c r="AZ848" s="264"/>
      <c r="BA848" s="264"/>
      <c r="BB848" s="264"/>
      <c r="BC848" s="264"/>
      <c r="BD848" s="264"/>
      <c r="BE848" s="264"/>
    </row>
    <row r="849">
      <c r="A849" s="264"/>
      <c r="B849" s="264"/>
      <c r="C849" s="264"/>
      <c r="D849" s="264"/>
      <c r="E849" s="264"/>
      <c r="F849" s="264"/>
      <c r="G849" s="264"/>
      <c r="H849" s="264"/>
      <c r="I849" s="264"/>
      <c r="J849" s="264"/>
      <c r="K849" s="264"/>
      <c r="L849" s="264"/>
      <c r="M849" s="264" t="s">
        <v>22</v>
      </c>
      <c r="N849" s="264"/>
      <c r="O849" s="264" t="s">
        <v>22</v>
      </c>
      <c r="P849" s="264"/>
      <c r="Q849" s="264"/>
      <c r="R849" s="264"/>
      <c r="S849" s="264"/>
      <c r="T849" s="264"/>
      <c r="U849" s="360"/>
      <c r="V849" s="360"/>
      <c r="W849" s="360"/>
      <c r="X849" s="360"/>
      <c r="Y849" s="360"/>
      <c r="Z849" s="360"/>
      <c r="AA849" s="360"/>
      <c r="AB849" s="360"/>
      <c r="AC849" s="360"/>
      <c r="AD849" s="360"/>
      <c r="AE849" s="360"/>
      <c r="AF849" s="360"/>
      <c r="AG849" s="360" t="s">
        <v>1582</v>
      </c>
      <c r="AH849" s="360"/>
      <c r="AI849" s="360"/>
      <c r="AJ849" s="360" t="s">
        <v>1589</v>
      </c>
      <c r="AK849" s="360"/>
      <c r="AL849" s="360" t="s">
        <v>5878</v>
      </c>
      <c r="AM849" s="360"/>
      <c r="AN849" s="360"/>
      <c r="AO849" s="360"/>
      <c r="AP849" s="360"/>
      <c r="AQ849" s="360"/>
      <c r="AR849" s="360"/>
      <c r="AS849" s="360"/>
      <c r="AT849" s="360"/>
      <c r="AU849" s="360" t="s">
        <v>22</v>
      </c>
      <c r="AV849" s="360"/>
      <c r="AW849" s="264"/>
      <c r="AX849" s="264"/>
      <c r="AY849" s="264"/>
      <c r="AZ849" s="264"/>
      <c r="BA849" s="264"/>
      <c r="BB849" s="264"/>
      <c r="BC849" s="264"/>
      <c r="BD849" s="264"/>
      <c r="BE849" s="264"/>
    </row>
    <row r="850">
      <c r="A850" s="264"/>
      <c r="B850" s="264"/>
      <c r="C850" s="264"/>
      <c r="D850" s="264"/>
      <c r="E850" s="264"/>
      <c r="F850" s="264"/>
      <c r="G850" s="264"/>
      <c r="H850" s="264"/>
      <c r="I850" s="264"/>
      <c r="J850" s="264"/>
      <c r="K850" s="264"/>
      <c r="L850" s="264"/>
      <c r="M850" s="264" t="s">
        <v>22</v>
      </c>
      <c r="N850" s="264"/>
      <c r="O850" s="264" t="s">
        <v>22</v>
      </c>
      <c r="P850" s="264"/>
      <c r="Q850" s="264"/>
      <c r="R850" s="264"/>
      <c r="S850" s="264"/>
      <c r="T850" s="264"/>
      <c r="U850" s="360"/>
      <c r="V850" s="360"/>
      <c r="W850" s="360"/>
      <c r="X850" s="360"/>
      <c r="Y850" s="360"/>
      <c r="Z850" s="360"/>
      <c r="AA850" s="360"/>
      <c r="AB850" s="360"/>
      <c r="AC850" s="360"/>
      <c r="AD850" s="360"/>
      <c r="AE850" s="360"/>
      <c r="AF850" s="360"/>
      <c r="AG850" s="360" t="s">
        <v>1582</v>
      </c>
      <c r="AH850" s="360"/>
      <c r="AI850" s="360"/>
      <c r="AJ850" s="360" t="s">
        <v>1589</v>
      </c>
      <c r="AK850" s="360"/>
      <c r="AL850" s="360" t="s">
        <v>5878</v>
      </c>
      <c r="AM850" s="360"/>
      <c r="AN850" s="360"/>
      <c r="AO850" s="360"/>
      <c r="AP850" s="360"/>
      <c r="AQ850" s="360"/>
      <c r="AR850" s="360"/>
      <c r="AS850" s="360"/>
      <c r="AT850" s="360"/>
      <c r="AU850" s="360" t="s">
        <v>22</v>
      </c>
      <c r="AV850" s="360"/>
      <c r="AW850" s="264"/>
      <c r="AX850" s="264"/>
      <c r="AY850" s="264"/>
      <c r="AZ850" s="264"/>
      <c r="BA850" s="264"/>
      <c r="BB850" s="264"/>
      <c r="BC850" s="264"/>
      <c r="BD850" s="264"/>
      <c r="BE850" s="264"/>
    </row>
    <row r="851">
      <c r="A851" s="264"/>
      <c r="B851" s="264"/>
      <c r="C851" s="264"/>
      <c r="D851" s="264"/>
      <c r="E851" s="264"/>
      <c r="F851" s="264"/>
      <c r="G851" s="264"/>
      <c r="H851" s="264"/>
      <c r="I851" s="264"/>
      <c r="J851" s="264"/>
      <c r="K851" s="264"/>
      <c r="L851" s="264"/>
      <c r="M851" s="264" t="s">
        <v>22</v>
      </c>
      <c r="N851" s="264"/>
      <c r="O851" s="264" t="s">
        <v>22</v>
      </c>
      <c r="P851" s="264"/>
      <c r="Q851" s="264"/>
      <c r="R851" s="264"/>
      <c r="S851" s="264"/>
      <c r="T851" s="264"/>
      <c r="U851" s="360"/>
      <c r="V851" s="360"/>
      <c r="W851" s="360"/>
      <c r="X851" s="360"/>
      <c r="Y851" s="360"/>
      <c r="Z851" s="360"/>
      <c r="AA851" s="360"/>
      <c r="AB851" s="360"/>
      <c r="AC851" s="360"/>
      <c r="AD851" s="360"/>
      <c r="AE851" s="360"/>
      <c r="AF851" s="360"/>
      <c r="AG851" s="360" t="s">
        <v>1582</v>
      </c>
      <c r="AH851" s="360"/>
      <c r="AI851" s="360"/>
      <c r="AJ851" s="360" t="s">
        <v>1589</v>
      </c>
      <c r="AK851" s="360"/>
      <c r="AL851" s="360" t="s">
        <v>5878</v>
      </c>
      <c r="AM851" s="360"/>
      <c r="AN851" s="360"/>
      <c r="AO851" s="360"/>
      <c r="AP851" s="360"/>
      <c r="AQ851" s="360"/>
      <c r="AR851" s="360"/>
      <c r="AS851" s="360"/>
      <c r="AT851" s="360"/>
      <c r="AU851" s="360" t="s">
        <v>22</v>
      </c>
      <c r="AV851" s="360"/>
      <c r="AW851" s="264"/>
      <c r="AX851" s="264"/>
      <c r="AY851" s="264"/>
      <c r="AZ851" s="264"/>
      <c r="BA851" s="264"/>
      <c r="BB851" s="264"/>
      <c r="BC851" s="264"/>
      <c r="BD851" s="264"/>
      <c r="BE851" s="264"/>
    </row>
    <row r="852">
      <c r="A852" s="264"/>
      <c r="B852" s="264"/>
      <c r="C852" s="264"/>
      <c r="D852" s="264"/>
      <c r="E852" s="264"/>
      <c r="F852" s="264"/>
      <c r="G852" s="264"/>
      <c r="H852" s="264"/>
      <c r="I852" s="264"/>
      <c r="J852" s="264"/>
      <c r="K852" s="264"/>
      <c r="L852" s="264"/>
      <c r="M852" s="264" t="s">
        <v>22</v>
      </c>
      <c r="N852" s="264"/>
      <c r="O852" s="264" t="s">
        <v>22</v>
      </c>
      <c r="P852" s="264"/>
      <c r="Q852" s="264"/>
      <c r="R852" s="264"/>
      <c r="S852" s="264"/>
      <c r="T852" s="264"/>
      <c r="U852" s="360"/>
      <c r="V852" s="360"/>
      <c r="W852" s="360"/>
      <c r="X852" s="360"/>
      <c r="Y852" s="360"/>
      <c r="Z852" s="360"/>
      <c r="AA852" s="360"/>
      <c r="AB852" s="360"/>
      <c r="AC852" s="360"/>
      <c r="AD852" s="360"/>
      <c r="AE852" s="360"/>
      <c r="AF852" s="360"/>
      <c r="AG852" s="360" t="s">
        <v>1582</v>
      </c>
      <c r="AH852" s="360"/>
      <c r="AI852" s="360"/>
      <c r="AJ852" s="360" t="s">
        <v>1589</v>
      </c>
      <c r="AK852" s="360"/>
      <c r="AL852" s="360" t="s">
        <v>5878</v>
      </c>
      <c r="AM852" s="360"/>
      <c r="AN852" s="360"/>
      <c r="AO852" s="360"/>
      <c r="AP852" s="360"/>
      <c r="AQ852" s="360"/>
      <c r="AR852" s="360"/>
      <c r="AS852" s="360"/>
      <c r="AT852" s="360"/>
      <c r="AU852" s="360" t="s">
        <v>22</v>
      </c>
      <c r="AV852" s="360"/>
      <c r="AW852" s="264"/>
      <c r="AX852" s="264"/>
      <c r="AY852" s="264"/>
      <c r="AZ852" s="264"/>
      <c r="BA852" s="264"/>
      <c r="BB852" s="264"/>
      <c r="BC852" s="264"/>
      <c r="BD852" s="264"/>
      <c r="BE852" s="264"/>
    </row>
    <row r="853">
      <c r="A853" s="264"/>
      <c r="B853" s="264"/>
      <c r="C853" s="264"/>
      <c r="D853" s="264"/>
      <c r="E853" s="264"/>
      <c r="F853" s="264"/>
      <c r="G853" s="264"/>
      <c r="H853" s="264"/>
      <c r="I853" s="264"/>
      <c r="J853" s="264"/>
      <c r="K853" s="264"/>
      <c r="L853" s="264"/>
      <c r="M853" s="264" t="s">
        <v>22</v>
      </c>
      <c r="N853" s="264"/>
      <c r="O853" s="264" t="s">
        <v>22</v>
      </c>
      <c r="P853" s="264"/>
      <c r="Q853" s="264"/>
      <c r="R853" s="264"/>
      <c r="S853" s="264"/>
      <c r="T853" s="264"/>
      <c r="U853" s="360"/>
      <c r="V853" s="360"/>
      <c r="W853" s="360"/>
      <c r="X853" s="360"/>
      <c r="Y853" s="360"/>
      <c r="Z853" s="360"/>
      <c r="AA853" s="360"/>
      <c r="AB853" s="360"/>
      <c r="AC853" s="360"/>
      <c r="AD853" s="360"/>
      <c r="AE853" s="360"/>
      <c r="AF853" s="360"/>
      <c r="AG853" s="360" t="s">
        <v>1582</v>
      </c>
      <c r="AH853" s="360"/>
      <c r="AI853" s="360"/>
      <c r="AJ853" s="360" t="s">
        <v>1589</v>
      </c>
      <c r="AK853" s="360"/>
      <c r="AL853" s="360" t="s">
        <v>5878</v>
      </c>
      <c r="AM853" s="360"/>
      <c r="AN853" s="360"/>
      <c r="AO853" s="360"/>
      <c r="AP853" s="360"/>
      <c r="AQ853" s="360"/>
      <c r="AR853" s="360"/>
      <c r="AS853" s="360"/>
      <c r="AT853" s="360"/>
      <c r="AU853" s="360" t="s">
        <v>22</v>
      </c>
      <c r="AV853" s="360"/>
      <c r="AW853" s="264"/>
      <c r="AX853" s="264"/>
      <c r="AY853" s="264"/>
      <c r="AZ853" s="264"/>
      <c r="BA853" s="264"/>
      <c r="BB853" s="264"/>
      <c r="BC853" s="264"/>
      <c r="BD853" s="264"/>
      <c r="BE853" s="264"/>
    </row>
    <row r="854">
      <c r="A854" s="264"/>
      <c r="B854" s="264"/>
      <c r="C854" s="264"/>
      <c r="D854" s="264"/>
      <c r="E854" s="264"/>
      <c r="F854" s="264"/>
      <c r="G854" s="264"/>
      <c r="H854" s="264"/>
      <c r="I854" s="264"/>
      <c r="J854" s="264"/>
      <c r="K854" s="264"/>
      <c r="L854" s="264"/>
      <c r="M854" s="264" t="s">
        <v>22</v>
      </c>
      <c r="N854" s="264"/>
      <c r="O854" s="264" t="s">
        <v>22</v>
      </c>
      <c r="P854" s="264"/>
      <c r="Q854" s="264"/>
      <c r="R854" s="264"/>
      <c r="S854" s="264"/>
      <c r="T854" s="264"/>
      <c r="U854" s="360"/>
      <c r="V854" s="360"/>
      <c r="W854" s="360"/>
      <c r="X854" s="360"/>
      <c r="Y854" s="360"/>
      <c r="Z854" s="360"/>
      <c r="AA854" s="360"/>
      <c r="AB854" s="360"/>
      <c r="AC854" s="360"/>
      <c r="AD854" s="360"/>
      <c r="AE854" s="360"/>
      <c r="AF854" s="360"/>
      <c r="AG854" s="360" t="s">
        <v>1582</v>
      </c>
      <c r="AH854" s="360"/>
      <c r="AI854" s="360"/>
      <c r="AJ854" s="360" t="s">
        <v>1589</v>
      </c>
      <c r="AK854" s="360"/>
      <c r="AL854" s="360" t="s">
        <v>5878</v>
      </c>
      <c r="AM854" s="360"/>
      <c r="AN854" s="360"/>
      <c r="AO854" s="360"/>
      <c r="AP854" s="360"/>
      <c r="AQ854" s="360"/>
      <c r="AR854" s="360"/>
      <c r="AS854" s="360"/>
      <c r="AT854" s="360"/>
      <c r="AU854" s="360" t="s">
        <v>22</v>
      </c>
      <c r="AV854" s="360"/>
      <c r="AW854" s="264"/>
      <c r="AX854" s="264"/>
      <c r="AY854" s="264"/>
      <c r="AZ854" s="264"/>
      <c r="BA854" s="264"/>
      <c r="BB854" s="264"/>
      <c r="BC854" s="264"/>
      <c r="BD854" s="264"/>
      <c r="BE854" s="264"/>
    </row>
    <row r="855">
      <c r="A855" s="264"/>
      <c r="B855" s="264"/>
      <c r="C855" s="264"/>
      <c r="D855" s="264"/>
      <c r="E855" s="264"/>
      <c r="F855" s="264"/>
      <c r="G855" s="264"/>
      <c r="H855" s="264"/>
      <c r="I855" s="264"/>
      <c r="J855" s="264"/>
      <c r="K855" s="264"/>
      <c r="L855" s="264"/>
      <c r="M855" s="264" t="s">
        <v>22</v>
      </c>
      <c r="N855" s="264"/>
      <c r="O855" s="264" t="s">
        <v>22</v>
      </c>
      <c r="P855" s="264"/>
      <c r="Q855" s="264"/>
      <c r="R855" s="264"/>
      <c r="S855" s="264"/>
      <c r="T855" s="264"/>
      <c r="U855" s="360"/>
      <c r="V855" s="360"/>
      <c r="W855" s="360"/>
      <c r="X855" s="360"/>
      <c r="Y855" s="360"/>
      <c r="Z855" s="360"/>
      <c r="AA855" s="360"/>
      <c r="AB855" s="360"/>
      <c r="AC855" s="360"/>
      <c r="AD855" s="360"/>
      <c r="AE855" s="360"/>
      <c r="AF855" s="360"/>
      <c r="AG855" s="360" t="s">
        <v>1582</v>
      </c>
      <c r="AH855" s="360"/>
      <c r="AI855" s="360"/>
      <c r="AJ855" s="360" t="s">
        <v>1589</v>
      </c>
      <c r="AK855" s="360"/>
      <c r="AL855" s="360" t="s">
        <v>5878</v>
      </c>
      <c r="AM855" s="360"/>
      <c r="AN855" s="360"/>
      <c r="AO855" s="360"/>
      <c r="AP855" s="360"/>
      <c r="AQ855" s="360"/>
      <c r="AR855" s="360"/>
      <c r="AS855" s="360"/>
      <c r="AT855" s="360"/>
      <c r="AU855" s="360" t="s">
        <v>22</v>
      </c>
      <c r="AV855" s="360"/>
      <c r="AW855" s="264"/>
      <c r="AX855" s="264"/>
      <c r="AY855" s="264"/>
      <c r="AZ855" s="264"/>
      <c r="BA855" s="264"/>
      <c r="BB855" s="264"/>
      <c r="BC855" s="264"/>
      <c r="BD855" s="264"/>
      <c r="BE855" s="264"/>
    </row>
    <row r="856">
      <c r="A856" s="264"/>
      <c r="B856" s="264"/>
      <c r="C856" s="264"/>
      <c r="D856" s="264"/>
      <c r="E856" s="264"/>
      <c r="F856" s="264"/>
      <c r="G856" s="264"/>
      <c r="H856" s="264"/>
      <c r="I856" s="264"/>
      <c r="J856" s="264"/>
      <c r="K856" s="264"/>
      <c r="L856" s="264"/>
      <c r="M856" s="264" t="s">
        <v>22</v>
      </c>
      <c r="N856" s="264"/>
      <c r="O856" s="264" t="s">
        <v>22</v>
      </c>
      <c r="P856" s="264"/>
      <c r="Q856" s="264"/>
      <c r="R856" s="264"/>
      <c r="S856" s="264"/>
      <c r="T856" s="264"/>
      <c r="U856" s="360"/>
      <c r="V856" s="360"/>
      <c r="W856" s="360"/>
      <c r="X856" s="360"/>
      <c r="Y856" s="360"/>
      <c r="Z856" s="360"/>
      <c r="AA856" s="360"/>
      <c r="AB856" s="360"/>
      <c r="AC856" s="360"/>
      <c r="AD856" s="360"/>
      <c r="AE856" s="360"/>
      <c r="AF856" s="360"/>
      <c r="AG856" s="360" t="s">
        <v>1582</v>
      </c>
      <c r="AH856" s="360"/>
      <c r="AI856" s="360"/>
      <c r="AJ856" s="360" t="s">
        <v>1589</v>
      </c>
      <c r="AK856" s="360"/>
      <c r="AL856" s="360" t="s">
        <v>5878</v>
      </c>
      <c r="AM856" s="360"/>
      <c r="AN856" s="360"/>
      <c r="AO856" s="360"/>
      <c r="AP856" s="360"/>
      <c r="AQ856" s="360"/>
      <c r="AR856" s="360"/>
      <c r="AS856" s="360"/>
      <c r="AT856" s="360"/>
      <c r="AU856" s="360" t="s">
        <v>22</v>
      </c>
      <c r="AV856" s="360"/>
      <c r="AW856" s="264"/>
      <c r="AX856" s="264"/>
      <c r="AY856" s="264"/>
      <c r="AZ856" s="264"/>
      <c r="BA856" s="264"/>
      <c r="BB856" s="264"/>
      <c r="BC856" s="264"/>
      <c r="BD856" s="264"/>
      <c r="BE856" s="264"/>
    </row>
    <row r="857">
      <c r="A857" s="264"/>
      <c r="B857" s="264"/>
      <c r="C857" s="264"/>
      <c r="D857" s="264"/>
      <c r="E857" s="264"/>
      <c r="F857" s="264"/>
      <c r="G857" s="264"/>
      <c r="H857" s="264"/>
      <c r="I857" s="264"/>
      <c r="J857" s="264"/>
      <c r="K857" s="264"/>
      <c r="L857" s="264"/>
      <c r="M857" s="264" t="s">
        <v>22</v>
      </c>
      <c r="N857" s="264"/>
      <c r="O857" s="264" t="s">
        <v>22</v>
      </c>
      <c r="P857" s="264"/>
      <c r="Q857" s="264"/>
      <c r="R857" s="264"/>
      <c r="S857" s="264"/>
      <c r="T857" s="264"/>
      <c r="U857" s="360"/>
      <c r="V857" s="360"/>
      <c r="W857" s="360"/>
      <c r="X857" s="360"/>
      <c r="Y857" s="360"/>
      <c r="Z857" s="360"/>
      <c r="AA857" s="360"/>
      <c r="AB857" s="360"/>
      <c r="AC857" s="360"/>
      <c r="AD857" s="360"/>
      <c r="AE857" s="360"/>
      <c r="AF857" s="360"/>
      <c r="AG857" s="360" t="s">
        <v>1582</v>
      </c>
      <c r="AH857" s="360"/>
      <c r="AI857" s="360"/>
      <c r="AJ857" s="360" t="s">
        <v>1589</v>
      </c>
      <c r="AK857" s="360"/>
      <c r="AL857" s="360" t="s">
        <v>5878</v>
      </c>
      <c r="AM857" s="360"/>
      <c r="AN857" s="360"/>
      <c r="AO857" s="360"/>
      <c r="AP857" s="360"/>
      <c r="AQ857" s="360"/>
      <c r="AR857" s="360"/>
      <c r="AS857" s="360"/>
      <c r="AT857" s="360"/>
      <c r="AU857" s="360" t="s">
        <v>22</v>
      </c>
      <c r="AV857" s="360"/>
      <c r="AW857" s="264"/>
      <c r="AX857" s="264"/>
      <c r="AY857" s="264"/>
      <c r="AZ857" s="264"/>
      <c r="BA857" s="264"/>
      <c r="BB857" s="264"/>
      <c r="BC857" s="264"/>
      <c r="BD857" s="264"/>
      <c r="BE857" s="264"/>
    </row>
    <row r="858">
      <c r="A858" s="264"/>
      <c r="B858" s="264"/>
      <c r="C858" s="264"/>
      <c r="D858" s="264"/>
      <c r="E858" s="264"/>
      <c r="F858" s="264"/>
      <c r="G858" s="264"/>
      <c r="H858" s="264"/>
      <c r="I858" s="264"/>
      <c r="J858" s="264"/>
      <c r="K858" s="264"/>
      <c r="L858" s="264"/>
      <c r="M858" s="264" t="s">
        <v>22</v>
      </c>
      <c r="N858" s="264"/>
      <c r="O858" s="264" t="s">
        <v>22</v>
      </c>
      <c r="P858" s="264"/>
      <c r="Q858" s="264"/>
      <c r="R858" s="264"/>
      <c r="S858" s="264"/>
      <c r="T858" s="264"/>
      <c r="U858" s="360"/>
      <c r="V858" s="360"/>
      <c r="W858" s="360"/>
      <c r="X858" s="360"/>
      <c r="Y858" s="360"/>
      <c r="Z858" s="360"/>
      <c r="AA858" s="360"/>
      <c r="AB858" s="360"/>
      <c r="AC858" s="360"/>
      <c r="AD858" s="360"/>
      <c r="AE858" s="360"/>
      <c r="AF858" s="360"/>
      <c r="AG858" s="360" t="s">
        <v>1582</v>
      </c>
      <c r="AH858" s="360"/>
      <c r="AI858" s="360"/>
      <c r="AJ858" s="360" t="s">
        <v>1589</v>
      </c>
      <c r="AK858" s="360"/>
      <c r="AL858" s="360" t="s">
        <v>5878</v>
      </c>
      <c r="AM858" s="360"/>
      <c r="AN858" s="360"/>
      <c r="AO858" s="360"/>
      <c r="AP858" s="360"/>
      <c r="AQ858" s="360"/>
      <c r="AR858" s="360"/>
      <c r="AS858" s="360"/>
      <c r="AT858" s="360"/>
      <c r="AU858" s="360" t="s">
        <v>22</v>
      </c>
      <c r="AV858" s="360"/>
      <c r="AW858" s="264"/>
      <c r="AX858" s="264"/>
      <c r="AY858" s="264"/>
      <c r="AZ858" s="264"/>
      <c r="BA858" s="264"/>
      <c r="BB858" s="264"/>
      <c r="BC858" s="264"/>
      <c r="BD858" s="264"/>
      <c r="BE858" s="264"/>
    </row>
    <row r="859">
      <c r="A859" s="264"/>
      <c r="B859" s="264"/>
      <c r="C859" s="264"/>
      <c r="D859" s="264"/>
      <c r="E859" s="264"/>
      <c r="F859" s="264"/>
      <c r="G859" s="264"/>
      <c r="H859" s="264"/>
      <c r="I859" s="264"/>
      <c r="J859" s="264"/>
      <c r="K859" s="264"/>
      <c r="L859" s="264"/>
      <c r="M859" s="264" t="s">
        <v>22</v>
      </c>
      <c r="N859" s="264"/>
      <c r="O859" s="264" t="s">
        <v>22</v>
      </c>
      <c r="P859" s="264"/>
      <c r="Q859" s="264"/>
      <c r="R859" s="264"/>
      <c r="S859" s="264"/>
      <c r="T859" s="264"/>
      <c r="U859" s="360"/>
      <c r="V859" s="360"/>
      <c r="W859" s="360"/>
      <c r="X859" s="360"/>
      <c r="Y859" s="360"/>
      <c r="Z859" s="360"/>
      <c r="AA859" s="360"/>
      <c r="AB859" s="360"/>
      <c r="AC859" s="360"/>
      <c r="AD859" s="360"/>
      <c r="AE859" s="360"/>
      <c r="AF859" s="360"/>
      <c r="AG859" s="360" t="s">
        <v>1582</v>
      </c>
      <c r="AH859" s="360"/>
      <c r="AI859" s="360"/>
      <c r="AJ859" s="360" t="s">
        <v>1589</v>
      </c>
      <c r="AK859" s="360"/>
      <c r="AL859" s="360" t="s">
        <v>5878</v>
      </c>
      <c r="AM859" s="360"/>
      <c r="AN859" s="360"/>
      <c r="AO859" s="360"/>
      <c r="AP859" s="360"/>
      <c r="AQ859" s="360"/>
      <c r="AR859" s="360"/>
      <c r="AS859" s="360"/>
      <c r="AT859" s="360"/>
      <c r="AU859" s="360" t="s">
        <v>22</v>
      </c>
      <c r="AV859" s="360"/>
      <c r="AW859" s="264"/>
      <c r="AX859" s="264"/>
      <c r="AY859" s="264"/>
      <c r="AZ859" s="264"/>
      <c r="BA859" s="264"/>
      <c r="BB859" s="264"/>
      <c r="BC859" s="264"/>
      <c r="BD859" s="264"/>
      <c r="BE859" s="264"/>
    </row>
    <row r="860">
      <c r="A860" s="264"/>
      <c r="B860" s="264"/>
      <c r="C860" s="264"/>
      <c r="D860" s="264"/>
      <c r="E860" s="264"/>
      <c r="F860" s="264"/>
      <c r="G860" s="264"/>
      <c r="H860" s="264"/>
      <c r="I860" s="264"/>
      <c r="J860" s="264"/>
      <c r="K860" s="264"/>
      <c r="L860" s="264"/>
      <c r="M860" s="264" t="s">
        <v>22</v>
      </c>
      <c r="N860" s="264"/>
      <c r="O860" s="264" t="s">
        <v>22</v>
      </c>
      <c r="P860" s="264"/>
      <c r="Q860" s="264"/>
      <c r="R860" s="264"/>
      <c r="S860" s="264"/>
      <c r="T860" s="264"/>
      <c r="U860" s="360"/>
      <c r="V860" s="360"/>
      <c r="W860" s="360"/>
      <c r="X860" s="360"/>
      <c r="Y860" s="360"/>
      <c r="Z860" s="360"/>
      <c r="AA860" s="360"/>
      <c r="AB860" s="360"/>
      <c r="AC860" s="360"/>
      <c r="AD860" s="360"/>
      <c r="AE860" s="360"/>
      <c r="AF860" s="360"/>
      <c r="AG860" s="360" t="s">
        <v>1582</v>
      </c>
      <c r="AH860" s="360"/>
      <c r="AI860" s="360"/>
      <c r="AJ860" s="360" t="s">
        <v>1589</v>
      </c>
      <c r="AK860" s="360"/>
      <c r="AL860" s="360" t="s">
        <v>5878</v>
      </c>
      <c r="AM860" s="360"/>
      <c r="AN860" s="360"/>
      <c r="AO860" s="360"/>
      <c r="AP860" s="360"/>
      <c r="AQ860" s="360"/>
      <c r="AR860" s="360"/>
      <c r="AS860" s="360"/>
      <c r="AT860" s="360"/>
      <c r="AU860" s="360" t="s">
        <v>22</v>
      </c>
      <c r="AV860" s="360"/>
      <c r="AW860" s="264"/>
      <c r="AX860" s="264"/>
      <c r="AY860" s="264"/>
      <c r="AZ860" s="264"/>
      <c r="BA860" s="264"/>
      <c r="BB860" s="264"/>
      <c r="BC860" s="264"/>
      <c r="BD860" s="264"/>
      <c r="BE860" s="264"/>
    </row>
    <row r="861">
      <c r="A861" s="264"/>
      <c r="B861" s="264"/>
      <c r="C861" s="264"/>
      <c r="D861" s="264"/>
      <c r="E861" s="264"/>
      <c r="F861" s="264"/>
      <c r="G861" s="264"/>
      <c r="H861" s="264"/>
      <c r="I861" s="264"/>
      <c r="J861" s="264"/>
      <c r="K861" s="264"/>
      <c r="L861" s="264"/>
      <c r="M861" s="264" t="s">
        <v>22</v>
      </c>
      <c r="N861" s="264"/>
      <c r="O861" s="264" t="s">
        <v>22</v>
      </c>
      <c r="P861" s="264"/>
      <c r="Q861" s="264"/>
      <c r="R861" s="264"/>
      <c r="S861" s="264"/>
      <c r="T861" s="264"/>
      <c r="U861" s="360"/>
      <c r="V861" s="360"/>
      <c r="W861" s="360"/>
      <c r="X861" s="360"/>
      <c r="Y861" s="360"/>
      <c r="Z861" s="360"/>
      <c r="AA861" s="360"/>
      <c r="AB861" s="360"/>
      <c r="AC861" s="360"/>
      <c r="AD861" s="360"/>
      <c r="AE861" s="360"/>
      <c r="AF861" s="360"/>
      <c r="AG861" s="360" t="s">
        <v>1582</v>
      </c>
      <c r="AH861" s="360"/>
      <c r="AI861" s="360"/>
      <c r="AJ861" s="360" t="s">
        <v>1589</v>
      </c>
      <c r="AK861" s="360"/>
      <c r="AL861" s="360" t="s">
        <v>5878</v>
      </c>
      <c r="AM861" s="360"/>
      <c r="AN861" s="360"/>
      <c r="AO861" s="360"/>
      <c r="AP861" s="360"/>
      <c r="AQ861" s="360"/>
      <c r="AR861" s="360"/>
      <c r="AS861" s="360"/>
      <c r="AT861" s="360"/>
      <c r="AU861" s="360" t="s">
        <v>22</v>
      </c>
      <c r="AV861" s="360"/>
      <c r="AW861" s="264"/>
      <c r="AX861" s="264"/>
      <c r="AY861" s="264"/>
      <c r="AZ861" s="264"/>
      <c r="BA861" s="264"/>
      <c r="BB861" s="264"/>
      <c r="BC861" s="264"/>
      <c r="BD861" s="264"/>
      <c r="BE861" s="264"/>
    </row>
    <row r="862">
      <c r="A862" s="264"/>
      <c r="B862" s="264"/>
      <c r="C862" s="264"/>
      <c r="D862" s="264"/>
      <c r="E862" s="264"/>
      <c r="F862" s="264"/>
      <c r="G862" s="264"/>
      <c r="H862" s="264"/>
      <c r="I862" s="264"/>
      <c r="J862" s="264"/>
      <c r="K862" s="264"/>
      <c r="L862" s="264"/>
      <c r="M862" s="264" t="s">
        <v>22</v>
      </c>
      <c r="N862" s="264"/>
      <c r="O862" s="264" t="s">
        <v>22</v>
      </c>
      <c r="P862" s="264"/>
      <c r="Q862" s="264"/>
      <c r="R862" s="264"/>
      <c r="S862" s="264"/>
      <c r="T862" s="264"/>
      <c r="U862" s="360"/>
      <c r="V862" s="360"/>
      <c r="W862" s="360"/>
      <c r="X862" s="360"/>
      <c r="Y862" s="360"/>
      <c r="Z862" s="360"/>
      <c r="AA862" s="360"/>
      <c r="AB862" s="360"/>
      <c r="AC862" s="360"/>
      <c r="AD862" s="360"/>
      <c r="AE862" s="360"/>
      <c r="AF862" s="360"/>
      <c r="AG862" s="360" t="s">
        <v>1582</v>
      </c>
      <c r="AH862" s="360"/>
      <c r="AI862" s="360"/>
      <c r="AJ862" s="360" t="s">
        <v>1589</v>
      </c>
      <c r="AK862" s="360"/>
      <c r="AL862" s="360" t="s">
        <v>5878</v>
      </c>
      <c r="AM862" s="360"/>
      <c r="AN862" s="360"/>
      <c r="AO862" s="360"/>
      <c r="AP862" s="360"/>
      <c r="AQ862" s="360"/>
      <c r="AR862" s="360"/>
      <c r="AS862" s="360"/>
      <c r="AT862" s="360"/>
      <c r="AU862" s="360" t="s">
        <v>22</v>
      </c>
      <c r="AV862" s="360"/>
      <c r="AW862" s="264"/>
      <c r="AX862" s="264"/>
      <c r="AY862" s="264"/>
      <c r="AZ862" s="264"/>
      <c r="BA862" s="264"/>
      <c r="BB862" s="264"/>
      <c r="BC862" s="264"/>
      <c r="BD862" s="264"/>
      <c r="BE862" s="264"/>
    </row>
    <row r="863">
      <c r="A863" s="264"/>
      <c r="B863" s="264"/>
      <c r="C863" s="264"/>
      <c r="D863" s="264"/>
      <c r="E863" s="264"/>
      <c r="F863" s="264"/>
      <c r="G863" s="264"/>
      <c r="H863" s="264"/>
      <c r="I863" s="264"/>
      <c r="J863" s="264"/>
      <c r="K863" s="264"/>
      <c r="L863" s="264"/>
      <c r="M863" s="264" t="s">
        <v>22</v>
      </c>
      <c r="N863" s="264"/>
      <c r="O863" s="264" t="s">
        <v>22</v>
      </c>
      <c r="P863" s="264"/>
      <c r="Q863" s="264"/>
      <c r="R863" s="264"/>
      <c r="S863" s="264"/>
      <c r="T863" s="264"/>
      <c r="U863" s="360"/>
      <c r="V863" s="360"/>
      <c r="W863" s="360"/>
      <c r="X863" s="360"/>
      <c r="Y863" s="360"/>
      <c r="Z863" s="360"/>
      <c r="AA863" s="360"/>
      <c r="AB863" s="360"/>
      <c r="AC863" s="360"/>
      <c r="AD863" s="360"/>
      <c r="AE863" s="360"/>
      <c r="AF863" s="360"/>
      <c r="AG863" s="360" t="s">
        <v>1582</v>
      </c>
      <c r="AH863" s="360"/>
      <c r="AI863" s="360"/>
      <c r="AJ863" s="360" t="s">
        <v>1589</v>
      </c>
      <c r="AK863" s="360"/>
      <c r="AL863" s="360" t="s">
        <v>5878</v>
      </c>
      <c r="AM863" s="360"/>
      <c r="AN863" s="360"/>
      <c r="AO863" s="360"/>
      <c r="AP863" s="360"/>
      <c r="AQ863" s="360"/>
      <c r="AR863" s="360"/>
      <c r="AS863" s="360"/>
      <c r="AT863" s="360"/>
      <c r="AU863" s="360" t="s">
        <v>22</v>
      </c>
      <c r="AV863" s="360"/>
      <c r="AW863" s="264"/>
      <c r="AX863" s="264"/>
      <c r="AY863" s="264"/>
      <c r="AZ863" s="264"/>
      <c r="BA863" s="264"/>
      <c r="BB863" s="264"/>
      <c r="BC863" s="264"/>
      <c r="BD863" s="264"/>
      <c r="BE863" s="264"/>
    </row>
    <row r="864">
      <c r="A864" s="264"/>
      <c r="B864" s="264"/>
      <c r="C864" s="264"/>
      <c r="D864" s="264"/>
      <c r="E864" s="264"/>
      <c r="F864" s="264"/>
      <c r="G864" s="264"/>
      <c r="H864" s="264"/>
      <c r="I864" s="264"/>
      <c r="J864" s="264"/>
      <c r="K864" s="264"/>
      <c r="L864" s="264"/>
      <c r="M864" s="264" t="s">
        <v>22</v>
      </c>
      <c r="N864" s="264"/>
      <c r="O864" s="264" t="s">
        <v>22</v>
      </c>
      <c r="P864" s="264"/>
      <c r="Q864" s="264"/>
      <c r="R864" s="264"/>
      <c r="S864" s="264"/>
      <c r="T864" s="264"/>
      <c r="U864" s="360"/>
      <c r="V864" s="360"/>
      <c r="W864" s="360"/>
      <c r="X864" s="360"/>
      <c r="Y864" s="360"/>
      <c r="Z864" s="360"/>
      <c r="AA864" s="360"/>
      <c r="AB864" s="360"/>
      <c r="AC864" s="360"/>
      <c r="AD864" s="360"/>
      <c r="AE864" s="360"/>
      <c r="AF864" s="360"/>
      <c r="AG864" s="360" t="s">
        <v>1582</v>
      </c>
      <c r="AH864" s="360"/>
      <c r="AI864" s="360"/>
      <c r="AJ864" s="360" t="s">
        <v>1589</v>
      </c>
      <c r="AK864" s="360"/>
      <c r="AL864" s="360" t="s">
        <v>5878</v>
      </c>
      <c r="AM864" s="360"/>
      <c r="AN864" s="360"/>
      <c r="AO864" s="360"/>
      <c r="AP864" s="360"/>
      <c r="AQ864" s="360"/>
      <c r="AR864" s="360"/>
      <c r="AS864" s="360"/>
      <c r="AT864" s="360"/>
      <c r="AU864" s="360" t="s">
        <v>22</v>
      </c>
      <c r="AV864" s="360"/>
      <c r="AW864" s="264"/>
      <c r="AX864" s="264"/>
      <c r="AY864" s="264"/>
      <c r="AZ864" s="264"/>
      <c r="BA864" s="264"/>
      <c r="BB864" s="264"/>
      <c r="BC864" s="264"/>
      <c r="BD864" s="264"/>
      <c r="BE864" s="264"/>
    </row>
    <row r="865">
      <c r="A865" s="264"/>
      <c r="B865" s="264"/>
      <c r="C865" s="264"/>
      <c r="D865" s="264"/>
      <c r="E865" s="264"/>
      <c r="F865" s="264"/>
      <c r="G865" s="264"/>
      <c r="H865" s="264"/>
      <c r="I865" s="264"/>
      <c r="J865" s="264"/>
      <c r="K865" s="264"/>
      <c r="L865" s="264"/>
      <c r="M865" s="264" t="s">
        <v>22</v>
      </c>
      <c r="N865" s="264"/>
      <c r="O865" s="264" t="s">
        <v>22</v>
      </c>
      <c r="P865" s="264"/>
      <c r="Q865" s="264"/>
      <c r="R865" s="264"/>
      <c r="S865" s="264"/>
      <c r="T865" s="264"/>
      <c r="U865" s="360"/>
      <c r="V865" s="360"/>
      <c r="W865" s="360"/>
      <c r="X865" s="360"/>
      <c r="Y865" s="360"/>
      <c r="Z865" s="360"/>
      <c r="AA865" s="360"/>
      <c r="AB865" s="360"/>
      <c r="AC865" s="360"/>
      <c r="AD865" s="360"/>
      <c r="AE865" s="360"/>
      <c r="AF865" s="360"/>
      <c r="AG865" s="360" t="s">
        <v>1582</v>
      </c>
      <c r="AH865" s="360"/>
      <c r="AI865" s="360"/>
      <c r="AJ865" s="360" t="s">
        <v>1589</v>
      </c>
      <c r="AK865" s="360"/>
      <c r="AL865" s="360" t="s">
        <v>5878</v>
      </c>
      <c r="AM865" s="360"/>
      <c r="AN865" s="360"/>
      <c r="AO865" s="360"/>
      <c r="AP865" s="360"/>
      <c r="AQ865" s="360"/>
      <c r="AR865" s="360"/>
      <c r="AS865" s="360"/>
      <c r="AT865" s="360"/>
      <c r="AU865" s="360" t="s">
        <v>22</v>
      </c>
      <c r="AV865" s="360"/>
      <c r="AW865" s="264"/>
      <c r="AX865" s="264"/>
      <c r="AY865" s="264"/>
      <c r="AZ865" s="264"/>
      <c r="BA865" s="264"/>
      <c r="BB865" s="264"/>
      <c r="BC865" s="264"/>
      <c r="BD865" s="264"/>
      <c r="BE865" s="264"/>
    </row>
    <row r="866">
      <c r="A866" s="264"/>
      <c r="B866" s="264"/>
      <c r="C866" s="264"/>
      <c r="D866" s="264"/>
      <c r="E866" s="264"/>
      <c r="F866" s="264"/>
      <c r="G866" s="264"/>
      <c r="H866" s="264"/>
      <c r="I866" s="264"/>
      <c r="J866" s="264"/>
      <c r="K866" s="264"/>
      <c r="L866" s="264"/>
      <c r="M866" s="264" t="s">
        <v>22</v>
      </c>
      <c r="N866" s="264"/>
      <c r="O866" s="264" t="s">
        <v>22</v>
      </c>
      <c r="P866" s="264"/>
      <c r="Q866" s="264"/>
      <c r="R866" s="264"/>
      <c r="S866" s="264"/>
      <c r="T866" s="264"/>
      <c r="U866" s="360"/>
      <c r="V866" s="360"/>
      <c r="W866" s="360"/>
      <c r="X866" s="360"/>
      <c r="Y866" s="360"/>
      <c r="Z866" s="360"/>
      <c r="AA866" s="360"/>
      <c r="AB866" s="360"/>
      <c r="AC866" s="360"/>
      <c r="AD866" s="360"/>
      <c r="AE866" s="360"/>
      <c r="AF866" s="360"/>
      <c r="AG866" s="360" t="s">
        <v>1582</v>
      </c>
      <c r="AH866" s="360"/>
      <c r="AI866" s="360"/>
      <c r="AJ866" s="360" t="s">
        <v>1589</v>
      </c>
      <c r="AK866" s="360"/>
      <c r="AL866" s="360" t="s">
        <v>5878</v>
      </c>
      <c r="AM866" s="360"/>
      <c r="AN866" s="360"/>
      <c r="AO866" s="360"/>
      <c r="AP866" s="360"/>
      <c r="AQ866" s="360"/>
      <c r="AR866" s="360"/>
      <c r="AS866" s="360"/>
      <c r="AT866" s="360"/>
      <c r="AU866" s="360" t="s">
        <v>22</v>
      </c>
      <c r="AV866" s="360"/>
      <c r="AW866" s="264"/>
      <c r="AX866" s="264"/>
      <c r="AY866" s="264"/>
      <c r="AZ866" s="264"/>
      <c r="BA866" s="264"/>
      <c r="BB866" s="264"/>
      <c r="BC866" s="264"/>
      <c r="BD866" s="264"/>
      <c r="BE866" s="264"/>
    </row>
    <row r="867">
      <c r="A867" s="264"/>
      <c r="B867" s="264"/>
      <c r="C867" s="264"/>
      <c r="D867" s="264"/>
      <c r="E867" s="264"/>
      <c r="F867" s="264"/>
      <c r="G867" s="264"/>
      <c r="H867" s="264"/>
      <c r="I867" s="264"/>
      <c r="J867" s="264"/>
      <c r="K867" s="264"/>
      <c r="L867" s="264"/>
      <c r="M867" s="264" t="s">
        <v>22</v>
      </c>
      <c r="N867" s="264"/>
      <c r="O867" s="264" t="s">
        <v>22</v>
      </c>
      <c r="P867" s="264"/>
      <c r="Q867" s="264"/>
      <c r="R867" s="264"/>
      <c r="S867" s="264"/>
      <c r="T867" s="264"/>
      <c r="U867" s="360"/>
      <c r="V867" s="360"/>
      <c r="W867" s="360"/>
      <c r="X867" s="360"/>
      <c r="Y867" s="360"/>
      <c r="Z867" s="360"/>
      <c r="AA867" s="360"/>
      <c r="AB867" s="360"/>
      <c r="AC867" s="360"/>
      <c r="AD867" s="360"/>
      <c r="AE867" s="360"/>
      <c r="AF867" s="360"/>
      <c r="AG867" s="360" t="s">
        <v>1582</v>
      </c>
      <c r="AH867" s="360"/>
      <c r="AI867" s="360"/>
      <c r="AJ867" s="360" t="s">
        <v>1589</v>
      </c>
      <c r="AK867" s="360"/>
      <c r="AL867" s="360" t="s">
        <v>5878</v>
      </c>
      <c r="AM867" s="360"/>
      <c r="AN867" s="360"/>
      <c r="AO867" s="360"/>
      <c r="AP867" s="360"/>
      <c r="AQ867" s="360"/>
      <c r="AR867" s="360"/>
      <c r="AS867" s="360"/>
      <c r="AT867" s="360"/>
      <c r="AU867" s="360" t="s">
        <v>22</v>
      </c>
      <c r="AV867" s="360"/>
      <c r="AW867" s="264"/>
      <c r="AX867" s="264"/>
      <c r="AY867" s="264"/>
      <c r="AZ867" s="264"/>
      <c r="BA867" s="264"/>
      <c r="BB867" s="264"/>
      <c r="BC867" s="264"/>
      <c r="BD867" s="264"/>
      <c r="BE867" s="264"/>
    </row>
    <row r="868">
      <c r="A868" s="264"/>
      <c r="B868" s="264"/>
      <c r="C868" s="264"/>
      <c r="D868" s="264"/>
      <c r="E868" s="264"/>
      <c r="F868" s="264"/>
      <c r="G868" s="264"/>
      <c r="H868" s="264"/>
      <c r="I868" s="264"/>
      <c r="J868" s="264"/>
      <c r="K868" s="264"/>
      <c r="L868" s="264"/>
      <c r="M868" s="264" t="s">
        <v>22</v>
      </c>
      <c r="N868" s="264"/>
      <c r="O868" s="264" t="s">
        <v>22</v>
      </c>
      <c r="P868" s="264"/>
      <c r="Q868" s="264"/>
      <c r="R868" s="264"/>
      <c r="S868" s="264"/>
      <c r="T868" s="264"/>
      <c r="U868" s="360"/>
      <c r="V868" s="360"/>
      <c r="W868" s="360"/>
      <c r="X868" s="360"/>
      <c r="Y868" s="360"/>
      <c r="Z868" s="360"/>
      <c r="AA868" s="360"/>
      <c r="AB868" s="360"/>
      <c r="AC868" s="360"/>
      <c r="AD868" s="360"/>
      <c r="AE868" s="360"/>
      <c r="AF868" s="360"/>
      <c r="AG868" s="360" t="s">
        <v>1582</v>
      </c>
      <c r="AH868" s="360"/>
      <c r="AI868" s="360"/>
      <c r="AJ868" s="360" t="s">
        <v>1589</v>
      </c>
      <c r="AK868" s="360"/>
      <c r="AL868" s="360" t="s">
        <v>5878</v>
      </c>
      <c r="AM868" s="360"/>
      <c r="AN868" s="360"/>
      <c r="AO868" s="360"/>
      <c r="AP868" s="360"/>
      <c r="AQ868" s="360"/>
      <c r="AR868" s="360"/>
      <c r="AS868" s="360"/>
      <c r="AT868" s="360"/>
      <c r="AU868" s="360" t="s">
        <v>22</v>
      </c>
      <c r="AV868" s="360"/>
      <c r="AW868" s="264"/>
      <c r="AX868" s="264"/>
      <c r="AY868" s="264"/>
      <c r="AZ868" s="264"/>
      <c r="BA868" s="264"/>
      <c r="BB868" s="264"/>
      <c r="BC868" s="264"/>
      <c r="BD868" s="264"/>
      <c r="BE868" s="264"/>
    </row>
    <row r="869">
      <c r="A869" s="264"/>
      <c r="B869" s="264"/>
      <c r="C869" s="264"/>
      <c r="D869" s="264"/>
      <c r="E869" s="264"/>
      <c r="F869" s="264"/>
      <c r="G869" s="264"/>
      <c r="H869" s="264"/>
      <c r="I869" s="264"/>
      <c r="J869" s="264"/>
      <c r="K869" s="264"/>
      <c r="L869" s="264"/>
      <c r="M869" s="264" t="s">
        <v>22</v>
      </c>
      <c r="N869" s="264"/>
      <c r="O869" s="264" t="s">
        <v>22</v>
      </c>
      <c r="P869" s="264"/>
      <c r="Q869" s="264"/>
      <c r="R869" s="264"/>
      <c r="S869" s="264"/>
      <c r="T869" s="264"/>
      <c r="U869" s="360"/>
      <c r="V869" s="360"/>
      <c r="W869" s="360"/>
      <c r="X869" s="360"/>
      <c r="Y869" s="360"/>
      <c r="Z869" s="360"/>
      <c r="AA869" s="360"/>
      <c r="AB869" s="360"/>
      <c r="AC869" s="360"/>
      <c r="AD869" s="360"/>
      <c r="AE869" s="360"/>
      <c r="AF869" s="360"/>
      <c r="AG869" s="360" t="s">
        <v>1582</v>
      </c>
      <c r="AH869" s="360"/>
      <c r="AI869" s="360"/>
      <c r="AJ869" s="360" t="s">
        <v>1589</v>
      </c>
      <c r="AK869" s="360"/>
      <c r="AL869" s="360" t="s">
        <v>5878</v>
      </c>
      <c r="AM869" s="360"/>
      <c r="AN869" s="360"/>
      <c r="AO869" s="360"/>
      <c r="AP869" s="360"/>
      <c r="AQ869" s="360"/>
      <c r="AR869" s="360"/>
      <c r="AS869" s="360"/>
      <c r="AT869" s="360"/>
      <c r="AU869" s="360" t="s">
        <v>22</v>
      </c>
      <c r="AV869" s="360"/>
      <c r="AW869" s="264"/>
      <c r="AX869" s="264"/>
      <c r="AY869" s="264"/>
      <c r="AZ869" s="264"/>
      <c r="BA869" s="264"/>
      <c r="BB869" s="264"/>
      <c r="BC869" s="264"/>
      <c r="BD869" s="264"/>
      <c r="BE869" s="264"/>
    </row>
    <row r="870">
      <c r="A870" s="264"/>
      <c r="B870" s="264"/>
      <c r="C870" s="264"/>
      <c r="D870" s="264"/>
      <c r="E870" s="264"/>
      <c r="F870" s="264"/>
      <c r="G870" s="264"/>
      <c r="H870" s="264"/>
      <c r="I870" s="264"/>
      <c r="J870" s="264"/>
      <c r="K870" s="264"/>
      <c r="L870" s="264"/>
      <c r="M870" s="264" t="s">
        <v>22</v>
      </c>
      <c r="N870" s="264"/>
      <c r="O870" s="264" t="s">
        <v>22</v>
      </c>
      <c r="P870" s="264"/>
      <c r="Q870" s="264"/>
      <c r="R870" s="264"/>
      <c r="S870" s="264"/>
      <c r="T870" s="264"/>
      <c r="U870" s="360"/>
      <c r="V870" s="360"/>
      <c r="W870" s="360"/>
      <c r="X870" s="360"/>
      <c r="Y870" s="360"/>
      <c r="Z870" s="360"/>
      <c r="AA870" s="360"/>
      <c r="AB870" s="360"/>
      <c r="AC870" s="360"/>
      <c r="AD870" s="360"/>
      <c r="AE870" s="360"/>
      <c r="AF870" s="360"/>
      <c r="AG870" s="360" t="s">
        <v>1582</v>
      </c>
      <c r="AH870" s="360"/>
      <c r="AI870" s="360"/>
      <c r="AJ870" s="360" t="s">
        <v>1589</v>
      </c>
      <c r="AK870" s="360"/>
      <c r="AL870" s="360" t="s">
        <v>5878</v>
      </c>
      <c r="AM870" s="360"/>
      <c r="AN870" s="360"/>
      <c r="AO870" s="360"/>
      <c r="AP870" s="360"/>
      <c r="AQ870" s="360"/>
      <c r="AR870" s="360"/>
      <c r="AS870" s="360"/>
      <c r="AT870" s="360"/>
      <c r="AU870" s="360" t="s">
        <v>22</v>
      </c>
      <c r="AV870" s="360"/>
      <c r="AW870" s="264"/>
      <c r="AX870" s="264"/>
      <c r="AY870" s="264"/>
      <c r="AZ870" s="264"/>
      <c r="BA870" s="264"/>
      <c r="BB870" s="264"/>
      <c r="BC870" s="264"/>
      <c r="BD870" s="264"/>
      <c r="BE870" s="264"/>
    </row>
    <row r="871">
      <c r="A871" s="264"/>
      <c r="B871" s="264"/>
      <c r="C871" s="264"/>
      <c r="D871" s="264"/>
      <c r="E871" s="264"/>
      <c r="F871" s="264"/>
      <c r="G871" s="264"/>
      <c r="H871" s="264"/>
      <c r="I871" s="264"/>
      <c r="J871" s="264"/>
      <c r="K871" s="264"/>
      <c r="L871" s="264"/>
      <c r="M871" s="264" t="s">
        <v>22</v>
      </c>
      <c r="N871" s="264"/>
      <c r="O871" s="264" t="s">
        <v>22</v>
      </c>
      <c r="P871" s="264"/>
      <c r="Q871" s="264"/>
      <c r="R871" s="264"/>
      <c r="S871" s="264"/>
      <c r="T871" s="264"/>
      <c r="U871" s="360"/>
      <c r="V871" s="360"/>
      <c r="W871" s="360"/>
      <c r="X871" s="360"/>
      <c r="Y871" s="360"/>
      <c r="Z871" s="360"/>
      <c r="AA871" s="360"/>
      <c r="AB871" s="360"/>
      <c r="AC871" s="360"/>
      <c r="AD871" s="360"/>
      <c r="AE871" s="360"/>
      <c r="AF871" s="360"/>
      <c r="AG871" s="360" t="s">
        <v>1582</v>
      </c>
      <c r="AH871" s="360"/>
      <c r="AI871" s="360"/>
      <c r="AJ871" s="360" t="s">
        <v>1589</v>
      </c>
      <c r="AK871" s="360"/>
      <c r="AL871" s="360" t="s">
        <v>5878</v>
      </c>
      <c r="AM871" s="360"/>
      <c r="AN871" s="360"/>
      <c r="AO871" s="360"/>
      <c r="AP871" s="360"/>
      <c r="AQ871" s="360"/>
      <c r="AR871" s="360"/>
      <c r="AS871" s="360"/>
      <c r="AT871" s="360"/>
      <c r="AU871" s="360" t="s">
        <v>22</v>
      </c>
      <c r="AV871" s="360"/>
      <c r="AW871" s="264"/>
      <c r="AX871" s="264"/>
      <c r="AY871" s="264"/>
      <c r="AZ871" s="264"/>
      <c r="BA871" s="264"/>
      <c r="BB871" s="264"/>
      <c r="BC871" s="264"/>
      <c r="BD871" s="264"/>
      <c r="BE871" s="264"/>
    </row>
    <row r="872">
      <c r="A872" s="264"/>
      <c r="B872" s="264"/>
      <c r="C872" s="264"/>
      <c r="D872" s="264"/>
      <c r="E872" s="264"/>
      <c r="F872" s="264"/>
      <c r="G872" s="264"/>
      <c r="H872" s="264"/>
      <c r="I872" s="264"/>
      <c r="J872" s="264"/>
      <c r="K872" s="264"/>
      <c r="L872" s="264"/>
      <c r="M872" s="264" t="s">
        <v>22</v>
      </c>
      <c r="N872" s="264"/>
      <c r="O872" s="264" t="s">
        <v>22</v>
      </c>
      <c r="P872" s="264"/>
      <c r="Q872" s="264"/>
      <c r="R872" s="264"/>
      <c r="S872" s="264"/>
      <c r="T872" s="264"/>
      <c r="U872" s="360"/>
      <c r="V872" s="360"/>
      <c r="W872" s="360"/>
      <c r="X872" s="360"/>
      <c r="Y872" s="360"/>
      <c r="Z872" s="360"/>
      <c r="AA872" s="360"/>
      <c r="AB872" s="360"/>
      <c r="AC872" s="360"/>
      <c r="AD872" s="360"/>
      <c r="AE872" s="360"/>
      <c r="AF872" s="360"/>
      <c r="AG872" s="360" t="s">
        <v>1582</v>
      </c>
      <c r="AH872" s="360"/>
      <c r="AI872" s="360"/>
      <c r="AJ872" s="360" t="s">
        <v>1589</v>
      </c>
      <c r="AK872" s="360"/>
      <c r="AL872" s="360" t="s">
        <v>5878</v>
      </c>
      <c r="AM872" s="360"/>
      <c r="AN872" s="360"/>
      <c r="AO872" s="360"/>
      <c r="AP872" s="360"/>
      <c r="AQ872" s="360"/>
      <c r="AR872" s="360"/>
      <c r="AS872" s="360"/>
      <c r="AT872" s="360"/>
      <c r="AU872" s="360" t="s">
        <v>22</v>
      </c>
      <c r="AV872" s="360"/>
      <c r="AW872" s="264"/>
      <c r="AX872" s="264"/>
      <c r="AY872" s="264"/>
      <c r="AZ872" s="264"/>
      <c r="BA872" s="264"/>
      <c r="BB872" s="264"/>
      <c r="BC872" s="264"/>
      <c r="BD872" s="264"/>
      <c r="BE872" s="264"/>
    </row>
    <row r="873">
      <c r="A873" s="264"/>
      <c r="B873" s="264"/>
      <c r="C873" s="264"/>
      <c r="D873" s="264"/>
      <c r="E873" s="264"/>
      <c r="F873" s="264"/>
      <c r="G873" s="264"/>
      <c r="H873" s="264"/>
      <c r="I873" s="264"/>
      <c r="J873" s="264"/>
      <c r="K873" s="264"/>
      <c r="L873" s="264"/>
      <c r="M873" s="264" t="s">
        <v>22</v>
      </c>
      <c r="N873" s="264"/>
      <c r="O873" s="264" t="s">
        <v>22</v>
      </c>
      <c r="P873" s="264"/>
      <c r="Q873" s="264"/>
      <c r="R873" s="264"/>
      <c r="S873" s="264"/>
      <c r="T873" s="264"/>
      <c r="U873" s="360"/>
      <c r="V873" s="360"/>
      <c r="W873" s="360"/>
      <c r="X873" s="360"/>
      <c r="Y873" s="360"/>
      <c r="Z873" s="360"/>
      <c r="AA873" s="360"/>
      <c r="AB873" s="360"/>
      <c r="AC873" s="360"/>
      <c r="AD873" s="360"/>
      <c r="AE873" s="360"/>
      <c r="AF873" s="360"/>
      <c r="AG873" s="360" t="s">
        <v>1582</v>
      </c>
      <c r="AH873" s="360"/>
      <c r="AI873" s="360"/>
      <c r="AJ873" s="360" t="s">
        <v>1589</v>
      </c>
      <c r="AK873" s="360"/>
      <c r="AL873" s="360" t="s">
        <v>5878</v>
      </c>
      <c r="AM873" s="360"/>
      <c r="AN873" s="360"/>
      <c r="AO873" s="360"/>
      <c r="AP873" s="360"/>
      <c r="AQ873" s="360"/>
      <c r="AR873" s="360"/>
      <c r="AS873" s="360"/>
      <c r="AT873" s="360"/>
      <c r="AU873" s="360" t="s">
        <v>22</v>
      </c>
      <c r="AV873" s="360"/>
      <c r="AW873" s="264"/>
      <c r="AX873" s="264"/>
      <c r="AY873" s="264"/>
      <c r="AZ873" s="264"/>
      <c r="BA873" s="264"/>
      <c r="BB873" s="264"/>
      <c r="BC873" s="264"/>
      <c r="BD873" s="264"/>
      <c r="BE873" s="264"/>
    </row>
    <row r="874">
      <c r="A874" s="264"/>
      <c r="B874" s="264"/>
      <c r="C874" s="264"/>
      <c r="D874" s="264"/>
      <c r="E874" s="264"/>
      <c r="F874" s="264"/>
      <c r="G874" s="264"/>
      <c r="H874" s="264"/>
      <c r="I874" s="264"/>
      <c r="J874" s="264"/>
      <c r="K874" s="264"/>
      <c r="L874" s="264"/>
      <c r="M874" s="264" t="s">
        <v>22</v>
      </c>
      <c r="N874" s="264"/>
      <c r="O874" s="264" t="s">
        <v>22</v>
      </c>
      <c r="P874" s="264"/>
      <c r="Q874" s="264"/>
      <c r="R874" s="264"/>
      <c r="S874" s="264"/>
      <c r="T874" s="264"/>
      <c r="U874" s="360"/>
      <c r="V874" s="360"/>
      <c r="W874" s="360"/>
      <c r="X874" s="360"/>
      <c r="Y874" s="360"/>
      <c r="Z874" s="360"/>
      <c r="AA874" s="360"/>
      <c r="AB874" s="360"/>
      <c r="AC874" s="360"/>
      <c r="AD874" s="360"/>
      <c r="AE874" s="360"/>
      <c r="AF874" s="360"/>
      <c r="AG874" s="360" t="s">
        <v>1582</v>
      </c>
      <c r="AH874" s="360"/>
      <c r="AI874" s="360"/>
      <c r="AJ874" s="360" t="s">
        <v>1589</v>
      </c>
      <c r="AK874" s="360"/>
      <c r="AL874" s="360" t="s">
        <v>5878</v>
      </c>
      <c r="AM874" s="360"/>
      <c r="AN874" s="360"/>
      <c r="AO874" s="360"/>
      <c r="AP874" s="360"/>
      <c r="AQ874" s="360"/>
      <c r="AR874" s="360"/>
      <c r="AS874" s="360"/>
      <c r="AT874" s="360"/>
      <c r="AU874" s="360" t="s">
        <v>22</v>
      </c>
      <c r="AV874" s="360"/>
      <c r="AW874" s="264"/>
      <c r="AX874" s="264"/>
      <c r="AY874" s="264"/>
      <c r="AZ874" s="264"/>
      <c r="BA874" s="264"/>
      <c r="BB874" s="264"/>
      <c r="BC874" s="264"/>
      <c r="BD874" s="264"/>
      <c r="BE874" s="264"/>
    </row>
    <row r="875">
      <c r="A875" s="264"/>
      <c r="B875" s="264"/>
      <c r="C875" s="264"/>
      <c r="D875" s="264"/>
      <c r="E875" s="264"/>
      <c r="F875" s="264"/>
      <c r="G875" s="264"/>
      <c r="H875" s="264"/>
      <c r="I875" s="264"/>
      <c r="J875" s="264"/>
      <c r="K875" s="264"/>
      <c r="L875" s="264"/>
      <c r="M875" s="264" t="s">
        <v>22</v>
      </c>
      <c r="N875" s="264"/>
      <c r="O875" s="264" t="s">
        <v>22</v>
      </c>
      <c r="P875" s="264"/>
      <c r="Q875" s="264"/>
      <c r="R875" s="264"/>
      <c r="S875" s="264"/>
      <c r="T875" s="264"/>
      <c r="U875" s="360"/>
      <c r="V875" s="360"/>
      <c r="W875" s="360"/>
      <c r="X875" s="360"/>
      <c r="Y875" s="360"/>
      <c r="Z875" s="360"/>
      <c r="AA875" s="360"/>
      <c r="AB875" s="360"/>
      <c r="AC875" s="360"/>
      <c r="AD875" s="360"/>
      <c r="AE875" s="360"/>
      <c r="AF875" s="360"/>
      <c r="AG875" s="360" t="s">
        <v>1582</v>
      </c>
      <c r="AH875" s="360"/>
      <c r="AI875" s="360"/>
      <c r="AJ875" s="360" t="s">
        <v>1589</v>
      </c>
      <c r="AK875" s="360"/>
      <c r="AL875" s="360" t="s">
        <v>5878</v>
      </c>
      <c r="AM875" s="360"/>
      <c r="AN875" s="360"/>
      <c r="AO875" s="360"/>
      <c r="AP875" s="360"/>
      <c r="AQ875" s="360"/>
      <c r="AR875" s="360"/>
      <c r="AS875" s="360"/>
      <c r="AT875" s="360"/>
      <c r="AU875" s="360" t="s">
        <v>22</v>
      </c>
      <c r="AV875" s="360"/>
      <c r="AW875" s="264"/>
      <c r="AX875" s="264"/>
      <c r="AY875" s="264"/>
      <c r="AZ875" s="264"/>
      <c r="BA875" s="264"/>
      <c r="BB875" s="264"/>
      <c r="BC875" s="264"/>
      <c r="BD875" s="264"/>
      <c r="BE875" s="264"/>
    </row>
    <row r="876">
      <c r="A876" s="264"/>
      <c r="B876" s="264"/>
      <c r="C876" s="264"/>
      <c r="D876" s="264"/>
      <c r="E876" s="264"/>
      <c r="F876" s="264"/>
      <c r="G876" s="264"/>
      <c r="H876" s="264"/>
      <c r="I876" s="264"/>
      <c r="J876" s="264"/>
      <c r="K876" s="264"/>
      <c r="L876" s="264"/>
      <c r="M876" s="264" t="s">
        <v>22</v>
      </c>
      <c r="N876" s="264"/>
      <c r="O876" s="264" t="s">
        <v>22</v>
      </c>
      <c r="P876" s="264"/>
      <c r="Q876" s="264"/>
      <c r="R876" s="264"/>
      <c r="S876" s="264"/>
      <c r="T876" s="264"/>
      <c r="U876" s="360"/>
      <c r="V876" s="360"/>
      <c r="W876" s="360"/>
      <c r="X876" s="360"/>
      <c r="Y876" s="360"/>
      <c r="Z876" s="360"/>
      <c r="AA876" s="360"/>
      <c r="AB876" s="360"/>
      <c r="AC876" s="360"/>
      <c r="AD876" s="360"/>
      <c r="AE876" s="360"/>
      <c r="AF876" s="360"/>
      <c r="AG876" s="360" t="s">
        <v>1582</v>
      </c>
      <c r="AH876" s="360"/>
      <c r="AI876" s="360"/>
      <c r="AJ876" s="360" t="s">
        <v>1589</v>
      </c>
      <c r="AK876" s="360"/>
      <c r="AL876" s="360" t="s">
        <v>5878</v>
      </c>
      <c r="AM876" s="360"/>
      <c r="AN876" s="360"/>
      <c r="AO876" s="360"/>
      <c r="AP876" s="360"/>
      <c r="AQ876" s="360"/>
      <c r="AR876" s="360"/>
      <c r="AS876" s="360"/>
      <c r="AT876" s="360"/>
      <c r="AU876" s="360" t="s">
        <v>22</v>
      </c>
      <c r="AV876" s="360"/>
      <c r="AW876" s="264"/>
      <c r="AX876" s="264"/>
      <c r="AY876" s="264"/>
      <c r="AZ876" s="264"/>
      <c r="BA876" s="264"/>
      <c r="BB876" s="264"/>
      <c r="BC876" s="264"/>
      <c r="BD876" s="264"/>
      <c r="BE876" s="264"/>
    </row>
    <row r="877">
      <c r="A877" s="264"/>
      <c r="B877" s="264"/>
      <c r="C877" s="264"/>
      <c r="D877" s="264"/>
      <c r="E877" s="264"/>
      <c r="F877" s="264"/>
      <c r="G877" s="264"/>
      <c r="H877" s="264"/>
      <c r="I877" s="264"/>
      <c r="J877" s="264"/>
      <c r="K877" s="264"/>
      <c r="L877" s="264"/>
      <c r="M877" s="264" t="s">
        <v>22</v>
      </c>
      <c r="N877" s="264"/>
      <c r="O877" s="264" t="s">
        <v>22</v>
      </c>
      <c r="P877" s="264"/>
      <c r="Q877" s="264"/>
      <c r="R877" s="264"/>
      <c r="S877" s="264"/>
      <c r="T877" s="264"/>
      <c r="U877" s="360"/>
      <c r="V877" s="360"/>
      <c r="W877" s="360"/>
      <c r="X877" s="360"/>
      <c r="Y877" s="360"/>
      <c r="Z877" s="360"/>
      <c r="AA877" s="360"/>
      <c r="AB877" s="360"/>
      <c r="AC877" s="360"/>
      <c r="AD877" s="360"/>
      <c r="AE877" s="360"/>
      <c r="AF877" s="360"/>
      <c r="AG877" s="360" t="s">
        <v>1582</v>
      </c>
      <c r="AH877" s="360"/>
      <c r="AI877" s="360"/>
      <c r="AJ877" s="360" t="s">
        <v>1589</v>
      </c>
      <c r="AK877" s="360"/>
      <c r="AL877" s="360" t="s">
        <v>5878</v>
      </c>
      <c r="AM877" s="360"/>
      <c r="AN877" s="360"/>
      <c r="AO877" s="360"/>
      <c r="AP877" s="360"/>
      <c r="AQ877" s="360"/>
      <c r="AR877" s="360"/>
      <c r="AS877" s="360"/>
      <c r="AT877" s="360"/>
      <c r="AU877" s="360" t="s">
        <v>22</v>
      </c>
      <c r="AV877" s="360"/>
      <c r="AW877" s="264"/>
      <c r="AX877" s="264"/>
      <c r="AY877" s="264"/>
      <c r="AZ877" s="264"/>
      <c r="BA877" s="264"/>
      <c r="BB877" s="264"/>
      <c r="BC877" s="264"/>
      <c r="BD877" s="264"/>
      <c r="BE877" s="264"/>
    </row>
    <row r="878">
      <c r="A878" s="264"/>
      <c r="B878" s="264"/>
      <c r="C878" s="264"/>
      <c r="D878" s="264"/>
      <c r="E878" s="264"/>
      <c r="F878" s="264"/>
      <c r="G878" s="264"/>
      <c r="H878" s="264"/>
      <c r="I878" s="264"/>
      <c r="J878" s="264"/>
      <c r="K878" s="264"/>
      <c r="L878" s="264"/>
      <c r="M878" s="264" t="s">
        <v>22</v>
      </c>
      <c r="N878" s="264"/>
      <c r="O878" s="264" t="s">
        <v>22</v>
      </c>
      <c r="P878" s="264"/>
      <c r="Q878" s="264"/>
      <c r="R878" s="264"/>
      <c r="S878" s="264"/>
      <c r="T878" s="264"/>
      <c r="U878" s="360"/>
      <c r="V878" s="360"/>
      <c r="W878" s="360"/>
      <c r="X878" s="360"/>
      <c r="Y878" s="360"/>
      <c r="Z878" s="360"/>
      <c r="AA878" s="360"/>
      <c r="AB878" s="360"/>
      <c r="AC878" s="360"/>
      <c r="AD878" s="360"/>
      <c r="AE878" s="360"/>
      <c r="AF878" s="360"/>
      <c r="AG878" s="360" t="s">
        <v>1582</v>
      </c>
      <c r="AH878" s="360"/>
      <c r="AI878" s="360"/>
      <c r="AJ878" s="360" t="s">
        <v>1589</v>
      </c>
      <c r="AK878" s="360"/>
      <c r="AL878" s="360" t="s">
        <v>5878</v>
      </c>
      <c r="AM878" s="360"/>
      <c r="AN878" s="360"/>
      <c r="AO878" s="360"/>
      <c r="AP878" s="360"/>
      <c r="AQ878" s="360"/>
      <c r="AR878" s="360"/>
      <c r="AS878" s="360"/>
      <c r="AT878" s="360"/>
      <c r="AU878" s="360" t="s">
        <v>22</v>
      </c>
      <c r="AV878" s="360"/>
      <c r="AW878" s="264"/>
      <c r="AX878" s="264"/>
      <c r="AY878" s="264"/>
      <c r="AZ878" s="264"/>
      <c r="BA878" s="264"/>
      <c r="BB878" s="264"/>
      <c r="BC878" s="264"/>
      <c r="BD878" s="264"/>
      <c r="BE878" s="264"/>
    </row>
    <row r="879">
      <c r="A879" s="264"/>
      <c r="B879" s="264"/>
      <c r="C879" s="264"/>
      <c r="D879" s="264"/>
      <c r="E879" s="264"/>
      <c r="F879" s="264"/>
      <c r="G879" s="264"/>
      <c r="H879" s="264"/>
      <c r="I879" s="264"/>
      <c r="J879" s="264"/>
      <c r="K879" s="264"/>
      <c r="L879" s="264"/>
      <c r="M879" s="264" t="s">
        <v>22</v>
      </c>
      <c r="N879" s="264"/>
      <c r="O879" s="264" t="s">
        <v>22</v>
      </c>
      <c r="P879" s="264"/>
      <c r="Q879" s="264"/>
      <c r="R879" s="264"/>
      <c r="S879" s="264"/>
      <c r="T879" s="264"/>
      <c r="U879" s="360"/>
      <c r="V879" s="360"/>
      <c r="W879" s="360"/>
      <c r="X879" s="360"/>
      <c r="Y879" s="360"/>
      <c r="Z879" s="360"/>
      <c r="AA879" s="360"/>
      <c r="AB879" s="360"/>
      <c r="AC879" s="360"/>
      <c r="AD879" s="360"/>
      <c r="AE879" s="360"/>
      <c r="AF879" s="360"/>
      <c r="AG879" s="360" t="s">
        <v>1582</v>
      </c>
      <c r="AH879" s="360"/>
      <c r="AI879" s="360"/>
      <c r="AJ879" s="360" t="s">
        <v>1589</v>
      </c>
      <c r="AK879" s="360"/>
      <c r="AL879" s="360" t="s">
        <v>5878</v>
      </c>
      <c r="AM879" s="360"/>
      <c r="AN879" s="360"/>
      <c r="AO879" s="360"/>
      <c r="AP879" s="360"/>
      <c r="AQ879" s="360"/>
      <c r="AR879" s="360"/>
      <c r="AS879" s="360"/>
      <c r="AT879" s="360"/>
      <c r="AU879" s="360" t="s">
        <v>22</v>
      </c>
      <c r="AV879" s="360"/>
      <c r="AW879" s="264"/>
      <c r="AX879" s="264"/>
      <c r="AY879" s="264"/>
      <c r="AZ879" s="264"/>
      <c r="BA879" s="264"/>
      <c r="BB879" s="264"/>
      <c r="BC879" s="264"/>
      <c r="BD879" s="264"/>
      <c r="BE879" s="264"/>
    </row>
    <row r="880">
      <c r="A880" s="264"/>
      <c r="B880" s="264"/>
      <c r="C880" s="264"/>
      <c r="D880" s="264"/>
      <c r="E880" s="264"/>
      <c r="F880" s="264"/>
      <c r="G880" s="264"/>
      <c r="H880" s="264"/>
      <c r="I880" s="264"/>
      <c r="J880" s="264"/>
      <c r="K880" s="264"/>
      <c r="L880" s="264"/>
      <c r="M880" s="264" t="s">
        <v>22</v>
      </c>
      <c r="N880" s="264"/>
      <c r="O880" s="264" t="s">
        <v>22</v>
      </c>
      <c r="P880" s="264"/>
      <c r="Q880" s="264"/>
      <c r="R880" s="264"/>
      <c r="S880" s="264"/>
      <c r="T880" s="264"/>
      <c r="U880" s="360"/>
      <c r="V880" s="360"/>
      <c r="W880" s="360"/>
      <c r="X880" s="360"/>
      <c r="Y880" s="360"/>
      <c r="Z880" s="360"/>
      <c r="AA880" s="360"/>
      <c r="AB880" s="360"/>
      <c r="AC880" s="360"/>
      <c r="AD880" s="360"/>
      <c r="AE880" s="360"/>
      <c r="AF880" s="360"/>
      <c r="AG880" s="360" t="s">
        <v>1582</v>
      </c>
      <c r="AH880" s="360"/>
      <c r="AI880" s="360"/>
      <c r="AJ880" s="360" t="s">
        <v>1589</v>
      </c>
      <c r="AK880" s="360"/>
      <c r="AL880" s="360" t="s">
        <v>5878</v>
      </c>
      <c r="AM880" s="360"/>
      <c r="AN880" s="360"/>
      <c r="AO880" s="360"/>
      <c r="AP880" s="360"/>
      <c r="AQ880" s="360"/>
      <c r="AR880" s="360"/>
      <c r="AS880" s="360"/>
      <c r="AT880" s="360"/>
      <c r="AU880" s="360" t="s">
        <v>22</v>
      </c>
      <c r="AV880" s="360"/>
      <c r="AW880" s="264"/>
      <c r="AX880" s="264"/>
      <c r="AY880" s="264"/>
      <c r="AZ880" s="264"/>
      <c r="BA880" s="264"/>
      <c r="BB880" s="264"/>
      <c r="BC880" s="264"/>
      <c r="BD880" s="264"/>
      <c r="BE880" s="264"/>
    </row>
    <row r="881">
      <c r="A881" s="264"/>
      <c r="B881" s="264"/>
      <c r="C881" s="264"/>
      <c r="D881" s="264"/>
      <c r="E881" s="264"/>
      <c r="F881" s="264"/>
      <c r="G881" s="264"/>
      <c r="H881" s="264"/>
      <c r="I881" s="264"/>
      <c r="J881" s="264"/>
      <c r="K881" s="264"/>
      <c r="L881" s="264"/>
      <c r="M881" s="264" t="s">
        <v>22</v>
      </c>
      <c r="N881" s="264"/>
      <c r="O881" s="264" t="s">
        <v>22</v>
      </c>
      <c r="P881" s="264"/>
      <c r="Q881" s="264"/>
      <c r="R881" s="264"/>
      <c r="S881" s="264"/>
      <c r="T881" s="264"/>
      <c r="U881" s="360"/>
      <c r="V881" s="360"/>
      <c r="W881" s="360"/>
      <c r="X881" s="360"/>
      <c r="Y881" s="360"/>
      <c r="Z881" s="360"/>
      <c r="AA881" s="360"/>
      <c r="AB881" s="360"/>
      <c r="AC881" s="360"/>
      <c r="AD881" s="360"/>
      <c r="AE881" s="360"/>
      <c r="AF881" s="360"/>
      <c r="AG881" s="360" t="s">
        <v>1582</v>
      </c>
      <c r="AH881" s="360"/>
      <c r="AI881" s="360"/>
      <c r="AJ881" s="360" t="s">
        <v>1589</v>
      </c>
      <c r="AK881" s="360"/>
      <c r="AL881" s="360" t="s">
        <v>5878</v>
      </c>
      <c r="AM881" s="360"/>
      <c r="AN881" s="360"/>
      <c r="AO881" s="360"/>
      <c r="AP881" s="360"/>
      <c r="AQ881" s="360"/>
      <c r="AR881" s="360"/>
      <c r="AS881" s="360"/>
      <c r="AT881" s="360"/>
      <c r="AU881" s="360" t="s">
        <v>22</v>
      </c>
      <c r="AV881" s="360"/>
      <c r="AW881" s="264"/>
      <c r="AX881" s="264"/>
      <c r="AY881" s="264"/>
      <c r="AZ881" s="264"/>
      <c r="BA881" s="264"/>
      <c r="BB881" s="264"/>
      <c r="BC881" s="264"/>
      <c r="BD881" s="264"/>
      <c r="BE881" s="264"/>
    </row>
    <row r="882">
      <c r="A882" s="264"/>
      <c r="B882" s="264"/>
      <c r="C882" s="264"/>
      <c r="D882" s="264"/>
      <c r="E882" s="264"/>
      <c r="F882" s="264"/>
      <c r="G882" s="264"/>
      <c r="H882" s="264"/>
      <c r="I882" s="264"/>
      <c r="J882" s="264"/>
      <c r="K882" s="264"/>
      <c r="L882" s="264"/>
      <c r="M882" s="264" t="s">
        <v>22</v>
      </c>
      <c r="N882" s="264"/>
      <c r="O882" s="264" t="s">
        <v>22</v>
      </c>
      <c r="P882" s="264"/>
      <c r="Q882" s="264"/>
      <c r="R882" s="264"/>
      <c r="S882" s="264"/>
      <c r="T882" s="264"/>
      <c r="U882" s="360"/>
      <c r="V882" s="360"/>
      <c r="W882" s="360"/>
      <c r="X882" s="360"/>
      <c r="Y882" s="360"/>
      <c r="Z882" s="360"/>
      <c r="AA882" s="360"/>
      <c r="AB882" s="360"/>
      <c r="AC882" s="360"/>
      <c r="AD882" s="360"/>
      <c r="AE882" s="360"/>
      <c r="AF882" s="360"/>
      <c r="AG882" s="360" t="s">
        <v>1582</v>
      </c>
      <c r="AH882" s="360"/>
      <c r="AI882" s="360"/>
      <c r="AJ882" s="360" t="s">
        <v>1589</v>
      </c>
      <c r="AK882" s="360"/>
      <c r="AL882" s="360" t="s">
        <v>5878</v>
      </c>
      <c r="AM882" s="360"/>
      <c r="AN882" s="360"/>
      <c r="AO882" s="360"/>
      <c r="AP882" s="360"/>
      <c r="AQ882" s="360"/>
      <c r="AR882" s="360"/>
      <c r="AS882" s="360"/>
      <c r="AT882" s="360"/>
      <c r="AU882" s="360" t="s">
        <v>22</v>
      </c>
      <c r="AV882" s="360"/>
      <c r="AW882" s="264"/>
      <c r="AX882" s="264"/>
      <c r="AY882" s="264"/>
      <c r="AZ882" s="264"/>
      <c r="BA882" s="264"/>
      <c r="BB882" s="264"/>
      <c r="BC882" s="264"/>
      <c r="BD882" s="264"/>
      <c r="BE882" s="264"/>
    </row>
    <row r="883">
      <c r="A883" s="264"/>
      <c r="B883" s="264"/>
      <c r="C883" s="264"/>
      <c r="D883" s="264"/>
      <c r="E883" s="264"/>
      <c r="F883" s="264"/>
      <c r="G883" s="264"/>
      <c r="H883" s="264"/>
      <c r="I883" s="264"/>
      <c r="J883" s="264"/>
      <c r="K883" s="264"/>
      <c r="L883" s="264"/>
      <c r="M883" s="264" t="s">
        <v>22</v>
      </c>
      <c r="N883" s="264"/>
      <c r="O883" s="264" t="s">
        <v>22</v>
      </c>
      <c r="P883" s="264"/>
      <c r="Q883" s="264"/>
      <c r="R883" s="264"/>
      <c r="S883" s="264"/>
      <c r="T883" s="264"/>
      <c r="U883" s="360"/>
      <c r="V883" s="360"/>
      <c r="W883" s="360"/>
      <c r="X883" s="360"/>
      <c r="Y883" s="360"/>
      <c r="Z883" s="360"/>
      <c r="AA883" s="360"/>
      <c r="AB883" s="360"/>
      <c r="AC883" s="360"/>
      <c r="AD883" s="360"/>
      <c r="AE883" s="360"/>
      <c r="AF883" s="360"/>
      <c r="AG883" s="360" t="s">
        <v>1582</v>
      </c>
      <c r="AH883" s="360"/>
      <c r="AI883" s="360"/>
      <c r="AJ883" s="360" t="s">
        <v>1589</v>
      </c>
      <c r="AK883" s="360"/>
      <c r="AL883" s="360" t="s">
        <v>5878</v>
      </c>
      <c r="AM883" s="360"/>
      <c r="AN883" s="360"/>
      <c r="AO883" s="360"/>
      <c r="AP883" s="360"/>
      <c r="AQ883" s="360"/>
      <c r="AR883" s="360"/>
      <c r="AS883" s="360"/>
      <c r="AT883" s="360"/>
      <c r="AU883" s="360" t="s">
        <v>22</v>
      </c>
      <c r="AV883" s="360"/>
      <c r="AW883" s="264"/>
      <c r="AX883" s="264"/>
      <c r="AY883" s="264"/>
      <c r="AZ883" s="264"/>
      <c r="BA883" s="264"/>
      <c r="BB883" s="264"/>
      <c r="BC883" s="264"/>
      <c r="BD883" s="264"/>
      <c r="BE883" s="264"/>
    </row>
    <row r="884">
      <c r="A884" s="264"/>
      <c r="B884" s="264"/>
      <c r="C884" s="264"/>
      <c r="D884" s="264"/>
      <c r="E884" s="264"/>
      <c r="F884" s="264"/>
      <c r="G884" s="264"/>
      <c r="H884" s="264"/>
      <c r="I884" s="264"/>
      <c r="J884" s="264"/>
      <c r="K884" s="264"/>
      <c r="L884" s="264"/>
      <c r="M884" s="264" t="s">
        <v>22</v>
      </c>
      <c r="N884" s="264"/>
      <c r="O884" s="264" t="s">
        <v>22</v>
      </c>
      <c r="P884" s="264"/>
      <c r="Q884" s="264"/>
      <c r="R884" s="264"/>
      <c r="S884" s="264"/>
      <c r="T884" s="264"/>
      <c r="U884" s="360"/>
      <c r="V884" s="360"/>
      <c r="W884" s="360"/>
      <c r="X884" s="360"/>
      <c r="Y884" s="360"/>
      <c r="Z884" s="360"/>
      <c r="AA884" s="360"/>
      <c r="AB884" s="360"/>
      <c r="AC884" s="360"/>
      <c r="AD884" s="360"/>
      <c r="AE884" s="360"/>
      <c r="AF884" s="360"/>
      <c r="AG884" s="360" t="s">
        <v>1582</v>
      </c>
      <c r="AH884" s="360"/>
      <c r="AI884" s="360"/>
      <c r="AJ884" s="360" t="s">
        <v>1589</v>
      </c>
      <c r="AK884" s="360"/>
      <c r="AL884" s="360" t="s">
        <v>5878</v>
      </c>
      <c r="AM884" s="360"/>
      <c r="AN884" s="360"/>
      <c r="AO884" s="360"/>
      <c r="AP884" s="360"/>
      <c r="AQ884" s="360"/>
      <c r="AR884" s="360"/>
      <c r="AS884" s="360"/>
      <c r="AT884" s="360"/>
      <c r="AU884" s="360" t="s">
        <v>22</v>
      </c>
      <c r="AV884" s="360"/>
      <c r="AW884" s="264"/>
      <c r="AX884" s="264"/>
      <c r="AY884" s="264"/>
      <c r="AZ884" s="264"/>
      <c r="BA884" s="264"/>
      <c r="BB884" s="264"/>
      <c r="BC884" s="264"/>
      <c r="BD884" s="264"/>
      <c r="BE884" s="264"/>
    </row>
    <row r="885">
      <c r="A885" s="264"/>
      <c r="B885" s="264"/>
      <c r="C885" s="264"/>
      <c r="D885" s="264"/>
      <c r="E885" s="264"/>
      <c r="F885" s="264"/>
      <c r="G885" s="264"/>
      <c r="H885" s="264"/>
      <c r="I885" s="264"/>
      <c r="J885" s="264"/>
      <c r="K885" s="264"/>
      <c r="L885" s="264"/>
      <c r="M885" s="264" t="s">
        <v>22</v>
      </c>
      <c r="N885" s="264"/>
      <c r="O885" s="264" t="s">
        <v>22</v>
      </c>
      <c r="P885" s="264"/>
      <c r="Q885" s="264"/>
      <c r="R885" s="264"/>
      <c r="S885" s="264"/>
      <c r="T885" s="264"/>
      <c r="U885" s="360"/>
      <c r="V885" s="360"/>
      <c r="W885" s="360"/>
      <c r="X885" s="360"/>
      <c r="Y885" s="360"/>
      <c r="Z885" s="360"/>
      <c r="AA885" s="360"/>
      <c r="AB885" s="360"/>
      <c r="AC885" s="360"/>
      <c r="AD885" s="360"/>
      <c r="AE885" s="360"/>
      <c r="AF885" s="360"/>
      <c r="AG885" s="360" t="s">
        <v>1582</v>
      </c>
      <c r="AH885" s="360"/>
      <c r="AI885" s="360"/>
      <c r="AJ885" s="360" t="s">
        <v>1589</v>
      </c>
      <c r="AK885" s="360"/>
      <c r="AL885" s="360" t="s">
        <v>5878</v>
      </c>
      <c r="AM885" s="360"/>
      <c r="AN885" s="360"/>
      <c r="AO885" s="360"/>
      <c r="AP885" s="360"/>
      <c r="AQ885" s="360"/>
      <c r="AR885" s="360"/>
      <c r="AS885" s="360"/>
      <c r="AT885" s="360"/>
      <c r="AU885" s="360" t="s">
        <v>22</v>
      </c>
      <c r="AV885" s="360"/>
      <c r="AW885" s="264"/>
      <c r="AX885" s="264"/>
      <c r="AY885" s="264"/>
      <c r="AZ885" s="264"/>
      <c r="BA885" s="264"/>
      <c r="BB885" s="264"/>
      <c r="BC885" s="264"/>
      <c r="BD885" s="264"/>
      <c r="BE885" s="264"/>
    </row>
    <row r="886">
      <c r="A886" s="264"/>
      <c r="B886" s="264"/>
      <c r="C886" s="264"/>
      <c r="D886" s="264"/>
      <c r="E886" s="264"/>
      <c r="F886" s="264"/>
      <c r="G886" s="264"/>
      <c r="H886" s="264"/>
      <c r="I886" s="264"/>
      <c r="J886" s="264"/>
      <c r="K886" s="264"/>
      <c r="L886" s="264"/>
      <c r="M886" s="264" t="s">
        <v>22</v>
      </c>
      <c r="N886" s="264"/>
      <c r="O886" s="264" t="s">
        <v>22</v>
      </c>
      <c r="P886" s="264"/>
      <c r="Q886" s="264"/>
      <c r="R886" s="264"/>
      <c r="S886" s="264"/>
      <c r="T886" s="264"/>
      <c r="U886" s="360"/>
      <c r="V886" s="360"/>
      <c r="W886" s="360"/>
      <c r="X886" s="360"/>
      <c r="Y886" s="360"/>
      <c r="Z886" s="360"/>
      <c r="AA886" s="360"/>
      <c r="AB886" s="360"/>
      <c r="AC886" s="360"/>
      <c r="AD886" s="360"/>
      <c r="AE886" s="360"/>
      <c r="AF886" s="360"/>
      <c r="AG886" s="360" t="s">
        <v>1582</v>
      </c>
      <c r="AH886" s="360"/>
      <c r="AI886" s="360"/>
      <c r="AJ886" s="360" t="s">
        <v>1589</v>
      </c>
      <c r="AK886" s="360"/>
      <c r="AL886" s="360" t="s">
        <v>5878</v>
      </c>
      <c r="AM886" s="360"/>
      <c r="AN886" s="360"/>
      <c r="AO886" s="360"/>
      <c r="AP886" s="360"/>
      <c r="AQ886" s="360"/>
      <c r="AR886" s="360"/>
      <c r="AS886" s="360"/>
      <c r="AT886" s="360"/>
      <c r="AU886" s="360" t="s">
        <v>22</v>
      </c>
      <c r="AV886" s="360"/>
      <c r="AW886" s="264"/>
      <c r="AX886" s="264"/>
      <c r="AY886" s="264"/>
      <c r="AZ886" s="264"/>
      <c r="BA886" s="264"/>
      <c r="BB886" s="264"/>
      <c r="BC886" s="264"/>
      <c r="BD886" s="264"/>
      <c r="BE886" s="264"/>
    </row>
    <row r="887">
      <c r="A887" s="264"/>
      <c r="B887" s="264"/>
      <c r="C887" s="264"/>
      <c r="D887" s="264"/>
      <c r="E887" s="264"/>
      <c r="F887" s="264"/>
      <c r="G887" s="264"/>
      <c r="H887" s="264"/>
      <c r="I887" s="264"/>
      <c r="J887" s="264"/>
      <c r="K887" s="264"/>
      <c r="L887" s="264"/>
      <c r="M887" s="264" t="s">
        <v>22</v>
      </c>
      <c r="N887" s="264"/>
      <c r="O887" s="264" t="s">
        <v>22</v>
      </c>
      <c r="P887" s="264"/>
      <c r="Q887" s="264"/>
      <c r="R887" s="264"/>
      <c r="S887" s="264"/>
      <c r="T887" s="264"/>
      <c r="U887" s="360"/>
      <c r="V887" s="360"/>
      <c r="W887" s="360"/>
      <c r="X887" s="360"/>
      <c r="Y887" s="360"/>
      <c r="Z887" s="360"/>
      <c r="AA887" s="360"/>
      <c r="AB887" s="360"/>
      <c r="AC887" s="360"/>
      <c r="AD887" s="360"/>
      <c r="AE887" s="360"/>
      <c r="AF887" s="360"/>
      <c r="AG887" s="360" t="s">
        <v>1582</v>
      </c>
      <c r="AH887" s="360"/>
      <c r="AI887" s="360"/>
      <c r="AJ887" s="360" t="s">
        <v>1589</v>
      </c>
      <c r="AK887" s="360"/>
      <c r="AL887" s="360" t="s">
        <v>5878</v>
      </c>
      <c r="AM887" s="360"/>
      <c r="AN887" s="360"/>
      <c r="AO887" s="360"/>
      <c r="AP887" s="360"/>
      <c r="AQ887" s="360"/>
      <c r="AR887" s="360"/>
      <c r="AS887" s="360"/>
      <c r="AT887" s="360"/>
      <c r="AU887" s="360" t="s">
        <v>22</v>
      </c>
      <c r="AV887" s="360"/>
      <c r="AW887" s="264"/>
      <c r="AX887" s="264"/>
      <c r="AY887" s="264"/>
      <c r="AZ887" s="264"/>
      <c r="BA887" s="264"/>
      <c r="BB887" s="264"/>
      <c r="BC887" s="264"/>
      <c r="BD887" s="264"/>
      <c r="BE887" s="264"/>
    </row>
    <row r="888">
      <c r="A888" s="264"/>
      <c r="B888" s="264"/>
      <c r="C888" s="264"/>
      <c r="D888" s="264"/>
      <c r="E888" s="264"/>
      <c r="F888" s="264"/>
      <c r="G888" s="264"/>
      <c r="H888" s="264"/>
      <c r="I888" s="264"/>
      <c r="J888" s="264"/>
      <c r="K888" s="264"/>
      <c r="L888" s="264"/>
      <c r="M888" s="264" t="s">
        <v>22</v>
      </c>
      <c r="N888" s="264"/>
      <c r="O888" s="264" t="s">
        <v>22</v>
      </c>
      <c r="P888" s="264"/>
      <c r="Q888" s="264"/>
      <c r="R888" s="264"/>
      <c r="S888" s="264"/>
      <c r="T888" s="264"/>
      <c r="U888" s="360"/>
      <c r="V888" s="360"/>
      <c r="W888" s="360"/>
      <c r="X888" s="360"/>
      <c r="Y888" s="360"/>
      <c r="Z888" s="360"/>
      <c r="AA888" s="360"/>
      <c r="AB888" s="360"/>
      <c r="AC888" s="360"/>
      <c r="AD888" s="360"/>
      <c r="AE888" s="360"/>
      <c r="AF888" s="360"/>
      <c r="AG888" s="360" t="s">
        <v>1582</v>
      </c>
      <c r="AH888" s="360"/>
      <c r="AI888" s="360"/>
      <c r="AJ888" s="360" t="s">
        <v>1589</v>
      </c>
      <c r="AK888" s="360"/>
      <c r="AL888" s="360" t="s">
        <v>5878</v>
      </c>
      <c r="AM888" s="360"/>
      <c r="AN888" s="360"/>
      <c r="AO888" s="360"/>
      <c r="AP888" s="360"/>
      <c r="AQ888" s="360"/>
      <c r="AR888" s="360"/>
      <c r="AS888" s="360"/>
      <c r="AT888" s="360"/>
      <c r="AU888" s="360" t="s">
        <v>22</v>
      </c>
      <c r="AV888" s="360"/>
      <c r="AW888" s="264"/>
      <c r="AX888" s="264"/>
      <c r="AY888" s="264"/>
      <c r="AZ888" s="264"/>
      <c r="BA888" s="264"/>
      <c r="BB888" s="264"/>
      <c r="BC888" s="264"/>
      <c r="BD888" s="264"/>
      <c r="BE888" s="264"/>
    </row>
    <row r="889">
      <c r="A889" s="264"/>
      <c r="B889" s="264"/>
      <c r="C889" s="264"/>
      <c r="D889" s="264"/>
      <c r="E889" s="264"/>
      <c r="F889" s="264"/>
      <c r="G889" s="264"/>
      <c r="H889" s="264"/>
      <c r="I889" s="264"/>
      <c r="J889" s="264"/>
      <c r="K889" s="264"/>
      <c r="L889" s="264"/>
      <c r="M889" s="264" t="s">
        <v>22</v>
      </c>
      <c r="N889" s="264"/>
      <c r="O889" s="264" t="s">
        <v>22</v>
      </c>
      <c r="P889" s="264"/>
      <c r="Q889" s="264"/>
      <c r="R889" s="264"/>
      <c r="S889" s="264"/>
      <c r="T889" s="264"/>
      <c r="U889" s="360"/>
      <c r="V889" s="360"/>
      <c r="W889" s="360"/>
      <c r="X889" s="360"/>
      <c r="Y889" s="360"/>
      <c r="Z889" s="360"/>
      <c r="AA889" s="360"/>
      <c r="AB889" s="360"/>
      <c r="AC889" s="360"/>
      <c r="AD889" s="360"/>
      <c r="AE889" s="360"/>
      <c r="AF889" s="360"/>
      <c r="AG889" s="360" t="s">
        <v>1582</v>
      </c>
      <c r="AH889" s="360"/>
      <c r="AI889" s="360"/>
      <c r="AJ889" s="360" t="s">
        <v>1589</v>
      </c>
      <c r="AK889" s="360"/>
      <c r="AL889" s="360" t="s">
        <v>5878</v>
      </c>
      <c r="AM889" s="360"/>
      <c r="AN889" s="360"/>
      <c r="AO889" s="360"/>
      <c r="AP889" s="360"/>
      <c r="AQ889" s="360"/>
      <c r="AR889" s="360"/>
      <c r="AS889" s="360"/>
      <c r="AT889" s="360"/>
      <c r="AU889" s="360" t="s">
        <v>22</v>
      </c>
      <c r="AV889" s="360"/>
      <c r="AW889" s="264"/>
      <c r="AX889" s="264"/>
      <c r="AY889" s="264"/>
      <c r="AZ889" s="264"/>
      <c r="BA889" s="264"/>
      <c r="BB889" s="264"/>
      <c r="BC889" s="264"/>
      <c r="BD889" s="264"/>
      <c r="BE889" s="264"/>
    </row>
    <row r="890">
      <c r="A890" s="264"/>
      <c r="B890" s="264"/>
      <c r="C890" s="264"/>
      <c r="D890" s="264"/>
      <c r="E890" s="264"/>
      <c r="F890" s="264"/>
      <c r="G890" s="264"/>
      <c r="H890" s="264"/>
      <c r="I890" s="264"/>
      <c r="J890" s="264"/>
      <c r="K890" s="264"/>
      <c r="L890" s="264"/>
      <c r="M890" s="264" t="s">
        <v>22</v>
      </c>
      <c r="N890" s="264"/>
      <c r="O890" s="264" t="s">
        <v>22</v>
      </c>
      <c r="P890" s="264"/>
      <c r="Q890" s="264"/>
      <c r="R890" s="264"/>
      <c r="S890" s="264"/>
      <c r="T890" s="264"/>
      <c r="U890" s="360"/>
      <c r="V890" s="360"/>
      <c r="W890" s="360"/>
      <c r="X890" s="360"/>
      <c r="Y890" s="360"/>
      <c r="Z890" s="360"/>
      <c r="AA890" s="360"/>
      <c r="AB890" s="360"/>
      <c r="AC890" s="360"/>
      <c r="AD890" s="360"/>
      <c r="AE890" s="360"/>
      <c r="AF890" s="360"/>
      <c r="AG890" s="360" t="s">
        <v>1582</v>
      </c>
      <c r="AH890" s="360"/>
      <c r="AI890" s="360"/>
      <c r="AJ890" s="360" t="s">
        <v>1589</v>
      </c>
      <c r="AK890" s="360"/>
      <c r="AL890" s="360" t="s">
        <v>5878</v>
      </c>
      <c r="AM890" s="360"/>
      <c r="AN890" s="360"/>
      <c r="AO890" s="360"/>
      <c r="AP890" s="360"/>
      <c r="AQ890" s="360"/>
      <c r="AR890" s="360"/>
      <c r="AS890" s="360"/>
      <c r="AT890" s="360"/>
      <c r="AU890" s="360" t="s">
        <v>22</v>
      </c>
      <c r="AV890" s="360"/>
      <c r="AW890" s="264"/>
      <c r="AX890" s="264"/>
      <c r="AY890" s="264"/>
      <c r="AZ890" s="264"/>
      <c r="BA890" s="264"/>
      <c r="BB890" s="264"/>
      <c r="BC890" s="264"/>
      <c r="BD890" s="264"/>
      <c r="BE890" s="264"/>
    </row>
    <row r="891">
      <c r="A891" s="264"/>
      <c r="B891" s="264"/>
      <c r="C891" s="264"/>
      <c r="D891" s="264"/>
      <c r="E891" s="264"/>
      <c r="F891" s="264"/>
      <c r="G891" s="264"/>
      <c r="H891" s="264"/>
      <c r="I891" s="264"/>
      <c r="J891" s="264"/>
      <c r="K891" s="264"/>
      <c r="L891" s="264"/>
      <c r="M891" s="264" t="s">
        <v>22</v>
      </c>
      <c r="N891" s="264"/>
      <c r="O891" s="264" t="s">
        <v>22</v>
      </c>
      <c r="P891" s="264"/>
      <c r="Q891" s="264"/>
      <c r="R891" s="264"/>
      <c r="S891" s="264"/>
      <c r="T891" s="264"/>
      <c r="U891" s="360"/>
      <c r="V891" s="360"/>
      <c r="W891" s="360"/>
      <c r="X891" s="360"/>
      <c r="Y891" s="360"/>
      <c r="Z891" s="360"/>
      <c r="AA891" s="360"/>
      <c r="AB891" s="360"/>
      <c r="AC891" s="360"/>
      <c r="AD891" s="360"/>
      <c r="AE891" s="360"/>
      <c r="AF891" s="360"/>
      <c r="AG891" s="360" t="s">
        <v>1582</v>
      </c>
      <c r="AH891" s="360"/>
      <c r="AI891" s="360"/>
      <c r="AJ891" s="360" t="s">
        <v>1589</v>
      </c>
      <c r="AK891" s="360"/>
      <c r="AL891" s="360" t="s">
        <v>5878</v>
      </c>
      <c r="AM891" s="360"/>
      <c r="AN891" s="360"/>
      <c r="AO891" s="360"/>
      <c r="AP891" s="360"/>
      <c r="AQ891" s="360"/>
      <c r="AR891" s="360"/>
      <c r="AS891" s="360"/>
      <c r="AT891" s="360"/>
      <c r="AU891" s="360" t="s">
        <v>22</v>
      </c>
      <c r="AV891" s="360"/>
      <c r="AW891" s="264"/>
      <c r="AX891" s="264"/>
      <c r="AY891" s="264"/>
      <c r="AZ891" s="264"/>
      <c r="BA891" s="264"/>
      <c r="BB891" s="264"/>
      <c r="BC891" s="264"/>
      <c r="BD891" s="264"/>
      <c r="BE891" s="264"/>
    </row>
    <row r="892">
      <c r="A892" s="264"/>
      <c r="B892" s="264"/>
      <c r="C892" s="264"/>
      <c r="D892" s="264"/>
      <c r="E892" s="264"/>
      <c r="F892" s="264"/>
      <c r="G892" s="264"/>
      <c r="H892" s="264"/>
      <c r="I892" s="264"/>
      <c r="J892" s="264"/>
      <c r="K892" s="264"/>
      <c r="L892" s="264"/>
      <c r="M892" s="264" t="s">
        <v>22</v>
      </c>
      <c r="N892" s="264"/>
      <c r="O892" s="264" t="s">
        <v>22</v>
      </c>
      <c r="P892" s="264"/>
      <c r="Q892" s="264"/>
      <c r="R892" s="264"/>
      <c r="S892" s="264"/>
      <c r="T892" s="264"/>
      <c r="U892" s="360"/>
      <c r="V892" s="360"/>
      <c r="W892" s="360"/>
      <c r="X892" s="360"/>
      <c r="Y892" s="360"/>
      <c r="Z892" s="360"/>
      <c r="AA892" s="360"/>
      <c r="AB892" s="360"/>
      <c r="AC892" s="360"/>
      <c r="AD892" s="360"/>
      <c r="AE892" s="360"/>
      <c r="AF892" s="360"/>
      <c r="AG892" s="360" t="s">
        <v>1582</v>
      </c>
      <c r="AH892" s="360"/>
      <c r="AI892" s="360"/>
      <c r="AJ892" s="360" t="s">
        <v>1589</v>
      </c>
      <c r="AK892" s="360"/>
      <c r="AL892" s="360" t="s">
        <v>5878</v>
      </c>
      <c r="AM892" s="360"/>
      <c r="AN892" s="360"/>
      <c r="AO892" s="360"/>
      <c r="AP892" s="360"/>
      <c r="AQ892" s="360"/>
      <c r="AR892" s="360"/>
      <c r="AS892" s="360"/>
      <c r="AT892" s="360"/>
      <c r="AU892" s="360" t="s">
        <v>22</v>
      </c>
      <c r="AV892" s="360"/>
      <c r="AW892" s="264"/>
      <c r="AX892" s="264"/>
      <c r="AY892" s="264"/>
      <c r="AZ892" s="264"/>
      <c r="BA892" s="264"/>
      <c r="BB892" s="264"/>
      <c r="BC892" s="264"/>
      <c r="BD892" s="264"/>
      <c r="BE892" s="264"/>
    </row>
    <row r="893">
      <c r="A893" s="264"/>
      <c r="B893" s="264"/>
      <c r="C893" s="264"/>
      <c r="D893" s="264"/>
      <c r="E893" s="264"/>
      <c r="F893" s="264"/>
      <c r="G893" s="264"/>
      <c r="H893" s="264"/>
      <c r="I893" s="264"/>
      <c r="J893" s="264"/>
      <c r="K893" s="264"/>
      <c r="L893" s="264"/>
      <c r="M893" s="264" t="s">
        <v>22</v>
      </c>
      <c r="N893" s="264"/>
      <c r="O893" s="264" t="s">
        <v>22</v>
      </c>
      <c r="P893" s="264"/>
      <c r="Q893" s="264"/>
      <c r="R893" s="264"/>
      <c r="S893" s="264"/>
      <c r="T893" s="264"/>
      <c r="U893" s="360"/>
      <c r="V893" s="360"/>
      <c r="W893" s="360"/>
      <c r="X893" s="360"/>
      <c r="Y893" s="360"/>
      <c r="Z893" s="360"/>
      <c r="AA893" s="360"/>
      <c r="AB893" s="360"/>
      <c r="AC893" s="360"/>
      <c r="AD893" s="360"/>
      <c r="AE893" s="360"/>
      <c r="AF893" s="360"/>
      <c r="AG893" s="360" t="s">
        <v>1582</v>
      </c>
      <c r="AH893" s="360"/>
      <c r="AI893" s="360"/>
      <c r="AJ893" s="360" t="s">
        <v>1589</v>
      </c>
      <c r="AK893" s="360"/>
      <c r="AL893" s="360" t="s">
        <v>5878</v>
      </c>
      <c r="AM893" s="360"/>
      <c r="AN893" s="360"/>
      <c r="AO893" s="360"/>
      <c r="AP893" s="360"/>
      <c r="AQ893" s="360"/>
      <c r="AR893" s="360"/>
      <c r="AS893" s="360"/>
      <c r="AT893" s="360"/>
      <c r="AU893" s="360" t="s">
        <v>22</v>
      </c>
      <c r="AV893" s="360"/>
      <c r="AW893" s="264"/>
      <c r="AX893" s="264"/>
      <c r="AY893" s="264"/>
      <c r="AZ893" s="264"/>
      <c r="BA893" s="264"/>
      <c r="BB893" s="264"/>
      <c r="BC893" s="264"/>
      <c r="BD893" s="264"/>
      <c r="BE893" s="264"/>
    </row>
    <row r="894">
      <c r="A894" s="264"/>
      <c r="B894" s="264"/>
      <c r="C894" s="264"/>
      <c r="D894" s="264"/>
      <c r="E894" s="264"/>
      <c r="F894" s="264"/>
      <c r="G894" s="264"/>
      <c r="H894" s="264"/>
      <c r="I894" s="264"/>
      <c r="J894" s="264"/>
      <c r="K894" s="264"/>
      <c r="L894" s="264"/>
      <c r="M894" s="264" t="s">
        <v>22</v>
      </c>
      <c r="N894" s="264"/>
      <c r="O894" s="264" t="s">
        <v>22</v>
      </c>
      <c r="P894" s="264"/>
      <c r="Q894" s="264"/>
      <c r="R894" s="264"/>
      <c r="S894" s="264"/>
      <c r="T894" s="264"/>
      <c r="U894" s="360"/>
      <c r="V894" s="360"/>
      <c r="W894" s="360"/>
      <c r="X894" s="360"/>
      <c r="Y894" s="360"/>
      <c r="Z894" s="360"/>
      <c r="AA894" s="360"/>
      <c r="AB894" s="360"/>
      <c r="AC894" s="360"/>
      <c r="AD894" s="360"/>
      <c r="AE894" s="360"/>
      <c r="AF894" s="360"/>
      <c r="AG894" s="360" t="s">
        <v>1582</v>
      </c>
      <c r="AH894" s="360"/>
      <c r="AI894" s="360"/>
      <c r="AJ894" s="360" t="s">
        <v>1589</v>
      </c>
      <c r="AK894" s="360"/>
      <c r="AL894" s="360" t="s">
        <v>5878</v>
      </c>
      <c r="AM894" s="360"/>
      <c r="AN894" s="360"/>
      <c r="AO894" s="360"/>
      <c r="AP894" s="360"/>
      <c r="AQ894" s="360"/>
      <c r="AR894" s="360"/>
      <c r="AS894" s="360"/>
      <c r="AT894" s="360"/>
      <c r="AU894" s="360" t="s">
        <v>22</v>
      </c>
      <c r="AV894" s="360"/>
      <c r="AW894" s="264"/>
      <c r="AX894" s="264"/>
      <c r="AY894" s="264"/>
      <c r="AZ894" s="264"/>
      <c r="BA894" s="264"/>
      <c r="BB894" s="264"/>
      <c r="BC894" s="264"/>
      <c r="BD894" s="264"/>
      <c r="BE894" s="264"/>
    </row>
    <row r="895">
      <c r="A895" s="264"/>
      <c r="B895" s="264"/>
      <c r="C895" s="264"/>
      <c r="D895" s="264"/>
      <c r="E895" s="264"/>
      <c r="F895" s="264"/>
      <c r="G895" s="264"/>
      <c r="H895" s="264"/>
      <c r="I895" s="264"/>
      <c r="J895" s="264"/>
      <c r="K895" s="264"/>
      <c r="L895" s="264"/>
      <c r="M895" s="264" t="s">
        <v>22</v>
      </c>
      <c r="N895" s="264"/>
      <c r="O895" s="264" t="s">
        <v>22</v>
      </c>
      <c r="P895" s="264"/>
      <c r="Q895" s="264"/>
      <c r="R895" s="264"/>
      <c r="S895" s="264"/>
      <c r="T895" s="264"/>
      <c r="U895" s="360"/>
      <c r="V895" s="360"/>
      <c r="W895" s="360"/>
      <c r="X895" s="360"/>
      <c r="Y895" s="360"/>
      <c r="Z895" s="360"/>
      <c r="AA895" s="360"/>
      <c r="AB895" s="360"/>
      <c r="AC895" s="360"/>
      <c r="AD895" s="360"/>
      <c r="AE895" s="360"/>
      <c r="AF895" s="360"/>
      <c r="AG895" s="360" t="s">
        <v>1582</v>
      </c>
      <c r="AH895" s="360"/>
      <c r="AI895" s="360"/>
      <c r="AJ895" s="360" t="s">
        <v>1589</v>
      </c>
      <c r="AK895" s="360"/>
      <c r="AL895" s="360" t="s">
        <v>5878</v>
      </c>
      <c r="AM895" s="360"/>
      <c r="AN895" s="360"/>
      <c r="AO895" s="360"/>
      <c r="AP895" s="360"/>
      <c r="AQ895" s="360"/>
      <c r="AR895" s="360"/>
      <c r="AS895" s="360"/>
      <c r="AT895" s="360"/>
      <c r="AU895" s="360" t="s">
        <v>22</v>
      </c>
      <c r="AV895" s="360"/>
      <c r="AW895" s="264"/>
      <c r="AX895" s="264"/>
      <c r="AY895" s="264"/>
      <c r="AZ895" s="264"/>
      <c r="BA895" s="264"/>
      <c r="BB895" s="264"/>
      <c r="BC895" s="264"/>
      <c r="BD895" s="264"/>
      <c r="BE895" s="264"/>
    </row>
    <row r="896">
      <c r="A896" s="264"/>
      <c r="B896" s="264"/>
      <c r="C896" s="264"/>
      <c r="D896" s="264"/>
      <c r="E896" s="264"/>
      <c r="F896" s="264"/>
      <c r="G896" s="264"/>
      <c r="H896" s="264"/>
      <c r="I896" s="264"/>
      <c r="J896" s="264"/>
      <c r="K896" s="264"/>
      <c r="L896" s="264"/>
      <c r="M896" s="264" t="s">
        <v>22</v>
      </c>
      <c r="N896" s="264"/>
      <c r="O896" s="264" t="s">
        <v>22</v>
      </c>
      <c r="P896" s="264"/>
      <c r="Q896" s="264"/>
      <c r="R896" s="264"/>
      <c r="S896" s="264"/>
      <c r="T896" s="264"/>
      <c r="U896" s="360"/>
      <c r="V896" s="360"/>
      <c r="W896" s="360"/>
      <c r="X896" s="360"/>
      <c r="Y896" s="360"/>
      <c r="Z896" s="360"/>
      <c r="AA896" s="360"/>
      <c r="AB896" s="360"/>
      <c r="AC896" s="360"/>
      <c r="AD896" s="360"/>
      <c r="AE896" s="360"/>
      <c r="AF896" s="360"/>
      <c r="AG896" s="360" t="s">
        <v>1582</v>
      </c>
      <c r="AH896" s="360"/>
      <c r="AI896" s="360"/>
      <c r="AJ896" s="360" t="s">
        <v>1589</v>
      </c>
      <c r="AK896" s="360"/>
      <c r="AL896" s="360" t="s">
        <v>5878</v>
      </c>
      <c r="AM896" s="360"/>
      <c r="AN896" s="360"/>
      <c r="AO896" s="360"/>
      <c r="AP896" s="360"/>
      <c r="AQ896" s="360"/>
      <c r="AR896" s="360"/>
      <c r="AS896" s="360"/>
      <c r="AT896" s="360"/>
      <c r="AU896" s="360" t="s">
        <v>22</v>
      </c>
      <c r="AV896" s="360"/>
      <c r="AW896" s="264"/>
      <c r="AX896" s="264"/>
      <c r="AY896" s="264"/>
      <c r="AZ896" s="264"/>
      <c r="BA896" s="264"/>
      <c r="BB896" s="264"/>
      <c r="BC896" s="264"/>
      <c r="BD896" s="264"/>
      <c r="BE896" s="264"/>
    </row>
    <row r="897">
      <c r="A897" s="264"/>
      <c r="B897" s="264"/>
      <c r="C897" s="264"/>
      <c r="D897" s="264"/>
      <c r="E897" s="264"/>
      <c r="F897" s="264"/>
      <c r="G897" s="264"/>
      <c r="H897" s="264"/>
      <c r="I897" s="264"/>
      <c r="J897" s="264"/>
      <c r="K897" s="264"/>
      <c r="L897" s="264"/>
      <c r="M897" s="264" t="s">
        <v>22</v>
      </c>
      <c r="N897" s="264"/>
      <c r="O897" s="264" t="s">
        <v>22</v>
      </c>
      <c r="P897" s="264"/>
      <c r="Q897" s="264"/>
      <c r="R897" s="264"/>
      <c r="S897" s="264"/>
      <c r="T897" s="264"/>
      <c r="U897" s="360"/>
      <c r="V897" s="360"/>
      <c r="W897" s="360"/>
      <c r="X897" s="360"/>
      <c r="Y897" s="360"/>
      <c r="Z897" s="360"/>
      <c r="AA897" s="360"/>
      <c r="AB897" s="360"/>
      <c r="AC897" s="360"/>
      <c r="AD897" s="360"/>
      <c r="AE897" s="360"/>
      <c r="AF897" s="360"/>
      <c r="AG897" s="360" t="s">
        <v>1582</v>
      </c>
      <c r="AH897" s="360"/>
      <c r="AI897" s="360"/>
      <c r="AJ897" s="360" t="s">
        <v>1589</v>
      </c>
      <c r="AK897" s="360"/>
      <c r="AL897" s="360" t="s">
        <v>5878</v>
      </c>
      <c r="AM897" s="360"/>
      <c r="AN897" s="360"/>
      <c r="AO897" s="360"/>
      <c r="AP897" s="360"/>
      <c r="AQ897" s="360"/>
      <c r="AR897" s="360"/>
      <c r="AS897" s="360"/>
      <c r="AT897" s="360"/>
      <c r="AU897" s="360" t="s">
        <v>22</v>
      </c>
      <c r="AV897" s="360"/>
      <c r="AW897" s="264"/>
      <c r="AX897" s="264"/>
      <c r="AY897" s="264"/>
      <c r="AZ897" s="264"/>
      <c r="BA897" s="264"/>
      <c r="BB897" s="264"/>
      <c r="BC897" s="264"/>
      <c r="BD897" s="264"/>
      <c r="BE897" s="264"/>
    </row>
    <row r="898">
      <c r="A898" s="264"/>
      <c r="B898" s="264"/>
      <c r="C898" s="264"/>
      <c r="D898" s="264"/>
      <c r="E898" s="264"/>
      <c r="F898" s="264"/>
      <c r="G898" s="264"/>
      <c r="H898" s="264"/>
      <c r="I898" s="264"/>
      <c r="J898" s="264"/>
      <c r="K898" s="264"/>
      <c r="L898" s="264"/>
      <c r="M898" s="264" t="s">
        <v>22</v>
      </c>
      <c r="N898" s="264"/>
      <c r="O898" s="264" t="s">
        <v>22</v>
      </c>
      <c r="P898" s="264"/>
      <c r="Q898" s="264"/>
      <c r="R898" s="264"/>
      <c r="S898" s="264"/>
      <c r="T898" s="264"/>
      <c r="U898" s="360"/>
      <c r="V898" s="360"/>
      <c r="W898" s="360"/>
      <c r="X898" s="360"/>
      <c r="Y898" s="360"/>
      <c r="Z898" s="360"/>
      <c r="AA898" s="360"/>
      <c r="AB898" s="360"/>
      <c r="AC898" s="360"/>
      <c r="AD898" s="360"/>
      <c r="AE898" s="360"/>
      <c r="AF898" s="360"/>
      <c r="AG898" s="360" t="s">
        <v>1582</v>
      </c>
      <c r="AH898" s="360"/>
      <c r="AI898" s="360"/>
      <c r="AJ898" s="360" t="s">
        <v>1589</v>
      </c>
      <c r="AK898" s="360"/>
      <c r="AL898" s="360" t="s">
        <v>5878</v>
      </c>
      <c r="AM898" s="360"/>
      <c r="AN898" s="360"/>
      <c r="AO898" s="360"/>
      <c r="AP898" s="360"/>
      <c r="AQ898" s="360"/>
      <c r="AR898" s="360"/>
      <c r="AS898" s="360"/>
      <c r="AT898" s="360"/>
      <c r="AU898" s="360" t="s">
        <v>22</v>
      </c>
      <c r="AV898" s="360"/>
      <c r="AW898" s="264"/>
      <c r="AX898" s="264"/>
      <c r="AY898" s="264"/>
      <c r="AZ898" s="264"/>
      <c r="BA898" s="264"/>
      <c r="BB898" s="264"/>
      <c r="BC898" s="264"/>
      <c r="BD898" s="264"/>
      <c r="BE898" s="264"/>
    </row>
    <row r="899">
      <c r="A899" s="264"/>
      <c r="B899" s="264"/>
      <c r="C899" s="264"/>
      <c r="D899" s="264"/>
      <c r="E899" s="264"/>
      <c r="F899" s="264"/>
      <c r="G899" s="264"/>
      <c r="H899" s="264"/>
      <c r="I899" s="264"/>
      <c r="J899" s="264"/>
      <c r="K899" s="264"/>
      <c r="L899" s="264"/>
      <c r="M899" s="264" t="s">
        <v>22</v>
      </c>
      <c r="N899" s="264"/>
      <c r="O899" s="264" t="s">
        <v>22</v>
      </c>
      <c r="P899" s="264"/>
      <c r="Q899" s="264"/>
      <c r="R899" s="264"/>
      <c r="S899" s="264"/>
      <c r="T899" s="264"/>
      <c r="U899" s="360"/>
      <c r="V899" s="360"/>
      <c r="W899" s="360"/>
      <c r="X899" s="360"/>
      <c r="Y899" s="360"/>
      <c r="Z899" s="360"/>
      <c r="AA899" s="360"/>
      <c r="AB899" s="360"/>
      <c r="AC899" s="360"/>
      <c r="AD899" s="360"/>
      <c r="AE899" s="360"/>
      <c r="AF899" s="360"/>
      <c r="AG899" s="360" t="s">
        <v>1582</v>
      </c>
      <c r="AH899" s="360"/>
      <c r="AI899" s="360"/>
      <c r="AJ899" s="360" t="s">
        <v>1589</v>
      </c>
      <c r="AK899" s="360"/>
      <c r="AL899" s="360" t="s">
        <v>5878</v>
      </c>
      <c r="AM899" s="360"/>
      <c r="AN899" s="360"/>
      <c r="AO899" s="360"/>
      <c r="AP899" s="360"/>
      <c r="AQ899" s="360"/>
      <c r="AR899" s="360"/>
      <c r="AS899" s="360"/>
      <c r="AT899" s="360"/>
      <c r="AU899" s="360" t="s">
        <v>22</v>
      </c>
      <c r="AV899" s="360"/>
      <c r="AW899" s="264"/>
      <c r="AX899" s="264"/>
      <c r="AY899" s="264"/>
      <c r="AZ899" s="264"/>
      <c r="BA899" s="264"/>
      <c r="BB899" s="264"/>
      <c r="BC899" s="264"/>
      <c r="BD899" s="264"/>
      <c r="BE899" s="264"/>
    </row>
    <row r="900">
      <c r="A900" s="264"/>
      <c r="B900" s="264"/>
      <c r="C900" s="264"/>
      <c r="D900" s="264"/>
      <c r="E900" s="264"/>
      <c r="F900" s="264"/>
      <c r="G900" s="264"/>
      <c r="H900" s="264"/>
      <c r="I900" s="264"/>
      <c r="J900" s="264"/>
      <c r="K900" s="264"/>
      <c r="L900" s="264"/>
      <c r="M900" s="264" t="s">
        <v>22</v>
      </c>
      <c r="N900" s="264"/>
      <c r="O900" s="264" t="s">
        <v>22</v>
      </c>
      <c r="P900" s="264"/>
      <c r="Q900" s="264"/>
      <c r="R900" s="264"/>
      <c r="S900" s="264"/>
      <c r="T900" s="264"/>
      <c r="U900" s="360"/>
      <c r="V900" s="360"/>
      <c r="W900" s="360"/>
      <c r="X900" s="360"/>
      <c r="Y900" s="360"/>
      <c r="Z900" s="360"/>
      <c r="AA900" s="360"/>
      <c r="AB900" s="360"/>
      <c r="AC900" s="360"/>
      <c r="AD900" s="360"/>
      <c r="AE900" s="360"/>
      <c r="AF900" s="360"/>
      <c r="AG900" s="360" t="s">
        <v>1582</v>
      </c>
      <c r="AH900" s="360"/>
      <c r="AI900" s="360"/>
      <c r="AJ900" s="360" t="s">
        <v>1589</v>
      </c>
      <c r="AK900" s="360"/>
      <c r="AL900" s="360" t="s">
        <v>5878</v>
      </c>
      <c r="AM900" s="360"/>
      <c r="AN900" s="360"/>
      <c r="AO900" s="360"/>
      <c r="AP900" s="360"/>
      <c r="AQ900" s="360"/>
      <c r="AR900" s="360"/>
      <c r="AS900" s="360"/>
      <c r="AT900" s="360"/>
      <c r="AU900" s="360" t="s">
        <v>22</v>
      </c>
      <c r="AV900" s="360"/>
      <c r="AW900" s="264"/>
      <c r="AX900" s="264"/>
      <c r="AY900" s="264"/>
      <c r="AZ900" s="264"/>
      <c r="BA900" s="264"/>
      <c r="BB900" s="264"/>
      <c r="BC900" s="264"/>
      <c r="BD900" s="264"/>
      <c r="BE900" s="264"/>
    </row>
    <row r="901">
      <c r="A901" s="264"/>
      <c r="B901" s="264"/>
      <c r="C901" s="264"/>
      <c r="D901" s="264"/>
      <c r="E901" s="264"/>
      <c r="F901" s="264"/>
      <c r="G901" s="264"/>
      <c r="H901" s="264"/>
      <c r="I901" s="264"/>
      <c r="J901" s="264"/>
      <c r="K901" s="264"/>
      <c r="L901" s="264"/>
      <c r="M901" s="264" t="s">
        <v>22</v>
      </c>
      <c r="N901" s="264"/>
      <c r="O901" s="264" t="s">
        <v>22</v>
      </c>
      <c r="P901" s="264"/>
      <c r="Q901" s="264"/>
      <c r="R901" s="264"/>
      <c r="S901" s="264"/>
      <c r="T901" s="264"/>
      <c r="U901" s="360"/>
      <c r="V901" s="360"/>
      <c r="W901" s="360"/>
      <c r="X901" s="360"/>
      <c r="Y901" s="360"/>
      <c r="Z901" s="360"/>
      <c r="AA901" s="360"/>
      <c r="AB901" s="360"/>
      <c r="AC901" s="360"/>
      <c r="AD901" s="360"/>
      <c r="AE901" s="360"/>
      <c r="AF901" s="360"/>
      <c r="AG901" s="360" t="s">
        <v>1582</v>
      </c>
      <c r="AH901" s="360"/>
      <c r="AI901" s="360"/>
      <c r="AJ901" s="360" t="s">
        <v>1589</v>
      </c>
      <c r="AK901" s="360"/>
      <c r="AL901" s="360" t="s">
        <v>5878</v>
      </c>
      <c r="AM901" s="360"/>
      <c r="AN901" s="360"/>
      <c r="AO901" s="360"/>
      <c r="AP901" s="360"/>
      <c r="AQ901" s="360"/>
      <c r="AR901" s="360"/>
      <c r="AS901" s="360"/>
      <c r="AT901" s="360"/>
      <c r="AU901" s="360" t="s">
        <v>22</v>
      </c>
      <c r="AV901" s="360"/>
      <c r="AW901" s="264"/>
      <c r="AX901" s="264"/>
      <c r="AY901" s="264"/>
      <c r="AZ901" s="264"/>
      <c r="BA901" s="264"/>
      <c r="BB901" s="264"/>
      <c r="BC901" s="264"/>
      <c r="BD901" s="264"/>
      <c r="BE901" s="264"/>
    </row>
    <row r="902">
      <c r="A902" s="264"/>
      <c r="B902" s="264"/>
      <c r="C902" s="264"/>
      <c r="D902" s="264"/>
      <c r="E902" s="264"/>
      <c r="F902" s="264"/>
      <c r="G902" s="264"/>
      <c r="H902" s="264"/>
      <c r="I902" s="264"/>
      <c r="J902" s="264"/>
      <c r="K902" s="264"/>
      <c r="L902" s="264"/>
      <c r="M902" s="264" t="s">
        <v>22</v>
      </c>
      <c r="N902" s="264"/>
      <c r="O902" s="264" t="s">
        <v>22</v>
      </c>
      <c r="P902" s="264"/>
      <c r="Q902" s="264"/>
      <c r="R902" s="264"/>
      <c r="S902" s="264"/>
      <c r="T902" s="264"/>
      <c r="U902" s="360"/>
      <c r="V902" s="360"/>
      <c r="W902" s="360"/>
      <c r="X902" s="360"/>
      <c r="Y902" s="360"/>
      <c r="Z902" s="360"/>
      <c r="AA902" s="360"/>
      <c r="AB902" s="360"/>
      <c r="AC902" s="360"/>
      <c r="AD902" s="360"/>
      <c r="AE902" s="360"/>
      <c r="AF902" s="360"/>
      <c r="AG902" s="360" t="s">
        <v>1582</v>
      </c>
      <c r="AH902" s="360"/>
      <c r="AI902" s="360"/>
      <c r="AJ902" s="360" t="s">
        <v>1589</v>
      </c>
      <c r="AK902" s="360"/>
      <c r="AL902" s="360" t="s">
        <v>5878</v>
      </c>
      <c r="AM902" s="360"/>
      <c r="AN902" s="360"/>
      <c r="AO902" s="360"/>
      <c r="AP902" s="360"/>
      <c r="AQ902" s="360"/>
      <c r="AR902" s="360"/>
      <c r="AS902" s="360"/>
      <c r="AT902" s="360"/>
      <c r="AU902" s="360" t="s">
        <v>22</v>
      </c>
      <c r="AV902" s="360"/>
      <c r="AW902" s="264"/>
      <c r="AX902" s="264"/>
      <c r="AY902" s="264"/>
      <c r="AZ902" s="264"/>
      <c r="BA902" s="264"/>
      <c r="BB902" s="264"/>
      <c r="BC902" s="264"/>
      <c r="BD902" s="264"/>
      <c r="BE902" s="264"/>
    </row>
    <row r="903">
      <c r="A903" s="264"/>
      <c r="B903" s="264"/>
      <c r="C903" s="264"/>
      <c r="D903" s="264"/>
      <c r="E903" s="264"/>
      <c r="F903" s="264"/>
      <c r="G903" s="264"/>
      <c r="H903" s="264"/>
      <c r="I903" s="264"/>
      <c r="J903" s="264"/>
      <c r="K903" s="264"/>
      <c r="L903" s="264"/>
      <c r="M903" s="264" t="s">
        <v>22</v>
      </c>
      <c r="N903" s="264"/>
      <c r="O903" s="264" t="s">
        <v>22</v>
      </c>
      <c r="P903" s="264"/>
      <c r="Q903" s="264"/>
      <c r="R903" s="264"/>
      <c r="S903" s="264"/>
      <c r="T903" s="264"/>
      <c r="U903" s="360"/>
      <c r="V903" s="360"/>
      <c r="W903" s="360"/>
      <c r="X903" s="360"/>
      <c r="Y903" s="360"/>
      <c r="Z903" s="360"/>
      <c r="AA903" s="360"/>
      <c r="AB903" s="360"/>
      <c r="AC903" s="360"/>
      <c r="AD903" s="360"/>
      <c r="AE903" s="360"/>
      <c r="AF903" s="360"/>
      <c r="AG903" s="360" t="s">
        <v>1582</v>
      </c>
      <c r="AH903" s="360"/>
      <c r="AI903" s="360"/>
      <c r="AJ903" s="360" t="s">
        <v>1589</v>
      </c>
      <c r="AK903" s="360"/>
      <c r="AL903" s="360" t="s">
        <v>5878</v>
      </c>
      <c r="AM903" s="360"/>
      <c r="AN903" s="360"/>
      <c r="AO903" s="360"/>
      <c r="AP903" s="360"/>
      <c r="AQ903" s="360"/>
      <c r="AR903" s="360"/>
      <c r="AS903" s="360"/>
      <c r="AT903" s="360"/>
      <c r="AU903" s="360" t="s">
        <v>22</v>
      </c>
      <c r="AV903" s="360"/>
      <c r="AW903" s="264"/>
      <c r="AX903" s="264"/>
      <c r="AY903" s="264"/>
      <c r="AZ903" s="264"/>
      <c r="BA903" s="264"/>
      <c r="BB903" s="264"/>
      <c r="BC903" s="264"/>
      <c r="BD903" s="264"/>
      <c r="BE903" s="264"/>
    </row>
    <row r="904">
      <c r="A904" s="264"/>
      <c r="B904" s="264"/>
      <c r="C904" s="264"/>
      <c r="D904" s="264"/>
      <c r="E904" s="264"/>
      <c r="F904" s="264"/>
      <c r="G904" s="264"/>
      <c r="H904" s="264"/>
      <c r="I904" s="264"/>
      <c r="J904" s="264"/>
      <c r="K904" s="264"/>
      <c r="L904" s="264"/>
      <c r="M904" s="264" t="s">
        <v>22</v>
      </c>
      <c r="N904" s="264"/>
      <c r="O904" s="264" t="s">
        <v>22</v>
      </c>
      <c r="P904" s="264"/>
      <c r="Q904" s="264"/>
      <c r="R904" s="264"/>
      <c r="S904" s="264"/>
      <c r="T904" s="264"/>
      <c r="U904" s="360"/>
      <c r="V904" s="360"/>
      <c r="W904" s="360"/>
      <c r="X904" s="360"/>
      <c r="Y904" s="360"/>
      <c r="Z904" s="360"/>
      <c r="AA904" s="360"/>
      <c r="AB904" s="360"/>
      <c r="AC904" s="360"/>
      <c r="AD904" s="360"/>
      <c r="AE904" s="360"/>
      <c r="AF904" s="360"/>
      <c r="AG904" s="360" t="s">
        <v>1582</v>
      </c>
      <c r="AH904" s="360"/>
      <c r="AI904" s="360"/>
      <c r="AJ904" s="360" t="s">
        <v>1589</v>
      </c>
      <c r="AK904" s="360"/>
      <c r="AL904" s="360" t="s">
        <v>5878</v>
      </c>
      <c r="AM904" s="360"/>
      <c r="AN904" s="360"/>
      <c r="AO904" s="360"/>
      <c r="AP904" s="360"/>
      <c r="AQ904" s="360"/>
      <c r="AR904" s="360"/>
      <c r="AS904" s="360"/>
      <c r="AT904" s="360"/>
      <c r="AU904" s="360" t="s">
        <v>22</v>
      </c>
      <c r="AV904" s="360"/>
      <c r="AW904" s="264"/>
      <c r="AX904" s="264"/>
      <c r="AY904" s="264"/>
      <c r="AZ904" s="264"/>
      <c r="BA904" s="264"/>
      <c r="BB904" s="264"/>
      <c r="BC904" s="264"/>
      <c r="BD904" s="264"/>
      <c r="BE904" s="264"/>
    </row>
    <row r="905">
      <c r="A905" s="264"/>
      <c r="B905" s="264"/>
      <c r="C905" s="264"/>
      <c r="D905" s="264"/>
      <c r="E905" s="264"/>
      <c r="F905" s="264"/>
      <c r="G905" s="264"/>
      <c r="H905" s="264"/>
      <c r="I905" s="264"/>
      <c r="J905" s="264"/>
      <c r="K905" s="264"/>
      <c r="L905" s="264"/>
      <c r="M905" s="264" t="s">
        <v>22</v>
      </c>
      <c r="N905" s="264"/>
      <c r="O905" s="264" t="s">
        <v>22</v>
      </c>
      <c r="P905" s="264"/>
      <c r="Q905" s="264"/>
      <c r="R905" s="264"/>
      <c r="S905" s="264"/>
      <c r="T905" s="264"/>
      <c r="U905" s="360"/>
      <c r="V905" s="360"/>
      <c r="W905" s="360"/>
      <c r="X905" s="360"/>
      <c r="Y905" s="360"/>
      <c r="Z905" s="360"/>
      <c r="AA905" s="360"/>
      <c r="AB905" s="360"/>
      <c r="AC905" s="360"/>
      <c r="AD905" s="360"/>
      <c r="AE905" s="360"/>
      <c r="AF905" s="360"/>
      <c r="AG905" s="360" t="s">
        <v>1582</v>
      </c>
      <c r="AH905" s="360"/>
      <c r="AI905" s="360"/>
      <c r="AJ905" s="360" t="s">
        <v>1589</v>
      </c>
      <c r="AK905" s="360"/>
      <c r="AL905" s="360" t="s">
        <v>5878</v>
      </c>
      <c r="AM905" s="360"/>
      <c r="AN905" s="360"/>
      <c r="AO905" s="360"/>
      <c r="AP905" s="360"/>
      <c r="AQ905" s="360"/>
      <c r="AR905" s="360"/>
      <c r="AS905" s="360"/>
      <c r="AT905" s="360"/>
      <c r="AU905" s="360" t="s">
        <v>22</v>
      </c>
      <c r="AV905" s="360"/>
      <c r="AW905" s="264"/>
      <c r="AX905" s="264"/>
      <c r="AY905" s="264"/>
      <c r="AZ905" s="264"/>
      <c r="BA905" s="264"/>
      <c r="BB905" s="264"/>
      <c r="BC905" s="264"/>
      <c r="BD905" s="264"/>
      <c r="BE905" s="264"/>
    </row>
    <row r="906">
      <c r="A906" s="264"/>
      <c r="B906" s="264"/>
      <c r="C906" s="264"/>
      <c r="D906" s="264"/>
      <c r="E906" s="264"/>
      <c r="F906" s="264"/>
      <c r="G906" s="264"/>
      <c r="H906" s="264"/>
      <c r="I906" s="264"/>
      <c r="J906" s="264"/>
      <c r="K906" s="264"/>
      <c r="L906" s="264"/>
      <c r="M906" s="264" t="s">
        <v>22</v>
      </c>
      <c r="N906" s="264"/>
      <c r="O906" s="264" t="s">
        <v>22</v>
      </c>
      <c r="P906" s="264"/>
      <c r="Q906" s="264"/>
      <c r="R906" s="264"/>
      <c r="S906" s="264"/>
      <c r="T906" s="264"/>
      <c r="U906" s="360"/>
      <c r="V906" s="360"/>
      <c r="W906" s="360"/>
      <c r="X906" s="360"/>
      <c r="Y906" s="360"/>
      <c r="Z906" s="360"/>
      <c r="AA906" s="360"/>
      <c r="AB906" s="360"/>
      <c r="AC906" s="360"/>
      <c r="AD906" s="360"/>
      <c r="AE906" s="360"/>
      <c r="AF906" s="360"/>
      <c r="AG906" s="360" t="s">
        <v>1582</v>
      </c>
      <c r="AH906" s="360"/>
      <c r="AI906" s="360"/>
      <c r="AJ906" s="360" t="s">
        <v>1589</v>
      </c>
      <c r="AK906" s="360"/>
      <c r="AL906" s="360" t="s">
        <v>5878</v>
      </c>
      <c r="AM906" s="360"/>
      <c r="AN906" s="360"/>
      <c r="AO906" s="360"/>
      <c r="AP906" s="360"/>
      <c r="AQ906" s="360"/>
      <c r="AR906" s="360"/>
      <c r="AS906" s="360"/>
      <c r="AT906" s="360"/>
      <c r="AU906" s="360" t="s">
        <v>22</v>
      </c>
      <c r="AV906" s="360"/>
      <c r="AW906" s="264"/>
      <c r="AX906" s="264"/>
      <c r="AY906" s="264"/>
      <c r="AZ906" s="264"/>
      <c r="BA906" s="264"/>
      <c r="BB906" s="264"/>
      <c r="BC906" s="264"/>
      <c r="BD906" s="264"/>
      <c r="BE906" s="264"/>
    </row>
    <row r="907">
      <c r="A907" s="264"/>
      <c r="B907" s="264"/>
      <c r="C907" s="264"/>
      <c r="D907" s="264"/>
      <c r="E907" s="264"/>
      <c r="F907" s="264"/>
      <c r="G907" s="264"/>
      <c r="H907" s="264"/>
      <c r="I907" s="264"/>
      <c r="J907" s="264"/>
      <c r="K907" s="264"/>
      <c r="L907" s="264"/>
      <c r="M907" s="264" t="s">
        <v>22</v>
      </c>
      <c r="N907" s="264"/>
      <c r="O907" s="264" t="s">
        <v>22</v>
      </c>
      <c r="P907" s="264"/>
      <c r="Q907" s="264"/>
      <c r="R907" s="264"/>
      <c r="S907" s="264"/>
      <c r="T907" s="264"/>
      <c r="U907" s="360"/>
      <c r="V907" s="360"/>
      <c r="W907" s="360"/>
      <c r="X907" s="360"/>
      <c r="Y907" s="360"/>
      <c r="Z907" s="360"/>
      <c r="AA907" s="360"/>
      <c r="AB907" s="360"/>
      <c r="AC907" s="360"/>
      <c r="AD907" s="360"/>
      <c r="AE907" s="360"/>
      <c r="AF907" s="360"/>
      <c r="AG907" s="360" t="s">
        <v>1582</v>
      </c>
      <c r="AH907" s="360"/>
      <c r="AI907" s="360"/>
      <c r="AJ907" s="360" t="s">
        <v>1589</v>
      </c>
      <c r="AK907" s="360"/>
      <c r="AL907" s="360" t="s">
        <v>5878</v>
      </c>
      <c r="AM907" s="360"/>
      <c r="AN907" s="360"/>
      <c r="AO907" s="360"/>
      <c r="AP907" s="360"/>
      <c r="AQ907" s="360"/>
      <c r="AR907" s="360"/>
      <c r="AS907" s="360"/>
      <c r="AT907" s="360"/>
      <c r="AU907" s="360" t="s">
        <v>22</v>
      </c>
      <c r="AV907" s="360"/>
      <c r="AW907" s="264"/>
      <c r="AX907" s="264"/>
      <c r="AY907" s="264"/>
      <c r="AZ907" s="264"/>
      <c r="BA907" s="264"/>
      <c r="BB907" s="264"/>
      <c r="BC907" s="264"/>
      <c r="BD907" s="264"/>
      <c r="BE907" s="264"/>
    </row>
    <row r="908">
      <c r="A908" s="264"/>
      <c r="B908" s="264"/>
      <c r="C908" s="264"/>
      <c r="D908" s="264"/>
      <c r="E908" s="264"/>
      <c r="F908" s="264"/>
      <c r="G908" s="264"/>
      <c r="H908" s="264"/>
      <c r="I908" s="264"/>
      <c r="J908" s="264"/>
      <c r="K908" s="264"/>
      <c r="L908" s="264"/>
      <c r="M908" s="264" t="s">
        <v>22</v>
      </c>
      <c r="N908" s="264"/>
      <c r="O908" s="264" t="s">
        <v>22</v>
      </c>
      <c r="P908" s="264"/>
      <c r="Q908" s="264"/>
      <c r="R908" s="264"/>
      <c r="S908" s="264"/>
      <c r="T908" s="264"/>
      <c r="U908" s="360"/>
      <c r="V908" s="360"/>
      <c r="W908" s="360"/>
      <c r="X908" s="360"/>
      <c r="Y908" s="360"/>
      <c r="Z908" s="360"/>
      <c r="AA908" s="360"/>
      <c r="AB908" s="360"/>
      <c r="AC908" s="360"/>
      <c r="AD908" s="360"/>
      <c r="AE908" s="360"/>
      <c r="AF908" s="360"/>
      <c r="AG908" s="360" t="s">
        <v>1582</v>
      </c>
      <c r="AH908" s="360"/>
      <c r="AI908" s="360"/>
      <c r="AJ908" s="360" t="s">
        <v>1589</v>
      </c>
      <c r="AK908" s="360"/>
      <c r="AL908" s="360" t="s">
        <v>5878</v>
      </c>
      <c r="AM908" s="360"/>
      <c r="AN908" s="360"/>
      <c r="AO908" s="360"/>
      <c r="AP908" s="360"/>
      <c r="AQ908" s="360"/>
      <c r="AR908" s="360"/>
      <c r="AS908" s="360"/>
      <c r="AT908" s="360"/>
      <c r="AU908" s="360" t="s">
        <v>22</v>
      </c>
      <c r="AV908" s="360"/>
      <c r="AW908" s="264"/>
      <c r="AX908" s="264"/>
      <c r="AY908" s="264"/>
      <c r="AZ908" s="264"/>
      <c r="BA908" s="264"/>
      <c r="BB908" s="264"/>
      <c r="BC908" s="264"/>
      <c r="BD908" s="264"/>
      <c r="BE908" s="264"/>
    </row>
    <row r="909">
      <c r="A909" s="264"/>
      <c r="B909" s="264"/>
      <c r="C909" s="264"/>
      <c r="D909" s="264"/>
      <c r="E909" s="264"/>
      <c r="F909" s="264"/>
      <c r="G909" s="264"/>
      <c r="H909" s="264"/>
      <c r="I909" s="264"/>
      <c r="J909" s="264"/>
      <c r="K909" s="264"/>
      <c r="L909" s="264"/>
      <c r="M909" s="264" t="s">
        <v>22</v>
      </c>
      <c r="N909" s="264"/>
      <c r="O909" s="264" t="s">
        <v>22</v>
      </c>
      <c r="P909" s="264"/>
      <c r="Q909" s="264"/>
      <c r="R909" s="264"/>
      <c r="S909" s="264"/>
      <c r="T909" s="264"/>
      <c r="U909" s="360"/>
      <c r="V909" s="360"/>
      <c r="W909" s="360"/>
      <c r="X909" s="360"/>
      <c r="Y909" s="360"/>
      <c r="Z909" s="360"/>
      <c r="AA909" s="360"/>
      <c r="AB909" s="360"/>
      <c r="AC909" s="360"/>
      <c r="AD909" s="360"/>
      <c r="AE909" s="360"/>
      <c r="AF909" s="360"/>
      <c r="AG909" s="360" t="s">
        <v>1582</v>
      </c>
      <c r="AH909" s="360"/>
      <c r="AI909" s="360"/>
      <c r="AJ909" s="360" t="s">
        <v>1589</v>
      </c>
      <c r="AK909" s="360"/>
      <c r="AL909" s="360" t="s">
        <v>5878</v>
      </c>
      <c r="AM909" s="360"/>
      <c r="AN909" s="360"/>
      <c r="AO909" s="360"/>
      <c r="AP909" s="360"/>
      <c r="AQ909" s="360"/>
      <c r="AR909" s="360"/>
      <c r="AS909" s="360"/>
      <c r="AT909" s="360"/>
      <c r="AU909" s="360" t="s">
        <v>22</v>
      </c>
      <c r="AV909" s="360"/>
      <c r="AW909" s="264"/>
      <c r="AX909" s="264"/>
      <c r="AY909" s="264"/>
      <c r="AZ909" s="264"/>
      <c r="BA909" s="264"/>
      <c r="BB909" s="264"/>
      <c r="BC909" s="264"/>
      <c r="BD909" s="264"/>
      <c r="BE909" s="264"/>
    </row>
    <row r="910">
      <c r="A910" s="264"/>
      <c r="B910" s="264"/>
      <c r="C910" s="264"/>
      <c r="D910" s="264"/>
      <c r="E910" s="264"/>
      <c r="F910" s="264"/>
      <c r="G910" s="264"/>
      <c r="H910" s="264"/>
      <c r="I910" s="264"/>
      <c r="J910" s="264"/>
      <c r="K910" s="264"/>
      <c r="L910" s="264"/>
      <c r="M910" s="264" t="s">
        <v>22</v>
      </c>
      <c r="N910" s="264"/>
      <c r="O910" s="264" t="s">
        <v>22</v>
      </c>
      <c r="P910" s="264"/>
      <c r="Q910" s="264"/>
      <c r="R910" s="264"/>
      <c r="S910" s="264"/>
      <c r="T910" s="264"/>
      <c r="U910" s="360"/>
      <c r="V910" s="360"/>
      <c r="W910" s="360"/>
      <c r="X910" s="360"/>
      <c r="Y910" s="360"/>
      <c r="Z910" s="360"/>
      <c r="AA910" s="360"/>
      <c r="AB910" s="360"/>
      <c r="AC910" s="360"/>
      <c r="AD910" s="360"/>
      <c r="AE910" s="360"/>
      <c r="AF910" s="360"/>
      <c r="AG910" s="360" t="s">
        <v>1582</v>
      </c>
      <c r="AH910" s="360"/>
      <c r="AI910" s="360"/>
      <c r="AJ910" s="360" t="s">
        <v>1589</v>
      </c>
      <c r="AK910" s="360"/>
      <c r="AL910" s="360" t="s">
        <v>5878</v>
      </c>
      <c r="AM910" s="360"/>
      <c r="AN910" s="360"/>
      <c r="AO910" s="360"/>
      <c r="AP910" s="360"/>
      <c r="AQ910" s="360"/>
      <c r="AR910" s="360"/>
      <c r="AS910" s="360"/>
      <c r="AT910" s="360"/>
      <c r="AU910" s="360" t="s">
        <v>22</v>
      </c>
      <c r="AV910" s="360"/>
      <c r="AW910" s="264"/>
      <c r="AX910" s="264"/>
      <c r="AY910" s="264"/>
      <c r="AZ910" s="264"/>
      <c r="BA910" s="264"/>
      <c r="BB910" s="264"/>
      <c r="BC910" s="264"/>
      <c r="BD910" s="264"/>
      <c r="BE910" s="264"/>
    </row>
    <row r="911">
      <c r="A911" s="264"/>
      <c r="B911" s="264"/>
      <c r="C911" s="264"/>
      <c r="D911" s="264"/>
      <c r="E911" s="264"/>
      <c r="F911" s="264"/>
      <c r="G911" s="264"/>
      <c r="H911" s="264"/>
      <c r="I911" s="264"/>
      <c r="J911" s="264"/>
      <c r="K911" s="264"/>
      <c r="L911" s="264"/>
      <c r="M911" s="264" t="s">
        <v>22</v>
      </c>
      <c r="N911" s="264"/>
      <c r="O911" s="264" t="s">
        <v>22</v>
      </c>
      <c r="P911" s="264"/>
      <c r="Q911" s="264"/>
      <c r="R911" s="264"/>
      <c r="S911" s="264"/>
      <c r="T911" s="264"/>
      <c r="U911" s="360"/>
      <c r="V911" s="360"/>
      <c r="W911" s="360"/>
      <c r="X911" s="360"/>
      <c r="Y911" s="360"/>
      <c r="Z911" s="360"/>
      <c r="AA911" s="360"/>
      <c r="AB911" s="360"/>
      <c r="AC911" s="360"/>
      <c r="AD911" s="360"/>
      <c r="AE911" s="360"/>
      <c r="AF911" s="360"/>
      <c r="AG911" s="360" t="s">
        <v>1582</v>
      </c>
      <c r="AH911" s="360"/>
      <c r="AI911" s="360"/>
      <c r="AJ911" s="360" t="s">
        <v>1589</v>
      </c>
      <c r="AK911" s="360"/>
      <c r="AL911" s="360" t="s">
        <v>5878</v>
      </c>
      <c r="AM911" s="360"/>
      <c r="AN911" s="360"/>
      <c r="AO911" s="360"/>
      <c r="AP911" s="360"/>
      <c r="AQ911" s="360"/>
      <c r="AR911" s="360"/>
      <c r="AS911" s="360"/>
      <c r="AT911" s="360"/>
      <c r="AU911" s="360" t="s">
        <v>22</v>
      </c>
      <c r="AV911" s="360"/>
      <c r="AW911" s="264"/>
      <c r="AX911" s="264"/>
      <c r="AY911" s="264"/>
      <c r="AZ911" s="264"/>
      <c r="BA911" s="264"/>
      <c r="BB911" s="264"/>
      <c r="BC911" s="264"/>
      <c r="BD911" s="264"/>
      <c r="BE911" s="264"/>
    </row>
    <row r="912">
      <c r="A912" s="264"/>
      <c r="B912" s="264"/>
      <c r="C912" s="264"/>
      <c r="D912" s="264"/>
      <c r="E912" s="264"/>
      <c r="F912" s="264"/>
      <c r="G912" s="264"/>
      <c r="H912" s="264"/>
      <c r="I912" s="264"/>
      <c r="J912" s="264"/>
      <c r="K912" s="264"/>
      <c r="L912" s="264"/>
      <c r="M912" s="264" t="s">
        <v>22</v>
      </c>
      <c r="N912" s="264"/>
      <c r="O912" s="264" t="s">
        <v>22</v>
      </c>
      <c r="P912" s="264"/>
      <c r="Q912" s="264"/>
      <c r="R912" s="264"/>
      <c r="S912" s="264"/>
      <c r="T912" s="264"/>
      <c r="U912" s="360"/>
      <c r="V912" s="360"/>
      <c r="W912" s="360"/>
      <c r="X912" s="360"/>
      <c r="Y912" s="360"/>
      <c r="Z912" s="360"/>
      <c r="AA912" s="360"/>
      <c r="AB912" s="360"/>
      <c r="AC912" s="360"/>
      <c r="AD912" s="360"/>
      <c r="AE912" s="360"/>
      <c r="AF912" s="360"/>
      <c r="AG912" s="360" t="s">
        <v>1582</v>
      </c>
      <c r="AH912" s="360"/>
      <c r="AI912" s="360"/>
      <c r="AJ912" s="360" t="s">
        <v>1589</v>
      </c>
      <c r="AK912" s="360"/>
      <c r="AL912" s="360" t="s">
        <v>5878</v>
      </c>
      <c r="AM912" s="360"/>
      <c r="AN912" s="360"/>
      <c r="AO912" s="360"/>
      <c r="AP912" s="360"/>
      <c r="AQ912" s="360"/>
      <c r="AR912" s="360"/>
      <c r="AS912" s="360"/>
      <c r="AT912" s="360"/>
      <c r="AU912" s="360" t="s">
        <v>22</v>
      </c>
      <c r="AV912" s="360"/>
      <c r="AW912" s="264"/>
      <c r="AX912" s="264"/>
      <c r="AY912" s="264"/>
      <c r="AZ912" s="264"/>
      <c r="BA912" s="264"/>
      <c r="BB912" s="264"/>
      <c r="BC912" s="264"/>
      <c r="BD912" s="264"/>
      <c r="BE912" s="264"/>
    </row>
    <row r="913">
      <c r="A913" s="264"/>
      <c r="B913" s="264"/>
      <c r="C913" s="264"/>
      <c r="D913" s="264"/>
      <c r="E913" s="264"/>
      <c r="F913" s="264"/>
      <c r="G913" s="264"/>
      <c r="H913" s="264"/>
      <c r="I913" s="264"/>
      <c r="J913" s="264"/>
      <c r="K913" s="264"/>
      <c r="L913" s="264"/>
      <c r="M913" s="264" t="s">
        <v>22</v>
      </c>
      <c r="N913" s="264"/>
      <c r="O913" s="264" t="s">
        <v>22</v>
      </c>
      <c r="P913" s="264"/>
      <c r="Q913" s="264"/>
      <c r="R913" s="264"/>
      <c r="S913" s="264"/>
      <c r="T913" s="264"/>
      <c r="U913" s="360"/>
      <c r="V913" s="360"/>
      <c r="W913" s="360"/>
      <c r="X913" s="360"/>
      <c r="Y913" s="360"/>
      <c r="Z913" s="360"/>
      <c r="AA913" s="360"/>
      <c r="AB913" s="360"/>
      <c r="AC913" s="360"/>
      <c r="AD913" s="360"/>
      <c r="AE913" s="360"/>
      <c r="AF913" s="360"/>
      <c r="AG913" s="360" t="s">
        <v>1582</v>
      </c>
      <c r="AH913" s="360"/>
      <c r="AI913" s="360"/>
      <c r="AJ913" s="360" t="s">
        <v>1589</v>
      </c>
      <c r="AK913" s="360"/>
      <c r="AL913" s="360" t="s">
        <v>5878</v>
      </c>
      <c r="AM913" s="360"/>
      <c r="AN913" s="360"/>
      <c r="AO913" s="360"/>
      <c r="AP913" s="360"/>
      <c r="AQ913" s="360"/>
      <c r="AR913" s="360"/>
      <c r="AS913" s="360"/>
      <c r="AT913" s="360"/>
      <c r="AU913" s="360" t="s">
        <v>22</v>
      </c>
      <c r="AV913" s="360"/>
      <c r="AW913" s="264"/>
      <c r="AX913" s="264"/>
      <c r="AY913" s="264"/>
      <c r="AZ913" s="264"/>
      <c r="BA913" s="264"/>
      <c r="BB913" s="264"/>
      <c r="BC913" s="264"/>
      <c r="BD913" s="264"/>
      <c r="BE913" s="264"/>
    </row>
    <row r="914">
      <c r="A914" s="264"/>
      <c r="B914" s="264"/>
      <c r="C914" s="264"/>
      <c r="D914" s="264"/>
      <c r="E914" s="264"/>
      <c r="F914" s="264"/>
      <c r="G914" s="264"/>
      <c r="H914" s="264"/>
      <c r="I914" s="264"/>
      <c r="J914" s="264"/>
      <c r="K914" s="264"/>
      <c r="L914" s="264"/>
      <c r="M914" s="264" t="s">
        <v>22</v>
      </c>
      <c r="N914" s="264"/>
      <c r="O914" s="264" t="s">
        <v>22</v>
      </c>
      <c r="P914" s="264"/>
      <c r="Q914" s="264"/>
      <c r="R914" s="264"/>
      <c r="S914" s="264"/>
      <c r="T914" s="264"/>
      <c r="U914" s="360"/>
      <c r="V914" s="360"/>
      <c r="W914" s="360"/>
      <c r="X914" s="360"/>
      <c r="Y914" s="360"/>
      <c r="Z914" s="360"/>
      <c r="AA914" s="360"/>
      <c r="AB914" s="360"/>
      <c r="AC914" s="360"/>
      <c r="AD914" s="360"/>
      <c r="AE914" s="360"/>
      <c r="AF914" s="360"/>
      <c r="AG914" s="360" t="s">
        <v>1582</v>
      </c>
      <c r="AH914" s="360"/>
      <c r="AI914" s="360"/>
      <c r="AJ914" s="360" t="s">
        <v>1589</v>
      </c>
      <c r="AK914" s="360"/>
      <c r="AL914" s="360" t="s">
        <v>5878</v>
      </c>
      <c r="AM914" s="360"/>
      <c r="AN914" s="360"/>
      <c r="AO914" s="360"/>
      <c r="AP914" s="360"/>
      <c r="AQ914" s="360"/>
      <c r="AR914" s="360"/>
      <c r="AS914" s="360"/>
      <c r="AT914" s="360"/>
      <c r="AU914" s="360" t="s">
        <v>22</v>
      </c>
      <c r="AV914" s="360"/>
      <c r="AW914" s="264"/>
      <c r="AX914" s="264"/>
      <c r="AY914" s="264"/>
      <c r="AZ914" s="264"/>
      <c r="BA914" s="264"/>
      <c r="BB914" s="264"/>
      <c r="BC914" s="264"/>
      <c r="BD914" s="264"/>
      <c r="BE914" s="264"/>
    </row>
    <row r="915">
      <c r="A915" s="264"/>
      <c r="B915" s="264"/>
      <c r="C915" s="264"/>
      <c r="D915" s="264"/>
      <c r="E915" s="264"/>
      <c r="F915" s="264"/>
      <c r="G915" s="264"/>
      <c r="H915" s="264"/>
      <c r="I915" s="264"/>
      <c r="J915" s="264"/>
      <c r="K915" s="264"/>
      <c r="L915" s="264"/>
      <c r="M915" s="264" t="s">
        <v>22</v>
      </c>
      <c r="N915" s="264"/>
      <c r="O915" s="264" t="s">
        <v>22</v>
      </c>
      <c r="P915" s="264"/>
      <c r="Q915" s="264"/>
      <c r="R915" s="264"/>
      <c r="S915" s="264"/>
      <c r="T915" s="264"/>
      <c r="U915" s="360"/>
      <c r="V915" s="360"/>
      <c r="W915" s="360"/>
      <c r="X915" s="360"/>
      <c r="Y915" s="360"/>
      <c r="Z915" s="360"/>
      <c r="AA915" s="360"/>
      <c r="AB915" s="360"/>
      <c r="AC915" s="360"/>
      <c r="AD915" s="360"/>
      <c r="AE915" s="360"/>
      <c r="AF915" s="360"/>
      <c r="AG915" s="360" t="s">
        <v>1582</v>
      </c>
      <c r="AH915" s="360"/>
      <c r="AI915" s="360"/>
      <c r="AJ915" s="360" t="s">
        <v>1589</v>
      </c>
      <c r="AK915" s="360"/>
      <c r="AL915" s="360" t="s">
        <v>5878</v>
      </c>
      <c r="AM915" s="360"/>
      <c r="AN915" s="360"/>
      <c r="AO915" s="360"/>
      <c r="AP915" s="360"/>
      <c r="AQ915" s="360"/>
      <c r="AR915" s="360"/>
      <c r="AS915" s="360"/>
      <c r="AT915" s="360"/>
      <c r="AU915" s="360" t="s">
        <v>22</v>
      </c>
      <c r="AV915" s="360"/>
      <c r="AW915" s="264"/>
      <c r="AX915" s="264"/>
      <c r="AY915" s="264"/>
      <c r="AZ915" s="264"/>
      <c r="BA915" s="264"/>
      <c r="BB915" s="264"/>
      <c r="BC915" s="264"/>
      <c r="BD915" s="264"/>
      <c r="BE915" s="264"/>
    </row>
    <row r="916">
      <c r="A916" s="264"/>
      <c r="B916" s="264"/>
      <c r="C916" s="264"/>
      <c r="D916" s="264"/>
      <c r="E916" s="264"/>
      <c r="F916" s="264"/>
      <c r="G916" s="264"/>
      <c r="H916" s="264"/>
      <c r="I916" s="264"/>
      <c r="J916" s="264"/>
      <c r="K916" s="264"/>
      <c r="L916" s="264"/>
      <c r="M916" s="264" t="s">
        <v>22</v>
      </c>
      <c r="N916" s="264"/>
      <c r="O916" s="264" t="s">
        <v>22</v>
      </c>
      <c r="P916" s="264"/>
      <c r="Q916" s="264"/>
      <c r="R916" s="264"/>
      <c r="S916" s="264"/>
      <c r="T916" s="264"/>
      <c r="U916" s="360"/>
      <c r="V916" s="360"/>
      <c r="W916" s="360"/>
      <c r="X916" s="360"/>
      <c r="Y916" s="360"/>
      <c r="Z916" s="360"/>
      <c r="AA916" s="360"/>
      <c r="AB916" s="360"/>
      <c r="AC916" s="360"/>
      <c r="AD916" s="360"/>
      <c r="AE916" s="360"/>
      <c r="AF916" s="360"/>
      <c r="AG916" s="360" t="s">
        <v>1582</v>
      </c>
      <c r="AH916" s="360"/>
      <c r="AI916" s="360"/>
      <c r="AJ916" s="360" t="s">
        <v>1589</v>
      </c>
      <c r="AK916" s="360"/>
      <c r="AL916" s="360" t="s">
        <v>5878</v>
      </c>
      <c r="AM916" s="360"/>
      <c r="AN916" s="360"/>
      <c r="AO916" s="360"/>
      <c r="AP916" s="360"/>
      <c r="AQ916" s="360"/>
      <c r="AR916" s="360"/>
      <c r="AS916" s="360"/>
      <c r="AT916" s="360"/>
      <c r="AU916" s="360" t="s">
        <v>22</v>
      </c>
      <c r="AV916" s="360"/>
      <c r="AW916" s="264"/>
      <c r="AX916" s="264"/>
      <c r="AY916" s="264"/>
      <c r="AZ916" s="264"/>
      <c r="BA916" s="264"/>
      <c r="BB916" s="264"/>
      <c r="BC916" s="264"/>
      <c r="BD916" s="264"/>
      <c r="BE916" s="264"/>
    </row>
    <row r="917">
      <c r="A917" s="264"/>
      <c r="B917" s="264"/>
      <c r="C917" s="264"/>
      <c r="D917" s="264"/>
      <c r="E917" s="264"/>
      <c r="F917" s="264"/>
      <c r="G917" s="264"/>
      <c r="H917" s="264"/>
      <c r="I917" s="264"/>
      <c r="J917" s="264"/>
      <c r="K917" s="264"/>
      <c r="L917" s="264"/>
      <c r="M917" s="264" t="s">
        <v>22</v>
      </c>
      <c r="N917" s="264"/>
      <c r="O917" s="264" t="s">
        <v>22</v>
      </c>
      <c r="P917" s="264"/>
      <c r="Q917" s="264"/>
      <c r="R917" s="264"/>
      <c r="S917" s="264"/>
      <c r="T917" s="264"/>
      <c r="U917" s="360"/>
      <c r="V917" s="360"/>
      <c r="W917" s="360"/>
      <c r="X917" s="360"/>
      <c r="Y917" s="360"/>
      <c r="Z917" s="360"/>
      <c r="AA917" s="360"/>
      <c r="AB917" s="360"/>
      <c r="AC917" s="360"/>
      <c r="AD917" s="360"/>
      <c r="AE917" s="360"/>
      <c r="AF917" s="360"/>
      <c r="AG917" s="360" t="s">
        <v>1582</v>
      </c>
      <c r="AH917" s="360"/>
      <c r="AI917" s="360"/>
      <c r="AJ917" s="360" t="s">
        <v>1589</v>
      </c>
      <c r="AK917" s="360"/>
      <c r="AL917" s="360" t="s">
        <v>5878</v>
      </c>
      <c r="AM917" s="360"/>
      <c r="AN917" s="360"/>
      <c r="AO917" s="360"/>
      <c r="AP917" s="360"/>
      <c r="AQ917" s="360"/>
      <c r="AR917" s="360"/>
      <c r="AS917" s="360"/>
      <c r="AT917" s="360"/>
      <c r="AU917" s="360" t="s">
        <v>22</v>
      </c>
      <c r="AV917" s="360"/>
      <c r="AW917" s="264"/>
      <c r="AX917" s="264"/>
      <c r="AY917" s="264"/>
      <c r="AZ917" s="264"/>
      <c r="BA917" s="264"/>
      <c r="BB917" s="264"/>
      <c r="BC917" s="264"/>
      <c r="BD917" s="264"/>
      <c r="BE917" s="264"/>
    </row>
    <row r="918">
      <c r="A918" s="264"/>
      <c r="B918" s="264"/>
      <c r="C918" s="264"/>
      <c r="D918" s="264"/>
      <c r="E918" s="264"/>
      <c r="F918" s="264"/>
      <c r="G918" s="264"/>
      <c r="H918" s="264"/>
      <c r="I918" s="264"/>
      <c r="J918" s="264"/>
      <c r="K918" s="264"/>
      <c r="L918" s="264"/>
      <c r="M918" s="264" t="s">
        <v>22</v>
      </c>
      <c r="N918" s="264"/>
      <c r="O918" s="264" t="s">
        <v>22</v>
      </c>
      <c r="P918" s="264"/>
      <c r="Q918" s="264"/>
      <c r="R918" s="264"/>
      <c r="S918" s="264"/>
      <c r="T918" s="264"/>
      <c r="U918" s="360"/>
      <c r="V918" s="360"/>
      <c r="W918" s="360"/>
      <c r="X918" s="360"/>
      <c r="Y918" s="360"/>
      <c r="Z918" s="360"/>
      <c r="AA918" s="360"/>
      <c r="AB918" s="360"/>
      <c r="AC918" s="360"/>
      <c r="AD918" s="360"/>
      <c r="AE918" s="360"/>
      <c r="AF918" s="360"/>
      <c r="AG918" s="360" t="s">
        <v>1582</v>
      </c>
      <c r="AH918" s="360"/>
      <c r="AI918" s="360"/>
      <c r="AJ918" s="360" t="s">
        <v>1589</v>
      </c>
      <c r="AK918" s="360"/>
      <c r="AL918" s="360" t="s">
        <v>5878</v>
      </c>
      <c r="AM918" s="360"/>
      <c r="AN918" s="360"/>
      <c r="AO918" s="360"/>
      <c r="AP918" s="360"/>
      <c r="AQ918" s="360"/>
      <c r="AR918" s="360"/>
      <c r="AS918" s="360"/>
      <c r="AT918" s="360"/>
      <c r="AU918" s="360" t="s">
        <v>22</v>
      </c>
      <c r="AV918" s="360"/>
      <c r="AW918" s="264"/>
      <c r="AX918" s="264"/>
      <c r="AY918" s="264"/>
      <c r="AZ918" s="264"/>
      <c r="BA918" s="264"/>
      <c r="BB918" s="264"/>
      <c r="BC918" s="264"/>
      <c r="BD918" s="264"/>
      <c r="BE918" s="264"/>
    </row>
    <row r="919">
      <c r="A919" s="264"/>
      <c r="B919" s="264"/>
      <c r="C919" s="264"/>
      <c r="D919" s="264"/>
      <c r="E919" s="264"/>
      <c r="F919" s="264"/>
      <c r="G919" s="264"/>
      <c r="H919" s="264"/>
      <c r="I919" s="264"/>
      <c r="J919" s="264"/>
      <c r="K919" s="264"/>
      <c r="L919" s="264"/>
      <c r="M919" s="264" t="s">
        <v>22</v>
      </c>
      <c r="N919" s="264"/>
      <c r="O919" s="264" t="s">
        <v>22</v>
      </c>
      <c r="P919" s="264"/>
      <c r="Q919" s="264"/>
      <c r="R919" s="264"/>
      <c r="S919" s="264"/>
      <c r="T919" s="264"/>
      <c r="U919" s="360"/>
      <c r="V919" s="360"/>
      <c r="W919" s="360"/>
      <c r="X919" s="360"/>
      <c r="Y919" s="360"/>
      <c r="Z919" s="360"/>
      <c r="AA919" s="360"/>
      <c r="AB919" s="360"/>
      <c r="AC919" s="360"/>
      <c r="AD919" s="360"/>
      <c r="AE919" s="360"/>
      <c r="AF919" s="360"/>
      <c r="AG919" s="360" t="s">
        <v>1582</v>
      </c>
      <c r="AH919" s="360"/>
      <c r="AI919" s="360"/>
      <c r="AJ919" s="360" t="s">
        <v>1589</v>
      </c>
      <c r="AK919" s="360"/>
      <c r="AL919" s="360" t="s">
        <v>5878</v>
      </c>
      <c r="AM919" s="360"/>
      <c r="AN919" s="360"/>
      <c r="AO919" s="360"/>
      <c r="AP919" s="360"/>
      <c r="AQ919" s="360"/>
      <c r="AR919" s="360"/>
      <c r="AS919" s="360"/>
      <c r="AT919" s="360"/>
      <c r="AU919" s="360" t="s">
        <v>22</v>
      </c>
      <c r="AV919" s="360"/>
      <c r="AW919" s="264"/>
      <c r="AX919" s="264"/>
      <c r="AY919" s="264"/>
      <c r="AZ919" s="264"/>
      <c r="BA919" s="264"/>
      <c r="BB919" s="264"/>
      <c r="BC919" s="264"/>
      <c r="BD919" s="264"/>
      <c r="BE919" s="264"/>
    </row>
    <row r="920">
      <c r="A920" s="264"/>
      <c r="B920" s="264"/>
      <c r="C920" s="264"/>
      <c r="D920" s="264"/>
      <c r="E920" s="264"/>
      <c r="F920" s="264"/>
      <c r="G920" s="264"/>
      <c r="H920" s="264"/>
      <c r="I920" s="264"/>
      <c r="J920" s="264"/>
      <c r="K920" s="264"/>
      <c r="L920" s="264"/>
      <c r="M920" s="264" t="s">
        <v>22</v>
      </c>
      <c r="N920" s="264"/>
      <c r="O920" s="264" t="s">
        <v>22</v>
      </c>
      <c r="P920" s="264"/>
      <c r="Q920" s="264"/>
      <c r="R920" s="264"/>
      <c r="S920" s="264"/>
      <c r="T920" s="264"/>
      <c r="U920" s="360"/>
      <c r="V920" s="360"/>
      <c r="W920" s="360"/>
      <c r="X920" s="360"/>
      <c r="Y920" s="360"/>
      <c r="Z920" s="360"/>
      <c r="AA920" s="360"/>
      <c r="AB920" s="360"/>
      <c r="AC920" s="360"/>
      <c r="AD920" s="360"/>
      <c r="AE920" s="360"/>
      <c r="AF920" s="360"/>
      <c r="AG920" s="360" t="s">
        <v>1582</v>
      </c>
      <c r="AH920" s="360"/>
      <c r="AI920" s="360"/>
      <c r="AJ920" s="360" t="s">
        <v>1589</v>
      </c>
      <c r="AK920" s="360"/>
      <c r="AL920" s="360" t="s">
        <v>5878</v>
      </c>
      <c r="AM920" s="360"/>
      <c r="AN920" s="360"/>
      <c r="AO920" s="360"/>
      <c r="AP920" s="360"/>
      <c r="AQ920" s="360"/>
      <c r="AR920" s="360"/>
      <c r="AS920" s="360"/>
      <c r="AT920" s="360"/>
      <c r="AU920" s="360" t="s">
        <v>22</v>
      </c>
      <c r="AV920" s="360"/>
      <c r="AW920" s="264"/>
      <c r="AX920" s="264"/>
      <c r="AY920" s="264"/>
      <c r="AZ920" s="264"/>
      <c r="BA920" s="264"/>
      <c r="BB920" s="264"/>
      <c r="BC920" s="264"/>
      <c r="BD920" s="264"/>
      <c r="BE920" s="264"/>
    </row>
    <row r="921">
      <c r="A921" s="264"/>
      <c r="B921" s="264"/>
      <c r="C921" s="264"/>
      <c r="D921" s="264"/>
      <c r="E921" s="264"/>
      <c r="F921" s="264"/>
      <c r="G921" s="264"/>
      <c r="H921" s="264"/>
      <c r="I921" s="264"/>
      <c r="J921" s="264"/>
      <c r="K921" s="264"/>
      <c r="L921" s="264"/>
      <c r="M921" s="264" t="s">
        <v>22</v>
      </c>
      <c r="N921" s="264"/>
      <c r="O921" s="264" t="s">
        <v>22</v>
      </c>
      <c r="P921" s="264"/>
      <c r="Q921" s="264"/>
      <c r="R921" s="264"/>
      <c r="S921" s="264"/>
      <c r="T921" s="264"/>
      <c r="U921" s="360"/>
      <c r="V921" s="360"/>
      <c r="W921" s="360"/>
      <c r="X921" s="360"/>
      <c r="Y921" s="360"/>
      <c r="Z921" s="360"/>
      <c r="AA921" s="360"/>
      <c r="AB921" s="360"/>
      <c r="AC921" s="360"/>
      <c r="AD921" s="360"/>
      <c r="AE921" s="360"/>
      <c r="AF921" s="360"/>
      <c r="AG921" s="360" t="s">
        <v>1582</v>
      </c>
      <c r="AH921" s="360"/>
      <c r="AI921" s="360"/>
      <c r="AJ921" s="360" t="s">
        <v>1589</v>
      </c>
      <c r="AK921" s="360"/>
      <c r="AL921" s="360" t="s">
        <v>5878</v>
      </c>
      <c r="AM921" s="360"/>
      <c r="AN921" s="360"/>
      <c r="AO921" s="360"/>
      <c r="AP921" s="360"/>
      <c r="AQ921" s="360"/>
      <c r="AR921" s="360"/>
      <c r="AS921" s="360"/>
      <c r="AT921" s="360"/>
      <c r="AU921" s="360" t="s">
        <v>22</v>
      </c>
      <c r="AV921" s="360"/>
      <c r="AW921" s="264"/>
      <c r="AX921" s="264"/>
      <c r="AY921" s="264"/>
      <c r="AZ921" s="264"/>
      <c r="BA921" s="264"/>
      <c r="BB921" s="264"/>
      <c r="BC921" s="264"/>
      <c r="BD921" s="264"/>
      <c r="BE921" s="264"/>
    </row>
    <row r="922">
      <c r="A922" s="264"/>
      <c r="B922" s="264"/>
      <c r="C922" s="264"/>
      <c r="D922" s="264"/>
      <c r="E922" s="264"/>
      <c r="F922" s="264"/>
      <c r="G922" s="264"/>
      <c r="H922" s="264"/>
      <c r="I922" s="264"/>
      <c r="J922" s="264"/>
      <c r="K922" s="264"/>
      <c r="L922" s="264"/>
      <c r="M922" s="264" t="s">
        <v>22</v>
      </c>
      <c r="N922" s="264"/>
      <c r="O922" s="264" t="s">
        <v>22</v>
      </c>
      <c r="P922" s="264"/>
      <c r="Q922" s="264"/>
      <c r="R922" s="264"/>
      <c r="S922" s="264"/>
      <c r="T922" s="264"/>
      <c r="U922" s="360"/>
      <c r="V922" s="360"/>
      <c r="W922" s="360"/>
      <c r="X922" s="360"/>
      <c r="Y922" s="360"/>
      <c r="Z922" s="360"/>
      <c r="AA922" s="360"/>
      <c r="AB922" s="360"/>
      <c r="AC922" s="360"/>
      <c r="AD922" s="360"/>
      <c r="AE922" s="360"/>
      <c r="AF922" s="360"/>
      <c r="AG922" s="360" t="s">
        <v>1582</v>
      </c>
      <c r="AH922" s="360"/>
      <c r="AI922" s="360"/>
      <c r="AJ922" s="360" t="s">
        <v>1589</v>
      </c>
      <c r="AK922" s="360"/>
      <c r="AL922" s="360" t="s">
        <v>5878</v>
      </c>
      <c r="AM922" s="360"/>
      <c r="AN922" s="360"/>
      <c r="AO922" s="360"/>
      <c r="AP922" s="360"/>
      <c r="AQ922" s="360"/>
      <c r="AR922" s="360"/>
      <c r="AS922" s="360"/>
      <c r="AT922" s="360"/>
      <c r="AU922" s="360" t="s">
        <v>22</v>
      </c>
      <c r="AV922" s="360"/>
      <c r="AW922" s="264"/>
      <c r="AX922" s="264"/>
      <c r="AY922" s="264"/>
      <c r="AZ922" s="264"/>
      <c r="BA922" s="264"/>
      <c r="BB922" s="264"/>
      <c r="BC922" s="264"/>
      <c r="BD922" s="264"/>
      <c r="BE922" s="264"/>
    </row>
    <row r="923">
      <c r="A923" s="264"/>
      <c r="B923" s="264"/>
      <c r="C923" s="264"/>
      <c r="D923" s="264"/>
      <c r="E923" s="264"/>
      <c r="F923" s="264"/>
      <c r="G923" s="264"/>
      <c r="H923" s="264"/>
      <c r="I923" s="264"/>
      <c r="J923" s="264"/>
      <c r="K923" s="264"/>
      <c r="L923" s="264"/>
      <c r="M923" s="264" t="s">
        <v>22</v>
      </c>
      <c r="N923" s="264"/>
      <c r="O923" s="264" t="s">
        <v>22</v>
      </c>
      <c r="P923" s="264"/>
      <c r="Q923" s="264"/>
      <c r="R923" s="264"/>
      <c r="S923" s="264"/>
      <c r="T923" s="264"/>
      <c r="U923" s="360"/>
      <c r="V923" s="360"/>
      <c r="W923" s="360"/>
      <c r="X923" s="360"/>
      <c r="Y923" s="360"/>
      <c r="Z923" s="360"/>
      <c r="AA923" s="360"/>
      <c r="AB923" s="360"/>
      <c r="AC923" s="360"/>
      <c r="AD923" s="360"/>
      <c r="AE923" s="360"/>
      <c r="AF923" s="360"/>
      <c r="AG923" s="360" t="s">
        <v>1582</v>
      </c>
      <c r="AH923" s="360"/>
      <c r="AI923" s="360"/>
      <c r="AJ923" s="360" t="s">
        <v>1589</v>
      </c>
      <c r="AK923" s="360"/>
      <c r="AL923" s="360" t="s">
        <v>5878</v>
      </c>
      <c r="AM923" s="360"/>
      <c r="AN923" s="360"/>
      <c r="AO923" s="360"/>
      <c r="AP923" s="360"/>
      <c r="AQ923" s="360"/>
      <c r="AR923" s="360"/>
      <c r="AS923" s="360"/>
      <c r="AT923" s="360"/>
      <c r="AU923" s="360" t="s">
        <v>22</v>
      </c>
      <c r="AV923" s="360"/>
      <c r="AW923" s="264"/>
      <c r="AX923" s="264"/>
      <c r="AY923" s="264"/>
      <c r="AZ923" s="264"/>
      <c r="BA923" s="264"/>
      <c r="BB923" s="264"/>
      <c r="BC923" s="264"/>
      <c r="BD923" s="264"/>
      <c r="BE923" s="264"/>
    </row>
    <row r="924">
      <c r="A924" s="264"/>
      <c r="B924" s="264"/>
      <c r="C924" s="264"/>
      <c r="D924" s="264"/>
      <c r="E924" s="264"/>
      <c r="F924" s="264"/>
      <c r="G924" s="264"/>
      <c r="H924" s="264"/>
      <c r="I924" s="264"/>
      <c r="J924" s="264"/>
      <c r="K924" s="264"/>
      <c r="L924" s="264"/>
      <c r="M924" s="264" t="s">
        <v>22</v>
      </c>
      <c r="N924" s="264"/>
      <c r="O924" s="264" t="s">
        <v>22</v>
      </c>
      <c r="P924" s="264"/>
      <c r="Q924" s="264"/>
      <c r="R924" s="264"/>
      <c r="S924" s="264"/>
      <c r="T924" s="264"/>
      <c r="U924" s="360"/>
      <c r="V924" s="360"/>
      <c r="W924" s="360"/>
      <c r="X924" s="360"/>
      <c r="Y924" s="360"/>
      <c r="Z924" s="360"/>
      <c r="AA924" s="360"/>
      <c r="AB924" s="360"/>
      <c r="AC924" s="360"/>
      <c r="AD924" s="360"/>
      <c r="AE924" s="360"/>
      <c r="AF924" s="360"/>
      <c r="AG924" s="360" t="s">
        <v>1582</v>
      </c>
      <c r="AH924" s="360"/>
      <c r="AI924" s="360"/>
      <c r="AJ924" s="360" t="s">
        <v>1589</v>
      </c>
      <c r="AK924" s="360"/>
      <c r="AL924" s="360" t="s">
        <v>5878</v>
      </c>
      <c r="AM924" s="360"/>
      <c r="AN924" s="360"/>
      <c r="AO924" s="360"/>
      <c r="AP924" s="360"/>
      <c r="AQ924" s="360"/>
      <c r="AR924" s="360"/>
      <c r="AS924" s="360"/>
      <c r="AT924" s="360"/>
      <c r="AU924" s="360" t="s">
        <v>22</v>
      </c>
      <c r="AV924" s="360"/>
      <c r="AW924" s="264"/>
      <c r="AX924" s="264"/>
      <c r="AY924" s="264"/>
      <c r="AZ924" s="264"/>
      <c r="BA924" s="264"/>
      <c r="BB924" s="264"/>
      <c r="BC924" s="264"/>
      <c r="BD924" s="264"/>
      <c r="BE924" s="264"/>
    </row>
    <row r="925">
      <c r="A925" s="264"/>
      <c r="B925" s="264"/>
      <c r="C925" s="264"/>
      <c r="D925" s="264"/>
      <c r="E925" s="264"/>
      <c r="F925" s="264"/>
      <c r="G925" s="264"/>
      <c r="H925" s="264"/>
      <c r="I925" s="264"/>
      <c r="J925" s="264"/>
      <c r="K925" s="264"/>
      <c r="L925" s="264"/>
      <c r="M925" s="264" t="s">
        <v>22</v>
      </c>
      <c r="N925" s="264"/>
      <c r="O925" s="264" t="s">
        <v>22</v>
      </c>
      <c r="P925" s="264"/>
      <c r="Q925" s="264"/>
      <c r="R925" s="264"/>
      <c r="S925" s="264"/>
      <c r="T925" s="264"/>
      <c r="U925" s="360"/>
      <c r="V925" s="360"/>
      <c r="W925" s="360"/>
      <c r="X925" s="360"/>
      <c r="Y925" s="360"/>
      <c r="Z925" s="360"/>
      <c r="AA925" s="360"/>
      <c r="AB925" s="360"/>
      <c r="AC925" s="360"/>
      <c r="AD925" s="360"/>
      <c r="AE925" s="360"/>
      <c r="AF925" s="360"/>
      <c r="AG925" s="360" t="s">
        <v>1582</v>
      </c>
      <c r="AH925" s="360"/>
      <c r="AI925" s="360"/>
      <c r="AJ925" s="360" t="s">
        <v>1589</v>
      </c>
      <c r="AK925" s="360"/>
      <c r="AL925" s="360" t="s">
        <v>5878</v>
      </c>
      <c r="AM925" s="360"/>
      <c r="AN925" s="360"/>
      <c r="AO925" s="360"/>
      <c r="AP925" s="360"/>
      <c r="AQ925" s="360"/>
      <c r="AR925" s="360"/>
      <c r="AS925" s="360"/>
      <c r="AT925" s="360"/>
      <c r="AU925" s="360" t="s">
        <v>22</v>
      </c>
      <c r="AV925" s="360"/>
      <c r="AW925" s="264"/>
      <c r="AX925" s="264"/>
      <c r="AY925" s="264"/>
      <c r="AZ925" s="264"/>
      <c r="BA925" s="264"/>
      <c r="BB925" s="264"/>
      <c r="BC925" s="264"/>
      <c r="BD925" s="264"/>
      <c r="BE925" s="264"/>
    </row>
    <row r="926">
      <c r="A926" s="264"/>
      <c r="B926" s="264"/>
      <c r="C926" s="264"/>
      <c r="D926" s="264"/>
      <c r="E926" s="264"/>
      <c r="F926" s="264"/>
      <c r="G926" s="264"/>
      <c r="H926" s="264"/>
      <c r="I926" s="264"/>
      <c r="J926" s="264"/>
      <c r="K926" s="264"/>
      <c r="L926" s="264"/>
      <c r="M926" s="264" t="s">
        <v>22</v>
      </c>
      <c r="N926" s="264"/>
      <c r="O926" s="264" t="s">
        <v>22</v>
      </c>
      <c r="P926" s="264"/>
      <c r="Q926" s="264"/>
      <c r="R926" s="264"/>
      <c r="S926" s="264"/>
      <c r="T926" s="264"/>
      <c r="U926" s="360"/>
      <c r="V926" s="360"/>
      <c r="W926" s="360"/>
      <c r="X926" s="360"/>
      <c r="Y926" s="360"/>
      <c r="Z926" s="360"/>
      <c r="AA926" s="360"/>
      <c r="AB926" s="360"/>
      <c r="AC926" s="360"/>
      <c r="AD926" s="360"/>
      <c r="AE926" s="360"/>
      <c r="AF926" s="360"/>
      <c r="AG926" s="360" t="s">
        <v>1582</v>
      </c>
      <c r="AH926" s="360"/>
      <c r="AI926" s="360"/>
      <c r="AJ926" s="360" t="s">
        <v>1589</v>
      </c>
      <c r="AK926" s="360"/>
      <c r="AL926" s="360" t="s">
        <v>5878</v>
      </c>
      <c r="AM926" s="360"/>
      <c r="AN926" s="360"/>
      <c r="AO926" s="360"/>
      <c r="AP926" s="360"/>
      <c r="AQ926" s="360"/>
      <c r="AR926" s="360"/>
      <c r="AS926" s="360"/>
      <c r="AT926" s="360"/>
      <c r="AU926" s="360" t="s">
        <v>22</v>
      </c>
      <c r="AV926" s="360"/>
      <c r="AW926" s="264"/>
      <c r="AX926" s="264"/>
      <c r="AY926" s="264"/>
      <c r="AZ926" s="264"/>
      <c r="BA926" s="264"/>
      <c r="BB926" s="264"/>
      <c r="BC926" s="264"/>
      <c r="BD926" s="264"/>
      <c r="BE926" s="264"/>
    </row>
    <row r="927">
      <c r="A927" s="264"/>
      <c r="B927" s="264"/>
      <c r="C927" s="264"/>
      <c r="D927" s="264"/>
      <c r="E927" s="264"/>
      <c r="F927" s="264"/>
      <c r="G927" s="264"/>
      <c r="H927" s="264"/>
      <c r="I927" s="264"/>
      <c r="J927" s="264"/>
      <c r="K927" s="264"/>
      <c r="L927" s="264"/>
      <c r="M927" s="264" t="s">
        <v>22</v>
      </c>
      <c r="N927" s="264"/>
      <c r="O927" s="264" t="s">
        <v>22</v>
      </c>
      <c r="P927" s="264"/>
      <c r="Q927" s="264"/>
      <c r="R927" s="264"/>
      <c r="S927" s="264"/>
      <c r="T927" s="264"/>
      <c r="U927" s="360"/>
      <c r="V927" s="360"/>
      <c r="W927" s="360"/>
      <c r="X927" s="360"/>
      <c r="Y927" s="360"/>
      <c r="Z927" s="360"/>
      <c r="AA927" s="360"/>
      <c r="AB927" s="360"/>
      <c r="AC927" s="360"/>
      <c r="AD927" s="360"/>
      <c r="AE927" s="360"/>
      <c r="AF927" s="360"/>
      <c r="AG927" s="360" t="s">
        <v>1582</v>
      </c>
      <c r="AH927" s="360"/>
      <c r="AI927" s="360"/>
      <c r="AJ927" s="360" t="s">
        <v>1589</v>
      </c>
      <c r="AK927" s="360"/>
      <c r="AL927" s="360" t="s">
        <v>5878</v>
      </c>
      <c r="AM927" s="360"/>
      <c r="AN927" s="360"/>
      <c r="AO927" s="360"/>
      <c r="AP927" s="360"/>
      <c r="AQ927" s="360"/>
      <c r="AR927" s="360"/>
      <c r="AS927" s="360"/>
      <c r="AT927" s="360"/>
      <c r="AU927" s="360" t="s">
        <v>22</v>
      </c>
      <c r="AV927" s="360"/>
      <c r="AW927" s="264"/>
      <c r="AX927" s="264"/>
      <c r="AY927" s="264"/>
      <c r="AZ927" s="264"/>
      <c r="BA927" s="264"/>
      <c r="BB927" s="264"/>
      <c r="BC927" s="264"/>
      <c r="BD927" s="264"/>
      <c r="BE927" s="264"/>
    </row>
    <row r="928">
      <c r="A928" s="264"/>
      <c r="B928" s="264"/>
      <c r="C928" s="264"/>
      <c r="D928" s="264"/>
      <c r="E928" s="264"/>
      <c r="F928" s="264"/>
      <c r="G928" s="264"/>
      <c r="H928" s="264"/>
      <c r="I928" s="264"/>
      <c r="J928" s="264"/>
      <c r="K928" s="264"/>
      <c r="L928" s="264"/>
      <c r="M928" s="264" t="s">
        <v>22</v>
      </c>
      <c r="N928" s="264"/>
      <c r="O928" s="264" t="s">
        <v>22</v>
      </c>
      <c r="P928" s="264"/>
      <c r="Q928" s="264"/>
      <c r="R928" s="264"/>
      <c r="S928" s="264"/>
      <c r="T928" s="264"/>
      <c r="U928" s="360"/>
      <c r="V928" s="360"/>
      <c r="W928" s="360"/>
      <c r="X928" s="360"/>
      <c r="Y928" s="360"/>
      <c r="Z928" s="360"/>
      <c r="AA928" s="360"/>
      <c r="AB928" s="360"/>
      <c r="AC928" s="360"/>
      <c r="AD928" s="360"/>
      <c r="AE928" s="360"/>
      <c r="AF928" s="360"/>
      <c r="AG928" s="360" t="s">
        <v>1582</v>
      </c>
      <c r="AH928" s="360"/>
      <c r="AI928" s="360"/>
      <c r="AJ928" s="360" t="s">
        <v>1589</v>
      </c>
      <c r="AK928" s="360"/>
      <c r="AL928" s="360" t="s">
        <v>5878</v>
      </c>
      <c r="AM928" s="360"/>
      <c r="AN928" s="360"/>
      <c r="AO928" s="360"/>
      <c r="AP928" s="360"/>
      <c r="AQ928" s="360"/>
      <c r="AR928" s="360"/>
      <c r="AS928" s="360"/>
      <c r="AT928" s="360"/>
      <c r="AU928" s="360" t="s">
        <v>22</v>
      </c>
      <c r="AV928" s="360"/>
      <c r="AW928" s="264"/>
      <c r="AX928" s="264"/>
      <c r="AY928" s="264"/>
      <c r="AZ928" s="264"/>
      <c r="BA928" s="264"/>
      <c r="BB928" s="264"/>
      <c r="BC928" s="264"/>
      <c r="BD928" s="264"/>
      <c r="BE928" s="264"/>
    </row>
    <row r="929">
      <c r="A929" s="264"/>
      <c r="B929" s="264"/>
      <c r="C929" s="264"/>
      <c r="D929" s="264"/>
      <c r="E929" s="264"/>
      <c r="F929" s="264"/>
      <c r="G929" s="264"/>
      <c r="H929" s="264"/>
      <c r="I929" s="264"/>
      <c r="J929" s="264"/>
      <c r="K929" s="264"/>
      <c r="L929" s="264"/>
      <c r="M929" s="264" t="s">
        <v>22</v>
      </c>
      <c r="N929" s="264"/>
      <c r="O929" s="264" t="s">
        <v>22</v>
      </c>
      <c r="P929" s="264"/>
      <c r="Q929" s="264"/>
      <c r="R929" s="264"/>
      <c r="S929" s="264"/>
      <c r="T929" s="264"/>
      <c r="U929" s="360"/>
      <c r="V929" s="360"/>
      <c r="W929" s="360"/>
      <c r="X929" s="360"/>
      <c r="Y929" s="360"/>
      <c r="Z929" s="360"/>
      <c r="AA929" s="360"/>
      <c r="AB929" s="360"/>
      <c r="AC929" s="360"/>
      <c r="AD929" s="360"/>
      <c r="AE929" s="360"/>
      <c r="AF929" s="360"/>
      <c r="AG929" s="360" t="s">
        <v>1582</v>
      </c>
      <c r="AH929" s="360"/>
      <c r="AI929" s="360"/>
      <c r="AJ929" s="360" t="s">
        <v>1589</v>
      </c>
      <c r="AK929" s="360"/>
      <c r="AL929" s="360" t="s">
        <v>5878</v>
      </c>
      <c r="AM929" s="360"/>
      <c r="AN929" s="360"/>
      <c r="AO929" s="360"/>
      <c r="AP929" s="360"/>
      <c r="AQ929" s="360"/>
      <c r="AR929" s="360"/>
      <c r="AS929" s="360"/>
      <c r="AT929" s="360"/>
      <c r="AU929" s="360" t="s">
        <v>22</v>
      </c>
      <c r="AV929" s="360"/>
      <c r="AW929" s="264"/>
      <c r="AX929" s="264"/>
      <c r="AY929" s="264"/>
      <c r="AZ929" s="264"/>
      <c r="BA929" s="264"/>
      <c r="BB929" s="264"/>
      <c r="BC929" s="264"/>
      <c r="BD929" s="264"/>
      <c r="BE929" s="264"/>
    </row>
    <row r="930">
      <c r="A930" s="264"/>
      <c r="B930" s="264"/>
      <c r="C930" s="264"/>
      <c r="D930" s="264"/>
      <c r="E930" s="264"/>
      <c r="F930" s="264"/>
      <c r="G930" s="264"/>
      <c r="H930" s="264"/>
      <c r="I930" s="264"/>
      <c r="J930" s="264"/>
      <c r="K930" s="264"/>
      <c r="L930" s="264"/>
      <c r="M930" s="264" t="s">
        <v>22</v>
      </c>
      <c r="N930" s="264"/>
      <c r="O930" s="264" t="s">
        <v>22</v>
      </c>
      <c r="P930" s="264"/>
      <c r="Q930" s="264"/>
      <c r="R930" s="264"/>
      <c r="S930" s="264"/>
      <c r="T930" s="264"/>
      <c r="U930" s="360"/>
      <c r="V930" s="360"/>
      <c r="W930" s="360"/>
      <c r="X930" s="360"/>
      <c r="Y930" s="360"/>
      <c r="Z930" s="360"/>
      <c r="AA930" s="360"/>
      <c r="AB930" s="360"/>
      <c r="AC930" s="360"/>
      <c r="AD930" s="360"/>
      <c r="AE930" s="360"/>
      <c r="AF930" s="360"/>
      <c r="AG930" s="360" t="s">
        <v>1582</v>
      </c>
      <c r="AH930" s="360"/>
      <c r="AI930" s="360"/>
      <c r="AJ930" s="360" t="s">
        <v>1589</v>
      </c>
      <c r="AK930" s="360"/>
      <c r="AL930" s="360" t="s">
        <v>5878</v>
      </c>
      <c r="AM930" s="360"/>
      <c r="AN930" s="360"/>
      <c r="AO930" s="360"/>
      <c r="AP930" s="360"/>
      <c r="AQ930" s="360"/>
      <c r="AR930" s="360"/>
      <c r="AS930" s="360"/>
      <c r="AT930" s="360"/>
      <c r="AU930" s="360" t="s">
        <v>22</v>
      </c>
      <c r="AV930" s="360"/>
      <c r="AW930" s="264"/>
      <c r="AX930" s="264"/>
      <c r="AY930" s="264"/>
      <c r="AZ930" s="264"/>
      <c r="BA930" s="264"/>
      <c r="BB930" s="264"/>
      <c r="BC930" s="264"/>
      <c r="BD930" s="264"/>
      <c r="BE930" s="264"/>
    </row>
    <row r="931">
      <c r="A931" s="264"/>
      <c r="B931" s="264"/>
      <c r="C931" s="264"/>
      <c r="D931" s="264"/>
      <c r="E931" s="264"/>
      <c r="F931" s="264"/>
      <c r="G931" s="264"/>
      <c r="H931" s="264"/>
      <c r="I931" s="264"/>
      <c r="J931" s="264"/>
      <c r="K931" s="264"/>
      <c r="L931" s="264"/>
      <c r="M931" s="264" t="s">
        <v>22</v>
      </c>
      <c r="N931" s="264"/>
      <c r="O931" s="264" t="s">
        <v>22</v>
      </c>
      <c r="P931" s="264"/>
      <c r="Q931" s="264"/>
      <c r="R931" s="264"/>
      <c r="S931" s="264"/>
      <c r="T931" s="264"/>
      <c r="U931" s="360"/>
      <c r="V931" s="360"/>
      <c r="W931" s="360"/>
      <c r="X931" s="360"/>
      <c r="Y931" s="360"/>
      <c r="Z931" s="360"/>
      <c r="AA931" s="360"/>
      <c r="AB931" s="360"/>
      <c r="AC931" s="360"/>
      <c r="AD931" s="360"/>
      <c r="AE931" s="360"/>
      <c r="AF931" s="360"/>
      <c r="AG931" s="360" t="s">
        <v>1582</v>
      </c>
      <c r="AH931" s="360"/>
      <c r="AI931" s="360"/>
      <c r="AJ931" s="360" t="s">
        <v>1589</v>
      </c>
      <c r="AK931" s="360"/>
      <c r="AL931" s="360" t="s">
        <v>5878</v>
      </c>
      <c r="AM931" s="360"/>
      <c r="AN931" s="360"/>
      <c r="AO931" s="360"/>
      <c r="AP931" s="360"/>
      <c r="AQ931" s="360"/>
      <c r="AR931" s="360"/>
      <c r="AS931" s="360"/>
      <c r="AT931" s="360"/>
      <c r="AU931" s="360" t="s">
        <v>22</v>
      </c>
      <c r="AV931" s="360"/>
      <c r="AW931" s="264"/>
      <c r="AX931" s="264"/>
      <c r="AY931" s="264"/>
      <c r="AZ931" s="264"/>
      <c r="BA931" s="264"/>
      <c r="BB931" s="264"/>
      <c r="BC931" s="264"/>
      <c r="BD931" s="264"/>
      <c r="BE931" s="264"/>
    </row>
    <row r="932">
      <c r="A932" s="264"/>
      <c r="B932" s="264"/>
      <c r="C932" s="264"/>
      <c r="D932" s="264"/>
      <c r="E932" s="264"/>
      <c r="F932" s="264"/>
      <c r="G932" s="264"/>
      <c r="H932" s="264"/>
      <c r="I932" s="264"/>
      <c r="J932" s="264"/>
      <c r="K932" s="264"/>
      <c r="L932" s="264"/>
      <c r="M932" s="264" t="s">
        <v>22</v>
      </c>
      <c r="N932" s="264"/>
      <c r="O932" s="264" t="s">
        <v>22</v>
      </c>
      <c r="P932" s="264"/>
      <c r="Q932" s="264"/>
      <c r="R932" s="264"/>
      <c r="S932" s="264"/>
      <c r="T932" s="264"/>
      <c r="U932" s="360"/>
      <c r="V932" s="360"/>
      <c r="W932" s="360"/>
      <c r="X932" s="360"/>
      <c r="Y932" s="360"/>
      <c r="Z932" s="360"/>
      <c r="AA932" s="360"/>
      <c r="AB932" s="360"/>
      <c r="AC932" s="360"/>
      <c r="AD932" s="360"/>
      <c r="AE932" s="360"/>
      <c r="AF932" s="360"/>
      <c r="AG932" s="360" t="s">
        <v>1582</v>
      </c>
      <c r="AH932" s="360"/>
      <c r="AI932" s="360"/>
      <c r="AJ932" s="360" t="s">
        <v>1589</v>
      </c>
      <c r="AK932" s="360"/>
      <c r="AL932" s="360" t="s">
        <v>5878</v>
      </c>
      <c r="AM932" s="360"/>
      <c r="AN932" s="360"/>
      <c r="AO932" s="360"/>
      <c r="AP932" s="360"/>
      <c r="AQ932" s="360"/>
      <c r="AR932" s="360"/>
      <c r="AS932" s="360"/>
      <c r="AT932" s="360"/>
      <c r="AU932" s="360" t="s">
        <v>22</v>
      </c>
      <c r="AV932" s="360"/>
      <c r="AW932" s="264"/>
      <c r="AX932" s="264"/>
      <c r="AY932" s="264"/>
      <c r="AZ932" s="264"/>
      <c r="BA932" s="264"/>
      <c r="BB932" s="264"/>
      <c r="BC932" s="264"/>
      <c r="BD932" s="264"/>
      <c r="BE932" s="264"/>
    </row>
    <row r="933">
      <c r="A933" s="264"/>
      <c r="B933" s="264"/>
      <c r="C933" s="264"/>
      <c r="D933" s="264"/>
      <c r="E933" s="264"/>
      <c r="F933" s="264"/>
      <c r="G933" s="264"/>
      <c r="H933" s="264"/>
      <c r="I933" s="264"/>
      <c r="J933" s="264"/>
      <c r="K933" s="264"/>
      <c r="L933" s="264"/>
      <c r="M933" s="264" t="s">
        <v>22</v>
      </c>
      <c r="N933" s="264"/>
      <c r="O933" s="264" t="s">
        <v>22</v>
      </c>
      <c r="P933" s="264"/>
      <c r="Q933" s="264"/>
      <c r="R933" s="264"/>
      <c r="S933" s="264"/>
      <c r="T933" s="264"/>
      <c r="U933" s="360"/>
      <c r="V933" s="360"/>
      <c r="W933" s="360"/>
      <c r="X933" s="360"/>
      <c r="Y933" s="360"/>
      <c r="Z933" s="360"/>
      <c r="AA933" s="360"/>
      <c r="AB933" s="360"/>
      <c r="AC933" s="360"/>
      <c r="AD933" s="360"/>
      <c r="AE933" s="360"/>
      <c r="AF933" s="360"/>
      <c r="AG933" s="360" t="s">
        <v>1582</v>
      </c>
      <c r="AH933" s="360"/>
      <c r="AI933" s="360"/>
      <c r="AJ933" s="360" t="s">
        <v>1589</v>
      </c>
      <c r="AK933" s="360"/>
      <c r="AL933" s="360" t="s">
        <v>5878</v>
      </c>
      <c r="AM933" s="360"/>
      <c r="AN933" s="360"/>
      <c r="AO933" s="360"/>
      <c r="AP933" s="360"/>
      <c r="AQ933" s="360"/>
      <c r="AR933" s="360"/>
      <c r="AS933" s="360"/>
      <c r="AT933" s="360"/>
      <c r="AU933" s="360" t="s">
        <v>22</v>
      </c>
      <c r="AV933" s="360"/>
      <c r="AW933" s="264"/>
      <c r="AX933" s="264"/>
      <c r="AY933" s="264"/>
      <c r="AZ933" s="264"/>
      <c r="BA933" s="264"/>
      <c r="BB933" s="264"/>
      <c r="BC933" s="264"/>
      <c r="BD933" s="264"/>
      <c r="BE933" s="264"/>
    </row>
    <row r="934">
      <c r="A934" s="264"/>
      <c r="B934" s="264"/>
      <c r="C934" s="264"/>
      <c r="D934" s="264"/>
      <c r="E934" s="264"/>
      <c r="F934" s="264"/>
      <c r="G934" s="264"/>
      <c r="H934" s="264"/>
      <c r="I934" s="264"/>
      <c r="J934" s="264"/>
      <c r="K934" s="264"/>
      <c r="L934" s="264"/>
      <c r="M934" s="264" t="s">
        <v>22</v>
      </c>
      <c r="N934" s="264"/>
      <c r="O934" s="264" t="s">
        <v>22</v>
      </c>
      <c r="P934" s="264"/>
      <c r="Q934" s="264"/>
      <c r="R934" s="264"/>
      <c r="S934" s="264"/>
      <c r="T934" s="264"/>
      <c r="U934" s="360"/>
      <c r="V934" s="360"/>
      <c r="W934" s="360"/>
      <c r="X934" s="360"/>
      <c r="Y934" s="360"/>
      <c r="Z934" s="360"/>
      <c r="AA934" s="360"/>
      <c r="AB934" s="360"/>
      <c r="AC934" s="360"/>
      <c r="AD934" s="360"/>
      <c r="AE934" s="360"/>
      <c r="AF934" s="360"/>
      <c r="AG934" s="360" t="s">
        <v>1582</v>
      </c>
      <c r="AH934" s="360"/>
      <c r="AI934" s="360"/>
      <c r="AJ934" s="360" t="s">
        <v>1589</v>
      </c>
      <c r="AK934" s="360"/>
      <c r="AL934" s="360" t="s">
        <v>5878</v>
      </c>
      <c r="AM934" s="360"/>
      <c r="AN934" s="360"/>
      <c r="AO934" s="360"/>
      <c r="AP934" s="360"/>
      <c r="AQ934" s="360"/>
      <c r="AR934" s="360"/>
      <c r="AS934" s="360"/>
      <c r="AT934" s="360"/>
      <c r="AU934" s="360" t="s">
        <v>22</v>
      </c>
      <c r="AV934" s="360"/>
      <c r="AW934" s="264"/>
      <c r="AX934" s="264"/>
      <c r="AY934" s="264"/>
      <c r="AZ934" s="264"/>
      <c r="BA934" s="264"/>
      <c r="BB934" s="264"/>
      <c r="BC934" s="264"/>
      <c r="BD934" s="264"/>
      <c r="BE934" s="264"/>
    </row>
    <row r="935">
      <c r="A935" s="264"/>
      <c r="B935" s="264"/>
      <c r="C935" s="264"/>
      <c r="D935" s="264"/>
      <c r="E935" s="264"/>
      <c r="F935" s="264"/>
      <c r="G935" s="264"/>
      <c r="H935" s="264"/>
      <c r="I935" s="264"/>
      <c r="J935" s="264"/>
      <c r="K935" s="264"/>
      <c r="L935" s="264"/>
      <c r="M935" s="264" t="s">
        <v>22</v>
      </c>
      <c r="N935" s="264"/>
      <c r="O935" s="264" t="s">
        <v>22</v>
      </c>
      <c r="P935" s="264"/>
      <c r="Q935" s="264"/>
      <c r="R935" s="264"/>
      <c r="S935" s="264"/>
      <c r="T935" s="264"/>
      <c r="U935" s="360"/>
      <c r="V935" s="360"/>
      <c r="W935" s="360"/>
      <c r="X935" s="360"/>
      <c r="Y935" s="360"/>
      <c r="Z935" s="360"/>
      <c r="AA935" s="360"/>
      <c r="AB935" s="360"/>
      <c r="AC935" s="360"/>
      <c r="AD935" s="360"/>
      <c r="AE935" s="360"/>
      <c r="AF935" s="360"/>
      <c r="AG935" s="360" t="s">
        <v>1582</v>
      </c>
      <c r="AH935" s="360"/>
      <c r="AI935" s="360"/>
      <c r="AJ935" s="360" t="s">
        <v>1589</v>
      </c>
      <c r="AK935" s="360"/>
      <c r="AL935" s="360" t="s">
        <v>5878</v>
      </c>
      <c r="AM935" s="360"/>
      <c r="AN935" s="360"/>
      <c r="AO935" s="360"/>
      <c r="AP935" s="360"/>
      <c r="AQ935" s="360"/>
      <c r="AR935" s="360"/>
      <c r="AS935" s="360"/>
      <c r="AT935" s="360"/>
      <c r="AU935" s="360" t="s">
        <v>22</v>
      </c>
      <c r="AV935" s="360"/>
      <c r="AW935" s="264"/>
      <c r="AX935" s="264"/>
      <c r="AY935" s="264"/>
      <c r="AZ935" s="264"/>
      <c r="BA935" s="264"/>
      <c r="BB935" s="264"/>
      <c r="BC935" s="264"/>
      <c r="BD935" s="264"/>
      <c r="BE935" s="264"/>
    </row>
    <row r="936">
      <c r="A936" s="264"/>
      <c r="B936" s="264"/>
      <c r="C936" s="264"/>
      <c r="D936" s="264"/>
      <c r="E936" s="264"/>
      <c r="F936" s="264"/>
      <c r="G936" s="264"/>
      <c r="H936" s="264"/>
      <c r="I936" s="264"/>
      <c r="J936" s="264"/>
      <c r="K936" s="264"/>
      <c r="L936" s="264"/>
      <c r="M936" s="264" t="s">
        <v>22</v>
      </c>
      <c r="N936" s="264"/>
      <c r="O936" s="264" t="s">
        <v>22</v>
      </c>
      <c r="P936" s="264"/>
      <c r="Q936" s="264"/>
      <c r="R936" s="264"/>
      <c r="S936" s="264"/>
      <c r="T936" s="264"/>
      <c r="U936" s="360"/>
      <c r="V936" s="360"/>
      <c r="W936" s="360"/>
      <c r="X936" s="360"/>
      <c r="Y936" s="360"/>
      <c r="Z936" s="360"/>
      <c r="AA936" s="360"/>
      <c r="AB936" s="360"/>
      <c r="AC936" s="360"/>
      <c r="AD936" s="360"/>
      <c r="AE936" s="360"/>
      <c r="AF936" s="360"/>
      <c r="AG936" s="360" t="s">
        <v>1582</v>
      </c>
      <c r="AH936" s="360"/>
      <c r="AI936" s="360"/>
      <c r="AJ936" s="360" t="s">
        <v>1589</v>
      </c>
      <c r="AK936" s="360"/>
      <c r="AL936" s="360" t="s">
        <v>5878</v>
      </c>
      <c r="AM936" s="360"/>
      <c r="AN936" s="360"/>
      <c r="AO936" s="360"/>
      <c r="AP936" s="360"/>
      <c r="AQ936" s="360"/>
      <c r="AR936" s="360"/>
      <c r="AS936" s="360"/>
      <c r="AT936" s="360"/>
      <c r="AU936" s="360" t="s">
        <v>22</v>
      </c>
      <c r="AV936" s="360"/>
      <c r="AW936" s="264"/>
      <c r="AX936" s="264"/>
      <c r="AY936" s="264"/>
      <c r="AZ936" s="264"/>
      <c r="BA936" s="264"/>
      <c r="BB936" s="264"/>
      <c r="BC936" s="264"/>
      <c r="BD936" s="264"/>
      <c r="BE936" s="264"/>
    </row>
    <row r="937">
      <c r="A937" s="264"/>
      <c r="B937" s="264"/>
      <c r="C937" s="264"/>
      <c r="D937" s="264"/>
      <c r="E937" s="264"/>
      <c r="F937" s="264"/>
      <c r="G937" s="264"/>
      <c r="H937" s="264"/>
      <c r="I937" s="264"/>
      <c r="J937" s="264"/>
      <c r="K937" s="264"/>
      <c r="L937" s="264"/>
      <c r="M937" s="264" t="s">
        <v>22</v>
      </c>
      <c r="N937" s="264"/>
      <c r="O937" s="264" t="s">
        <v>22</v>
      </c>
      <c r="P937" s="264"/>
      <c r="Q937" s="264"/>
      <c r="R937" s="264"/>
      <c r="S937" s="264"/>
      <c r="T937" s="264"/>
      <c r="U937" s="360"/>
      <c r="V937" s="360"/>
      <c r="W937" s="360"/>
      <c r="X937" s="360"/>
      <c r="Y937" s="360"/>
      <c r="Z937" s="360"/>
      <c r="AA937" s="360"/>
      <c r="AB937" s="360"/>
      <c r="AC937" s="360"/>
      <c r="AD937" s="360"/>
      <c r="AE937" s="360"/>
      <c r="AF937" s="360"/>
      <c r="AG937" s="360" t="s">
        <v>1582</v>
      </c>
      <c r="AH937" s="360"/>
      <c r="AI937" s="360"/>
      <c r="AJ937" s="360" t="s">
        <v>1589</v>
      </c>
      <c r="AK937" s="360"/>
      <c r="AL937" s="360" t="s">
        <v>5878</v>
      </c>
      <c r="AM937" s="360"/>
      <c r="AN937" s="360"/>
      <c r="AO937" s="360"/>
      <c r="AP937" s="360"/>
      <c r="AQ937" s="360"/>
      <c r="AR937" s="360"/>
      <c r="AS937" s="360"/>
      <c r="AT937" s="360"/>
      <c r="AU937" s="360" t="s">
        <v>22</v>
      </c>
      <c r="AV937" s="360"/>
      <c r="AW937" s="264"/>
      <c r="AX937" s="264"/>
      <c r="AY937" s="264"/>
      <c r="AZ937" s="264"/>
      <c r="BA937" s="264"/>
      <c r="BB937" s="264"/>
      <c r="BC937" s="264"/>
      <c r="BD937" s="264"/>
      <c r="BE937" s="264"/>
    </row>
    <row r="938">
      <c r="A938" s="264"/>
      <c r="B938" s="264"/>
      <c r="C938" s="264"/>
      <c r="D938" s="264"/>
      <c r="E938" s="264"/>
      <c r="F938" s="264"/>
      <c r="G938" s="264"/>
      <c r="H938" s="264"/>
      <c r="I938" s="264"/>
      <c r="J938" s="264"/>
      <c r="K938" s="264"/>
      <c r="L938" s="264"/>
      <c r="M938" s="264" t="s">
        <v>22</v>
      </c>
      <c r="N938" s="264"/>
      <c r="O938" s="264" t="s">
        <v>22</v>
      </c>
      <c r="P938" s="264"/>
      <c r="Q938" s="264"/>
      <c r="R938" s="264"/>
      <c r="S938" s="264"/>
      <c r="T938" s="264"/>
      <c r="U938" s="360"/>
      <c r="V938" s="360"/>
      <c r="W938" s="360"/>
      <c r="X938" s="360"/>
      <c r="Y938" s="360"/>
      <c r="Z938" s="360"/>
      <c r="AA938" s="360"/>
      <c r="AB938" s="360"/>
      <c r="AC938" s="360"/>
      <c r="AD938" s="360"/>
      <c r="AE938" s="360"/>
      <c r="AF938" s="360"/>
      <c r="AG938" s="360" t="s">
        <v>1582</v>
      </c>
      <c r="AH938" s="360"/>
      <c r="AI938" s="360"/>
      <c r="AJ938" s="360" t="s">
        <v>1589</v>
      </c>
      <c r="AK938" s="360"/>
      <c r="AL938" s="360" t="s">
        <v>5878</v>
      </c>
      <c r="AM938" s="360"/>
      <c r="AN938" s="360"/>
      <c r="AO938" s="360"/>
      <c r="AP938" s="360"/>
      <c r="AQ938" s="360"/>
      <c r="AR938" s="360"/>
      <c r="AS938" s="360"/>
      <c r="AT938" s="360"/>
      <c r="AU938" s="360" t="s">
        <v>22</v>
      </c>
      <c r="AV938" s="360"/>
      <c r="AW938" s="264"/>
      <c r="AX938" s="264"/>
      <c r="AY938" s="264"/>
      <c r="AZ938" s="264"/>
      <c r="BA938" s="264"/>
      <c r="BB938" s="264"/>
      <c r="BC938" s="264"/>
      <c r="BD938" s="264"/>
      <c r="BE938" s="264"/>
    </row>
    <row r="939">
      <c r="A939" s="264"/>
      <c r="B939" s="264"/>
      <c r="C939" s="264"/>
      <c r="D939" s="264"/>
      <c r="E939" s="264"/>
      <c r="F939" s="264"/>
      <c r="G939" s="264"/>
      <c r="H939" s="264"/>
      <c r="I939" s="264"/>
      <c r="J939" s="264"/>
      <c r="K939" s="264"/>
      <c r="L939" s="264"/>
      <c r="M939" s="264" t="s">
        <v>22</v>
      </c>
      <c r="N939" s="264"/>
      <c r="O939" s="264" t="s">
        <v>22</v>
      </c>
      <c r="P939" s="264"/>
      <c r="Q939" s="264"/>
      <c r="R939" s="264"/>
      <c r="S939" s="264"/>
      <c r="T939" s="264"/>
      <c r="U939" s="360"/>
      <c r="V939" s="360"/>
      <c r="W939" s="360"/>
      <c r="X939" s="360"/>
      <c r="Y939" s="360"/>
      <c r="Z939" s="360"/>
      <c r="AA939" s="360"/>
      <c r="AB939" s="360"/>
      <c r="AC939" s="360"/>
      <c r="AD939" s="360"/>
      <c r="AE939" s="360"/>
      <c r="AF939" s="360"/>
      <c r="AG939" s="360" t="s">
        <v>1582</v>
      </c>
      <c r="AH939" s="360"/>
      <c r="AI939" s="360"/>
      <c r="AJ939" s="360" t="s">
        <v>1589</v>
      </c>
      <c r="AK939" s="360"/>
      <c r="AL939" s="360" t="s">
        <v>5878</v>
      </c>
      <c r="AM939" s="360"/>
      <c r="AN939" s="360"/>
      <c r="AO939" s="360"/>
      <c r="AP939" s="360"/>
      <c r="AQ939" s="360"/>
      <c r="AR939" s="360"/>
      <c r="AS939" s="360"/>
      <c r="AT939" s="360"/>
      <c r="AU939" s="360" t="s">
        <v>22</v>
      </c>
      <c r="AV939" s="360"/>
      <c r="AW939" s="264"/>
      <c r="AX939" s="264"/>
      <c r="AY939" s="264"/>
      <c r="AZ939" s="264"/>
      <c r="BA939" s="264"/>
      <c r="BB939" s="264"/>
      <c r="BC939" s="264"/>
      <c r="BD939" s="264"/>
      <c r="BE939" s="264"/>
    </row>
    <row r="940">
      <c r="A940" s="264"/>
      <c r="B940" s="264"/>
      <c r="C940" s="264"/>
      <c r="D940" s="264"/>
      <c r="E940" s="264"/>
      <c r="F940" s="264"/>
      <c r="G940" s="264"/>
      <c r="H940" s="264"/>
      <c r="I940" s="264"/>
      <c r="J940" s="264"/>
      <c r="K940" s="264"/>
      <c r="L940" s="264"/>
      <c r="M940" s="264" t="s">
        <v>22</v>
      </c>
      <c r="N940" s="264"/>
      <c r="O940" s="264" t="s">
        <v>22</v>
      </c>
      <c r="P940" s="264"/>
      <c r="Q940" s="264"/>
      <c r="R940" s="264"/>
      <c r="S940" s="264"/>
      <c r="T940" s="264"/>
      <c r="U940" s="360"/>
      <c r="V940" s="360"/>
      <c r="W940" s="360"/>
      <c r="X940" s="360"/>
      <c r="Y940" s="360"/>
      <c r="Z940" s="360"/>
      <c r="AA940" s="360"/>
      <c r="AB940" s="360"/>
      <c r="AC940" s="360"/>
      <c r="AD940" s="360"/>
      <c r="AE940" s="360"/>
      <c r="AF940" s="360"/>
      <c r="AG940" s="360" t="s">
        <v>1582</v>
      </c>
      <c r="AH940" s="360"/>
      <c r="AI940" s="360"/>
      <c r="AJ940" s="360" t="s">
        <v>1589</v>
      </c>
      <c r="AK940" s="360"/>
      <c r="AL940" s="360" t="s">
        <v>5878</v>
      </c>
      <c r="AM940" s="360"/>
      <c r="AN940" s="360"/>
      <c r="AO940" s="360"/>
      <c r="AP940" s="360"/>
      <c r="AQ940" s="360"/>
      <c r="AR940" s="360"/>
      <c r="AS940" s="360"/>
      <c r="AT940" s="360"/>
      <c r="AU940" s="360" t="s">
        <v>22</v>
      </c>
      <c r="AV940" s="360"/>
      <c r="AW940" s="264"/>
      <c r="AX940" s="264"/>
      <c r="AY940" s="264"/>
      <c r="AZ940" s="264"/>
      <c r="BA940" s="264"/>
      <c r="BB940" s="264"/>
      <c r="BC940" s="264"/>
      <c r="BD940" s="264"/>
      <c r="BE940" s="264"/>
    </row>
    <row r="941">
      <c r="A941" s="264"/>
      <c r="B941" s="264"/>
      <c r="C941" s="264"/>
      <c r="D941" s="264"/>
      <c r="E941" s="264"/>
      <c r="F941" s="264"/>
      <c r="G941" s="264"/>
      <c r="H941" s="264"/>
      <c r="I941" s="264"/>
      <c r="J941" s="264"/>
      <c r="K941" s="264"/>
      <c r="L941" s="264"/>
      <c r="M941" s="264" t="s">
        <v>22</v>
      </c>
      <c r="N941" s="264"/>
      <c r="O941" s="264" t="s">
        <v>22</v>
      </c>
      <c r="P941" s="264"/>
      <c r="Q941" s="264"/>
      <c r="R941" s="264"/>
      <c r="S941" s="264"/>
      <c r="T941" s="264"/>
      <c r="U941" s="360"/>
      <c r="V941" s="360"/>
      <c r="W941" s="360"/>
      <c r="X941" s="360"/>
      <c r="Y941" s="360"/>
      <c r="Z941" s="360"/>
      <c r="AA941" s="360"/>
      <c r="AB941" s="360"/>
      <c r="AC941" s="360"/>
      <c r="AD941" s="360"/>
      <c r="AE941" s="360"/>
      <c r="AF941" s="360"/>
      <c r="AG941" s="360" t="s">
        <v>1582</v>
      </c>
      <c r="AH941" s="360"/>
      <c r="AI941" s="360"/>
      <c r="AJ941" s="360" t="s">
        <v>1589</v>
      </c>
      <c r="AK941" s="360"/>
      <c r="AL941" s="360" t="s">
        <v>5878</v>
      </c>
      <c r="AM941" s="360"/>
      <c r="AN941" s="360"/>
      <c r="AO941" s="360"/>
      <c r="AP941" s="360"/>
      <c r="AQ941" s="360"/>
      <c r="AR941" s="360"/>
      <c r="AS941" s="360"/>
      <c r="AT941" s="360"/>
      <c r="AU941" s="360" t="s">
        <v>22</v>
      </c>
      <c r="AV941" s="360"/>
      <c r="AW941" s="264"/>
      <c r="AX941" s="264"/>
      <c r="AY941" s="264"/>
      <c r="AZ941" s="264"/>
      <c r="BA941" s="264"/>
      <c r="BB941" s="264"/>
      <c r="BC941" s="264"/>
      <c r="BD941" s="264"/>
      <c r="BE941" s="264"/>
    </row>
    <row r="942">
      <c r="A942" s="264"/>
      <c r="B942" s="264"/>
      <c r="C942" s="264"/>
      <c r="D942" s="264"/>
      <c r="E942" s="264"/>
      <c r="F942" s="264"/>
      <c r="G942" s="264"/>
      <c r="H942" s="264"/>
      <c r="I942" s="264"/>
      <c r="J942" s="264"/>
      <c r="K942" s="264"/>
      <c r="L942" s="264"/>
      <c r="M942" s="264" t="s">
        <v>22</v>
      </c>
      <c r="N942" s="264"/>
      <c r="O942" s="264" t="s">
        <v>22</v>
      </c>
      <c r="P942" s="264"/>
      <c r="Q942" s="264"/>
      <c r="R942" s="264"/>
      <c r="S942" s="264"/>
      <c r="T942" s="264"/>
      <c r="U942" s="360"/>
      <c r="V942" s="360"/>
      <c r="W942" s="360"/>
      <c r="X942" s="360"/>
      <c r="Y942" s="360"/>
      <c r="Z942" s="360"/>
      <c r="AA942" s="360"/>
      <c r="AB942" s="360"/>
      <c r="AC942" s="360"/>
      <c r="AD942" s="360"/>
      <c r="AE942" s="360"/>
      <c r="AF942" s="360"/>
      <c r="AG942" s="360" t="s">
        <v>1582</v>
      </c>
      <c r="AH942" s="360"/>
      <c r="AI942" s="360"/>
      <c r="AJ942" s="360" t="s">
        <v>1589</v>
      </c>
      <c r="AK942" s="360"/>
      <c r="AL942" s="360" t="s">
        <v>5878</v>
      </c>
      <c r="AM942" s="360"/>
      <c r="AN942" s="360"/>
      <c r="AO942" s="360"/>
      <c r="AP942" s="360"/>
      <c r="AQ942" s="360"/>
      <c r="AR942" s="360"/>
      <c r="AS942" s="360"/>
      <c r="AT942" s="360"/>
      <c r="AU942" s="360" t="s">
        <v>22</v>
      </c>
      <c r="AV942" s="360"/>
      <c r="AW942" s="264"/>
      <c r="AX942" s="264"/>
      <c r="AY942" s="264"/>
      <c r="AZ942" s="264"/>
      <c r="BA942" s="264"/>
      <c r="BB942" s="264"/>
      <c r="BC942" s="264"/>
      <c r="BD942" s="264"/>
      <c r="BE942" s="264"/>
    </row>
    <row r="943">
      <c r="A943" s="264"/>
      <c r="B943" s="264"/>
      <c r="C943" s="264"/>
      <c r="D943" s="264"/>
      <c r="E943" s="264"/>
      <c r="F943" s="264"/>
      <c r="G943" s="264"/>
      <c r="H943" s="264"/>
      <c r="I943" s="264"/>
      <c r="J943" s="264"/>
      <c r="K943" s="264"/>
      <c r="L943" s="264"/>
      <c r="M943" s="264" t="s">
        <v>22</v>
      </c>
      <c r="N943" s="264"/>
      <c r="O943" s="264" t="s">
        <v>22</v>
      </c>
      <c r="P943" s="264"/>
      <c r="Q943" s="264"/>
      <c r="R943" s="264"/>
      <c r="S943" s="264"/>
      <c r="T943" s="264"/>
      <c r="U943" s="360"/>
      <c r="V943" s="360"/>
      <c r="W943" s="360"/>
      <c r="X943" s="360"/>
      <c r="Y943" s="360"/>
      <c r="Z943" s="360"/>
      <c r="AA943" s="360"/>
      <c r="AB943" s="360"/>
      <c r="AC943" s="360"/>
      <c r="AD943" s="360"/>
      <c r="AE943" s="360"/>
      <c r="AF943" s="360"/>
      <c r="AG943" s="360" t="s">
        <v>1582</v>
      </c>
      <c r="AH943" s="360"/>
      <c r="AI943" s="360"/>
      <c r="AJ943" s="360" t="s">
        <v>1589</v>
      </c>
      <c r="AK943" s="360"/>
      <c r="AL943" s="360" t="s">
        <v>5878</v>
      </c>
      <c r="AM943" s="360"/>
      <c r="AN943" s="360"/>
      <c r="AO943" s="360"/>
      <c r="AP943" s="360"/>
      <c r="AQ943" s="360"/>
      <c r="AR943" s="360"/>
      <c r="AS943" s="360"/>
      <c r="AT943" s="360"/>
      <c r="AU943" s="360" t="s">
        <v>22</v>
      </c>
      <c r="AV943" s="360"/>
      <c r="AW943" s="264"/>
      <c r="AX943" s="264"/>
      <c r="AY943" s="264"/>
      <c r="AZ943" s="264"/>
      <c r="BA943" s="264"/>
      <c r="BB943" s="264"/>
      <c r="BC943" s="264"/>
      <c r="BD943" s="264"/>
      <c r="BE943" s="264"/>
    </row>
    <row r="944">
      <c r="A944" s="264"/>
      <c r="B944" s="264"/>
      <c r="C944" s="264"/>
      <c r="D944" s="264"/>
      <c r="E944" s="264"/>
      <c r="F944" s="264"/>
      <c r="G944" s="264"/>
      <c r="H944" s="264"/>
      <c r="I944" s="264"/>
      <c r="J944" s="264"/>
      <c r="K944" s="264"/>
      <c r="L944" s="264"/>
      <c r="M944" s="264" t="s">
        <v>22</v>
      </c>
      <c r="N944" s="264"/>
      <c r="O944" s="264" t="s">
        <v>22</v>
      </c>
      <c r="P944" s="264"/>
      <c r="Q944" s="264"/>
      <c r="R944" s="264"/>
      <c r="S944" s="264"/>
      <c r="T944" s="264"/>
      <c r="U944" s="360"/>
      <c r="V944" s="360"/>
      <c r="W944" s="360"/>
      <c r="X944" s="360"/>
      <c r="Y944" s="360"/>
      <c r="Z944" s="360"/>
      <c r="AA944" s="360"/>
      <c r="AB944" s="360"/>
      <c r="AC944" s="360"/>
      <c r="AD944" s="360"/>
      <c r="AE944" s="360"/>
      <c r="AF944" s="360"/>
      <c r="AG944" s="360" t="s">
        <v>1582</v>
      </c>
      <c r="AH944" s="360"/>
      <c r="AI944" s="360"/>
      <c r="AJ944" s="360" t="s">
        <v>1589</v>
      </c>
      <c r="AK944" s="360"/>
      <c r="AL944" s="360" t="s">
        <v>5878</v>
      </c>
      <c r="AM944" s="360"/>
      <c r="AN944" s="360"/>
      <c r="AO944" s="360"/>
      <c r="AP944" s="360"/>
      <c r="AQ944" s="360"/>
      <c r="AR944" s="360"/>
      <c r="AS944" s="360"/>
      <c r="AT944" s="360"/>
      <c r="AU944" s="360" t="s">
        <v>22</v>
      </c>
      <c r="AV944" s="360"/>
      <c r="AW944" s="264"/>
      <c r="AX944" s="264"/>
      <c r="AY944" s="264"/>
      <c r="AZ944" s="264"/>
      <c r="BA944" s="264"/>
      <c r="BB944" s="264"/>
      <c r="BC944" s="264"/>
      <c r="BD944" s="264"/>
      <c r="BE944" s="264"/>
    </row>
    <row r="945">
      <c r="A945" s="264"/>
      <c r="B945" s="264"/>
      <c r="C945" s="264"/>
      <c r="D945" s="264"/>
      <c r="E945" s="264"/>
      <c r="F945" s="264"/>
      <c r="G945" s="264"/>
      <c r="H945" s="264"/>
      <c r="I945" s="264"/>
      <c r="J945" s="264"/>
      <c r="K945" s="264"/>
      <c r="L945" s="264"/>
      <c r="M945" s="264" t="s">
        <v>22</v>
      </c>
      <c r="N945" s="264"/>
      <c r="O945" s="264" t="s">
        <v>22</v>
      </c>
      <c r="P945" s="264"/>
      <c r="Q945" s="264"/>
      <c r="R945" s="264"/>
      <c r="S945" s="264"/>
      <c r="T945" s="264"/>
      <c r="U945" s="360"/>
      <c r="V945" s="360"/>
      <c r="W945" s="360"/>
      <c r="X945" s="360"/>
      <c r="Y945" s="360"/>
      <c r="Z945" s="360"/>
      <c r="AA945" s="360"/>
      <c r="AB945" s="360"/>
      <c r="AC945" s="360"/>
      <c r="AD945" s="360"/>
      <c r="AE945" s="360"/>
      <c r="AF945" s="360"/>
      <c r="AG945" s="360" t="s">
        <v>1582</v>
      </c>
      <c r="AH945" s="360"/>
      <c r="AI945" s="360"/>
      <c r="AJ945" s="360" t="s">
        <v>1589</v>
      </c>
      <c r="AK945" s="360"/>
      <c r="AL945" s="360" t="s">
        <v>5878</v>
      </c>
      <c r="AM945" s="360"/>
      <c r="AN945" s="360"/>
      <c r="AO945" s="360"/>
      <c r="AP945" s="360"/>
      <c r="AQ945" s="360"/>
      <c r="AR945" s="360"/>
      <c r="AS945" s="360"/>
      <c r="AT945" s="360"/>
      <c r="AU945" s="360" t="s">
        <v>22</v>
      </c>
      <c r="AV945" s="360"/>
      <c r="AW945" s="264"/>
      <c r="AX945" s="264"/>
      <c r="AY945" s="264"/>
      <c r="AZ945" s="264"/>
      <c r="BA945" s="264"/>
      <c r="BB945" s="264"/>
      <c r="BC945" s="264"/>
      <c r="BD945" s="264"/>
      <c r="BE945" s="264"/>
    </row>
    <row r="946">
      <c r="A946" s="264"/>
      <c r="B946" s="264"/>
      <c r="C946" s="264"/>
      <c r="D946" s="264"/>
      <c r="E946" s="264"/>
      <c r="F946" s="264"/>
      <c r="G946" s="264"/>
      <c r="H946" s="264"/>
      <c r="I946" s="264"/>
      <c r="J946" s="264"/>
      <c r="K946" s="264"/>
      <c r="L946" s="264"/>
      <c r="M946" s="264" t="s">
        <v>22</v>
      </c>
      <c r="N946" s="264"/>
      <c r="O946" s="264" t="s">
        <v>22</v>
      </c>
      <c r="P946" s="264"/>
      <c r="Q946" s="264"/>
      <c r="R946" s="264"/>
      <c r="S946" s="264"/>
      <c r="T946" s="264"/>
      <c r="U946" s="360"/>
      <c r="V946" s="360"/>
      <c r="W946" s="360"/>
      <c r="X946" s="360"/>
      <c r="Y946" s="360"/>
      <c r="Z946" s="360"/>
      <c r="AA946" s="360"/>
      <c r="AB946" s="360"/>
      <c r="AC946" s="360"/>
      <c r="AD946" s="360"/>
      <c r="AE946" s="360"/>
      <c r="AF946" s="360"/>
      <c r="AG946" s="360" t="s">
        <v>1582</v>
      </c>
      <c r="AH946" s="360"/>
      <c r="AI946" s="360"/>
      <c r="AJ946" s="360" t="s">
        <v>1589</v>
      </c>
      <c r="AK946" s="360"/>
      <c r="AL946" s="360" t="s">
        <v>5878</v>
      </c>
      <c r="AM946" s="360"/>
      <c r="AN946" s="360"/>
      <c r="AO946" s="360"/>
      <c r="AP946" s="360"/>
      <c r="AQ946" s="360"/>
      <c r="AR946" s="360"/>
      <c r="AS946" s="360"/>
      <c r="AT946" s="360"/>
      <c r="AU946" s="360" t="s">
        <v>22</v>
      </c>
      <c r="AV946" s="360"/>
      <c r="AW946" s="264"/>
      <c r="AX946" s="264"/>
      <c r="AY946" s="264"/>
      <c r="AZ946" s="264"/>
      <c r="BA946" s="264"/>
      <c r="BB946" s="264"/>
      <c r="BC946" s="264"/>
      <c r="BD946" s="264"/>
      <c r="BE946" s="264"/>
    </row>
    <row r="947">
      <c r="A947" s="264"/>
      <c r="B947" s="264"/>
      <c r="C947" s="264"/>
      <c r="D947" s="264"/>
      <c r="E947" s="264"/>
      <c r="F947" s="264"/>
      <c r="G947" s="264"/>
      <c r="H947" s="264"/>
      <c r="I947" s="264"/>
      <c r="J947" s="264"/>
      <c r="K947" s="264"/>
      <c r="L947" s="264"/>
      <c r="M947" s="264" t="s">
        <v>22</v>
      </c>
      <c r="N947" s="264"/>
      <c r="O947" s="264" t="s">
        <v>22</v>
      </c>
      <c r="P947" s="264"/>
      <c r="Q947" s="264"/>
      <c r="R947" s="264"/>
      <c r="S947" s="264"/>
      <c r="T947" s="264"/>
      <c r="U947" s="360"/>
      <c r="V947" s="360"/>
      <c r="W947" s="360"/>
      <c r="X947" s="360"/>
      <c r="Y947" s="360"/>
      <c r="Z947" s="360"/>
      <c r="AA947" s="360"/>
      <c r="AB947" s="360"/>
      <c r="AC947" s="360"/>
      <c r="AD947" s="360"/>
      <c r="AE947" s="360"/>
      <c r="AF947" s="360"/>
      <c r="AG947" s="360" t="s">
        <v>1582</v>
      </c>
      <c r="AH947" s="360"/>
      <c r="AI947" s="360"/>
      <c r="AJ947" s="360" t="s">
        <v>1589</v>
      </c>
      <c r="AK947" s="360"/>
      <c r="AL947" s="360" t="s">
        <v>5878</v>
      </c>
      <c r="AM947" s="360"/>
      <c r="AN947" s="360"/>
      <c r="AO947" s="360"/>
      <c r="AP947" s="360"/>
      <c r="AQ947" s="360"/>
      <c r="AR947" s="360"/>
      <c r="AS947" s="360"/>
      <c r="AT947" s="360"/>
      <c r="AU947" s="360" t="s">
        <v>22</v>
      </c>
      <c r="AV947" s="360"/>
      <c r="AW947" s="264"/>
      <c r="AX947" s="264"/>
      <c r="AY947" s="264"/>
      <c r="AZ947" s="264"/>
      <c r="BA947" s="264"/>
      <c r="BB947" s="264"/>
      <c r="BC947" s="264"/>
      <c r="BD947" s="264"/>
      <c r="BE947" s="264"/>
    </row>
    <row r="948">
      <c r="A948" s="264"/>
      <c r="B948" s="264"/>
      <c r="C948" s="264"/>
      <c r="D948" s="264"/>
      <c r="E948" s="264"/>
      <c r="F948" s="264"/>
      <c r="G948" s="264"/>
      <c r="H948" s="264"/>
      <c r="I948" s="264"/>
      <c r="J948" s="264"/>
      <c r="K948" s="264"/>
      <c r="L948" s="264"/>
      <c r="M948" s="264" t="s">
        <v>22</v>
      </c>
      <c r="N948" s="264"/>
      <c r="O948" s="264" t="s">
        <v>22</v>
      </c>
      <c r="P948" s="264"/>
      <c r="Q948" s="264"/>
      <c r="R948" s="264"/>
      <c r="S948" s="264"/>
      <c r="T948" s="264"/>
      <c r="U948" s="360"/>
      <c r="V948" s="360"/>
      <c r="W948" s="360"/>
      <c r="X948" s="360"/>
      <c r="Y948" s="360"/>
      <c r="Z948" s="360"/>
      <c r="AA948" s="360"/>
      <c r="AB948" s="360"/>
      <c r="AC948" s="360"/>
      <c r="AD948" s="360"/>
      <c r="AE948" s="360"/>
      <c r="AF948" s="360"/>
      <c r="AG948" s="360" t="s">
        <v>1582</v>
      </c>
      <c r="AH948" s="360"/>
      <c r="AI948" s="360"/>
      <c r="AJ948" s="360" t="s">
        <v>1589</v>
      </c>
      <c r="AK948" s="360"/>
      <c r="AL948" s="360" t="s">
        <v>5878</v>
      </c>
      <c r="AM948" s="360"/>
      <c r="AN948" s="360"/>
      <c r="AO948" s="360"/>
      <c r="AP948" s="360"/>
      <c r="AQ948" s="360"/>
      <c r="AR948" s="360"/>
      <c r="AS948" s="360"/>
      <c r="AT948" s="360"/>
      <c r="AU948" s="360" t="s">
        <v>22</v>
      </c>
      <c r="AV948" s="360"/>
      <c r="AW948" s="264"/>
      <c r="AX948" s="264"/>
      <c r="AY948" s="264"/>
      <c r="AZ948" s="264"/>
      <c r="BA948" s="264"/>
      <c r="BB948" s="264"/>
      <c r="BC948" s="264"/>
      <c r="BD948" s="264"/>
      <c r="BE948" s="264"/>
    </row>
    <row r="949">
      <c r="A949" s="264"/>
      <c r="B949" s="264"/>
      <c r="C949" s="264"/>
      <c r="D949" s="264"/>
      <c r="E949" s="264"/>
      <c r="F949" s="264"/>
      <c r="G949" s="264"/>
      <c r="H949" s="264"/>
      <c r="I949" s="264"/>
      <c r="J949" s="264"/>
      <c r="K949" s="264"/>
      <c r="L949" s="264"/>
      <c r="M949" s="264" t="s">
        <v>22</v>
      </c>
      <c r="N949" s="264"/>
      <c r="O949" s="264" t="s">
        <v>22</v>
      </c>
      <c r="P949" s="264"/>
      <c r="Q949" s="264"/>
      <c r="R949" s="264"/>
      <c r="S949" s="264"/>
      <c r="T949" s="264"/>
      <c r="U949" s="360"/>
      <c r="V949" s="360"/>
      <c r="W949" s="360"/>
      <c r="X949" s="360"/>
      <c r="Y949" s="360"/>
      <c r="Z949" s="360"/>
      <c r="AA949" s="360"/>
      <c r="AB949" s="360"/>
      <c r="AC949" s="360"/>
      <c r="AD949" s="360"/>
      <c r="AE949" s="360"/>
      <c r="AF949" s="360"/>
      <c r="AG949" s="360" t="s">
        <v>1582</v>
      </c>
      <c r="AH949" s="360"/>
      <c r="AI949" s="360"/>
      <c r="AJ949" s="360" t="s">
        <v>1589</v>
      </c>
      <c r="AK949" s="360"/>
      <c r="AL949" s="360" t="s">
        <v>5878</v>
      </c>
      <c r="AM949" s="360"/>
      <c r="AN949" s="360"/>
      <c r="AO949" s="360"/>
      <c r="AP949" s="360"/>
      <c r="AQ949" s="360"/>
      <c r="AR949" s="360"/>
      <c r="AS949" s="360"/>
      <c r="AT949" s="360"/>
      <c r="AU949" s="360" t="s">
        <v>22</v>
      </c>
      <c r="AV949" s="360"/>
      <c r="AW949" s="264"/>
      <c r="AX949" s="264"/>
      <c r="AY949" s="264"/>
      <c r="AZ949" s="264"/>
      <c r="BA949" s="264"/>
      <c r="BB949" s="264"/>
      <c r="BC949" s="264"/>
      <c r="BD949" s="264"/>
      <c r="BE949" s="264"/>
    </row>
    <row r="950">
      <c r="A950" s="264"/>
      <c r="B950" s="264"/>
      <c r="C950" s="264"/>
      <c r="D950" s="264"/>
      <c r="E950" s="264"/>
      <c r="F950" s="264"/>
      <c r="G950" s="264"/>
      <c r="H950" s="264"/>
      <c r="I950" s="264"/>
      <c r="J950" s="264"/>
      <c r="K950" s="264"/>
      <c r="L950" s="264"/>
      <c r="M950" s="264" t="s">
        <v>22</v>
      </c>
      <c r="N950" s="264"/>
      <c r="O950" s="264" t="s">
        <v>22</v>
      </c>
      <c r="P950" s="264"/>
      <c r="Q950" s="264"/>
      <c r="R950" s="264"/>
      <c r="S950" s="264"/>
      <c r="T950" s="264"/>
      <c r="U950" s="360"/>
      <c r="V950" s="360"/>
      <c r="W950" s="360"/>
      <c r="X950" s="360"/>
      <c r="Y950" s="360"/>
      <c r="Z950" s="360"/>
      <c r="AA950" s="360"/>
      <c r="AB950" s="360"/>
      <c r="AC950" s="360"/>
      <c r="AD950" s="360"/>
      <c r="AE950" s="360"/>
      <c r="AF950" s="360"/>
      <c r="AG950" s="360" t="s">
        <v>1582</v>
      </c>
      <c r="AH950" s="360"/>
      <c r="AI950" s="360"/>
      <c r="AJ950" s="360" t="s">
        <v>1589</v>
      </c>
      <c r="AK950" s="360"/>
      <c r="AL950" s="360" t="s">
        <v>5878</v>
      </c>
      <c r="AM950" s="360"/>
      <c r="AN950" s="360"/>
      <c r="AO950" s="360"/>
      <c r="AP950" s="360"/>
      <c r="AQ950" s="360"/>
      <c r="AR950" s="360"/>
      <c r="AS950" s="360"/>
      <c r="AT950" s="360"/>
      <c r="AU950" s="360" t="s">
        <v>22</v>
      </c>
      <c r="AV950" s="360"/>
      <c r="AW950" s="264"/>
      <c r="AX950" s="264"/>
      <c r="AY950" s="264"/>
      <c r="AZ950" s="264"/>
      <c r="BA950" s="264"/>
      <c r="BB950" s="264"/>
      <c r="BC950" s="264"/>
      <c r="BD950" s="264"/>
      <c r="BE950" s="264"/>
    </row>
    <row r="951">
      <c r="A951" s="264"/>
      <c r="B951" s="264"/>
      <c r="C951" s="264"/>
      <c r="D951" s="264"/>
      <c r="E951" s="264"/>
      <c r="F951" s="264"/>
      <c r="G951" s="264"/>
      <c r="H951" s="264"/>
      <c r="I951" s="264"/>
      <c r="J951" s="264"/>
      <c r="K951" s="264"/>
      <c r="L951" s="264"/>
      <c r="M951" s="264" t="s">
        <v>22</v>
      </c>
      <c r="N951" s="264"/>
      <c r="O951" s="264" t="s">
        <v>22</v>
      </c>
      <c r="P951" s="264"/>
      <c r="Q951" s="264"/>
      <c r="R951" s="264"/>
      <c r="S951" s="264"/>
      <c r="T951" s="264"/>
      <c r="U951" s="360"/>
      <c r="V951" s="360"/>
      <c r="W951" s="360"/>
      <c r="X951" s="360"/>
      <c r="Y951" s="360"/>
      <c r="Z951" s="360"/>
      <c r="AA951" s="360"/>
      <c r="AB951" s="360"/>
      <c r="AC951" s="360"/>
      <c r="AD951" s="360"/>
      <c r="AE951" s="360"/>
      <c r="AF951" s="360"/>
      <c r="AG951" s="360" t="s">
        <v>1582</v>
      </c>
      <c r="AH951" s="360"/>
      <c r="AI951" s="360"/>
      <c r="AJ951" s="360" t="s">
        <v>1589</v>
      </c>
      <c r="AK951" s="360"/>
      <c r="AL951" s="360" t="s">
        <v>5878</v>
      </c>
      <c r="AM951" s="360"/>
      <c r="AN951" s="360"/>
      <c r="AO951" s="360"/>
      <c r="AP951" s="360"/>
      <c r="AQ951" s="360"/>
      <c r="AR951" s="360"/>
      <c r="AS951" s="360"/>
      <c r="AT951" s="360"/>
      <c r="AU951" s="360" t="s">
        <v>22</v>
      </c>
      <c r="AV951" s="360"/>
      <c r="AW951" s="264"/>
      <c r="AX951" s="264"/>
      <c r="AY951" s="264"/>
      <c r="AZ951" s="264"/>
      <c r="BA951" s="264"/>
      <c r="BB951" s="264"/>
      <c r="BC951" s="264"/>
      <c r="BD951" s="264"/>
      <c r="BE951" s="264"/>
    </row>
    <row r="952">
      <c r="A952" s="264"/>
      <c r="B952" s="264"/>
      <c r="C952" s="264"/>
      <c r="D952" s="264"/>
      <c r="E952" s="264"/>
      <c r="F952" s="264"/>
      <c r="G952" s="264"/>
      <c r="H952" s="264"/>
      <c r="I952" s="264"/>
      <c r="J952" s="264"/>
      <c r="K952" s="264"/>
      <c r="L952" s="264"/>
      <c r="M952" s="264" t="s">
        <v>22</v>
      </c>
      <c r="N952" s="264"/>
      <c r="O952" s="264" t="s">
        <v>22</v>
      </c>
      <c r="P952" s="264"/>
      <c r="Q952" s="264"/>
      <c r="R952" s="264"/>
      <c r="S952" s="264"/>
      <c r="T952" s="264"/>
      <c r="U952" s="360"/>
      <c r="V952" s="360"/>
      <c r="W952" s="360"/>
      <c r="X952" s="360"/>
      <c r="Y952" s="360"/>
      <c r="Z952" s="360"/>
      <c r="AA952" s="360"/>
      <c r="AB952" s="360"/>
      <c r="AC952" s="360"/>
      <c r="AD952" s="360"/>
      <c r="AE952" s="360"/>
      <c r="AF952" s="360"/>
      <c r="AG952" s="360" t="s">
        <v>1582</v>
      </c>
      <c r="AH952" s="360"/>
      <c r="AI952" s="360"/>
      <c r="AJ952" s="360" t="s">
        <v>1589</v>
      </c>
      <c r="AK952" s="360"/>
      <c r="AL952" s="360" t="s">
        <v>5878</v>
      </c>
      <c r="AM952" s="360"/>
      <c r="AN952" s="360"/>
      <c r="AO952" s="360"/>
      <c r="AP952" s="360"/>
      <c r="AQ952" s="360"/>
      <c r="AR952" s="360"/>
      <c r="AS952" s="360"/>
      <c r="AT952" s="360"/>
      <c r="AU952" s="360" t="s">
        <v>22</v>
      </c>
      <c r="AV952" s="360"/>
      <c r="AW952" s="264"/>
      <c r="AX952" s="264"/>
      <c r="AY952" s="264"/>
      <c r="AZ952" s="264"/>
      <c r="BA952" s="264"/>
      <c r="BB952" s="264"/>
      <c r="BC952" s="264"/>
      <c r="BD952" s="264"/>
      <c r="BE952" s="264"/>
    </row>
    <row r="953">
      <c r="A953" s="264"/>
      <c r="B953" s="264"/>
      <c r="C953" s="264"/>
      <c r="D953" s="264"/>
      <c r="E953" s="264"/>
      <c r="F953" s="264"/>
      <c r="G953" s="264"/>
      <c r="H953" s="264"/>
      <c r="I953" s="264"/>
      <c r="J953" s="264"/>
      <c r="K953" s="264"/>
      <c r="L953" s="264"/>
      <c r="M953" s="264" t="s">
        <v>22</v>
      </c>
      <c r="N953" s="264"/>
      <c r="O953" s="264" t="s">
        <v>22</v>
      </c>
      <c r="P953" s="264"/>
      <c r="Q953" s="264"/>
      <c r="R953" s="264"/>
      <c r="S953" s="264"/>
      <c r="T953" s="264"/>
      <c r="U953" s="360"/>
      <c r="V953" s="360"/>
      <c r="W953" s="360"/>
      <c r="X953" s="360"/>
      <c r="Y953" s="360"/>
      <c r="Z953" s="360"/>
      <c r="AA953" s="360"/>
      <c r="AB953" s="360"/>
      <c r="AC953" s="360"/>
      <c r="AD953" s="360"/>
      <c r="AE953" s="360"/>
      <c r="AF953" s="360"/>
      <c r="AG953" s="360" t="s">
        <v>1582</v>
      </c>
      <c r="AH953" s="360"/>
      <c r="AI953" s="360"/>
      <c r="AJ953" s="360" t="s">
        <v>1589</v>
      </c>
      <c r="AK953" s="360"/>
      <c r="AL953" s="360" t="s">
        <v>5878</v>
      </c>
      <c r="AM953" s="360"/>
      <c r="AN953" s="360"/>
      <c r="AO953" s="360"/>
      <c r="AP953" s="360"/>
      <c r="AQ953" s="360"/>
      <c r="AR953" s="360"/>
      <c r="AS953" s="360"/>
      <c r="AT953" s="360"/>
      <c r="AU953" s="360" t="s">
        <v>22</v>
      </c>
      <c r="AV953" s="360"/>
      <c r="AW953" s="264"/>
      <c r="AX953" s="264"/>
      <c r="AY953" s="264"/>
      <c r="AZ953" s="264"/>
      <c r="BA953" s="264"/>
      <c r="BB953" s="264"/>
      <c r="BC953" s="264"/>
      <c r="BD953" s="264"/>
      <c r="BE953" s="264"/>
    </row>
    <row r="954">
      <c r="A954" s="264"/>
      <c r="B954" s="264"/>
      <c r="C954" s="264"/>
      <c r="D954" s="264"/>
      <c r="E954" s="264"/>
      <c r="F954" s="264"/>
      <c r="G954" s="264"/>
      <c r="H954" s="264"/>
      <c r="I954" s="264"/>
      <c r="J954" s="264"/>
      <c r="K954" s="264"/>
      <c r="L954" s="264"/>
      <c r="M954" s="264" t="s">
        <v>22</v>
      </c>
      <c r="N954" s="264"/>
      <c r="O954" s="264" t="s">
        <v>22</v>
      </c>
      <c r="P954" s="264"/>
      <c r="Q954" s="264"/>
      <c r="R954" s="264"/>
      <c r="S954" s="264"/>
      <c r="T954" s="264"/>
      <c r="U954" s="360"/>
      <c r="V954" s="360"/>
      <c r="W954" s="360"/>
      <c r="X954" s="360"/>
      <c r="Y954" s="360"/>
      <c r="Z954" s="360"/>
      <c r="AA954" s="360"/>
      <c r="AB954" s="360"/>
      <c r="AC954" s="360"/>
      <c r="AD954" s="360"/>
      <c r="AE954" s="360"/>
      <c r="AF954" s="360"/>
      <c r="AG954" s="360" t="s">
        <v>1582</v>
      </c>
      <c r="AH954" s="360"/>
      <c r="AI954" s="360"/>
      <c r="AJ954" s="360" t="s">
        <v>1589</v>
      </c>
      <c r="AK954" s="360"/>
      <c r="AL954" s="360" t="s">
        <v>5878</v>
      </c>
      <c r="AM954" s="360"/>
      <c r="AN954" s="360"/>
      <c r="AO954" s="360"/>
      <c r="AP954" s="360"/>
      <c r="AQ954" s="360"/>
      <c r="AR954" s="360"/>
      <c r="AS954" s="360"/>
      <c r="AT954" s="360"/>
      <c r="AU954" s="360" t="s">
        <v>22</v>
      </c>
      <c r="AV954" s="360"/>
      <c r="AW954" s="264"/>
      <c r="AX954" s="264"/>
      <c r="AY954" s="264"/>
      <c r="AZ954" s="264"/>
      <c r="BA954" s="264"/>
      <c r="BB954" s="264"/>
      <c r="BC954" s="264"/>
      <c r="BD954" s="264"/>
      <c r="BE954" s="264"/>
    </row>
    <row r="955">
      <c r="A955" s="264"/>
      <c r="B955" s="264"/>
      <c r="C955" s="264"/>
      <c r="D955" s="264"/>
      <c r="E955" s="264"/>
      <c r="F955" s="264"/>
      <c r="G955" s="264"/>
      <c r="H955" s="264"/>
      <c r="I955" s="264"/>
      <c r="J955" s="264"/>
      <c r="K955" s="264"/>
      <c r="L955" s="264"/>
      <c r="M955" s="264" t="s">
        <v>22</v>
      </c>
      <c r="N955" s="264"/>
      <c r="O955" s="264" t="s">
        <v>22</v>
      </c>
      <c r="P955" s="264"/>
      <c r="Q955" s="264"/>
      <c r="R955" s="264"/>
      <c r="S955" s="264"/>
      <c r="T955" s="264"/>
      <c r="U955" s="360"/>
      <c r="V955" s="360"/>
      <c r="W955" s="360"/>
      <c r="X955" s="360"/>
      <c r="Y955" s="360"/>
      <c r="Z955" s="360"/>
      <c r="AA955" s="360"/>
      <c r="AB955" s="360"/>
      <c r="AC955" s="360"/>
      <c r="AD955" s="360"/>
      <c r="AE955" s="360"/>
      <c r="AF955" s="360"/>
      <c r="AG955" s="360" t="s">
        <v>1582</v>
      </c>
      <c r="AH955" s="360"/>
      <c r="AI955" s="360"/>
      <c r="AJ955" s="360" t="s">
        <v>1589</v>
      </c>
      <c r="AK955" s="360"/>
      <c r="AL955" s="360" t="s">
        <v>5878</v>
      </c>
      <c r="AM955" s="360"/>
      <c r="AN955" s="360"/>
      <c r="AO955" s="360"/>
      <c r="AP955" s="360"/>
      <c r="AQ955" s="360"/>
      <c r="AR955" s="360"/>
      <c r="AS955" s="360"/>
      <c r="AT955" s="360"/>
      <c r="AU955" s="360" t="s">
        <v>22</v>
      </c>
      <c r="AV955" s="360"/>
      <c r="AW955" s="264"/>
      <c r="AX955" s="264"/>
      <c r="AY955" s="264"/>
      <c r="AZ955" s="264"/>
      <c r="BA955" s="264"/>
      <c r="BB955" s="264"/>
      <c r="BC955" s="264"/>
      <c r="BD955" s="264"/>
      <c r="BE955" s="264"/>
    </row>
    <row r="956">
      <c r="A956" s="264"/>
      <c r="B956" s="264"/>
      <c r="C956" s="264"/>
      <c r="D956" s="264"/>
      <c r="E956" s="264"/>
      <c r="F956" s="264"/>
      <c r="G956" s="264"/>
      <c r="H956" s="264"/>
      <c r="I956" s="264"/>
      <c r="J956" s="264"/>
      <c r="K956" s="264"/>
      <c r="L956" s="264"/>
      <c r="M956" s="264" t="s">
        <v>22</v>
      </c>
      <c r="N956" s="264"/>
      <c r="O956" s="264" t="s">
        <v>22</v>
      </c>
      <c r="P956" s="264"/>
      <c r="Q956" s="264"/>
      <c r="R956" s="264"/>
      <c r="S956" s="264"/>
      <c r="T956" s="264"/>
      <c r="U956" s="360"/>
      <c r="V956" s="360"/>
      <c r="W956" s="360"/>
      <c r="X956" s="360"/>
      <c r="Y956" s="360"/>
      <c r="Z956" s="360"/>
      <c r="AA956" s="360"/>
      <c r="AB956" s="360"/>
      <c r="AC956" s="360"/>
      <c r="AD956" s="360"/>
      <c r="AE956" s="360"/>
      <c r="AF956" s="360"/>
      <c r="AG956" s="360" t="s">
        <v>1582</v>
      </c>
      <c r="AH956" s="360"/>
      <c r="AI956" s="360"/>
      <c r="AJ956" s="360" t="s">
        <v>1589</v>
      </c>
      <c r="AK956" s="360"/>
      <c r="AL956" s="360" t="s">
        <v>5878</v>
      </c>
      <c r="AM956" s="360"/>
      <c r="AN956" s="360"/>
      <c r="AO956" s="360"/>
      <c r="AP956" s="360"/>
      <c r="AQ956" s="360"/>
      <c r="AR956" s="360"/>
      <c r="AS956" s="360"/>
      <c r="AT956" s="360"/>
      <c r="AU956" s="360" t="s">
        <v>22</v>
      </c>
      <c r="AV956" s="360"/>
      <c r="AW956" s="264"/>
      <c r="AX956" s="264"/>
      <c r="AY956" s="264"/>
      <c r="AZ956" s="264"/>
      <c r="BA956" s="264"/>
      <c r="BB956" s="264"/>
      <c r="BC956" s="264"/>
      <c r="BD956" s="264"/>
      <c r="BE956" s="264"/>
    </row>
    <row r="957">
      <c r="A957" s="264"/>
      <c r="B957" s="264"/>
      <c r="C957" s="264"/>
      <c r="D957" s="264"/>
      <c r="E957" s="264"/>
      <c r="F957" s="264"/>
      <c r="G957" s="264"/>
      <c r="H957" s="264"/>
      <c r="I957" s="264"/>
      <c r="J957" s="264"/>
      <c r="K957" s="264"/>
      <c r="L957" s="264"/>
      <c r="M957" s="264" t="s">
        <v>22</v>
      </c>
      <c r="N957" s="264"/>
      <c r="O957" s="264" t="s">
        <v>22</v>
      </c>
      <c r="P957" s="264"/>
      <c r="Q957" s="264"/>
      <c r="R957" s="264"/>
      <c r="S957" s="264"/>
      <c r="T957" s="264"/>
      <c r="U957" s="360"/>
      <c r="V957" s="360"/>
      <c r="W957" s="360"/>
      <c r="X957" s="360"/>
      <c r="Y957" s="360"/>
      <c r="Z957" s="360"/>
      <c r="AA957" s="360"/>
      <c r="AB957" s="360"/>
      <c r="AC957" s="360"/>
      <c r="AD957" s="360"/>
      <c r="AE957" s="360"/>
      <c r="AF957" s="360"/>
      <c r="AG957" s="360" t="s">
        <v>1582</v>
      </c>
      <c r="AH957" s="360"/>
      <c r="AI957" s="360"/>
      <c r="AJ957" s="360" t="s">
        <v>1589</v>
      </c>
      <c r="AK957" s="360"/>
      <c r="AL957" s="360" t="s">
        <v>5878</v>
      </c>
      <c r="AM957" s="360"/>
      <c r="AN957" s="360"/>
      <c r="AO957" s="360"/>
      <c r="AP957" s="360"/>
      <c r="AQ957" s="360"/>
      <c r="AR957" s="360"/>
      <c r="AS957" s="360"/>
      <c r="AT957" s="360"/>
      <c r="AU957" s="360" t="s">
        <v>22</v>
      </c>
      <c r="AV957" s="360"/>
      <c r="AW957" s="264"/>
      <c r="AX957" s="264"/>
      <c r="AY957" s="264"/>
      <c r="AZ957" s="264"/>
      <c r="BA957" s="264"/>
      <c r="BB957" s="264"/>
      <c r="BC957" s="264"/>
      <c r="BD957" s="264"/>
      <c r="BE957" s="264"/>
    </row>
    <row r="958">
      <c r="A958" s="264"/>
      <c r="B958" s="264"/>
      <c r="C958" s="264"/>
      <c r="D958" s="264"/>
      <c r="E958" s="264"/>
      <c r="F958" s="264"/>
      <c r="G958" s="264"/>
      <c r="H958" s="264"/>
      <c r="I958" s="264"/>
      <c r="J958" s="264"/>
      <c r="K958" s="264"/>
      <c r="L958" s="264"/>
      <c r="M958" s="264" t="s">
        <v>22</v>
      </c>
      <c r="N958" s="264"/>
      <c r="O958" s="264" t="s">
        <v>22</v>
      </c>
      <c r="P958" s="264"/>
      <c r="Q958" s="264"/>
      <c r="R958" s="264"/>
      <c r="S958" s="264"/>
      <c r="T958" s="264"/>
      <c r="U958" s="360"/>
      <c r="V958" s="360"/>
      <c r="W958" s="360"/>
      <c r="X958" s="360"/>
      <c r="Y958" s="360"/>
      <c r="Z958" s="360"/>
      <c r="AA958" s="360"/>
      <c r="AB958" s="360"/>
      <c r="AC958" s="360"/>
      <c r="AD958" s="360"/>
      <c r="AE958" s="360"/>
      <c r="AF958" s="360"/>
      <c r="AG958" s="360" t="s">
        <v>1582</v>
      </c>
      <c r="AH958" s="360"/>
      <c r="AI958" s="360"/>
      <c r="AJ958" s="360" t="s">
        <v>1589</v>
      </c>
      <c r="AK958" s="360"/>
      <c r="AL958" s="360" t="s">
        <v>5878</v>
      </c>
      <c r="AM958" s="360"/>
      <c r="AN958" s="360"/>
      <c r="AO958" s="360"/>
      <c r="AP958" s="360"/>
      <c r="AQ958" s="360"/>
      <c r="AR958" s="360"/>
      <c r="AS958" s="360"/>
      <c r="AT958" s="360"/>
      <c r="AU958" s="360" t="s">
        <v>22</v>
      </c>
      <c r="AV958" s="360"/>
      <c r="AW958" s="264"/>
      <c r="AX958" s="264"/>
      <c r="AY958" s="264"/>
      <c r="AZ958" s="264"/>
      <c r="BA958" s="264"/>
      <c r="BB958" s="264"/>
      <c r="BC958" s="264"/>
      <c r="BD958" s="264"/>
      <c r="BE958" s="264"/>
    </row>
    <row r="959">
      <c r="A959" s="264"/>
      <c r="B959" s="264"/>
      <c r="C959" s="264"/>
      <c r="D959" s="264"/>
      <c r="E959" s="264"/>
      <c r="F959" s="264"/>
      <c r="G959" s="264"/>
      <c r="H959" s="264"/>
      <c r="I959" s="264"/>
      <c r="J959" s="264"/>
      <c r="K959" s="264"/>
      <c r="L959" s="264"/>
      <c r="M959" s="264" t="s">
        <v>22</v>
      </c>
      <c r="N959" s="264"/>
      <c r="O959" s="264" t="s">
        <v>22</v>
      </c>
      <c r="P959" s="264"/>
      <c r="Q959" s="264"/>
      <c r="R959" s="264"/>
      <c r="S959" s="264"/>
      <c r="T959" s="264"/>
      <c r="U959" s="360"/>
      <c r="V959" s="360"/>
      <c r="W959" s="360"/>
      <c r="X959" s="360"/>
      <c r="Y959" s="360"/>
      <c r="Z959" s="360"/>
      <c r="AA959" s="360"/>
      <c r="AB959" s="360"/>
      <c r="AC959" s="360"/>
      <c r="AD959" s="360"/>
      <c r="AE959" s="360"/>
      <c r="AF959" s="360"/>
      <c r="AG959" s="360" t="s">
        <v>1582</v>
      </c>
      <c r="AH959" s="360"/>
      <c r="AI959" s="360"/>
      <c r="AJ959" s="360" t="s">
        <v>1589</v>
      </c>
      <c r="AK959" s="360"/>
      <c r="AL959" s="360" t="s">
        <v>5878</v>
      </c>
      <c r="AM959" s="360"/>
      <c r="AN959" s="360"/>
      <c r="AO959" s="360"/>
      <c r="AP959" s="360"/>
      <c r="AQ959" s="360"/>
      <c r="AR959" s="360"/>
      <c r="AS959" s="360"/>
      <c r="AT959" s="360"/>
      <c r="AU959" s="360" t="s">
        <v>22</v>
      </c>
      <c r="AV959" s="360"/>
      <c r="AW959" s="264"/>
      <c r="AX959" s="264"/>
      <c r="AY959" s="264"/>
      <c r="AZ959" s="264"/>
      <c r="BA959" s="264"/>
      <c r="BB959" s="264"/>
      <c r="BC959" s="264"/>
      <c r="BD959" s="264"/>
      <c r="BE959" s="264"/>
    </row>
    <row r="960">
      <c r="A960" s="264"/>
      <c r="B960" s="264"/>
      <c r="C960" s="264"/>
      <c r="D960" s="264"/>
      <c r="E960" s="264"/>
      <c r="F960" s="264"/>
      <c r="G960" s="264"/>
      <c r="H960" s="264"/>
      <c r="I960" s="264"/>
      <c r="J960" s="264"/>
      <c r="K960" s="264"/>
      <c r="L960" s="264"/>
      <c r="M960" s="264" t="s">
        <v>22</v>
      </c>
      <c r="N960" s="264"/>
      <c r="O960" s="264" t="s">
        <v>22</v>
      </c>
      <c r="P960" s="264"/>
      <c r="Q960" s="264"/>
      <c r="R960" s="264"/>
      <c r="S960" s="264"/>
      <c r="T960" s="264"/>
      <c r="U960" s="360"/>
      <c r="V960" s="360"/>
      <c r="W960" s="360"/>
      <c r="X960" s="360"/>
      <c r="Y960" s="360"/>
      <c r="Z960" s="360"/>
      <c r="AA960" s="360"/>
      <c r="AB960" s="360"/>
      <c r="AC960" s="360"/>
      <c r="AD960" s="360"/>
      <c r="AE960" s="360"/>
      <c r="AF960" s="360"/>
      <c r="AG960" s="360" t="s">
        <v>1582</v>
      </c>
      <c r="AH960" s="360"/>
      <c r="AI960" s="360"/>
      <c r="AJ960" s="360" t="s">
        <v>1589</v>
      </c>
      <c r="AK960" s="360"/>
      <c r="AL960" s="360" t="s">
        <v>5878</v>
      </c>
      <c r="AM960" s="360"/>
      <c r="AN960" s="360"/>
      <c r="AO960" s="360"/>
      <c r="AP960" s="360"/>
      <c r="AQ960" s="360"/>
      <c r="AR960" s="360"/>
      <c r="AS960" s="360"/>
      <c r="AT960" s="360"/>
      <c r="AU960" s="360" t="s">
        <v>22</v>
      </c>
      <c r="AV960" s="360"/>
      <c r="AW960" s="264"/>
      <c r="AX960" s="264"/>
      <c r="AY960" s="264"/>
      <c r="AZ960" s="264"/>
      <c r="BA960" s="264"/>
      <c r="BB960" s="264"/>
      <c r="BC960" s="264"/>
      <c r="BD960" s="264"/>
      <c r="BE960" s="264"/>
    </row>
    <row r="961">
      <c r="A961" s="264"/>
      <c r="B961" s="264"/>
      <c r="C961" s="264"/>
      <c r="D961" s="264"/>
      <c r="E961" s="264"/>
      <c r="F961" s="264"/>
      <c r="G961" s="264"/>
      <c r="H961" s="264"/>
      <c r="I961" s="264"/>
      <c r="J961" s="264"/>
      <c r="K961" s="264"/>
      <c r="L961" s="264"/>
      <c r="M961" s="264" t="s">
        <v>22</v>
      </c>
      <c r="N961" s="264"/>
      <c r="O961" s="264" t="s">
        <v>22</v>
      </c>
      <c r="P961" s="264"/>
      <c r="Q961" s="264"/>
      <c r="R961" s="264"/>
      <c r="S961" s="264"/>
      <c r="T961" s="264"/>
      <c r="U961" s="360"/>
      <c r="V961" s="360"/>
      <c r="W961" s="360"/>
      <c r="X961" s="360"/>
      <c r="Y961" s="360"/>
      <c r="Z961" s="360"/>
      <c r="AA961" s="360"/>
      <c r="AB961" s="360"/>
      <c r="AC961" s="360"/>
      <c r="AD961" s="360"/>
      <c r="AE961" s="360"/>
      <c r="AF961" s="360"/>
      <c r="AG961" s="360" t="s">
        <v>1582</v>
      </c>
      <c r="AH961" s="360"/>
      <c r="AI961" s="360"/>
      <c r="AJ961" s="360" t="s">
        <v>1589</v>
      </c>
      <c r="AK961" s="360"/>
      <c r="AL961" s="360" t="s">
        <v>5878</v>
      </c>
      <c r="AM961" s="360"/>
      <c r="AN961" s="360"/>
      <c r="AO961" s="360"/>
      <c r="AP961" s="360"/>
      <c r="AQ961" s="360"/>
      <c r="AR961" s="360"/>
      <c r="AS961" s="360"/>
      <c r="AT961" s="360"/>
      <c r="AU961" s="360" t="s">
        <v>22</v>
      </c>
      <c r="AV961" s="360"/>
      <c r="AW961" s="264"/>
      <c r="AX961" s="264"/>
      <c r="AY961" s="264"/>
      <c r="AZ961" s="264"/>
      <c r="BA961" s="264"/>
      <c r="BB961" s="264"/>
      <c r="BC961" s="264"/>
      <c r="BD961" s="264"/>
      <c r="BE961" s="264"/>
    </row>
    <row r="962">
      <c r="A962" s="264"/>
      <c r="B962" s="264"/>
      <c r="C962" s="264"/>
      <c r="D962" s="264"/>
      <c r="E962" s="264"/>
      <c r="F962" s="264"/>
      <c r="G962" s="264"/>
      <c r="H962" s="264"/>
      <c r="I962" s="264"/>
      <c r="J962" s="264"/>
      <c r="K962" s="264"/>
      <c r="L962" s="264"/>
      <c r="M962" s="264" t="s">
        <v>22</v>
      </c>
      <c r="N962" s="264"/>
      <c r="O962" s="264" t="s">
        <v>22</v>
      </c>
      <c r="P962" s="264"/>
      <c r="Q962" s="264"/>
      <c r="R962" s="264"/>
      <c r="S962" s="264"/>
      <c r="T962" s="264"/>
      <c r="U962" s="360"/>
      <c r="V962" s="360"/>
      <c r="W962" s="360"/>
      <c r="X962" s="360"/>
      <c r="Y962" s="360"/>
      <c r="Z962" s="360"/>
      <c r="AA962" s="360"/>
      <c r="AB962" s="360"/>
      <c r="AC962" s="360"/>
      <c r="AD962" s="360"/>
      <c r="AE962" s="360"/>
      <c r="AF962" s="360"/>
      <c r="AG962" s="360" t="s">
        <v>1582</v>
      </c>
      <c r="AH962" s="360"/>
      <c r="AI962" s="360"/>
      <c r="AJ962" s="360" t="s">
        <v>1589</v>
      </c>
      <c r="AK962" s="360"/>
      <c r="AL962" s="360" t="s">
        <v>5878</v>
      </c>
      <c r="AM962" s="360"/>
      <c r="AN962" s="360"/>
      <c r="AO962" s="360"/>
      <c r="AP962" s="360"/>
      <c r="AQ962" s="360"/>
      <c r="AR962" s="360"/>
      <c r="AS962" s="360"/>
      <c r="AT962" s="360"/>
      <c r="AU962" s="360" t="s">
        <v>22</v>
      </c>
      <c r="AV962" s="360"/>
      <c r="AW962" s="264"/>
      <c r="AX962" s="264"/>
      <c r="AY962" s="264"/>
      <c r="AZ962" s="264"/>
      <c r="BA962" s="264"/>
      <c r="BB962" s="264"/>
      <c r="BC962" s="264"/>
      <c r="BD962" s="264"/>
      <c r="BE962" s="264"/>
    </row>
    <row r="963">
      <c r="A963" s="264"/>
      <c r="B963" s="264"/>
      <c r="C963" s="264"/>
      <c r="D963" s="264"/>
      <c r="E963" s="264"/>
      <c r="F963" s="264"/>
      <c r="G963" s="264"/>
      <c r="H963" s="264"/>
      <c r="I963" s="264"/>
      <c r="J963" s="264"/>
      <c r="K963" s="264"/>
      <c r="L963" s="264"/>
      <c r="M963" s="264" t="s">
        <v>22</v>
      </c>
      <c r="N963" s="264"/>
      <c r="O963" s="264" t="s">
        <v>22</v>
      </c>
      <c r="P963" s="264"/>
      <c r="Q963" s="264"/>
      <c r="R963" s="264"/>
      <c r="S963" s="264"/>
      <c r="T963" s="264"/>
      <c r="U963" s="360"/>
      <c r="V963" s="360"/>
      <c r="W963" s="360"/>
      <c r="X963" s="360"/>
      <c r="Y963" s="360"/>
      <c r="Z963" s="360"/>
      <c r="AA963" s="360"/>
      <c r="AB963" s="360"/>
      <c r="AC963" s="360"/>
      <c r="AD963" s="360"/>
      <c r="AE963" s="360"/>
      <c r="AF963" s="360"/>
      <c r="AG963" s="360" t="s">
        <v>1582</v>
      </c>
      <c r="AH963" s="360"/>
      <c r="AI963" s="360"/>
      <c r="AJ963" s="360" t="s">
        <v>1589</v>
      </c>
      <c r="AK963" s="360"/>
      <c r="AL963" s="360" t="s">
        <v>5878</v>
      </c>
      <c r="AM963" s="360"/>
      <c r="AN963" s="360"/>
      <c r="AO963" s="360"/>
      <c r="AP963" s="360"/>
      <c r="AQ963" s="360"/>
      <c r="AR963" s="360"/>
      <c r="AS963" s="360"/>
      <c r="AT963" s="360"/>
      <c r="AU963" s="360" t="s">
        <v>22</v>
      </c>
      <c r="AV963" s="360"/>
      <c r="AW963" s="264"/>
      <c r="AX963" s="264"/>
      <c r="AY963" s="264"/>
      <c r="AZ963" s="264"/>
      <c r="BA963" s="264"/>
      <c r="BB963" s="264"/>
      <c r="BC963" s="264"/>
      <c r="BD963" s="264"/>
      <c r="BE963" s="264"/>
    </row>
    <row r="964">
      <c r="A964" s="264"/>
      <c r="B964" s="264"/>
      <c r="C964" s="264"/>
      <c r="D964" s="264"/>
      <c r="E964" s="264"/>
      <c r="F964" s="264"/>
      <c r="G964" s="264"/>
      <c r="H964" s="264"/>
      <c r="I964" s="264"/>
      <c r="J964" s="264"/>
      <c r="K964" s="264"/>
      <c r="L964" s="264"/>
      <c r="M964" s="264" t="s">
        <v>22</v>
      </c>
      <c r="N964" s="264"/>
      <c r="O964" s="264" t="s">
        <v>22</v>
      </c>
      <c r="P964" s="264"/>
      <c r="Q964" s="264"/>
      <c r="R964" s="264"/>
      <c r="S964" s="264"/>
      <c r="T964" s="264"/>
      <c r="U964" s="360"/>
      <c r="V964" s="360"/>
      <c r="W964" s="360"/>
      <c r="X964" s="360"/>
      <c r="Y964" s="360"/>
      <c r="Z964" s="360"/>
      <c r="AA964" s="360"/>
      <c r="AB964" s="360"/>
      <c r="AC964" s="360"/>
      <c r="AD964" s="360"/>
      <c r="AE964" s="360"/>
      <c r="AF964" s="360"/>
      <c r="AG964" s="360" t="s">
        <v>1582</v>
      </c>
      <c r="AH964" s="360"/>
      <c r="AI964" s="360"/>
      <c r="AJ964" s="360" t="s">
        <v>1589</v>
      </c>
      <c r="AK964" s="360"/>
      <c r="AL964" s="360" t="s">
        <v>5878</v>
      </c>
      <c r="AM964" s="360"/>
      <c r="AN964" s="360"/>
      <c r="AO964" s="360"/>
      <c r="AP964" s="360"/>
      <c r="AQ964" s="360"/>
      <c r="AR964" s="360"/>
      <c r="AS964" s="360"/>
      <c r="AT964" s="360"/>
      <c r="AU964" s="360" t="s">
        <v>22</v>
      </c>
      <c r="AV964" s="360"/>
      <c r="AW964" s="264"/>
      <c r="AX964" s="264"/>
      <c r="AY964" s="264"/>
      <c r="AZ964" s="264"/>
      <c r="BA964" s="264"/>
      <c r="BB964" s="264"/>
      <c r="BC964" s="264"/>
      <c r="BD964" s="264"/>
      <c r="BE964" s="264"/>
    </row>
    <row r="965">
      <c r="A965" s="264"/>
      <c r="B965" s="264"/>
      <c r="C965" s="264"/>
      <c r="D965" s="264"/>
      <c r="E965" s="264"/>
      <c r="F965" s="264"/>
      <c r="G965" s="264"/>
      <c r="H965" s="264"/>
      <c r="I965" s="264"/>
      <c r="J965" s="264"/>
      <c r="K965" s="264"/>
      <c r="L965" s="264"/>
      <c r="M965" s="264" t="s">
        <v>22</v>
      </c>
      <c r="N965" s="264"/>
      <c r="O965" s="264" t="s">
        <v>22</v>
      </c>
      <c r="P965" s="264"/>
      <c r="Q965" s="264"/>
      <c r="R965" s="264"/>
      <c r="S965" s="264"/>
      <c r="T965" s="264"/>
      <c r="U965" s="360"/>
      <c r="V965" s="360"/>
      <c r="W965" s="360"/>
      <c r="X965" s="360"/>
      <c r="Y965" s="360"/>
      <c r="Z965" s="360"/>
      <c r="AA965" s="360"/>
      <c r="AB965" s="360"/>
      <c r="AC965" s="360"/>
      <c r="AD965" s="360"/>
      <c r="AE965" s="360"/>
      <c r="AF965" s="360"/>
      <c r="AG965" s="360" t="s">
        <v>1582</v>
      </c>
      <c r="AH965" s="360"/>
      <c r="AI965" s="360"/>
      <c r="AJ965" s="360" t="s">
        <v>1589</v>
      </c>
      <c r="AK965" s="360"/>
      <c r="AL965" s="360" t="s">
        <v>5878</v>
      </c>
      <c r="AM965" s="360"/>
      <c r="AN965" s="360"/>
      <c r="AO965" s="360"/>
      <c r="AP965" s="360"/>
      <c r="AQ965" s="360"/>
      <c r="AR965" s="360"/>
      <c r="AS965" s="360"/>
      <c r="AT965" s="360"/>
      <c r="AU965" s="360" t="s">
        <v>22</v>
      </c>
      <c r="AV965" s="360"/>
      <c r="AW965" s="264"/>
      <c r="AX965" s="264"/>
      <c r="AY965" s="264"/>
      <c r="AZ965" s="264"/>
      <c r="BA965" s="264"/>
      <c r="BB965" s="264"/>
      <c r="BC965" s="264"/>
      <c r="BD965" s="264"/>
      <c r="BE965" s="264"/>
    </row>
    <row r="966">
      <c r="A966" s="264"/>
      <c r="B966" s="264"/>
      <c r="C966" s="264"/>
      <c r="D966" s="264"/>
      <c r="E966" s="264"/>
      <c r="F966" s="264"/>
      <c r="G966" s="264"/>
      <c r="H966" s="264"/>
      <c r="I966" s="264"/>
      <c r="J966" s="264"/>
      <c r="K966" s="264"/>
      <c r="L966" s="264"/>
      <c r="M966" s="264" t="s">
        <v>22</v>
      </c>
      <c r="N966" s="264"/>
      <c r="O966" s="264" t="s">
        <v>22</v>
      </c>
      <c r="P966" s="264"/>
      <c r="Q966" s="264"/>
      <c r="R966" s="264"/>
      <c r="S966" s="264"/>
      <c r="T966" s="264"/>
      <c r="U966" s="360"/>
      <c r="V966" s="360"/>
      <c r="W966" s="360"/>
      <c r="X966" s="360"/>
      <c r="Y966" s="360"/>
      <c r="Z966" s="360"/>
      <c r="AA966" s="360"/>
      <c r="AB966" s="360"/>
      <c r="AC966" s="360"/>
      <c r="AD966" s="360"/>
      <c r="AE966" s="360"/>
      <c r="AF966" s="360"/>
      <c r="AG966" s="360" t="s">
        <v>1582</v>
      </c>
      <c r="AH966" s="360"/>
      <c r="AI966" s="360"/>
      <c r="AJ966" s="360" t="s">
        <v>1589</v>
      </c>
      <c r="AK966" s="360"/>
      <c r="AL966" s="360" t="s">
        <v>5878</v>
      </c>
      <c r="AM966" s="360"/>
      <c r="AN966" s="360"/>
      <c r="AO966" s="360"/>
      <c r="AP966" s="360"/>
      <c r="AQ966" s="360"/>
      <c r="AR966" s="360"/>
      <c r="AS966" s="360"/>
      <c r="AT966" s="360"/>
      <c r="AU966" s="360" t="s">
        <v>22</v>
      </c>
      <c r="AV966" s="360"/>
      <c r="AW966" s="264"/>
      <c r="AX966" s="264"/>
      <c r="AY966" s="264"/>
      <c r="AZ966" s="264"/>
      <c r="BA966" s="264"/>
      <c r="BB966" s="264"/>
      <c r="BC966" s="264"/>
      <c r="BD966" s="264"/>
      <c r="BE966" s="264"/>
    </row>
    <row r="967">
      <c r="A967" s="264"/>
      <c r="B967" s="264"/>
      <c r="C967" s="264"/>
      <c r="D967" s="264"/>
      <c r="E967" s="264"/>
      <c r="F967" s="264"/>
      <c r="G967" s="264"/>
      <c r="H967" s="264"/>
      <c r="I967" s="264"/>
      <c r="J967" s="264"/>
      <c r="K967" s="264"/>
      <c r="L967" s="264"/>
      <c r="M967" s="264" t="s">
        <v>22</v>
      </c>
      <c r="N967" s="264"/>
      <c r="O967" s="264" t="s">
        <v>22</v>
      </c>
      <c r="P967" s="264"/>
      <c r="Q967" s="264"/>
      <c r="R967" s="264"/>
      <c r="S967" s="264"/>
      <c r="T967" s="264"/>
      <c r="U967" s="360"/>
      <c r="V967" s="360"/>
      <c r="W967" s="360"/>
      <c r="X967" s="360"/>
      <c r="Y967" s="360"/>
      <c r="Z967" s="360"/>
      <c r="AA967" s="360"/>
      <c r="AB967" s="360"/>
      <c r="AC967" s="360"/>
      <c r="AD967" s="360"/>
      <c r="AE967" s="360"/>
      <c r="AF967" s="360"/>
      <c r="AG967" s="360" t="s">
        <v>1582</v>
      </c>
      <c r="AH967" s="360"/>
      <c r="AI967" s="360"/>
      <c r="AJ967" s="360" t="s">
        <v>1589</v>
      </c>
      <c r="AK967" s="360"/>
      <c r="AL967" s="360" t="s">
        <v>5878</v>
      </c>
      <c r="AM967" s="360"/>
      <c r="AN967" s="360"/>
      <c r="AO967" s="360"/>
      <c r="AP967" s="360"/>
      <c r="AQ967" s="360"/>
      <c r="AR967" s="360"/>
      <c r="AS967" s="360"/>
      <c r="AT967" s="360"/>
      <c r="AU967" s="360" t="s">
        <v>22</v>
      </c>
      <c r="AV967" s="360"/>
      <c r="AW967" s="264"/>
      <c r="AX967" s="264"/>
      <c r="AY967" s="264"/>
      <c r="AZ967" s="264"/>
      <c r="BA967" s="264"/>
      <c r="BB967" s="264"/>
      <c r="BC967" s="264"/>
      <c r="BD967" s="264"/>
      <c r="BE967" s="264"/>
    </row>
    <row r="968">
      <c r="A968" s="264"/>
      <c r="B968" s="264"/>
      <c r="C968" s="264"/>
      <c r="D968" s="264"/>
      <c r="E968" s="264"/>
      <c r="F968" s="264"/>
      <c r="G968" s="264"/>
      <c r="H968" s="264"/>
      <c r="I968" s="264"/>
      <c r="J968" s="264"/>
      <c r="K968" s="264"/>
      <c r="L968" s="264"/>
      <c r="M968" s="264" t="s">
        <v>22</v>
      </c>
      <c r="N968" s="264"/>
      <c r="O968" s="264" t="s">
        <v>22</v>
      </c>
      <c r="P968" s="264"/>
      <c r="Q968" s="264"/>
      <c r="R968" s="264"/>
      <c r="S968" s="264"/>
      <c r="T968" s="264"/>
      <c r="U968" s="360"/>
      <c r="V968" s="360"/>
      <c r="W968" s="360"/>
      <c r="X968" s="360"/>
      <c r="Y968" s="360"/>
      <c r="Z968" s="360"/>
      <c r="AA968" s="360"/>
      <c r="AB968" s="360"/>
      <c r="AC968" s="360"/>
      <c r="AD968" s="360"/>
      <c r="AE968" s="360"/>
      <c r="AF968" s="360"/>
      <c r="AG968" s="360" t="s">
        <v>1582</v>
      </c>
      <c r="AH968" s="360"/>
      <c r="AI968" s="360"/>
      <c r="AJ968" s="360" t="s">
        <v>1589</v>
      </c>
      <c r="AK968" s="360"/>
      <c r="AL968" s="360" t="s">
        <v>5878</v>
      </c>
      <c r="AM968" s="360"/>
      <c r="AN968" s="360"/>
      <c r="AO968" s="360"/>
      <c r="AP968" s="360"/>
      <c r="AQ968" s="360"/>
      <c r="AR968" s="360"/>
      <c r="AS968" s="360"/>
      <c r="AT968" s="360"/>
      <c r="AU968" s="360" t="s">
        <v>22</v>
      </c>
      <c r="AV968" s="360"/>
      <c r="AW968" s="264"/>
      <c r="AX968" s="264"/>
      <c r="AY968" s="264"/>
      <c r="AZ968" s="264"/>
      <c r="BA968" s="264"/>
      <c r="BB968" s="264"/>
      <c r="BC968" s="264"/>
      <c r="BD968" s="264"/>
      <c r="BE968" s="264"/>
    </row>
    <row r="969">
      <c r="A969" s="264"/>
      <c r="B969" s="264"/>
      <c r="C969" s="264"/>
      <c r="D969" s="264"/>
      <c r="E969" s="264"/>
      <c r="F969" s="264"/>
      <c r="G969" s="264"/>
      <c r="H969" s="264"/>
      <c r="I969" s="264"/>
      <c r="J969" s="264"/>
      <c r="K969" s="264"/>
      <c r="L969" s="264"/>
      <c r="M969" s="264" t="s">
        <v>22</v>
      </c>
      <c r="N969" s="264"/>
      <c r="O969" s="264" t="s">
        <v>22</v>
      </c>
      <c r="P969" s="264"/>
      <c r="Q969" s="264"/>
      <c r="R969" s="264"/>
      <c r="S969" s="264"/>
      <c r="T969" s="264"/>
      <c r="U969" s="360"/>
      <c r="V969" s="360"/>
      <c r="W969" s="360"/>
      <c r="X969" s="360"/>
      <c r="Y969" s="360"/>
      <c r="Z969" s="360"/>
      <c r="AA969" s="360"/>
      <c r="AB969" s="360"/>
      <c r="AC969" s="360"/>
      <c r="AD969" s="360"/>
      <c r="AE969" s="360"/>
      <c r="AF969" s="360"/>
      <c r="AG969" s="360" t="s">
        <v>1582</v>
      </c>
      <c r="AH969" s="360"/>
      <c r="AI969" s="360"/>
      <c r="AJ969" s="360" t="s">
        <v>1589</v>
      </c>
      <c r="AK969" s="360"/>
      <c r="AL969" s="360" t="s">
        <v>5878</v>
      </c>
      <c r="AM969" s="360"/>
      <c r="AN969" s="360"/>
      <c r="AO969" s="360"/>
      <c r="AP969" s="360"/>
      <c r="AQ969" s="360"/>
      <c r="AR969" s="360"/>
      <c r="AS969" s="360"/>
      <c r="AT969" s="360"/>
      <c r="AU969" s="360" t="s">
        <v>22</v>
      </c>
      <c r="AV969" s="360"/>
      <c r="AW969" s="264"/>
      <c r="AX969" s="264"/>
      <c r="AY969" s="264"/>
      <c r="AZ969" s="264"/>
      <c r="BA969" s="264"/>
      <c r="BB969" s="264"/>
      <c r="BC969" s="264"/>
      <c r="BD969" s="264"/>
      <c r="BE969" s="264"/>
    </row>
    <row r="970">
      <c r="A970" s="264"/>
      <c r="B970" s="264"/>
      <c r="C970" s="264"/>
      <c r="D970" s="264"/>
      <c r="E970" s="264"/>
      <c r="F970" s="264"/>
      <c r="G970" s="264"/>
      <c r="H970" s="264"/>
      <c r="I970" s="264"/>
      <c r="J970" s="264"/>
      <c r="K970" s="264"/>
      <c r="L970" s="264"/>
      <c r="M970" s="264" t="s">
        <v>22</v>
      </c>
      <c r="N970" s="264"/>
      <c r="O970" s="264" t="s">
        <v>22</v>
      </c>
      <c r="P970" s="264"/>
      <c r="Q970" s="264"/>
      <c r="R970" s="264"/>
      <c r="S970" s="264"/>
      <c r="T970" s="264"/>
      <c r="U970" s="360"/>
      <c r="V970" s="360"/>
      <c r="W970" s="360"/>
      <c r="X970" s="360"/>
      <c r="Y970" s="360"/>
      <c r="Z970" s="360"/>
      <c r="AA970" s="360"/>
      <c r="AB970" s="360"/>
      <c r="AC970" s="360"/>
      <c r="AD970" s="360"/>
      <c r="AE970" s="360"/>
      <c r="AF970" s="360"/>
      <c r="AG970" s="360" t="s">
        <v>1582</v>
      </c>
      <c r="AH970" s="360"/>
      <c r="AI970" s="360"/>
      <c r="AJ970" s="360" t="s">
        <v>1589</v>
      </c>
      <c r="AK970" s="360"/>
      <c r="AL970" s="360" t="s">
        <v>5878</v>
      </c>
      <c r="AM970" s="360"/>
      <c r="AN970" s="360"/>
      <c r="AO970" s="360"/>
      <c r="AP970" s="360"/>
      <c r="AQ970" s="360"/>
      <c r="AR970" s="360"/>
      <c r="AS970" s="360"/>
      <c r="AT970" s="360"/>
      <c r="AU970" s="360" t="s">
        <v>22</v>
      </c>
      <c r="AV970" s="360"/>
      <c r="AW970" s="264"/>
      <c r="AX970" s="264"/>
      <c r="AY970" s="264"/>
      <c r="AZ970" s="264"/>
      <c r="BA970" s="264"/>
      <c r="BB970" s="264"/>
      <c r="BC970" s="264"/>
      <c r="BD970" s="264"/>
      <c r="BE970" s="264"/>
    </row>
    <row r="971">
      <c r="A971" s="264"/>
      <c r="B971" s="264"/>
      <c r="C971" s="264"/>
      <c r="D971" s="264"/>
      <c r="E971" s="264"/>
      <c r="F971" s="264"/>
      <c r="G971" s="264"/>
      <c r="H971" s="264"/>
      <c r="I971" s="264"/>
      <c r="J971" s="264"/>
      <c r="K971" s="264"/>
      <c r="L971" s="264"/>
      <c r="M971" s="264" t="s">
        <v>22</v>
      </c>
      <c r="N971" s="264"/>
      <c r="O971" s="264" t="s">
        <v>22</v>
      </c>
      <c r="P971" s="264"/>
      <c r="Q971" s="264"/>
      <c r="R971" s="264"/>
      <c r="S971" s="264"/>
      <c r="T971" s="264"/>
      <c r="U971" s="360"/>
      <c r="V971" s="360"/>
      <c r="W971" s="360"/>
      <c r="X971" s="360"/>
      <c r="Y971" s="360"/>
      <c r="Z971" s="360"/>
      <c r="AA971" s="360"/>
      <c r="AB971" s="360"/>
      <c r="AC971" s="360"/>
      <c r="AD971" s="360"/>
      <c r="AE971" s="360"/>
      <c r="AF971" s="360"/>
      <c r="AG971" s="360" t="s">
        <v>1582</v>
      </c>
      <c r="AH971" s="360"/>
      <c r="AI971" s="360"/>
      <c r="AJ971" s="360" t="s">
        <v>1589</v>
      </c>
      <c r="AK971" s="360"/>
      <c r="AL971" s="360" t="s">
        <v>5878</v>
      </c>
      <c r="AM971" s="360"/>
      <c r="AN971" s="360"/>
      <c r="AO971" s="360"/>
      <c r="AP971" s="360"/>
      <c r="AQ971" s="360"/>
      <c r="AR971" s="360"/>
      <c r="AS971" s="360"/>
      <c r="AT971" s="360"/>
      <c r="AU971" s="360" t="s">
        <v>22</v>
      </c>
      <c r="AV971" s="360"/>
      <c r="AW971" s="264"/>
      <c r="AX971" s="264"/>
      <c r="AY971" s="264"/>
      <c r="AZ971" s="264"/>
      <c r="BA971" s="264"/>
      <c r="BB971" s="264"/>
      <c r="BC971" s="264"/>
      <c r="BD971" s="264"/>
      <c r="BE971" s="264"/>
    </row>
    <row r="972">
      <c r="A972" s="264"/>
      <c r="B972" s="264"/>
      <c r="C972" s="264"/>
      <c r="D972" s="264"/>
      <c r="E972" s="264"/>
      <c r="F972" s="264"/>
      <c r="G972" s="264"/>
      <c r="H972" s="264"/>
      <c r="I972" s="264"/>
      <c r="J972" s="264"/>
      <c r="K972" s="264"/>
      <c r="L972" s="264"/>
      <c r="M972" s="264" t="s">
        <v>22</v>
      </c>
      <c r="N972" s="264"/>
      <c r="O972" s="264" t="s">
        <v>22</v>
      </c>
      <c r="P972" s="264"/>
      <c r="Q972" s="264"/>
      <c r="R972" s="264"/>
      <c r="S972" s="264"/>
      <c r="T972" s="264"/>
      <c r="U972" s="360"/>
      <c r="V972" s="360"/>
      <c r="W972" s="360"/>
      <c r="X972" s="360"/>
      <c r="Y972" s="360"/>
      <c r="Z972" s="360"/>
      <c r="AA972" s="360"/>
      <c r="AB972" s="360"/>
      <c r="AC972" s="360"/>
      <c r="AD972" s="360"/>
      <c r="AE972" s="360"/>
      <c r="AF972" s="360"/>
      <c r="AG972" s="360" t="s">
        <v>1582</v>
      </c>
      <c r="AH972" s="360"/>
      <c r="AI972" s="360"/>
      <c r="AJ972" s="360" t="s">
        <v>1589</v>
      </c>
      <c r="AK972" s="360"/>
      <c r="AL972" s="360" t="s">
        <v>5878</v>
      </c>
      <c r="AM972" s="360"/>
      <c r="AN972" s="360"/>
      <c r="AO972" s="360"/>
      <c r="AP972" s="360"/>
      <c r="AQ972" s="360"/>
      <c r="AR972" s="360"/>
      <c r="AS972" s="360"/>
      <c r="AT972" s="360"/>
      <c r="AU972" s="360" t="s">
        <v>22</v>
      </c>
      <c r="AV972" s="360"/>
      <c r="AW972" s="264"/>
      <c r="AX972" s="264"/>
      <c r="AY972" s="264"/>
      <c r="AZ972" s="264"/>
      <c r="BA972" s="264"/>
      <c r="BB972" s="264"/>
      <c r="BC972" s="264"/>
      <c r="BD972" s="264"/>
      <c r="BE972" s="264"/>
    </row>
    <row r="973">
      <c r="A973" s="264"/>
      <c r="B973" s="264"/>
      <c r="C973" s="264"/>
      <c r="D973" s="264"/>
      <c r="E973" s="264"/>
      <c r="F973" s="264"/>
      <c r="G973" s="264"/>
      <c r="H973" s="264"/>
      <c r="I973" s="264"/>
      <c r="J973" s="264"/>
      <c r="K973" s="264"/>
      <c r="L973" s="264"/>
      <c r="M973" s="264" t="s">
        <v>22</v>
      </c>
      <c r="N973" s="264"/>
      <c r="O973" s="264" t="s">
        <v>22</v>
      </c>
      <c r="P973" s="264"/>
      <c r="Q973" s="264"/>
      <c r="R973" s="264"/>
      <c r="S973" s="264"/>
      <c r="T973" s="264"/>
      <c r="U973" s="360"/>
      <c r="V973" s="360"/>
      <c r="W973" s="360"/>
      <c r="X973" s="360"/>
      <c r="Y973" s="360"/>
      <c r="Z973" s="360"/>
      <c r="AA973" s="360"/>
      <c r="AB973" s="360"/>
      <c r="AC973" s="360"/>
      <c r="AD973" s="360"/>
      <c r="AE973" s="360"/>
      <c r="AF973" s="360"/>
      <c r="AG973" s="360" t="s">
        <v>1582</v>
      </c>
      <c r="AH973" s="360"/>
      <c r="AI973" s="360"/>
      <c r="AJ973" s="360" t="s">
        <v>1589</v>
      </c>
      <c r="AK973" s="360"/>
      <c r="AL973" s="360" t="s">
        <v>5878</v>
      </c>
      <c r="AM973" s="360"/>
      <c r="AN973" s="360"/>
      <c r="AO973" s="360"/>
      <c r="AP973" s="360"/>
      <c r="AQ973" s="360"/>
      <c r="AR973" s="360"/>
      <c r="AS973" s="360"/>
      <c r="AT973" s="360"/>
      <c r="AU973" s="360" t="s">
        <v>22</v>
      </c>
      <c r="AV973" s="360"/>
      <c r="AW973" s="264"/>
      <c r="AX973" s="264"/>
      <c r="AY973" s="264"/>
      <c r="AZ973" s="264"/>
      <c r="BA973" s="264"/>
      <c r="BB973" s="264"/>
      <c r="BC973" s="264"/>
      <c r="BD973" s="264"/>
      <c r="BE973" s="264"/>
    </row>
    <row r="974">
      <c r="A974" s="264"/>
      <c r="B974" s="264"/>
      <c r="C974" s="264"/>
      <c r="D974" s="264"/>
      <c r="E974" s="264"/>
      <c r="F974" s="264"/>
      <c r="G974" s="264"/>
      <c r="H974" s="264"/>
      <c r="I974" s="264"/>
      <c r="J974" s="264"/>
      <c r="K974" s="264"/>
      <c r="L974" s="264"/>
      <c r="M974" s="264" t="s">
        <v>22</v>
      </c>
      <c r="N974" s="264"/>
      <c r="O974" s="264" t="s">
        <v>22</v>
      </c>
      <c r="P974" s="264"/>
      <c r="Q974" s="264"/>
      <c r="R974" s="264"/>
      <c r="S974" s="264"/>
      <c r="T974" s="264"/>
      <c r="U974" s="360"/>
      <c r="V974" s="360"/>
      <c r="W974" s="360"/>
      <c r="X974" s="360"/>
      <c r="Y974" s="360"/>
      <c r="Z974" s="360"/>
      <c r="AA974" s="360"/>
      <c r="AB974" s="360"/>
      <c r="AC974" s="360"/>
      <c r="AD974" s="360"/>
      <c r="AE974" s="360"/>
      <c r="AF974" s="360"/>
      <c r="AG974" s="360" t="s">
        <v>1582</v>
      </c>
      <c r="AH974" s="360"/>
      <c r="AI974" s="360"/>
      <c r="AJ974" s="360" t="s">
        <v>1589</v>
      </c>
      <c r="AK974" s="360"/>
      <c r="AL974" s="360" t="s">
        <v>5878</v>
      </c>
      <c r="AM974" s="360"/>
      <c r="AN974" s="360"/>
      <c r="AO974" s="360"/>
      <c r="AP974" s="360"/>
      <c r="AQ974" s="360"/>
      <c r="AR974" s="360"/>
      <c r="AS974" s="360"/>
      <c r="AT974" s="360"/>
      <c r="AU974" s="360" t="s">
        <v>22</v>
      </c>
      <c r="AV974" s="360"/>
      <c r="AW974" s="264"/>
      <c r="AX974" s="264"/>
      <c r="AY974" s="264"/>
      <c r="AZ974" s="264"/>
      <c r="BA974" s="264"/>
      <c r="BB974" s="264"/>
      <c r="BC974" s="264"/>
      <c r="BD974" s="264"/>
      <c r="BE974" s="264"/>
    </row>
    <row r="975">
      <c r="A975" s="264"/>
      <c r="B975" s="264"/>
      <c r="C975" s="264"/>
      <c r="D975" s="264"/>
      <c r="E975" s="264"/>
      <c r="F975" s="264"/>
      <c r="G975" s="264"/>
      <c r="H975" s="264"/>
      <c r="I975" s="264"/>
      <c r="J975" s="264"/>
      <c r="K975" s="264"/>
      <c r="L975" s="264"/>
      <c r="M975" s="264" t="s">
        <v>22</v>
      </c>
      <c r="N975" s="264"/>
      <c r="O975" s="264" t="s">
        <v>22</v>
      </c>
      <c r="P975" s="264"/>
      <c r="Q975" s="264"/>
      <c r="R975" s="264"/>
      <c r="S975" s="264"/>
      <c r="T975" s="264"/>
      <c r="U975" s="360"/>
      <c r="V975" s="360"/>
      <c r="W975" s="360"/>
      <c r="X975" s="360"/>
      <c r="Y975" s="360"/>
      <c r="Z975" s="360"/>
      <c r="AA975" s="360"/>
      <c r="AB975" s="360"/>
      <c r="AC975" s="360"/>
      <c r="AD975" s="360"/>
      <c r="AE975" s="360"/>
      <c r="AF975" s="360"/>
      <c r="AG975" s="360" t="s">
        <v>1582</v>
      </c>
      <c r="AH975" s="360"/>
      <c r="AI975" s="360"/>
      <c r="AJ975" s="360" t="s">
        <v>1589</v>
      </c>
      <c r="AK975" s="360"/>
      <c r="AL975" s="360" t="s">
        <v>5878</v>
      </c>
      <c r="AM975" s="360"/>
      <c r="AN975" s="360"/>
      <c r="AO975" s="360"/>
      <c r="AP975" s="360"/>
      <c r="AQ975" s="360"/>
      <c r="AR975" s="360"/>
      <c r="AS975" s="360"/>
      <c r="AT975" s="360"/>
      <c r="AU975" s="360" t="s">
        <v>22</v>
      </c>
      <c r="AV975" s="360"/>
      <c r="AW975" s="264"/>
      <c r="AX975" s="264"/>
      <c r="AY975" s="264"/>
      <c r="AZ975" s="264"/>
      <c r="BA975" s="264"/>
      <c r="BB975" s="264"/>
      <c r="BC975" s="264"/>
      <c r="BD975" s="264"/>
      <c r="BE975" s="264"/>
    </row>
    <row r="976">
      <c r="A976" s="264"/>
      <c r="B976" s="264"/>
      <c r="C976" s="264"/>
      <c r="D976" s="264"/>
      <c r="E976" s="264"/>
      <c r="F976" s="264"/>
      <c r="G976" s="264"/>
      <c r="H976" s="264"/>
      <c r="I976" s="264"/>
      <c r="J976" s="264"/>
      <c r="K976" s="264"/>
      <c r="L976" s="264"/>
      <c r="M976" s="264" t="s">
        <v>22</v>
      </c>
      <c r="N976" s="264"/>
      <c r="O976" s="264" t="s">
        <v>22</v>
      </c>
      <c r="P976" s="264"/>
      <c r="Q976" s="264"/>
      <c r="R976" s="264"/>
      <c r="S976" s="264"/>
      <c r="T976" s="264"/>
      <c r="U976" s="360"/>
      <c r="V976" s="360"/>
      <c r="W976" s="360"/>
      <c r="X976" s="360"/>
      <c r="Y976" s="360"/>
      <c r="Z976" s="360"/>
      <c r="AA976" s="360"/>
      <c r="AB976" s="360"/>
      <c r="AC976" s="360"/>
      <c r="AD976" s="360"/>
      <c r="AE976" s="360"/>
      <c r="AF976" s="360"/>
      <c r="AG976" s="360" t="s">
        <v>1582</v>
      </c>
      <c r="AH976" s="360"/>
      <c r="AI976" s="360"/>
      <c r="AJ976" s="360" t="s">
        <v>1589</v>
      </c>
      <c r="AK976" s="360"/>
      <c r="AL976" s="360" t="s">
        <v>5878</v>
      </c>
      <c r="AM976" s="360"/>
      <c r="AN976" s="360"/>
      <c r="AO976" s="360"/>
      <c r="AP976" s="360"/>
      <c r="AQ976" s="360"/>
      <c r="AR976" s="360"/>
      <c r="AS976" s="360"/>
      <c r="AT976" s="360"/>
      <c r="AU976" s="360" t="s">
        <v>22</v>
      </c>
      <c r="AV976" s="360"/>
      <c r="AW976" s="264"/>
      <c r="AX976" s="264"/>
      <c r="AY976" s="264"/>
      <c r="AZ976" s="264"/>
      <c r="BA976" s="264"/>
      <c r="BB976" s="264"/>
      <c r="BC976" s="264"/>
      <c r="BD976" s="264"/>
      <c r="BE976" s="264"/>
    </row>
    <row r="977">
      <c r="A977" s="264"/>
      <c r="B977" s="264"/>
      <c r="C977" s="264"/>
      <c r="D977" s="264"/>
      <c r="E977" s="264"/>
      <c r="F977" s="264"/>
      <c r="G977" s="264"/>
      <c r="H977" s="264"/>
      <c r="I977" s="264"/>
      <c r="J977" s="264"/>
      <c r="K977" s="264"/>
      <c r="L977" s="264"/>
      <c r="M977" s="264" t="s">
        <v>22</v>
      </c>
      <c r="N977" s="264"/>
      <c r="O977" s="264" t="s">
        <v>22</v>
      </c>
      <c r="P977" s="264"/>
      <c r="Q977" s="264"/>
      <c r="R977" s="264"/>
      <c r="S977" s="264"/>
      <c r="T977" s="264"/>
      <c r="U977" s="360"/>
      <c r="V977" s="360"/>
      <c r="W977" s="360"/>
      <c r="X977" s="360"/>
      <c r="Y977" s="360"/>
      <c r="Z977" s="360"/>
      <c r="AA977" s="360"/>
      <c r="AB977" s="360"/>
      <c r="AC977" s="360"/>
      <c r="AD977" s="360"/>
      <c r="AE977" s="360"/>
      <c r="AF977" s="360"/>
      <c r="AG977" s="360" t="s">
        <v>1582</v>
      </c>
      <c r="AH977" s="360"/>
      <c r="AI977" s="360"/>
      <c r="AJ977" s="360" t="s">
        <v>1589</v>
      </c>
      <c r="AK977" s="360"/>
      <c r="AL977" s="360" t="s">
        <v>5878</v>
      </c>
      <c r="AM977" s="360"/>
      <c r="AN977" s="360"/>
      <c r="AO977" s="360"/>
      <c r="AP977" s="360"/>
      <c r="AQ977" s="360"/>
      <c r="AR977" s="360"/>
      <c r="AS977" s="360"/>
      <c r="AT977" s="360"/>
      <c r="AU977" s="360" t="s">
        <v>22</v>
      </c>
      <c r="AV977" s="360"/>
      <c r="AW977" s="264"/>
      <c r="AX977" s="264"/>
      <c r="AY977" s="264"/>
      <c r="AZ977" s="264"/>
      <c r="BA977" s="264"/>
      <c r="BB977" s="264"/>
      <c r="BC977" s="264"/>
      <c r="BD977" s="264"/>
      <c r="BE977" s="264"/>
    </row>
    <row r="978">
      <c r="A978" s="264"/>
      <c r="B978" s="264"/>
      <c r="C978" s="264"/>
      <c r="D978" s="264"/>
      <c r="E978" s="264"/>
      <c r="F978" s="264"/>
      <c r="G978" s="264"/>
      <c r="H978" s="264"/>
      <c r="I978" s="264"/>
      <c r="J978" s="264"/>
      <c r="K978" s="264"/>
      <c r="L978" s="264"/>
      <c r="M978" s="264" t="s">
        <v>22</v>
      </c>
      <c r="N978" s="264"/>
      <c r="O978" s="264" t="s">
        <v>22</v>
      </c>
      <c r="P978" s="264"/>
      <c r="Q978" s="264"/>
      <c r="R978" s="264"/>
      <c r="S978" s="264"/>
      <c r="T978" s="264"/>
      <c r="U978" s="360"/>
      <c r="V978" s="360"/>
      <c r="W978" s="360"/>
      <c r="X978" s="360"/>
      <c r="Y978" s="360"/>
      <c r="Z978" s="360"/>
      <c r="AA978" s="360"/>
      <c r="AB978" s="360"/>
      <c r="AC978" s="360"/>
      <c r="AD978" s="360"/>
      <c r="AE978" s="360"/>
      <c r="AF978" s="360"/>
      <c r="AG978" s="360" t="s">
        <v>1582</v>
      </c>
      <c r="AH978" s="360"/>
      <c r="AI978" s="360"/>
      <c r="AJ978" s="360" t="s">
        <v>1589</v>
      </c>
      <c r="AK978" s="360"/>
      <c r="AL978" s="360" t="s">
        <v>5878</v>
      </c>
      <c r="AM978" s="360"/>
      <c r="AN978" s="360"/>
      <c r="AO978" s="360"/>
      <c r="AP978" s="360"/>
      <c r="AQ978" s="360"/>
      <c r="AR978" s="360"/>
      <c r="AS978" s="360"/>
      <c r="AT978" s="360"/>
      <c r="AU978" s="360" t="s">
        <v>22</v>
      </c>
      <c r="AV978" s="360"/>
      <c r="AW978" s="264"/>
      <c r="AX978" s="264"/>
      <c r="AY978" s="264"/>
      <c r="AZ978" s="264"/>
      <c r="BA978" s="264"/>
      <c r="BB978" s="264"/>
      <c r="BC978" s="264"/>
      <c r="BD978" s="264"/>
      <c r="BE978" s="264"/>
    </row>
    <row r="979">
      <c r="A979" s="264"/>
      <c r="B979" s="264"/>
      <c r="C979" s="264"/>
      <c r="D979" s="264"/>
      <c r="E979" s="264"/>
      <c r="F979" s="264"/>
      <c r="G979" s="264"/>
      <c r="H979" s="264"/>
      <c r="I979" s="264"/>
      <c r="J979" s="264"/>
      <c r="K979" s="264"/>
      <c r="L979" s="264"/>
      <c r="M979" s="264" t="s">
        <v>22</v>
      </c>
      <c r="N979" s="264"/>
      <c r="O979" s="264" t="s">
        <v>22</v>
      </c>
      <c r="P979" s="264"/>
      <c r="Q979" s="264"/>
      <c r="R979" s="264"/>
      <c r="S979" s="264"/>
      <c r="T979" s="264"/>
      <c r="U979" s="360"/>
      <c r="V979" s="360"/>
      <c r="W979" s="360"/>
      <c r="X979" s="360"/>
      <c r="Y979" s="360"/>
      <c r="Z979" s="360"/>
      <c r="AA979" s="360"/>
      <c r="AB979" s="360"/>
      <c r="AC979" s="360"/>
      <c r="AD979" s="360"/>
      <c r="AE979" s="360"/>
      <c r="AF979" s="360"/>
      <c r="AG979" s="360" t="s">
        <v>1582</v>
      </c>
      <c r="AH979" s="360"/>
      <c r="AI979" s="360"/>
      <c r="AJ979" s="360" t="s">
        <v>1589</v>
      </c>
      <c r="AK979" s="360"/>
      <c r="AL979" s="360" t="s">
        <v>5878</v>
      </c>
      <c r="AM979" s="360"/>
      <c r="AN979" s="360"/>
      <c r="AO979" s="360"/>
      <c r="AP979" s="360"/>
      <c r="AQ979" s="360"/>
      <c r="AR979" s="360"/>
      <c r="AS979" s="360"/>
      <c r="AT979" s="360"/>
      <c r="AU979" s="360" t="s">
        <v>22</v>
      </c>
      <c r="AV979" s="360"/>
      <c r="AW979" s="264"/>
      <c r="AX979" s="264"/>
      <c r="AY979" s="264"/>
      <c r="AZ979" s="264"/>
      <c r="BA979" s="264"/>
      <c r="BB979" s="264"/>
      <c r="BC979" s="264"/>
      <c r="BD979" s="264"/>
      <c r="BE979" s="264"/>
    </row>
    <row r="980">
      <c r="A980" s="264"/>
      <c r="B980" s="264"/>
      <c r="C980" s="264"/>
      <c r="D980" s="264"/>
      <c r="E980" s="264"/>
      <c r="F980" s="264"/>
      <c r="G980" s="264"/>
      <c r="H980" s="264"/>
      <c r="I980" s="264"/>
      <c r="J980" s="264"/>
      <c r="K980" s="264"/>
      <c r="L980" s="264"/>
      <c r="M980" s="264" t="s">
        <v>22</v>
      </c>
      <c r="N980" s="264"/>
      <c r="O980" s="264" t="s">
        <v>22</v>
      </c>
      <c r="P980" s="264"/>
      <c r="Q980" s="264"/>
      <c r="R980" s="264"/>
      <c r="S980" s="264"/>
      <c r="T980" s="264"/>
      <c r="U980" s="360"/>
      <c r="V980" s="360"/>
      <c r="W980" s="360"/>
      <c r="X980" s="360"/>
      <c r="Y980" s="360"/>
      <c r="Z980" s="360"/>
      <c r="AA980" s="360"/>
      <c r="AB980" s="360"/>
      <c r="AC980" s="360"/>
      <c r="AD980" s="360"/>
      <c r="AE980" s="360"/>
      <c r="AF980" s="360"/>
      <c r="AG980" s="360" t="s">
        <v>1582</v>
      </c>
      <c r="AH980" s="360"/>
      <c r="AI980" s="360"/>
      <c r="AJ980" s="360" t="s">
        <v>1589</v>
      </c>
      <c r="AK980" s="360"/>
      <c r="AL980" s="360" t="s">
        <v>5878</v>
      </c>
      <c r="AM980" s="360"/>
      <c r="AN980" s="360"/>
      <c r="AO980" s="360"/>
      <c r="AP980" s="360"/>
      <c r="AQ980" s="360"/>
      <c r="AR980" s="360"/>
      <c r="AS980" s="360"/>
      <c r="AT980" s="360"/>
      <c r="AU980" s="360" t="s">
        <v>22</v>
      </c>
      <c r="AV980" s="360"/>
      <c r="AW980" s="264"/>
      <c r="AX980" s="264"/>
      <c r="AY980" s="264"/>
      <c r="AZ980" s="264"/>
      <c r="BA980" s="264"/>
      <c r="BB980" s="264"/>
      <c r="BC980" s="264"/>
      <c r="BD980" s="264"/>
      <c r="BE980" s="264"/>
    </row>
    <row r="981">
      <c r="A981" s="264"/>
      <c r="B981" s="264"/>
      <c r="C981" s="264"/>
      <c r="D981" s="264"/>
      <c r="E981" s="264"/>
      <c r="F981" s="264"/>
      <c r="G981" s="264"/>
      <c r="H981" s="264"/>
      <c r="I981" s="264"/>
      <c r="J981" s="264"/>
      <c r="K981" s="264"/>
      <c r="L981" s="264"/>
      <c r="M981" s="264" t="s">
        <v>22</v>
      </c>
      <c r="N981" s="264"/>
      <c r="O981" s="264" t="s">
        <v>22</v>
      </c>
      <c r="P981" s="264"/>
      <c r="Q981" s="264"/>
      <c r="R981" s="264"/>
      <c r="S981" s="264"/>
      <c r="T981" s="264"/>
      <c r="U981" s="360"/>
      <c r="V981" s="360"/>
      <c r="W981" s="360"/>
      <c r="X981" s="360"/>
      <c r="Y981" s="360"/>
      <c r="Z981" s="360"/>
      <c r="AA981" s="360"/>
      <c r="AB981" s="360"/>
      <c r="AC981" s="360"/>
      <c r="AD981" s="360"/>
      <c r="AE981" s="360"/>
      <c r="AF981" s="360"/>
      <c r="AG981" s="360" t="s">
        <v>1582</v>
      </c>
      <c r="AH981" s="360"/>
      <c r="AI981" s="360"/>
      <c r="AJ981" s="360" t="s">
        <v>1589</v>
      </c>
      <c r="AK981" s="360"/>
      <c r="AL981" s="360" t="s">
        <v>5878</v>
      </c>
      <c r="AM981" s="360"/>
      <c r="AN981" s="360"/>
      <c r="AO981" s="360"/>
      <c r="AP981" s="360"/>
      <c r="AQ981" s="360"/>
      <c r="AR981" s="360"/>
      <c r="AS981" s="360"/>
      <c r="AT981" s="360"/>
      <c r="AU981" s="360" t="s">
        <v>22</v>
      </c>
      <c r="AV981" s="360"/>
      <c r="AW981" s="264"/>
      <c r="AX981" s="264"/>
      <c r="AY981" s="264"/>
      <c r="AZ981" s="264"/>
      <c r="BA981" s="264"/>
      <c r="BB981" s="264"/>
      <c r="BC981" s="264"/>
      <c r="BD981" s="264"/>
      <c r="BE981" s="264"/>
    </row>
    <row r="982">
      <c r="A982" s="264"/>
      <c r="B982" s="264"/>
      <c r="C982" s="264"/>
      <c r="D982" s="264"/>
      <c r="E982" s="264"/>
      <c r="F982" s="264"/>
      <c r="G982" s="264"/>
      <c r="H982" s="264"/>
      <c r="I982" s="264"/>
      <c r="J982" s="264"/>
      <c r="K982" s="264"/>
      <c r="L982" s="264"/>
      <c r="M982" s="264" t="s">
        <v>22</v>
      </c>
      <c r="N982" s="264"/>
      <c r="O982" s="264" t="s">
        <v>22</v>
      </c>
      <c r="P982" s="264"/>
      <c r="Q982" s="264"/>
      <c r="R982" s="264"/>
      <c r="S982" s="264"/>
      <c r="T982" s="264"/>
      <c r="U982" s="360"/>
      <c r="V982" s="360"/>
      <c r="W982" s="360"/>
      <c r="X982" s="360"/>
      <c r="Y982" s="360"/>
      <c r="Z982" s="360"/>
      <c r="AA982" s="360"/>
      <c r="AB982" s="360"/>
      <c r="AC982" s="360"/>
      <c r="AD982" s="360"/>
      <c r="AE982" s="360"/>
      <c r="AF982" s="360"/>
      <c r="AG982" s="360" t="s">
        <v>1582</v>
      </c>
      <c r="AH982" s="360"/>
      <c r="AI982" s="360"/>
      <c r="AJ982" s="360" t="s">
        <v>1589</v>
      </c>
      <c r="AK982" s="360"/>
      <c r="AL982" s="360" t="s">
        <v>5878</v>
      </c>
      <c r="AM982" s="360"/>
      <c r="AN982" s="360"/>
      <c r="AO982" s="360"/>
      <c r="AP982" s="360"/>
      <c r="AQ982" s="360"/>
      <c r="AR982" s="360"/>
      <c r="AS982" s="360"/>
      <c r="AT982" s="360"/>
      <c r="AU982" s="360" t="s">
        <v>22</v>
      </c>
      <c r="AV982" s="360"/>
      <c r="AW982" s="264"/>
      <c r="AX982" s="264"/>
      <c r="AY982" s="264"/>
      <c r="AZ982" s="264"/>
      <c r="BA982" s="264"/>
      <c r="BB982" s="264"/>
      <c r="BC982" s="264"/>
      <c r="BD982" s="264"/>
      <c r="BE982" s="264"/>
    </row>
    <row r="983">
      <c r="A983" s="264"/>
      <c r="B983" s="264"/>
      <c r="C983" s="264"/>
      <c r="D983" s="264"/>
      <c r="E983" s="264"/>
      <c r="F983" s="264"/>
      <c r="G983" s="264"/>
      <c r="H983" s="264"/>
      <c r="I983" s="264"/>
      <c r="J983" s="264"/>
      <c r="K983" s="264"/>
      <c r="L983" s="264"/>
      <c r="M983" s="264" t="s">
        <v>22</v>
      </c>
      <c r="N983" s="264"/>
      <c r="O983" s="264" t="s">
        <v>22</v>
      </c>
      <c r="P983" s="264"/>
      <c r="Q983" s="264"/>
      <c r="R983" s="264"/>
      <c r="S983" s="264"/>
      <c r="T983" s="264"/>
      <c r="U983" s="360"/>
      <c r="V983" s="360"/>
      <c r="W983" s="360"/>
      <c r="X983" s="360"/>
      <c r="Y983" s="360"/>
      <c r="Z983" s="360"/>
      <c r="AA983" s="360"/>
      <c r="AB983" s="360"/>
      <c r="AC983" s="360"/>
      <c r="AD983" s="360"/>
      <c r="AE983" s="360"/>
      <c r="AF983" s="360"/>
      <c r="AG983" s="360" t="s">
        <v>1582</v>
      </c>
      <c r="AH983" s="360"/>
      <c r="AI983" s="360"/>
      <c r="AJ983" s="360" t="s">
        <v>1589</v>
      </c>
      <c r="AK983" s="360"/>
      <c r="AL983" s="360" t="s">
        <v>5878</v>
      </c>
      <c r="AM983" s="360"/>
      <c r="AN983" s="360"/>
      <c r="AO983" s="360"/>
      <c r="AP983" s="360"/>
      <c r="AQ983" s="360"/>
      <c r="AR983" s="360"/>
      <c r="AS983" s="360"/>
      <c r="AT983" s="360"/>
      <c r="AU983" s="360" t="s">
        <v>22</v>
      </c>
      <c r="AV983" s="360"/>
      <c r="AW983" s="264"/>
      <c r="AX983" s="264"/>
      <c r="AY983" s="264"/>
      <c r="AZ983" s="264"/>
      <c r="BA983" s="264"/>
      <c r="BB983" s="264"/>
      <c r="BC983" s="264"/>
      <c r="BD983" s="264"/>
      <c r="BE983" s="264"/>
    </row>
    <row r="984">
      <c r="A984" s="264"/>
      <c r="B984" s="264"/>
      <c r="C984" s="264"/>
      <c r="D984" s="264"/>
      <c r="E984" s="264"/>
      <c r="F984" s="264"/>
      <c r="G984" s="264"/>
      <c r="H984" s="264"/>
      <c r="I984" s="264"/>
      <c r="J984" s="264"/>
      <c r="K984" s="264"/>
      <c r="L984" s="264"/>
      <c r="M984" s="264" t="s">
        <v>22</v>
      </c>
      <c r="N984" s="264"/>
      <c r="O984" s="264" t="s">
        <v>22</v>
      </c>
      <c r="P984" s="264"/>
      <c r="Q984" s="264"/>
      <c r="R984" s="264"/>
      <c r="S984" s="264"/>
      <c r="T984" s="264"/>
      <c r="U984" s="360"/>
      <c r="V984" s="360"/>
      <c r="W984" s="360"/>
      <c r="X984" s="360"/>
      <c r="Y984" s="360"/>
      <c r="Z984" s="360"/>
      <c r="AA984" s="360"/>
      <c r="AB984" s="360"/>
      <c r="AC984" s="360"/>
      <c r="AD984" s="360"/>
      <c r="AE984" s="360"/>
      <c r="AF984" s="360"/>
      <c r="AG984" s="360" t="s">
        <v>1582</v>
      </c>
      <c r="AH984" s="360"/>
      <c r="AI984" s="360"/>
      <c r="AJ984" s="360" t="s">
        <v>1589</v>
      </c>
      <c r="AK984" s="360"/>
      <c r="AL984" s="360" t="s">
        <v>5878</v>
      </c>
      <c r="AM984" s="360"/>
      <c r="AN984" s="360"/>
      <c r="AO984" s="360"/>
      <c r="AP984" s="360"/>
      <c r="AQ984" s="360"/>
      <c r="AR984" s="360"/>
      <c r="AS984" s="360"/>
      <c r="AT984" s="360"/>
      <c r="AU984" s="360" t="s">
        <v>22</v>
      </c>
      <c r="AV984" s="360"/>
      <c r="AW984" s="264"/>
      <c r="AX984" s="264"/>
      <c r="AY984" s="264"/>
      <c r="AZ984" s="264"/>
      <c r="BA984" s="264"/>
      <c r="BB984" s="264"/>
      <c r="BC984" s="264"/>
      <c r="BD984" s="264"/>
      <c r="BE984" s="264"/>
    </row>
    <row r="985">
      <c r="A985" s="264"/>
      <c r="B985" s="264"/>
      <c r="C985" s="264"/>
      <c r="D985" s="264"/>
      <c r="E985" s="264"/>
      <c r="F985" s="264"/>
      <c r="G985" s="264"/>
      <c r="H985" s="264"/>
      <c r="I985" s="264"/>
      <c r="J985" s="264"/>
      <c r="K985" s="264"/>
      <c r="L985" s="264"/>
      <c r="M985" s="264" t="s">
        <v>22</v>
      </c>
      <c r="N985" s="264"/>
      <c r="O985" s="264" t="s">
        <v>22</v>
      </c>
      <c r="P985" s="264"/>
      <c r="Q985" s="264"/>
      <c r="R985" s="264"/>
      <c r="S985" s="264"/>
      <c r="T985" s="264"/>
      <c r="U985" s="360"/>
      <c r="V985" s="360"/>
      <c r="W985" s="360"/>
      <c r="X985" s="360"/>
      <c r="Y985" s="360"/>
      <c r="Z985" s="360"/>
      <c r="AA985" s="360"/>
      <c r="AB985" s="360"/>
      <c r="AC985" s="360"/>
      <c r="AD985" s="360"/>
      <c r="AE985" s="360"/>
      <c r="AF985" s="360"/>
      <c r="AG985" s="360" t="s">
        <v>1582</v>
      </c>
      <c r="AH985" s="360"/>
      <c r="AI985" s="360"/>
      <c r="AJ985" s="360" t="s">
        <v>1589</v>
      </c>
      <c r="AK985" s="360"/>
      <c r="AL985" s="360" t="s">
        <v>5878</v>
      </c>
      <c r="AM985" s="360"/>
      <c r="AN985" s="360"/>
      <c r="AO985" s="360"/>
      <c r="AP985" s="360"/>
      <c r="AQ985" s="360"/>
      <c r="AR985" s="360"/>
      <c r="AS985" s="360"/>
      <c r="AT985" s="360"/>
      <c r="AU985" s="360" t="s">
        <v>22</v>
      </c>
      <c r="AV985" s="360"/>
      <c r="AW985" s="264"/>
      <c r="AX985" s="264"/>
      <c r="AY985" s="264"/>
      <c r="AZ985" s="264"/>
      <c r="BA985" s="264"/>
      <c r="BB985" s="264"/>
      <c r="BC985" s="264"/>
      <c r="BD985" s="264"/>
      <c r="BE985" s="264"/>
    </row>
    <row r="986">
      <c r="A986" s="264"/>
      <c r="B986" s="264"/>
      <c r="C986" s="264"/>
      <c r="D986" s="264"/>
      <c r="E986" s="264"/>
      <c r="F986" s="264"/>
      <c r="G986" s="264"/>
      <c r="H986" s="264"/>
      <c r="I986" s="264"/>
      <c r="J986" s="264"/>
      <c r="K986" s="264"/>
      <c r="L986" s="264"/>
      <c r="M986" s="264" t="s">
        <v>22</v>
      </c>
      <c r="N986" s="264"/>
      <c r="O986" s="264" t="s">
        <v>22</v>
      </c>
      <c r="P986" s="264"/>
      <c r="Q986" s="264"/>
      <c r="R986" s="264"/>
      <c r="S986" s="264"/>
      <c r="T986" s="264"/>
      <c r="U986" s="360"/>
      <c r="V986" s="360"/>
      <c r="W986" s="360"/>
      <c r="X986" s="360"/>
      <c r="Y986" s="360"/>
      <c r="Z986" s="360"/>
      <c r="AA986" s="360"/>
      <c r="AB986" s="360"/>
      <c r="AC986" s="360"/>
      <c r="AD986" s="360"/>
      <c r="AE986" s="360"/>
      <c r="AF986" s="360"/>
      <c r="AG986" s="360" t="s">
        <v>1582</v>
      </c>
      <c r="AH986" s="360"/>
      <c r="AI986" s="360"/>
      <c r="AJ986" s="360" t="s">
        <v>1589</v>
      </c>
      <c r="AK986" s="360"/>
      <c r="AL986" s="360" t="s">
        <v>5878</v>
      </c>
      <c r="AM986" s="360"/>
      <c r="AN986" s="360"/>
      <c r="AO986" s="360"/>
      <c r="AP986" s="360"/>
      <c r="AQ986" s="360"/>
      <c r="AR986" s="360"/>
      <c r="AS986" s="360"/>
      <c r="AT986" s="360"/>
      <c r="AU986" s="360" t="s">
        <v>22</v>
      </c>
      <c r="AV986" s="360"/>
      <c r="AW986" s="264"/>
      <c r="AX986" s="264"/>
      <c r="AY986" s="264"/>
      <c r="AZ986" s="264"/>
      <c r="BA986" s="264"/>
      <c r="BB986" s="264"/>
      <c r="BC986" s="264"/>
      <c r="BD986" s="264"/>
      <c r="BE986" s="264"/>
    </row>
    <row r="987">
      <c r="A987" s="264"/>
      <c r="B987" s="264"/>
      <c r="C987" s="264"/>
      <c r="D987" s="264"/>
      <c r="E987" s="264"/>
      <c r="F987" s="264"/>
      <c r="G987" s="264"/>
      <c r="H987" s="264"/>
      <c r="I987" s="264"/>
      <c r="J987" s="264"/>
      <c r="K987" s="264"/>
      <c r="L987" s="264"/>
      <c r="M987" s="264" t="s">
        <v>22</v>
      </c>
      <c r="N987" s="264"/>
      <c r="O987" s="264" t="s">
        <v>22</v>
      </c>
      <c r="P987" s="264"/>
      <c r="Q987" s="264"/>
      <c r="R987" s="264"/>
      <c r="S987" s="264"/>
      <c r="T987" s="264"/>
      <c r="U987" s="360"/>
      <c r="V987" s="360"/>
      <c r="W987" s="360"/>
      <c r="X987" s="360"/>
      <c r="Y987" s="360"/>
      <c r="Z987" s="360"/>
      <c r="AA987" s="360"/>
      <c r="AB987" s="360"/>
      <c r="AC987" s="360"/>
      <c r="AD987" s="360"/>
      <c r="AE987" s="360"/>
      <c r="AF987" s="360"/>
      <c r="AG987" s="360" t="s">
        <v>1582</v>
      </c>
      <c r="AH987" s="360"/>
      <c r="AI987" s="360"/>
      <c r="AJ987" s="360" t="s">
        <v>1589</v>
      </c>
      <c r="AK987" s="360"/>
      <c r="AL987" s="360" t="s">
        <v>5878</v>
      </c>
      <c r="AM987" s="360"/>
      <c r="AN987" s="360"/>
      <c r="AO987" s="360"/>
      <c r="AP987" s="360"/>
      <c r="AQ987" s="360"/>
      <c r="AR987" s="360"/>
      <c r="AS987" s="360"/>
      <c r="AT987" s="360"/>
      <c r="AU987" s="360" t="s">
        <v>22</v>
      </c>
      <c r="AV987" s="360"/>
      <c r="AW987" s="264"/>
      <c r="AX987" s="264"/>
      <c r="AY987" s="264"/>
      <c r="AZ987" s="264"/>
      <c r="BA987" s="264"/>
      <c r="BB987" s="264"/>
      <c r="BC987" s="264"/>
      <c r="BD987" s="264"/>
      <c r="BE987" s="264"/>
    </row>
    <row r="988">
      <c r="A988" s="264"/>
      <c r="B988" s="264"/>
      <c r="C988" s="264"/>
      <c r="D988" s="264"/>
      <c r="E988" s="264"/>
      <c r="F988" s="264"/>
      <c r="G988" s="264"/>
      <c r="H988" s="264"/>
      <c r="I988" s="264"/>
      <c r="J988" s="264"/>
      <c r="K988" s="264"/>
      <c r="L988" s="264"/>
      <c r="M988" s="264" t="s">
        <v>22</v>
      </c>
      <c r="N988" s="264"/>
      <c r="O988" s="264" t="s">
        <v>22</v>
      </c>
      <c r="P988" s="264"/>
      <c r="Q988" s="264"/>
      <c r="R988" s="264"/>
      <c r="S988" s="264"/>
      <c r="T988" s="264"/>
      <c r="U988" s="360"/>
      <c r="V988" s="360"/>
      <c r="W988" s="360"/>
      <c r="X988" s="360"/>
      <c r="Y988" s="360"/>
      <c r="Z988" s="360"/>
      <c r="AA988" s="360"/>
      <c r="AB988" s="360"/>
      <c r="AC988" s="360"/>
      <c r="AD988" s="360"/>
      <c r="AE988" s="360"/>
      <c r="AF988" s="360"/>
      <c r="AG988" s="360" t="s">
        <v>1582</v>
      </c>
      <c r="AH988" s="360"/>
      <c r="AI988" s="360"/>
      <c r="AJ988" s="360" t="s">
        <v>1589</v>
      </c>
      <c r="AK988" s="360"/>
      <c r="AL988" s="360" t="s">
        <v>5878</v>
      </c>
      <c r="AM988" s="360"/>
      <c r="AN988" s="360"/>
      <c r="AO988" s="360"/>
      <c r="AP988" s="360"/>
      <c r="AQ988" s="360"/>
      <c r="AR988" s="360"/>
      <c r="AS988" s="360"/>
      <c r="AT988" s="360"/>
      <c r="AU988" s="360" t="s">
        <v>22</v>
      </c>
      <c r="AV988" s="360"/>
      <c r="AW988" s="264"/>
      <c r="AX988" s="264"/>
      <c r="AY988" s="264"/>
      <c r="AZ988" s="264"/>
      <c r="BA988" s="264"/>
      <c r="BB988" s="264"/>
      <c r="BC988" s="264"/>
      <c r="BD988" s="264"/>
      <c r="BE988" s="264"/>
    </row>
    <row r="989">
      <c r="A989" s="264"/>
      <c r="B989" s="264"/>
      <c r="C989" s="264"/>
      <c r="D989" s="264"/>
      <c r="E989" s="264"/>
      <c r="F989" s="264"/>
      <c r="G989" s="264"/>
      <c r="H989" s="264"/>
      <c r="I989" s="264"/>
      <c r="J989" s="264"/>
      <c r="K989" s="264"/>
      <c r="L989" s="264"/>
      <c r="M989" s="264" t="s">
        <v>22</v>
      </c>
      <c r="N989" s="264"/>
      <c r="O989" s="264" t="s">
        <v>22</v>
      </c>
      <c r="P989" s="264"/>
      <c r="Q989" s="264"/>
      <c r="R989" s="264"/>
      <c r="S989" s="264"/>
      <c r="T989" s="264"/>
      <c r="U989" s="360"/>
      <c r="V989" s="360"/>
      <c r="W989" s="360"/>
      <c r="X989" s="360"/>
      <c r="Y989" s="360"/>
      <c r="Z989" s="360"/>
      <c r="AA989" s="360"/>
      <c r="AB989" s="360"/>
      <c r="AC989" s="360"/>
      <c r="AD989" s="360"/>
      <c r="AE989" s="360"/>
      <c r="AF989" s="360"/>
      <c r="AG989" s="360" t="s">
        <v>1582</v>
      </c>
      <c r="AH989" s="360"/>
      <c r="AI989" s="360"/>
      <c r="AJ989" s="360" t="s">
        <v>1589</v>
      </c>
      <c r="AK989" s="360"/>
      <c r="AL989" s="360" t="s">
        <v>5878</v>
      </c>
      <c r="AM989" s="360"/>
      <c r="AN989" s="360"/>
      <c r="AO989" s="360"/>
      <c r="AP989" s="360"/>
      <c r="AQ989" s="360"/>
      <c r="AR989" s="360"/>
      <c r="AS989" s="360"/>
      <c r="AT989" s="360"/>
      <c r="AU989" s="360" t="s">
        <v>22</v>
      </c>
      <c r="AV989" s="360"/>
      <c r="AW989" s="264"/>
      <c r="AX989" s="264"/>
      <c r="AY989" s="264"/>
      <c r="AZ989" s="264"/>
      <c r="BA989" s="264"/>
      <c r="BB989" s="264"/>
      <c r="BC989" s="264"/>
      <c r="BD989" s="264"/>
      <c r="BE989" s="264"/>
    </row>
    <row r="990">
      <c r="A990" s="264"/>
      <c r="B990" s="264"/>
      <c r="C990" s="264"/>
      <c r="D990" s="264"/>
      <c r="E990" s="264"/>
      <c r="F990" s="264"/>
      <c r="G990" s="264"/>
      <c r="H990" s="264"/>
      <c r="I990" s="264"/>
      <c r="J990" s="264"/>
      <c r="K990" s="264"/>
      <c r="L990" s="264"/>
      <c r="M990" s="264" t="s">
        <v>22</v>
      </c>
      <c r="N990" s="264"/>
      <c r="O990" s="264" t="s">
        <v>22</v>
      </c>
      <c r="P990" s="264"/>
      <c r="Q990" s="264"/>
      <c r="R990" s="264"/>
      <c r="S990" s="264"/>
      <c r="T990" s="264"/>
      <c r="U990" s="360"/>
      <c r="V990" s="360"/>
      <c r="W990" s="360"/>
      <c r="X990" s="360"/>
      <c r="Y990" s="360"/>
      <c r="Z990" s="360"/>
      <c r="AA990" s="360"/>
      <c r="AB990" s="360"/>
      <c r="AC990" s="360"/>
      <c r="AD990" s="360"/>
      <c r="AE990" s="360"/>
      <c r="AF990" s="360"/>
      <c r="AG990" s="360" t="s">
        <v>1582</v>
      </c>
      <c r="AH990" s="360"/>
      <c r="AI990" s="360"/>
      <c r="AJ990" s="360" t="s">
        <v>1589</v>
      </c>
      <c r="AK990" s="360"/>
      <c r="AL990" s="360" t="s">
        <v>5878</v>
      </c>
      <c r="AM990" s="360"/>
      <c r="AN990" s="360"/>
      <c r="AO990" s="360"/>
      <c r="AP990" s="360"/>
      <c r="AQ990" s="360"/>
      <c r="AR990" s="360"/>
      <c r="AS990" s="360"/>
      <c r="AT990" s="360"/>
      <c r="AU990" s="360" t="s">
        <v>22</v>
      </c>
      <c r="AV990" s="360"/>
      <c r="AW990" s="264"/>
      <c r="AX990" s="264"/>
      <c r="AY990" s="264"/>
      <c r="AZ990" s="264"/>
      <c r="BA990" s="264"/>
      <c r="BB990" s="264"/>
      <c r="BC990" s="264"/>
      <c r="BD990" s="264"/>
      <c r="BE990" s="264"/>
    </row>
    <row r="991">
      <c r="A991" s="264"/>
      <c r="B991" s="264"/>
      <c r="C991" s="264"/>
      <c r="D991" s="264"/>
      <c r="E991" s="264"/>
      <c r="F991" s="264"/>
      <c r="G991" s="264"/>
      <c r="H991" s="264"/>
      <c r="I991" s="264"/>
      <c r="J991" s="264"/>
      <c r="K991" s="264"/>
      <c r="L991" s="264"/>
      <c r="M991" s="264" t="s">
        <v>22</v>
      </c>
      <c r="N991" s="264"/>
      <c r="O991" s="264" t="s">
        <v>22</v>
      </c>
      <c r="P991" s="264"/>
      <c r="Q991" s="264"/>
      <c r="R991" s="264"/>
      <c r="S991" s="264"/>
      <c r="T991" s="264"/>
      <c r="U991" s="360"/>
      <c r="V991" s="360"/>
      <c r="W991" s="360"/>
      <c r="X991" s="360"/>
      <c r="Y991" s="360"/>
      <c r="Z991" s="360"/>
      <c r="AA991" s="360"/>
      <c r="AB991" s="360"/>
      <c r="AC991" s="360"/>
      <c r="AD991" s="360"/>
      <c r="AE991" s="360"/>
      <c r="AF991" s="360"/>
      <c r="AG991" s="360" t="s">
        <v>1582</v>
      </c>
      <c r="AH991" s="360"/>
      <c r="AI991" s="360"/>
      <c r="AJ991" s="360" t="s">
        <v>1589</v>
      </c>
      <c r="AK991" s="360"/>
      <c r="AL991" s="360" t="s">
        <v>5878</v>
      </c>
      <c r="AM991" s="360"/>
      <c r="AN991" s="360"/>
      <c r="AO991" s="360"/>
      <c r="AP991" s="360"/>
      <c r="AQ991" s="360"/>
      <c r="AR991" s="360"/>
      <c r="AS991" s="360"/>
      <c r="AT991" s="360"/>
      <c r="AU991" s="360" t="s">
        <v>22</v>
      </c>
      <c r="AV991" s="360"/>
      <c r="AW991" s="264"/>
      <c r="AX991" s="264"/>
      <c r="AY991" s="264"/>
      <c r="AZ991" s="264"/>
      <c r="BA991" s="264"/>
      <c r="BB991" s="264"/>
      <c r="BC991" s="264"/>
      <c r="BD991" s="264"/>
      <c r="BE991" s="264"/>
    </row>
    <row r="992">
      <c r="A992" s="264"/>
      <c r="B992" s="264"/>
      <c r="C992" s="264"/>
      <c r="D992" s="264"/>
      <c r="E992" s="264"/>
      <c r="F992" s="264"/>
      <c r="G992" s="264"/>
      <c r="H992" s="264"/>
      <c r="I992" s="264"/>
      <c r="J992" s="264"/>
      <c r="K992" s="264"/>
      <c r="L992" s="264"/>
      <c r="M992" s="264" t="s">
        <v>22</v>
      </c>
      <c r="N992" s="264"/>
      <c r="O992" s="264" t="s">
        <v>22</v>
      </c>
      <c r="P992" s="264"/>
      <c r="Q992" s="264"/>
      <c r="R992" s="264"/>
      <c r="S992" s="264"/>
      <c r="T992" s="264"/>
      <c r="U992" s="360"/>
      <c r="V992" s="360"/>
      <c r="W992" s="360"/>
      <c r="X992" s="360"/>
      <c r="Y992" s="360"/>
      <c r="Z992" s="360"/>
      <c r="AA992" s="360"/>
      <c r="AB992" s="360"/>
      <c r="AC992" s="360"/>
      <c r="AD992" s="360"/>
      <c r="AE992" s="360"/>
      <c r="AF992" s="360"/>
      <c r="AG992" s="360" t="s">
        <v>1582</v>
      </c>
      <c r="AH992" s="360"/>
      <c r="AI992" s="360"/>
      <c r="AJ992" s="360" t="s">
        <v>1589</v>
      </c>
      <c r="AK992" s="360"/>
      <c r="AL992" s="360" t="s">
        <v>5878</v>
      </c>
      <c r="AM992" s="360"/>
      <c r="AN992" s="360"/>
      <c r="AO992" s="360"/>
      <c r="AP992" s="360"/>
      <c r="AQ992" s="360"/>
      <c r="AR992" s="360"/>
      <c r="AS992" s="360"/>
      <c r="AT992" s="360"/>
      <c r="AU992" s="360" t="s">
        <v>22</v>
      </c>
      <c r="AV992" s="360"/>
      <c r="AW992" s="264"/>
      <c r="AX992" s="264"/>
      <c r="AY992" s="264"/>
      <c r="AZ992" s="264"/>
      <c r="BA992" s="264"/>
      <c r="BB992" s="264"/>
      <c r="BC992" s="264"/>
      <c r="BD992" s="264"/>
      <c r="BE992" s="264"/>
    </row>
    <row r="993">
      <c r="A993" s="264"/>
      <c r="B993" s="264"/>
      <c r="C993" s="264"/>
      <c r="D993" s="264"/>
      <c r="E993" s="264"/>
      <c r="F993" s="264"/>
      <c r="G993" s="264"/>
      <c r="H993" s="264"/>
      <c r="I993" s="264"/>
      <c r="J993" s="264"/>
      <c r="K993" s="264"/>
      <c r="L993" s="264"/>
      <c r="M993" s="264" t="s">
        <v>22</v>
      </c>
      <c r="N993" s="264"/>
      <c r="O993" s="264" t="s">
        <v>22</v>
      </c>
      <c r="P993" s="264"/>
      <c r="Q993" s="264"/>
      <c r="R993" s="264"/>
      <c r="S993" s="264"/>
      <c r="T993" s="264"/>
      <c r="U993" s="360"/>
      <c r="V993" s="360"/>
      <c r="W993" s="360"/>
      <c r="X993" s="360"/>
      <c r="Y993" s="360"/>
      <c r="Z993" s="360"/>
      <c r="AA993" s="360"/>
      <c r="AB993" s="360"/>
      <c r="AC993" s="360"/>
      <c r="AD993" s="360"/>
      <c r="AE993" s="360"/>
      <c r="AF993" s="360"/>
      <c r="AG993" s="360" t="s">
        <v>1582</v>
      </c>
      <c r="AH993" s="360"/>
      <c r="AI993" s="360"/>
      <c r="AJ993" s="360" t="s">
        <v>1589</v>
      </c>
      <c r="AK993" s="360"/>
      <c r="AL993" s="360" t="s">
        <v>5878</v>
      </c>
      <c r="AM993" s="360"/>
      <c r="AN993" s="360"/>
      <c r="AO993" s="360"/>
      <c r="AP993" s="360"/>
      <c r="AQ993" s="360"/>
      <c r="AR993" s="360"/>
      <c r="AS993" s="360"/>
      <c r="AT993" s="360"/>
      <c r="AU993" s="360" t="s">
        <v>22</v>
      </c>
      <c r="AV993" s="360"/>
      <c r="AW993" s="264"/>
      <c r="AX993" s="264"/>
      <c r="AY993" s="264"/>
      <c r="AZ993" s="264"/>
      <c r="BA993" s="264"/>
      <c r="BB993" s="264"/>
      <c r="BC993" s="264"/>
      <c r="BD993" s="264"/>
      <c r="BE993" s="264"/>
    </row>
    <row r="994">
      <c r="A994" s="264"/>
      <c r="B994" s="264"/>
      <c r="C994" s="264"/>
      <c r="D994" s="264"/>
      <c r="E994" s="264"/>
      <c r="F994" s="264"/>
      <c r="G994" s="264"/>
      <c r="H994" s="264"/>
      <c r="I994" s="264"/>
      <c r="J994" s="264"/>
      <c r="K994" s="264"/>
      <c r="L994" s="264"/>
      <c r="M994" s="264" t="s">
        <v>22</v>
      </c>
      <c r="N994" s="264"/>
      <c r="O994" s="264" t="s">
        <v>22</v>
      </c>
      <c r="P994" s="264"/>
      <c r="Q994" s="264"/>
      <c r="R994" s="264"/>
      <c r="S994" s="264"/>
      <c r="T994" s="264"/>
      <c r="U994" s="360"/>
      <c r="V994" s="360"/>
      <c r="W994" s="360"/>
      <c r="X994" s="360"/>
      <c r="Y994" s="360"/>
      <c r="Z994" s="360"/>
      <c r="AA994" s="360"/>
      <c r="AB994" s="360"/>
      <c r="AC994" s="360"/>
      <c r="AD994" s="360"/>
      <c r="AE994" s="360"/>
      <c r="AF994" s="360"/>
      <c r="AG994" s="360" t="s">
        <v>1582</v>
      </c>
      <c r="AH994" s="360"/>
      <c r="AI994" s="360"/>
      <c r="AJ994" s="360" t="s">
        <v>1589</v>
      </c>
      <c r="AK994" s="360"/>
      <c r="AL994" s="360" t="s">
        <v>5878</v>
      </c>
      <c r="AM994" s="360"/>
      <c r="AN994" s="360"/>
      <c r="AO994" s="360"/>
      <c r="AP994" s="360"/>
      <c r="AQ994" s="360"/>
      <c r="AR994" s="360"/>
      <c r="AS994" s="360"/>
      <c r="AT994" s="360"/>
      <c r="AU994" s="360" t="s">
        <v>22</v>
      </c>
      <c r="AV994" s="360"/>
      <c r="AW994" s="264"/>
      <c r="AX994" s="264"/>
      <c r="AY994" s="264"/>
      <c r="AZ994" s="264"/>
      <c r="BA994" s="264"/>
      <c r="BB994" s="264"/>
      <c r="BC994" s="264"/>
      <c r="BD994" s="264"/>
      <c r="BE994" s="264"/>
    </row>
    <row r="995">
      <c r="A995" s="264"/>
      <c r="B995" s="264"/>
      <c r="C995" s="264"/>
      <c r="D995" s="264"/>
      <c r="E995" s="264"/>
      <c r="F995" s="264"/>
      <c r="G995" s="264"/>
      <c r="H995" s="264"/>
      <c r="I995" s="264"/>
      <c r="J995" s="264"/>
      <c r="K995" s="264"/>
      <c r="L995" s="264"/>
      <c r="M995" s="264" t="s">
        <v>22</v>
      </c>
      <c r="N995" s="264"/>
      <c r="O995" s="264" t="s">
        <v>22</v>
      </c>
      <c r="P995" s="264"/>
      <c r="Q995" s="264"/>
      <c r="R995" s="264"/>
      <c r="S995" s="264"/>
      <c r="T995" s="264"/>
      <c r="U995" s="360"/>
      <c r="V995" s="360"/>
      <c r="W995" s="360"/>
      <c r="X995" s="360"/>
      <c r="Y995" s="360"/>
      <c r="Z995" s="360"/>
      <c r="AA995" s="360"/>
      <c r="AB995" s="360"/>
      <c r="AC995" s="360"/>
      <c r="AD995" s="360"/>
      <c r="AE995" s="360"/>
      <c r="AF995" s="360"/>
      <c r="AG995" s="360" t="s">
        <v>1582</v>
      </c>
      <c r="AH995" s="360"/>
      <c r="AI995" s="360"/>
      <c r="AJ995" s="360" t="s">
        <v>1589</v>
      </c>
      <c r="AK995" s="360"/>
      <c r="AL995" s="360" t="s">
        <v>5878</v>
      </c>
      <c r="AM995" s="360"/>
      <c r="AN995" s="360"/>
      <c r="AO995" s="360"/>
      <c r="AP995" s="360"/>
      <c r="AQ995" s="360"/>
      <c r="AR995" s="360"/>
      <c r="AS995" s="360"/>
      <c r="AT995" s="360"/>
      <c r="AU995" s="360" t="s">
        <v>22</v>
      </c>
      <c r="AV995" s="360"/>
      <c r="AW995" s="264"/>
      <c r="AX995" s="264"/>
      <c r="AY995" s="264"/>
      <c r="AZ995" s="264"/>
      <c r="BA995" s="264"/>
      <c r="BB995" s="264"/>
      <c r="BC995" s="264"/>
      <c r="BD995" s="264"/>
      <c r="BE995" s="264"/>
    </row>
    <row r="996">
      <c r="A996" s="264"/>
      <c r="B996" s="264"/>
      <c r="C996" s="264"/>
      <c r="D996" s="264"/>
      <c r="E996" s="264"/>
      <c r="F996" s="264"/>
      <c r="G996" s="264"/>
      <c r="H996" s="264"/>
      <c r="I996" s="264"/>
      <c r="J996" s="264"/>
      <c r="K996" s="264"/>
      <c r="L996" s="264"/>
      <c r="M996" s="264" t="s">
        <v>22</v>
      </c>
      <c r="N996" s="264"/>
      <c r="O996" s="264" t="s">
        <v>22</v>
      </c>
      <c r="P996" s="264"/>
      <c r="Q996" s="264"/>
      <c r="R996" s="264"/>
      <c r="S996" s="264"/>
      <c r="T996" s="264"/>
      <c r="U996" s="360"/>
      <c r="V996" s="360"/>
      <c r="W996" s="360"/>
      <c r="X996" s="360"/>
      <c r="Y996" s="360"/>
      <c r="Z996" s="360"/>
      <c r="AA996" s="360"/>
      <c r="AB996" s="360"/>
      <c r="AC996" s="360"/>
      <c r="AD996" s="360"/>
      <c r="AE996" s="360"/>
      <c r="AF996" s="360"/>
      <c r="AG996" s="360" t="s">
        <v>1582</v>
      </c>
      <c r="AH996" s="360"/>
      <c r="AI996" s="360"/>
      <c r="AJ996" s="360" t="s">
        <v>1589</v>
      </c>
      <c r="AK996" s="360"/>
      <c r="AL996" s="360" t="s">
        <v>5878</v>
      </c>
      <c r="AM996" s="360"/>
      <c r="AN996" s="360"/>
      <c r="AO996" s="360"/>
      <c r="AP996" s="360"/>
      <c r="AQ996" s="360"/>
      <c r="AR996" s="360"/>
      <c r="AS996" s="360"/>
      <c r="AT996" s="360"/>
      <c r="AU996" s="360" t="s">
        <v>22</v>
      </c>
      <c r="AV996" s="360"/>
      <c r="AW996" s="264"/>
      <c r="AX996" s="264"/>
      <c r="AY996" s="264"/>
      <c r="AZ996" s="264"/>
      <c r="BA996" s="264"/>
      <c r="BB996" s="264"/>
      <c r="BC996" s="264"/>
      <c r="BD996" s="264"/>
      <c r="BE996" s="264"/>
    </row>
    <row r="997">
      <c r="A997" s="264"/>
      <c r="B997" s="264"/>
      <c r="C997" s="264"/>
      <c r="D997" s="264"/>
      <c r="E997" s="264"/>
      <c r="F997" s="264"/>
      <c r="G997" s="264"/>
      <c r="H997" s="264"/>
      <c r="I997" s="264"/>
      <c r="J997" s="264"/>
      <c r="K997" s="264"/>
      <c r="L997" s="264"/>
      <c r="M997" s="264" t="s">
        <v>22</v>
      </c>
      <c r="N997" s="264"/>
      <c r="O997" s="264" t="s">
        <v>22</v>
      </c>
      <c r="P997" s="264"/>
      <c r="Q997" s="264"/>
      <c r="R997" s="264"/>
      <c r="S997" s="264"/>
      <c r="T997" s="264"/>
      <c r="U997" s="360"/>
      <c r="V997" s="360"/>
      <c r="W997" s="360"/>
      <c r="X997" s="360"/>
      <c r="Y997" s="360"/>
      <c r="Z997" s="360"/>
      <c r="AA997" s="360"/>
      <c r="AB997" s="360"/>
      <c r="AC997" s="360"/>
      <c r="AD997" s="360"/>
      <c r="AE997" s="360"/>
      <c r="AF997" s="360"/>
      <c r="AG997" s="360" t="s">
        <v>1582</v>
      </c>
      <c r="AH997" s="360"/>
      <c r="AI997" s="360"/>
      <c r="AJ997" s="360" t="s">
        <v>1589</v>
      </c>
      <c r="AK997" s="360"/>
      <c r="AL997" s="360" t="s">
        <v>5878</v>
      </c>
      <c r="AM997" s="360"/>
      <c r="AN997" s="360"/>
      <c r="AO997" s="360"/>
      <c r="AP997" s="360"/>
      <c r="AQ997" s="360"/>
      <c r="AR997" s="360"/>
      <c r="AS997" s="360"/>
      <c r="AT997" s="360"/>
      <c r="AU997" s="360" t="s">
        <v>22</v>
      </c>
      <c r="AV997" s="360"/>
      <c r="AW997" s="264"/>
      <c r="AX997" s="264"/>
      <c r="AY997" s="264"/>
      <c r="AZ997" s="264"/>
      <c r="BA997" s="264"/>
      <c r="BB997" s="264"/>
      <c r="BC997" s="264"/>
      <c r="BD997" s="264"/>
      <c r="BE997" s="264"/>
    </row>
    <row r="998">
      <c r="A998" s="264"/>
      <c r="B998" s="264"/>
      <c r="C998" s="264"/>
      <c r="D998" s="264"/>
      <c r="E998" s="264"/>
      <c r="F998" s="264"/>
      <c r="G998" s="264"/>
      <c r="H998" s="264"/>
      <c r="I998" s="264"/>
      <c r="J998" s="264"/>
      <c r="K998" s="264"/>
      <c r="L998" s="264"/>
      <c r="M998" s="264" t="s">
        <v>22</v>
      </c>
      <c r="N998" s="264"/>
      <c r="O998" s="264" t="s">
        <v>22</v>
      </c>
      <c r="P998" s="264"/>
      <c r="Q998" s="264"/>
      <c r="R998" s="264"/>
      <c r="S998" s="264"/>
      <c r="T998" s="264"/>
      <c r="U998" s="360"/>
      <c r="V998" s="360"/>
      <c r="W998" s="360"/>
      <c r="X998" s="360"/>
      <c r="Y998" s="360"/>
      <c r="Z998" s="360"/>
      <c r="AA998" s="360"/>
      <c r="AB998" s="360"/>
      <c r="AC998" s="360"/>
      <c r="AD998" s="360"/>
      <c r="AE998" s="360"/>
      <c r="AF998" s="360"/>
      <c r="AG998" s="360" t="s">
        <v>1582</v>
      </c>
      <c r="AH998" s="360"/>
      <c r="AI998" s="360"/>
      <c r="AJ998" s="360" t="s">
        <v>1589</v>
      </c>
      <c r="AK998" s="360"/>
      <c r="AL998" s="360" t="s">
        <v>5878</v>
      </c>
      <c r="AM998" s="360"/>
      <c r="AN998" s="360"/>
      <c r="AO998" s="360"/>
      <c r="AP998" s="360"/>
      <c r="AQ998" s="360"/>
      <c r="AR998" s="360"/>
      <c r="AS998" s="360"/>
      <c r="AT998" s="360"/>
      <c r="AU998" s="360" t="s">
        <v>22</v>
      </c>
      <c r="AV998" s="360"/>
      <c r="AW998" s="264"/>
      <c r="AX998" s="264"/>
      <c r="AY998" s="264"/>
      <c r="AZ998" s="264"/>
      <c r="BA998" s="264"/>
      <c r="BB998" s="264"/>
      <c r="BC998" s="264"/>
      <c r="BD998" s="264"/>
      <c r="BE998" s="264"/>
    </row>
    <row r="999">
      <c r="A999" s="264"/>
      <c r="B999" s="264"/>
      <c r="C999" s="264"/>
      <c r="D999" s="264"/>
      <c r="E999" s="264"/>
      <c r="F999" s="264"/>
      <c r="G999" s="264"/>
      <c r="H999" s="264"/>
      <c r="I999" s="264"/>
      <c r="J999" s="264"/>
      <c r="K999" s="264"/>
      <c r="L999" s="264"/>
      <c r="M999" s="264" t="s">
        <v>22</v>
      </c>
      <c r="N999" s="264"/>
      <c r="O999" s="264" t="s">
        <v>22</v>
      </c>
      <c r="P999" s="264"/>
      <c r="Q999" s="264"/>
      <c r="R999" s="264"/>
      <c r="S999" s="264"/>
      <c r="T999" s="264"/>
      <c r="U999" s="360"/>
      <c r="V999" s="360"/>
      <c r="W999" s="360"/>
      <c r="X999" s="360"/>
      <c r="Y999" s="360"/>
      <c r="Z999" s="360"/>
      <c r="AA999" s="360"/>
      <c r="AB999" s="360"/>
      <c r="AC999" s="360"/>
      <c r="AD999" s="360"/>
      <c r="AE999" s="360"/>
      <c r="AF999" s="360"/>
      <c r="AG999" s="360" t="s">
        <v>1582</v>
      </c>
      <c r="AH999" s="360"/>
      <c r="AI999" s="360"/>
      <c r="AJ999" s="360" t="s">
        <v>1589</v>
      </c>
      <c r="AK999" s="360"/>
      <c r="AL999" s="360" t="s">
        <v>5878</v>
      </c>
      <c r="AM999" s="360"/>
      <c r="AN999" s="360"/>
      <c r="AO999" s="360"/>
      <c r="AP999" s="360"/>
      <c r="AQ999" s="360"/>
      <c r="AR999" s="360"/>
      <c r="AS999" s="360"/>
      <c r="AT999" s="360"/>
      <c r="AU999" s="360" t="s">
        <v>22</v>
      </c>
      <c r="AV999" s="360"/>
      <c r="AW999" s="264"/>
      <c r="AX999" s="264"/>
      <c r="AY999" s="264"/>
      <c r="AZ999" s="264"/>
      <c r="BA999" s="264"/>
      <c r="BB999" s="264"/>
      <c r="BC999" s="264"/>
      <c r="BD999" s="264"/>
      <c r="BE999" s="264"/>
    </row>
    <row r="1000">
      <c r="A1000" s="264"/>
      <c r="B1000" s="264"/>
      <c r="C1000" s="264"/>
      <c r="D1000" s="264"/>
      <c r="E1000" s="264"/>
      <c r="F1000" s="264"/>
      <c r="G1000" s="264"/>
      <c r="H1000" s="264"/>
      <c r="I1000" s="264"/>
      <c r="J1000" s="264"/>
      <c r="K1000" s="264"/>
      <c r="L1000" s="264"/>
      <c r="M1000" s="264" t="s">
        <v>22</v>
      </c>
      <c r="N1000" s="264"/>
      <c r="O1000" s="264" t="s">
        <v>22</v>
      </c>
      <c r="P1000" s="264"/>
      <c r="Q1000" s="264"/>
      <c r="R1000" s="264"/>
      <c r="S1000" s="264"/>
      <c r="T1000" s="264"/>
      <c r="U1000" s="360"/>
      <c r="V1000" s="360"/>
      <c r="W1000" s="360"/>
      <c r="X1000" s="360"/>
      <c r="Y1000" s="360"/>
      <c r="Z1000" s="360"/>
      <c r="AA1000" s="360"/>
      <c r="AB1000" s="360"/>
      <c r="AC1000" s="360"/>
      <c r="AD1000" s="360"/>
      <c r="AE1000" s="360"/>
      <c r="AF1000" s="360"/>
      <c r="AG1000" s="360" t="s">
        <v>1582</v>
      </c>
      <c r="AH1000" s="360"/>
      <c r="AI1000" s="360"/>
      <c r="AJ1000" s="360" t="s">
        <v>1589</v>
      </c>
      <c r="AK1000" s="360"/>
      <c r="AL1000" s="360" t="s">
        <v>5878</v>
      </c>
      <c r="AM1000" s="360"/>
      <c r="AN1000" s="360"/>
      <c r="AO1000" s="360"/>
      <c r="AP1000" s="360"/>
      <c r="AQ1000" s="360"/>
      <c r="AR1000" s="360"/>
      <c r="AS1000" s="360"/>
      <c r="AT1000" s="360"/>
      <c r="AU1000" s="360" t="s">
        <v>22</v>
      </c>
      <c r="AV1000" s="360"/>
      <c r="AW1000" s="264"/>
      <c r="AX1000" s="264"/>
      <c r="AY1000" s="264"/>
      <c r="AZ1000" s="264"/>
      <c r="BA1000" s="264"/>
      <c r="BB1000" s="264"/>
      <c r="BC1000" s="264"/>
      <c r="BD1000" s="264"/>
      <c r="BE1000" s="264"/>
    </row>
    <row r="1001">
      <c r="A1001" s="264"/>
      <c r="B1001" s="264"/>
      <c r="C1001" s="264"/>
      <c r="D1001" s="264"/>
      <c r="E1001" s="264"/>
      <c r="F1001" s="264"/>
      <c r="G1001" s="264"/>
      <c r="H1001" s="264"/>
      <c r="I1001" s="264"/>
      <c r="J1001" s="264"/>
      <c r="K1001" s="264"/>
      <c r="L1001" s="264"/>
      <c r="M1001" s="264" t="s">
        <v>22</v>
      </c>
      <c r="N1001" s="264"/>
      <c r="O1001" s="264" t="s">
        <v>22</v>
      </c>
      <c r="P1001" s="264"/>
      <c r="Q1001" s="264"/>
      <c r="R1001" s="264"/>
      <c r="S1001" s="264"/>
      <c r="T1001" s="264"/>
      <c r="U1001" s="360"/>
      <c r="V1001" s="360"/>
      <c r="W1001" s="360"/>
      <c r="X1001" s="360"/>
      <c r="Y1001" s="360"/>
      <c r="Z1001" s="360"/>
      <c r="AA1001" s="360"/>
      <c r="AB1001" s="360"/>
      <c r="AC1001" s="360"/>
      <c r="AD1001" s="360"/>
      <c r="AE1001" s="360"/>
      <c r="AF1001" s="360"/>
      <c r="AG1001" s="360" t="s">
        <v>1582</v>
      </c>
      <c r="AH1001" s="360"/>
      <c r="AI1001" s="360"/>
      <c r="AJ1001" s="360" t="s">
        <v>1589</v>
      </c>
      <c r="AK1001" s="360"/>
      <c r="AL1001" s="360" t="s">
        <v>5878</v>
      </c>
      <c r="AM1001" s="360"/>
      <c r="AN1001" s="360"/>
      <c r="AO1001" s="360"/>
      <c r="AP1001" s="360"/>
      <c r="AQ1001" s="360"/>
      <c r="AR1001" s="360"/>
      <c r="AS1001" s="360"/>
      <c r="AT1001" s="360"/>
      <c r="AU1001" s="360" t="s">
        <v>22</v>
      </c>
      <c r="AV1001" s="360"/>
      <c r="AW1001" s="264"/>
      <c r="AX1001" s="264"/>
      <c r="AY1001" s="264"/>
      <c r="AZ1001" s="264"/>
      <c r="BA1001" s="264"/>
      <c r="BB1001" s="264"/>
      <c r="BC1001" s="264"/>
      <c r="BD1001" s="264"/>
      <c r="BE1001" s="264"/>
    </row>
    <row r="1002">
      <c r="A1002" s="264"/>
      <c r="B1002" s="264"/>
      <c r="C1002" s="264"/>
      <c r="D1002" s="264"/>
      <c r="E1002" s="264"/>
      <c r="F1002" s="264"/>
      <c r="G1002" s="264"/>
      <c r="H1002" s="264"/>
      <c r="I1002" s="264"/>
      <c r="J1002" s="264"/>
      <c r="K1002" s="264"/>
      <c r="L1002" s="264"/>
      <c r="M1002" s="264" t="s">
        <v>22</v>
      </c>
      <c r="N1002" s="264"/>
      <c r="O1002" s="264" t="s">
        <v>22</v>
      </c>
      <c r="P1002" s="264"/>
      <c r="Q1002" s="264"/>
      <c r="R1002" s="264"/>
      <c r="S1002" s="264"/>
      <c r="T1002" s="264"/>
      <c r="U1002" s="360"/>
      <c r="V1002" s="360"/>
      <c r="W1002" s="360"/>
      <c r="X1002" s="360"/>
      <c r="Y1002" s="360"/>
      <c r="Z1002" s="360"/>
      <c r="AA1002" s="360"/>
      <c r="AB1002" s="360"/>
      <c r="AC1002" s="360"/>
      <c r="AD1002" s="360"/>
      <c r="AE1002" s="360"/>
      <c r="AF1002" s="360"/>
      <c r="AG1002" s="360" t="s">
        <v>1582</v>
      </c>
      <c r="AH1002" s="360"/>
      <c r="AI1002" s="360"/>
      <c r="AJ1002" s="360" t="s">
        <v>1589</v>
      </c>
      <c r="AK1002" s="360"/>
      <c r="AL1002" s="360" t="s">
        <v>5878</v>
      </c>
      <c r="AM1002" s="360"/>
      <c r="AN1002" s="360"/>
      <c r="AO1002" s="360"/>
      <c r="AP1002" s="360"/>
      <c r="AQ1002" s="360"/>
      <c r="AR1002" s="360"/>
      <c r="AS1002" s="360"/>
      <c r="AT1002" s="360"/>
      <c r="AU1002" s="360" t="s">
        <v>22</v>
      </c>
      <c r="AV1002" s="360"/>
      <c r="AW1002" s="264"/>
      <c r="AX1002" s="264"/>
      <c r="AY1002" s="264"/>
      <c r="AZ1002" s="264"/>
      <c r="BA1002" s="264"/>
      <c r="BB1002" s="264"/>
      <c r="BC1002" s="264"/>
      <c r="BD1002" s="264"/>
      <c r="BE1002" s="264"/>
    </row>
    <row r="1003">
      <c r="A1003" s="264"/>
      <c r="B1003" s="264"/>
      <c r="C1003" s="264"/>
      <c r="D1003" s="264"/>
      <c r="E1003" s="264"/>
      <c r="F1003" s="264"/>
      <c r="G1003" s="264"/>
      <c r="H1003" s="264"/>
      <c r="I1003" s="264"/>
      <c r="J1003" s="264"/>
      <c r="K1003" s="264"/>
      <c r="L1003" s="264"/>
      <c r="M1003" s="264" t="s">
        <v>22</v>
      </c>
      <c r="N1003" s="264"/>
      <c r="O1003" s="264" t="s">
        <v>22</v>
      </c>
      <c r="P1003" s="264"/>
      <c r="Q1003" s="264"/>
      <c r="R1003" s="264"/>
      <c r="S1003" s="264"/>
      <c r="T1003" s="264"/>
      <c r="U1003" s="360"/>
      <c r="V1003" s="360"/>
      <c r="W1003" s="360"/>
      <c r="X1003" s="360"/>
      <c r="Y1003" s="360"/>
      <c r="Z1003" s="360"/>
      <c r="AA1003" s="360"/>
      <c r="AB1003" s="360"/>
      <c r="AC1003" s="360"/>
      <c r="AD1003" s="360"/>
      <c r="AE1003" s="360"/>
      <c r="AF1003" s="360"/>
      <c r="AG1003" s="360" t="s">
        <v>1582</v>
      </c>
      <c r="AH1003" s="360"/>
      <c r="AI1003" s="360"/>
      <c r="AJ1003" s="360" t="s">
        <v>1589</v>
      </c>
      <c r="AK1003" s="360"/>
      <c r="AL1003" s="360" t="s">
        <v>5878</v>
      </c>
      <c r="AM1003" s="360"/>
      <c r="AN1003" s="360"/>
      <c r="AO1003" s="360"/>
      <c r="AP1003" s="360"/>
      <c r="AQ1003" s="360"/>
      <c r="AR1003" s="360"/>
      <c r="AS1003" s="360"/>
      <c r="AT1003" s="360"/>
      <c r="AU1003" s="360" t="s">
        <v>22</v>
      </c>
      <c r="AV1003" s="360"/>
      <c r="AW1003" s="264"/>
      <c r="AX1003" s="264"/>
      <c r="AY1003" s="264"/>
      <c r="AZ1003" s="264"/>
      <c r="BA1003" s="264"/>
      <c r="BB1003" s="264"/>
      <c r="BC1003" s="264"/>
      <c r="BD1003" s="264"/>
      <c r="BE1003" s="264"/>
    </row>
    <row r="1004">
      <c r="A1004" s="264"/>
      <c r="B1004" s="264"/>
      <c r="C1004" s="264"/>
      <c r="D1004" s="264"/>
      <c r="E1004" s="264"/>
      <c r="F1004" s="264"/>
      <c r="G1004" s="264"/>
      <c r="H1004" s="264"/>
      <c r="I1004" s="264"/>
      <c r="J1004" s="264"/>
      <c r="K1004" s="264"/>
      <c r="L1004" s="264"/>
      <c r="M1004" s="264" t="s">
        <v>22</v>
      </c>
      <c r="N1004" s="264"/>
      <c r="O1004" s="264" t="s">
        <v>22</v>
      </c>
      <c r="P1004" s="264"/>
      <c r="Q1004" s="264"/>
      <c r="R1004" s="264"/>
      <c r="S1004" s="264"/>
      <c r="T1004" s="264"/>
      <c r="U1004" s="360"/>
      <c r="V1004" s="360"/>
      <c r="W1004" s="360"/>
      <c r="X1004" s="360"/>
      <c r="Y1004" s="360"/>
      <c r="Z1004" s="360"/>
      <c r="AA1004" s="360"/>
      <c r="AB1004" s="360"/>
      <c r="AC1004" s="360"/>
      <c r="AD1004" s="360"/>
      <c r="AE1004" s="360"/>
      <c r="AF1004" s="360"/>
      <c r="AG1004" s="360" t="s">
        <v>1582</v>
      </c>
      <c r="AH1004" s="360"/>
      <c r="AI1004" s="360"/>
      <c r="AJ1004" s="360" t="s">
        <v>1589</v>
      </c>
      <c r="AK1004" s="360"/>
      <c r="AL1004" s="360" t="s">
        <v>5878</v>
      </c>
      <c r="AM1004" s="360"/>
      <c r="AN1004" s="360"/>
      <c r="AO1004" s="360"/>
      <c r="AP1004" s="360"/>
      <c r="AQ1004" s="360"/>
      <c r="AR1004" s="360"/>
      <c r="AS1004" s="360"/>
      <c r="AT1004" s="360"/>
      <c r="AU1004" s="360" t="s">
        <v>22</v>
      </c>
      <c r="AV1004" s="360"/>
      <c r="AW1004" s="264"/>
      <c r="AX1004" s="264"/>
      <c r="AY1004" s="264"/>
      <c r="AZ1004" s="264"/>
      <c r="BA1004" s="264"/>
      <c r="BB1004" s="264"/>
      <c r="BC1004" s="264"/>
      <c r="BD1004" s="264"/>
      <c r="BE1004" s="264"/>
    </row>
    <row r="1005">
      <c r="A1005" s="264"/>
      <c r="B1005" s="264"/>
      <c r="C1005" s="264"/>
      <c r="D1005" s="264"/>
      <c r="E1005" s="264"/>
      <c r="F1005" s="264"/>
      <c r="G1005" s="264"/>
      <c r="H1005" s="264"/>
      <c r="I1005" s="264"/>
      <c r="J1005" s="264"/>
      <c r="K1005" s="264"/>
      <c r="L1005" s="264"/>
      <c r="M1005" s="264" t="s">
        <v>22</v>
      </c>
      <c r="N1005" s="264"/>
      <c r="O1005" s="264" t="s">
        <v>22</v>
      </c>
      <c r="P1005" s="264"/>
      <c r="Q1005" s="264"/>
      <c r="R1005" s="264"/>
      <c r="S1005" s="264"/>
      <c r="T1005" s="264"/>
      <c r="U1005" s="360"/>
      <c r="V1005" s="360"/>
      <c r="W1005" s="360"/>
      <c r="X1005" s="360"/>
      <c r="Y1005" s="360"/>
      <c r="Z1005" s="360"/>
      <c r="AA1005" s="360"/>
      <c r="AB1005" s="360"/>
      <c r="AC1005" s="360"/>
      <c r="AD1005" s="360"/>
      <c r="AE1005" s="360"/>
      <c r="AF1005" s="360"/>
      <c r="AG1005" s="360" t="s">
        <v>1582</v>
      </c>
      <c r="AH1005" s="360"/>
      <c r="AI1005" s="360"/>
      <c r="AJ1005" s="360" t="s">
        <v>1589</v>
      </c>
      <c r="AK1005" s="360"/>
      <c r="AL1005" s="360" t="s">
        <v>5878</v>
      </c>
      <c r="AM1005" s="360"/>
      <c r="AN1005" s="360"/>
      <c r="AO1005" s="360"/>
      <c r="AP1005" s="360"/>
      <c r="AQ1005" s="360"/>
      <c r="AR1005" s="360"/>
      <c r="AS1005" s="360"/>
      <c r="AT1005" s="360"/>
      <c r="AU1005" s="360" t="s">
        <v>22</v>
      </c>
      <c r="AV1005" s="360"/>
      <c r="AW1005" s="264"/>
      <c r="AX1005" s="264"/>
      <c r="AY1005" s="264"/>
      <c r="AZ1005" s="264"/>
      <c r="BA1005" s="264"/>
      <c r="BB1005" s="264"/>
      <c r="BC1005" s="264"/>
      <c r="BD1005" s="264"/>
      <c r="BE1005" s="264"/>
    </row>
    <row r="1006">
      <c r="A1006" s="264"/>
      <c r="B1006" s="264"/>
      <c r="C1006" s="264"/>
      <c r="D1006" s="264"/>
      <c r="E1006" s="264"/>
      <c r="F1006" s="264"/>
      <c r="G1006" s="264"/>
      <c r="H1006" s="264"/>
      <c r="I1006" s="264"/>
      <c r="J1006" s="264"/>
      <c r="K1006" s="264"/>
      <c r="L1006" s="264"/>
      <c r="M1006" s="264" t="s">
        <v>22</v>
      </c>
      <c r="N1006" s="264"/>
      <c r="O1006" s="264" t="s">
        <v>22</v>
      </c>
      <c r="P1006" s="264"/>
      <c r="Q1006" s="264"/>
      <c r="R1006" s="264"/>
      <c r="S1006" s="264"/>
      <c r="T1006" s="264"/>
      <c r="U1006" s="360"/>
      <c r="V1006" s="360"/>
      <c r="W1006" s="360"/>
      <c r="X1006" s="360"/>
      <c r="Y1006" s="360"/>
      <c r="Z1006" s="360"/>
      <c r="AA1006" s="360"/>
      <c r="AB1006" s="360"/>
      <c r="AC1006" s="360"/>
      <c r="AD1006" s="360"/>
      <c r="AE1006" s="360"/>
      <c r="AF1006" s="360"/>
      <c r="AG1006" s="360" t="s">
        <v>1582</v>
      </c>
      <c r="AH1006" s="360"/>
      <c r="AI1006" s="360"/>
      <c r="AJ1006" s="360" t="s">
        <v>1589</v>
      </c>
      <c r="AK1006" s="360"/>
      <c r="AL1006" s="360" t="s">
        <v>5878</v>
      </c>
      <c r="AM1006" s="360"/>
      <c r="AN1006" s="360"/>
      <c r="AO1006" s="360"/>
      <c r="AP1006" s="360"/>
      <c r="AQ1006" s="360"/>
      <c r="AR1006" s="360"/>
      <c r="AS1006" s="360"/>
      <c r="AT1006" s="360"/>
      <c r="AU1006" s="360" t="s">
        <v>22</v>
      </c>
      <c r="AV1006" s="360"/>
      <c r="AW1006" s="264"/>
      <c r="AX1006" s="264"/>
      <c r="AY1006" s="264"/>
      <c r="AZ1006" s="264"/>
      <c r="BA1006" s="264"/>
      <c r="BB1006" s="264"/>
      <c r="BC1006" s="264"/>
      <c r="BD1006" s="264"/>
      <c r="BE1006" s="264"/>
    </row>
    <row r="1007">
      <c r="A1007" s="264"/>
      <c r="B1007" s="264"/>
      <c r="C1007" s="264"/>
      <c r="D1007" s="264"/>
      <c r="E1007" s="264"/>
      <c r="F1007" s="264"/>
      <c r="G1007" s="264"/>
      <c r="H1007" s="264"/>
      <c r="I1007" s="264"/>
      <c r="J1007" s="264"/>
      <c r="K1007" s="264"/>
      <c r="L1007" s="264"/>
      <c r="M1007" s="264" t="s">
        <v>22</v>
      </c>
      <c r="N1007" s="264"/>
      <c r="O1007" s="264" t="s">
        <v>22</v>
      </c>
      <c r="P1007" s="264"/>
      <c r="Q1007" s="264"/>
      <c r="R1007" s="264"/>
      <c r="S1007" s="264"/>
      <c r="T1007" s="264"/>
      <c r="U1007" s="360"/>
      <c r="V1007" s="360"/>
      <c r="W1007" s="360"/>
      <c r="X1007" s="360"/>
      <c r="Y1007" s="360"/>
      <c r="Z1007" s="360"/>
      <c r="AA1007" s="360"/>
      <c r="AB1007" s="360"/>
      <c r="AC1007" s="360"/>
      <c r="AD1007" s="360"/>
      <c r="AE1007" s="360"/>
      <c r="AF1007" s="360"/>
      <c r="AG1007" s="360" t="s">
        <v>1582</v>
      </c>
      <c r="AH1007" s="360"/>
      <c r="AI1007" s="360"/>
      <c r="AJ1007" s="360" t="s">
        <v>1589</v>
      </c>
      <c r="AK1007" s="360"/>
      <c r="AL1007" s="360" t="s">
        <v>5878</v>
      </c>
      <c r="AM1007" s="360"/>
      <c r="AN1007" s="360"/>
      <c r="AO1007" s="360"/>
      <c r="AP1007" s="360"/>
      <c r="AQ1007" s="360"/>
      <c r="AR1007" s="360"/>
      <c r="AS1007" s="360"/>
      <c r="AT1007" s="360"/>
      <c r="AU1007" s="360" t="s">
        <v>22</v>
      </c>
      <c r="AV1007" s="360"/>
      <c r="AW1007" s="264"/>
      <c r="AX1007" s="264"/>
      <c r="AY1007" s="264"/>
      <c r="AZ1007" s="264"/>
      <c r="BA1007" s="264"/>
      <c r="BB1007" s="264"/>
      <c r="BC1007" s="264"/>
      <c r="BD1007" s="264"/>
      <c r="BE1007" s="264"/>
    </row>
    <row r="1008">
      <c r="A1008" s="264"/>
      <c r="B1008" s="264"/>
      <c r="C1008" s="264"/>
      <c r="D1008" s="264"/>
      <c r="E1008" s="264"/>
      <c r="F1008" s="264"/>
      <c r="G1008" s="264"/>
      <c r="H1008" s="264"/>
      <c r="I1008" s="264"/>
      <c r="J1008" s="264"/>
      <c r="K1008" s="264"/>
      <c r="L1008" s="264"/>
      <c r="M1008" s="264" t="s">
        <v>22</v>
      </c>
      <c r="N1008" s="264"/>
      <c r="O1008" s="264" t="s">
        <v>22</v>
      </c>
      <c r="P1008" s="264"/>
      <c r="Q1008" s="264"/>
      <c r="R1008" s="264"/>
      <c r="S1008" s="264"/>
      <c r="T1008" s="264"/>
      <c r="U1008" s="360"/>
      <c r="V1008" s="360"/>
      <c r="W1008" s="360"/>
      <c r="X1008" s="360"/>
      <c r="Y1008" s="360"/>
      <c r="Z1008" s="360"/>
      <c r="AA1008" s="360"/>
      <c r="AB1008" s="360"/>
      <c r="AC1008" s="360"/>
      <c r="AD1008" s="360"/>
      <c r="AE1008" s="360"/>
      <c r="AF1008" s="360"/>
      <c r="AG1008" s="360" t="s">
        <v>1582</v>
      </c>
      <c r="AH1008" s="360"/>
      <c r="AI1008" s="360"/>
      <c r="AJ1008" s="360" t="s">
        <v>1589</v>
      </c>
      <c r="AK1008" s="360"/>
      <c r="AL1008" s="360" t="s">
        <v>5878</v>
      </c>
      <c r="AM1008" s="360"/>
      <c r="AN1008" s="360"/>
      <c r="AO1008" s="360"/>
      <c r="AP1008" s="360"/>
      <c r="AQ1008" s="360"/>
      <c r="AR1008" s="360"/>
      <c r="AS1008" s="360"/>
      <c r="AT1008" s="360"/>
      <c r="AU1008" s="360" t="s">
        <v>22</v>
      </c>
      <c r="AV1008" s="360"/>
      <c r="AW1008" s="264"/>
      <c r="AX1008" s="264"/>
      <c r="AY1008" s="264"/>
      <c r="AZ1008" s="264"/>
      <c r="BA1008" s="264"/>
      <c r="BB1008" s="264"/>
      <c r="BC1008" s="264"/>
      <c r="BD1008" s="264"/>
      <c r="BE1008" s="264"/>
    </row>
    <row r="1009">
      <c r="A1009" s="264"/>
      <c r="B1009" s="264"/>
      <c r="C1009" s="264"/>
      <c r="D1009" s="264"/>
      <c r="E1009" s="264"/>
      <c r="F1009" s="264"/>
      <c r="G1009" s="264"/>
      <c r="H1009" s="264"/>
      <c r="I1009" s="264"/>
      <c r="J1009" s="264"/>
      <c r="K1009" s="264"/>
      <c r="L1009" s="264"/>
      <c r="M1009" s="264" t="s">
        <v>22</v>
      </c>
      <c r="N1009" s="264"/>
      <c r="O1009" s="264" t="s">
        <v>22</v>
      </c>
      <c r="P1009" s="264"/>
      <c r="Q1009" s="264"/>
      <c r="R1009" s="264"/>
      <c r="S1009" s="264"/>
      <c r="T1009" s="264"/>
      <c r="U1009" s="360"/>
      <c r="V1009" s="360"/>
      <c r="W1009" s="360"/>
      <c r="X1009" s="360"/>
      <c r="Y1009" s="360"/>
      <c r="Z1009" s="360"/>
      <c r="AA1009" s="360"/>
      <c r="AB1009" s="360"/>
      <c r="AC1009" s="360"/>
      <c r="AD1009" s="360"/>
      <c r="AE1009" s="360"/>
      <c r="AF1009" s="360"/>
      <c r="AG1009" s="360" t="s">
        <v>1582</v>
      </c>
      <c r="AH1009" s="360"/>
      <c r="AI1009" s="360"/>
      <c r="AJ1009" s="360" t="s">
        <v>1589</v>
      </c>
      <c r="AK1009" s="360"/>
      <c r="AL1009" s="360" t="s">
        <v>5878</v>
      </c>
      <c r="AM1009" s="360"/>
      <c r="AN1009" s="360"/>
      <c r="AO1009" s="360"/>
      <c r="AP1009" s="360"/>
      <c r="AQ1009" s="360"/>
      <c r="AR1009" s="360"/>
      <c r="AS1009" s="360"/>
      <c r="AT1009" s="360"/>
      <c r="AU1009" s="360" t="s">
        <v>22</v>
      </c>
      <c r="AV1009" s="360"/>
      <c r="AW1009" s="264"/>
      <c r="AX1009" s="264"/>
      <c r="AY1009" s="264"/>
      <c r="AZ1009" s="264"/>
      <c r="BA1009" s="264"/>
      <c r="BB1009" s="264"/>
      <c r="BC1009" s="264"/>
      <c r="BD1009" s="264"/>
      <c r="BE1009" s="264"/>
    </row>
    <row r="1010">
      <c r="A1010" s="264"/>
      <c r="B1010" s="264"/>
      <c r="C1010" s="264"/>
      <c r="D1010" s="264"/>
      <c r="E1010" s="264"/>
      <c r="F1010" s="264"/>
      <c r="G1010" s="264"/>
      <c r="H1010" s="264"/>
      <c r="I1010" s="264"/>
      <c r="J1010" s="264"/>
      <c r="K1010" s="264"/>
      <c r="L1010" s="264"/>
      <c r="M1010" s="264" t="s">
        <v>22</v>
      </c>
      <c r="N1010" s="264"/>
      <c r="O1010" s="264" t="s">
        <v>22</v>
      </c>
      <c r="P1010" s="264"/>
      <c r="Q1010" s="264"/>
      <c r="R1010" s="264"/>
      <c r="S1010" s="264"/>
      <c r="T1010" s="264"/>
      <c r="U1010" s="360"/>
      <c r="V1010" s="360"/>
      <c r="W1010" s="360"/>
      <c r="X1010" s="360"/>
      <c r="Y1010" s="360"/>
      <c r="Z1010" s="360"/>
      <c r="AA1010" s="360"/>
      <c r="AB1010" s="360"/>
      <c r="AC1010" s="360"/>
      <c r="AD1010" s="360"/>
      <c r="AE1010" s="360"/>
      <c r="AF1010" s="360"/>
      <c r="AG1010" s="360" t="s">
        <v>1582</v>
      </c>
      <c r="AH1010" s="360"/>
      <c r="AI1010" s="360"/>
      <c r="AJ1010" s="360" t="s">
        <v>1589</v>
      </c>
      <c r="AK1010" s="360"/>
      <c r="AL1010" s="360" t="s">
        <v>5878</v>
      </c>
      <c r="AM1010" s="360"/>
      <c r="AN1010" s="360"/>
      <c r="AO1010" s="360"/>
      <c r="AP1010" s="360"/>
      <c r="AQ1010" s="360"/>
      <c r="AR1010" s="360"/>
      <c r="AS1010" s="360"/>
      <c r="AT1010" s="360"/>
      <c r="AU1010" s="360" t="s">
        <v>22</v>
      </c>
      <c r="AV1010" s="360"/>
      <c r="AW1010" s="264"/>
      <c r="AX1010" s="264"/>
      <c r="AY1010" s="264"/>
      <c r="AZ1010" s="264"/>
      <c r="BA1010" s="264"/>
      <c r="BB1010" s="264"/>
      <c r="BC1010" s="264"/>
      <c r="BD1010" s="264"/>
      <c r="BE1010" s="264"/>
    </row>
    <row r="1011">
      <c r="A1011" s="264"/>
      <c r="B1011" s="264"/>
      <c r="C1011" s="264"/>
      <c r="D1011" s="264"/>
      <c r="E1011" s="264"/>
      <c r="F1011" s="264"/>
      <c r="G1011" s="264"/>
      <c r="H1011" s="264"/>
      <c r="I1011" s="264"/>
      <c r="J1011" s="264"/>
      <c r="K1011" s="264"/>
      <c r="L1011" s="264"/>
      <c r="M1011" s="264" t="s">
        <v>22</v>
      </c>
      <c r="N1011" s="264"/>
      <c r="O1011" s="264" t="s">
        <v>22</v>
      </c>
      <c r="P1011" s="264"/>
      <c r="Q1011" s="264"/>
      <c r="R1011" s="264"/>
      <c r="S1011" s="264"/>
      <c r="T1011" s="264"/>
      <c r="U1011" s="360"/>
      <c r="V1011" s="360"/>
      <c r="W1011" s="360"/>
      <c r="X1011" s="360"/>
      <c r="Y1011" s="360"/>
      <c r="Z1011" s="360"/>
      <c r="AA1011" s="360"/>
      <c r="AB1011" s="360"/>
      <c r="AC1011" s="360"/>
      <c r="AD1011" s="360"/>
      <c r="AE1011" s="360"/>
      <c r="AF1011" s="360"/>
      <c r="AG1011" s="360" t="s">
        <v>1582</v>
      </c>
      <c r="AH1011" s="360"/>
      <c r="AI1011" s="360"/>
      <c r="AJ1011" s="360" t="s">
        <v>1589</v>
      </c>
      <c r="AK1011" s="360"/>
      <c r="AL1011" s="360" t="s">
        <v>5878</v>
      </c>
      <c r="AM1011" s="360"/>
      <c r="AN1011" s="360"/>
      <c r="AO1011" s="360"/>
      <c r="AP1011" s="360"/>
      <c r="AQ1011" s="360"/>
      <c r="AR1011" s="360"/>
      <c r="AS1011" s="360"/>
      <c r="AT1011" s="360"/>
      <c r="AU1011" s="360" t="s">
        <v>22</v>
      </c>
      <c r="AV1011" s="360"/>
      <c r="AW1011" s="264"/>
      <c r="AX1011" s="264"/>
      <c r="AY1011" s="264"/>
      <c r="AZ1011" s="264"/>
      <c r="BA1011" s="264"/>
      <c r="BB1011" s="264"/>
      <c r="BC1011" s="264"/>
      <c r="BD1011" s="264"/>
      <c r="BE1011" s="264"/>
    </row>
    <row r="1012">
      <c r="A1012" s="264"/>
      <c r="B1012" s="264"/>
      <c r="C1012" s="264"/>
      <c r="D1012" s="264"/>
      <c r="E1012" s="264"/>
      <c r="F1012" s="264"/>
      <c r="G1012" s="264"/>
      <c r="H1012" s="264"/>
      <c r="I1012" s="264"/>
      <c r="J1012" s="264"/>
      <c r="K1012" s="264"/>
      <c r="L1012" s="264"/>
      <c r="M1012" s="264" t="s">
        <v>22</v>
      </c>
      <c r="N1012" s="264"/>
      <c r="O1012" s="264" t="s">
        <v>22</v>
      </c>
      <c r="P1012" s="264"/>
      <c r="Q1012" s="264"/>
      <c r="R1012" s="264"/>
      <c r="S1012" s="264"/>
      <c r="T1012" s="264"/>
      <c r="U1012" s="360"/>
      <c r="V1012" s="360"/>
      <c r="W1012" s="360"/>
      <c r="X1012" s="360"/>
      <c r="Y1012" s="360"/>
      <c r="Z1012" s="360"/>
      <c r="AA1012" s="360"/>
      <c r="AB1012" s="360"/>
      <c r="AC1012" s="360"/>
      <c r="AD1012" s="360"/>
      <c r="AE1012" s="360"/>
      <c r="AF1012" s="360"/>
      <c r="AG1012" s="360" t="s">
        <v>1582</v>
      </c>
      <c r="AH1012" s="360"/>
      <c r="AI1012" s="360"/>
      <c r="AJ1012" s="360" t="s">
        <v>1589</v>
      </c>
      <c r="AK1012" s="360"/>
      <c r="AL1012" s="360" t="s">
        <v>5878</v>
      </c>
      <c r="AM1012" s="360"/>
      <c r="AN1012" s="360"/>
      <c r="AO1012" s="360"/>
      <c r="AP1012" s="360"/>
      <c r="AQ1012" s="360"/>
      <c r="AR1012" s="360"/>
      <c r="AS1012" s="360"/>
      <c r="AT1012" s="360"/>
      <c r="AU1012" s="360" t="s">
        <v>22</v>
      </c>
      <c r="AV1012" s="360"/>
      <c r="AW1012" s="264"/>
      <c r="AX1012" s="264"/>
      <c r="AY1012" s="264"/>
      <c r="AZ1012" s="264"/>
      <c r="BA1012" s="264"/>
      <c r="BB1012" s="264"/>
      <c r="BC1012" s="264"/>
      <c r="BD1012" s="264"/>
      <c r="BE1012" s="264"/>
    </row>
    <row r="1013">
      <c r="A1013" s="264"/>
      <c r="B1013" s="264"/>
      <c r="C1013" s="264"/>
      <c r="D1013" s="264"/>
      <c r="E1013" s="264"/>
      <c r="F1013" s="264"/>
      <c r="G1013" s="264"/>
      <c r="H1013" s="264"/>
      <c r="I1013" s="264"/>
      <c r="J1013" s="264"/>
      <c r="K1013" s="264"/>
      <c r="L1013" s="264"/>
      <c r="M1013" s="264" t="s">
        <v>22</v>
      </c>
      <c r="N1013" s="264"/>
      <c r="O1013" s="264" t="s">
        <v>22</v>
      </c>
      <c r="P1013" s="264"/>
      <c r="Q1013" s="264"/>
      <c r="R1013" s="264"/>
      <c r="S1013" s="264"/>
      <c r="T1013" s="264"/>
      <c r="U1013" s="360"/>
      <c r="V1013" s="360"/>
      <c r="W1013" s="360"/>
      <c r="X1013" s="360"/>
      <c r="Y1013" s="360"/>
      <c r="Z1013" s="360"/>
      <c r="AA1013" s="360"/>
      <c r="AB1013" s="360"/>
      <c r="AC1013" s="360"/>
      <c r="AD1013" s="360"/>
      <c r="AE1013" s="360"/>
      <c r="AF1013" s="360"/>
      <c r="AG1013" s="360" t="s">
        <v>1582</v>
      </c>
      <c r="AH1013" s="360"/>
      <c r="AI1013" s="360"/>
      <c r="AJ1013" s="360" t="s">
        <v>1589</v>
      </c>
      <c r="AK1013" s="360"/>
      <c r="AL1013" s="360" t="s">
        <v>5878</v>
      </c>
      <c r="AM1013" s="360"/>
      <c r="AN1013" s="360"/>
      <c r="AO1013" s="360"/>
      <c r="AP1013" s="360"/>
      <c r="AQ1013" s="360"/>
      <c r="AR1013" s="360"/>
      <c r="AS1013" s="360"/>
      <c r="AT1013" s="360"/>
      <c r="AU1013" s="360" t="s">
        <v>22</v>
      </c>
      <c r="AV1013" s="360"/>
      <c r="AW1013" s="264"/>
      <c r="AX1013" s="264"/>
      <c r="AY1013" s="264"/>
      <c r="AZ1013" s="264"/>
      <c r="BA1013" s="264"/>
      <c r="BB1013" s="264"/>
      <c r="BC1013" s="264"/>
      <c r="BD1013" s="264"/>
      <c r="BE1013" s="264"/>
    </row>
    <row r="1014">
      <c r="A1014" s="264"/>
      <c r="B1014" s="264"/>
      <c r="C1014" s="264"/>
      <c r="D1014" s="264"/>
      <c r="E1014" s="264"/>
      <c r="F1014" s="264"/>
      <c r="G1014" s="264"/>
      <c r="H1014" s="264"/>
      <c r="I1014" s="264"/>
      <c r="J1014" s="264"/>
      <c r="K1014" s="264"/>
      <c r="L1014" s="264"/>
      <c r="M1014" s="264" t="s">
        <v>22</v>
      </c>
      <c r="N1014" s="264"/>
      <c r="O1014" s="264" t="s">
        <v>22</v>
      </c>
      <c r="P1014" s="264"/>
      <c r="Q1014" s="264"/>
      <c r="R1014" s="264"/>
      <c r="S1014" s="264"/>
      <c r="T1014" s="264"/>
      <c r="U1014" s="360"/>
      <c r="V1014" s="360"/>
      <c r="W1014" s="360"/>
      <c r="X1014" s="360"/>
      <c r="Y1014" s="360"/>
      <c r="Z1014" s="360"/>
      <c r="AA1014" s="360"/>
      <c r="AB1014" s="360"/>
      <c r="AC1014" s="360"/>
      <c r="AD1014" s="360"/>
      <c r="AE1014" s="360"/>
      <c r="AF1014" s="360"/>
      <c r="AG1014" s="360" t="s">
        <v>1582</v>
      </c>
      <c r="AH1014" s="360"/>
      <c r="AI1014" s="360"/>
      <c r="AJ1014" s="360" t="s">
        <v>1589</v>
      </c>
      <c r="AK1014" s="360"/>
      <c r="AL1014" s="360" t="s">
        <v>5878</v>
      </c>
      <c r="AM1014" s="360"/>
      <c r="AN1014" s="360"/>
      <c r="AO1014" s="360"/>
      <c r="AP1014" s="360"/>
      <c r="AQ1014" s="360"/>
      <c r="AR1014" s="360"/>
      <c r="AS1014" s="360"/>
      <c r="AT1014" s="360"/>
      <c r="AU1014" s="360" t="s">
        <v>22</v>
      </c>
      <c r="AV1014" s="360"/>
      <c r="AW1014" s="264"/>
      <c r="AX1014" s="264"/>
      <c r="AY1014" s="264"/>
      <c r="AZ1014" s="264"/>
      <c r="BA1014" s="264"/>
      <c r="BB1014" s="264"/>
      <c r="BC1014" s="264"/>
      <c r="BD1014" s="264"/>
      <c r="BE1014" s="264"/>
    </row>
  </sheetData>
  <mergeCells count="4">
    <mergeCell ref="B2:G2"/>
    <mergeCell ref="B7:L7"/>
    <mergeCell ref="B12:S12"/>
    <mergeCell ref="AA12:AV12"/>
  </mergeCells>
  <dataValidations>
    <dataValidation type="list" allowBlank="1" showErrorMessage="1" sqref="F15">
      <formula1>"Аккумулятор,Дисплей,Крышка (заднее стекло),Стекло камеры,Корпус,Шлейф зарядки,Модуль бепроводной зарядки,Основная камера,Фронтальная камера,Слуховой динамик,Полифонический динамик,Вибромотор,Стекло дисплея,Тачскрин дисплея"</formula1>
    </dataValidation>
  </dataValidations>
  <hyperlinks>
    <hyperlink r:id="rId1" ref="R15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6.88"/>
  </cols>
  <sheetData>
    <row r="1">
      <c r="A1" s="335" t="s">
        <v>8907</v>
      </c>
      <c r="B1" s="320" t="s">
        <v>1540</v>
      </c>
      <c r="C1" s="65"/>
      <c r="D1" s="31" t="s">
        <v>67</v>
      </c>
      <c r="E1" s="11" t="s">
        <v>8908</v>
      </c>
      <c r="F1" s="427" t="s">
        <v>8909</v>
      </c>
      <c r="G1" s="31" t="s">
        <v>8910</v>
      </c>
      <c r="H1" s="31"/>
      <c r="I1" s="31"/>
      <c r="J1" s="31" t="s">
        <v>8911</v>
      </c>
      <c r="K1" s="428"/>
      <c r="L1" s="321"/>
      <c r="M1" s="322"/>
      <c r="N1" s="323"/>
      <c r="O1" s="429"/>
      <c r="P1" s="322"/>
      <c r="Q1" s="323"/>
      <c r="R1" s="429"/>
      <c r="S1" s="322"/>
      <c r="T1" s="323"/>
      <c r="U1" s="324"/>
      <c r="V1" s="322"/>
      <c r="W1" s="323"/>
      <c r="X1" s="324" t="s">
        <v>22</v>
      </c>
      <c r="Y1" s="173" t="s">
        <v>8912</v>
      </c>
      <c r="Z1" s="322" t="s">
        <v>22</v>
      </c>
      <c r="AA1" s="313">
        <f>MAX(Z1:Z2)</f>
        <v>0</v>
      </c>
      <c r="AB1" s="303">
        <f>AA1</f>
        <v>0</v>
      </c>
      <c r="AC1" s="430"/>
      <c r="AD1" s="326" t="s">
        <v>22</v>
      </c>
      <c r="AE1" s="331"/>
      <c r="AF1" s="431"/>
      <c r="AG1" s="432"/>
      <c r="AH1" s="326"/>
      <c r="AI1" s="2"/>
      <c r="AJ1" s="59" t="str">
        <f t="shared" ref="AJ1:AJ467" si="1">IF(N1&gt;0, AB1 - N1, "нет з/ч")</f>
        <v>нет з/ч</v>
      </c>
      <c r="AK1" s="61" t="str">
        <f t="shared" ref="AK1:AK467" si="2">IF(Q1&gt;0, AB1 - Q1, "нет з/ч")</f>
        <v>нет з/ч</v>
      </c>
      <c r="AL1" s="61" t="str">
        <f t="shared" ref="AL1:AL467" si="3">IF(T1&gt;0, AB1 - T1, "нет з/ч")</f>
        <v>нет з/ч</v>
      </c>
      <c r="AM1" s="304" t="str">
        <f t="shared" ref="AM1:AM19" si="4">IF(W1&gt;0, AB2267 - W1, "нет з/ч")</f>
        <v>нет з/ч</v>
      </c>
      <c r="AN1" s="2"/>
      <c r="AO1" s="289"/>
      <c r="AP1" s="296"/>
      <c r="AQ1" s="296"/>
      <c r="AR1" s="139"/>
      <c r="AS1" s="2"/>
      <c r="AT1" s="2" t="s">
        <v>1540</v>
      </c>
      <c r="AU1" s="2" t="s">
        <v>1540</v>
      </c>
      <c r="AV1" s="2"/>
      <c r="AW1" s="2"/>
      <c r="AX1" s="3" t="s">
        <v>8907</v>
      </c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>
      <c r="A2" s="335" t="s">
        <v>8913</v>
      </c>
      <c r="B2" s="320" t="s">
        <v>1540</v>
      </c>
      <c r="C2" s="65"/>
      <c r="D2" s="31" t="s">
        <v>67</v>
      </c>
      <c r="E2" s="11" t="s">
        <v>8908</v>
      </c>
      <c r="F2" s="427" t="s">
        <v>8909</v>
      </c>
      <c r="G2" s="31" t="s">
        <v>8910</v>
      </c>
      <c r="H2" s="31"/>
      <c r="I2" s="31"/>
      <c r="J2" s="31"/>
      <c r="K2" s="428"/>
      <c r="L2" s="321"/>
      <c r="M2" s="322"/>
      <c r="N2" s="323"/>
      <c r="O2" s="429"/>
      <c r="P2" s="322"/>
      <c r="Q2" s="323"/>
      <c r="R2" s="429"/>
      <c r="S2" s="322"/>
      <c r="T2" s="323"/>
      <c r="U2" s="324"/>
      <c r="V2" s="322"/>
      <c r="W2" s="323"/>
      <c r="X2" s="324" t="s">
        <v>22</v>
      </c>
      <c r="Y2" s="173" t="s">
        <v>8912</v>
      </c>
      <c r="Z2" s="322" t="s">
        <v>22</v>
      </c>
      <c r="AA2" s="67"/>
      <c r="AB2" s="303">
        <f>AA1</f>
        <v>0</v>
      </c>
      <c r="AC2" s="430"/>
      <c r="AD2" s="326" t="s">
        <v>22</v>
      </c>
      <c r="AE2" s="331"/>
      <c r="AF2" s="431"/>
      <c r="AG2" s="432"/>
      <c r="AH2" s="326"/>
      <c r="AI2" s="2"/>
      <c r="AJ2" s="59" t="str">
        <f t="shared" si="1"/>
        <v>нет з/ч</v>
      </c>
      <c r="AK2" s="61" t="str">
        <f t="shared" si="2"/>
        <v>нет з/ч</v>
      </c>
      <c r="AL2" s="61" t="str">
        <f t="shared" si="3"/>
        <v>нет з/ч</v>
      </c>
      <c r="AM2" s="304" t="str">
        <f t="shared" si="4"/>
        <v>нет з/ч</v>
      </c>
      <c r="AN2" s="2"/>
      <c r="AO2" s="289"/>
      <c r="AP2" s="296"/>
      <c r="AQ2" s="296"/>
      <c r="AR2" s="139"/>
      <c r="AS2" s="2"/>
      <c r="AT2" s="2" t="s">
        <v>1540</v>
      </c>
      <c r="AU2" s="2" t="s">
        <v>1540</v>
      </c>
      <c r="AV2" s="2"/>
      <c r="AW2" s="2"/>
      <c r="AX2" s="3" t="s">
        <v>8913</v>
      </c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</row>
    <row r="3">
      <c r="A3" s="332" t="s">
        <v>8914</v>
      </c>
      <c r="B3" s="320" t="s">
        <v>1540</v>
      </c>
      <c r="C3" s="65"/>
      <c r="D3" s="31" t="s">
        <v>67</v>
      </c>
      <c r="E3" s="11" t="s">
        <v>8908</v>
      </c>
      <c r="F3" s="427" t="s">
        <v>8915</v>
      </c>
      <c r="G3" s="31" t="s">
        <v>8916</v>
      </c>
      <c r="H3" s="31"/>
      <c r="I3" s="31"/>
      <c r="J3" s="31" t="s">
        <v>8911</v>
      </c>
      <c r="K3" s="428"/>
      <c r="L3" s="321"/>
      <c r="M3" s="322"/>
      <c r="N3" s="323"/>
      <c r="O3" s="429"/>
      <c r="P3" s="322"/>
      <c r="Q3" s="323"/>
      <c r="R3" s="429"/>
      <c r="S3" s="322"/>
      <c r="T3" s="323"/>
      <c r="U3" s="324"/>
      <c r="V3" s="322"/>
      <c r="W3" s="323"/>
      <c r="X3" s="324" t="s">
        <v>22</v>
      </c>
      <c r="Y3" s="173" t="s">
        <v>8912</v>
      </c>
      <c r="Z3" s="322" t="s">
        <v>22</v>
      </c>
      <c r="AA3" s="333">
        <v>50.0</v>
      </c>
      <c r="AB3" s="303">
        <f>AA3</f>
        <v>50</v>
      </c>
      <c r="AC3" s="430"/>
      <c r="AD3" s="326" t="s">
        <v>22</v>
      </c>
      <c r="AE3" s="331"/>
      <c r="AF3" s="431"/>
      <c r="AG3" s="432"/>
      <c r="AH3" s="326"/>
      <c r="AI3" s="2"/>
      <c r="AJ3" s="59" t="str">
        <f t="shared" si="1"/>
        <v>нет з/ч</v>
      </c>
      <c r="AK3" s="61" t="str">
        <f t="shared" si="2"/>
        <v>нет з/ч</v>
      </c>
      <c r="AL3" s="61" t="str">
        <f t="shared" si="3"/>
        <v>нет з/ч</v>
      </c>
      <c r="AM3" s="304" t="str">
        <f t="shared" si="4"/>
        <v>нет з/ч</v>
      </c>
      <c r="AN3" s="2"/>
      <c r="AO3" s="289"/>
      <c r="AP3" s="296"/>
      <c r="AQ3" s="296"/>
      <c r="AR3" s="139"/>
      <c r="AS3" s="2"/>
      <c r="AT3" s="2" t="s">
        <v>1540</v>
      </c>
      <c r="AU3" s="2" t="s">
        <v>1540</v>
      </c>
      <c r="AV3" s="2"/>
      <c r="AW3" s="2"/>
      <c r="AX3" s="3" t="s">
        <v>8914</v>
      </c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</row>
    <row r="4">
      <c r="A4" s="332" t="s">
        <v>8917</v>
      </c>
      <c r="B4" s="320" t="s">
        <v>1540</v>
      </c>
      <c r="C4" s="65"/>
      <c r="D4" s="31" t="s">
        <v>67</v>
      </c>
      <c r="E4" s="11" t="s">
        <v>8908</v>
      </c>
      <c r="F4" s="427" t="s">
        <v>8915</v>
      </c>
      <c r="G4" s="31" t="s">
        <v>8916</v>
      </c>
      <c r="H4" s="31"/>
      <c r="I4" s="31"/>
      <c r="J4" s="31"/>
      <c r="K4" s="428"/>
      <c r="L4" s="321"/>
      <c r="M4" s="322"/>
      <c r="N4" s="323"/>
      <c r="O4" s="429"/>
      <c r="P4" s="322"/>
      <c r="Q4" s="323"/>
      <c r="R4" s="429"/>
      <c r="S4" s="322"/>
      <c r="T4" s="323"/>
      <c r="U4" s="324"/>
      <c r="V4" s="322"/>
      <c r="W4" s="323"/>
      <c r="X4" s="324" t="s">
        <v>22</v>
      </c>
      <c r="Y4" s="173" t="s">
        <v>8912</v>
      </c>
      <c r="Z4" s="322" t="s">
        <v>22</v>
      </c>
      <c r="AA4" s="104"/>
      <c r="AB4" s="303">
        <f>AA3</f>
        <v>50</v>
      </c>
      <c r="AC4" s="430"/>
      <c r="AD4" s="326" t="s">
        <v>22</v>
      </c>
      <c r="AE4" s="331"/>
      <c r="AF4" s="431"/>
      <c r="AG4" s="432"/>
      <c r="AH4" s="326"/>
      <c r="AI4" s="2"/>
      <c r="AJ4" s="59" t="str">
        <f t="shared" si="1"/>
        <v>нет з/ч</v>
      </c>
      <c r="AK4" s="61" t="str">
        <f t="shared" si="2"/>
        <v>нет з/ч</v>
      </c>
      <c r="AL4" s="61" t="str">
        <f t="shared" si="3"/>
        <v>нет з/ч</v>
      </c>
      <c r="AM4" s="304" t="str">
        <f t="shared" si="4"/>
        <v>нет з/ч</v>
      </c>
      <c r="AN4" s="2"/>
      <c r="AO4" s="289"/>
      <c r="AP4" s="296"/>
      <c r="AQ4" s="296"/>
      <c r="AR4" s="139"/>
      <c r="AS4" s="2"/>
      <c r="AT4" s="2" t="s">
        <v>1540</v>
      </c>
      <c r="AU4" s="2" t="s">
        <v>1540</v>
      </c>
      <c r="AV4" s="2"/>
      <c r="AW4" s="2"/>
      <c r="AX4" s="3" t="s">
        <v>8917</v>
      </c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>
      <c r="A5" s="332" t="s">
        <v>8918</v>
      </c>
      <c r="B5" s="320" t="s">
        <v>1540</v>
      </c>
      <c r="C5" s="65"/>
      <c r="D5" s="31" t="s">
        <v>67</v>
      </c>
      <c r="E5" s="11" t="s">
        <v>8908</v>
      </c>
      <c r="F5" s="427" t="s">
        <v>8915</v>
      </c>
      <c r="G5" s="31" t="s">
        <v>8916</v>
      </c>
      <c r="H5" s="31"/>
      <c r="I5" s="31"/>
      <c r="J5" s="31"/>
      <c r="K5" s="428"/>
      <c r="L5" s="321"/>
      <c r="M5" s="322"/>
      <c r="N5" s="323"/>
      <c r="O5" s="429"/>
      <c r="P5" s="322"/>
      <c r="Q5" s="323"/>
      <c r="R5" s="429"/>
      <c r="S5" s="322"/>
      <c r="T5" s="323"/>
      <c r="U5" s="324"/>
      <c r="V5" s="322"/>
      <c r="W5" s="323"/>
      <c r="X5" s="324" t="s">
        <v>22</v>
      </c>
      <c r="Y5" s="173" t="s">
        <v>8912</v>
      </c>
      <c r="Z5" s="322" t="s">
        <v>22</v>
      </c>
      <c r="AA5" s="67"/>
      <c r="AB5" s="303">
        <f>AA3</f>
        <v>50</v>
      </c>
      <c r="AC5" s="430"/>
      <c r="AD5" s="326" t="s">
        <v>22</v>
      </c>
      <c r="AE5" s="331"/>
      <c r="AF5" s="431"/>
      <c r="AG5" s="432"/>
      <c r="AH5" s="326"/>
      <c r="AI5" s="2"/>
      <c r="AJ5" s="59" t="str">
        <f t="shared" si="1"/>
        <v>нет з/ч</v>
      </c>
      <c r="AK5" s="61" t="str">
        <f t="shared" si="2"/>
        <v>нет з/ч</v>
      </c>
      <c r="AL5" s="61" t="str">
        <f t="shared" si="3"/>
        <v>нет з/ч</v>
      </c>
      <c r="AM5" s="304" t="str">
        <f t="shared" si="4"/>
        <v>нет з/ч</v>
      </c>
      <c r="AN5" s="2"/>
      <c r="AO5" s="289"/>
      <c r="AP5" s="296"/>
      <c r="AQ5" s="296"/>
      <c r="AR5" s="139"/>
      <c r="AS5" s="2"/>
      <c r="AT5" s="2" t="s">
        <v>1540</v>
      </c>
      <c r="AU5" s="2" t="s">
        <v>1540</v>
      </c>
      <c r="AV5" s="2"/>
      <c r="AW5" s="2"/>
      <c r="AX5" s="3" t="s">
        <v>8918</v>
      </c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>
      <c r="A6" s="335" t="s">
        <v>8919</v>
      </c>
      <c r="B6" s="320" t="s">
        <v>1540</v>
      </c>
      <c r="C6" s="65"/>
      <c r="D6" s="31" t="s">
        <v>71</v>
      </c>
      <c r="E6" s="11" t="s">
        <v>8908</v>
      </c>
      <c r="F6" s="427" t="s">
        <v>8909</v>
      </c>
      <c r="G6" s="31" t="s">
        <v>8910</v>
      </c>
      <c r="H6" s="31"/>
      <c r="I6" s="31"/>
      <c r="J6" s="31"/>
      <c r="K6" s="428"/>
      <c r="L6" s="321"/>
      <c r="M6" s="322"/>
      <c r="N6" s="323"/>
      <c r="O6" s="429"/>
      <c r="P6" s="322"/>
      <c r="Q6" s="323"/>
      <c r="R6" s="429"/>
      <c r="S6" s="322"/>
      <c r="T6" s="323"/>
      <c r="U6" s="324"/>
      <c r="V6" s="322"/>
      <c r="W6" s="323"/>
      <c r="X6" s="324" t="s">
        <v>22</v>
      </c>
      <c r="Y6" s="173" t="s">
        <v>8912</v>
      </c>
      <c r="Z6" s="322" t="s">
        <v>22</v>
      </c>
      <c r="AA6" s="333">
        <v>50.0</v>
      </c>
      <c r="AB6" s="303">
        <f>AA6</f>
        <v>50</v>
      </c>
      <c r="AC6" s="430"/>
      <c r="AD6" s="326" t="s">
        <v>22</v>
      </c>
      <c r="AE6" s="331"/>
      <c r="AF6" s="431"/>
      <c r="AG6" s="432"/>
      <c r="AH6" s="326"/>
      <c r="AI6" s="2"/>
      <c r="AJ6" s="59" t="str">
        <f t="shared" si="1"/>
        <v>нет з/ч</v>
      </c>
      <c r="AK6" s="61" t="str">
        <f t="shared" si="2"/>
        <v>нет з/ч</v>
      </c>
      <c r="AL6" s="61" t="str">
        <f t="shared" si="3"/>
        <v>нет з/ч</v>
      </c>
      <c r="AM6" s="304" t="str">
        <f t="shared" si="4"/>
        <v>нет з/ч</v>
      </c>
      <c r="AN6" s="2"/>
      <c r="AO6" s="289"/>
      <c r="AP6" s="296"/>
      <c r="AQ6" s="296"/>
      <c r="AR6" s="139"/>
      <c r="AS6" s="2"/>
      <c r="AT6" s="2" t="s">
        <v>1540</v>
      </c>
      <c r="AU6" s="2" t="s">
        <v>1540</v>
      </c>
      <c r="AV6" s="2"/>
      <c r="AW6" s="2"/>
      <c r="AX6" s="3" t="s">
        <v>8919</v>
      </c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>
      <c r="A7" s="335" t="s">
        <v>8920</v>
      </c>
      <c r="B7" s="320" t="s">
        <v>1540</v>
      </c>
      <c r="C7" s="65"/>
      <c r="D7" s="31" t="s">
        <v>71</v>
      </c>
      <c r="E7" s="11" t="s">
        <v>8908</v>
      </c>
      <c r="F7" s="427" t="s">
        <v>8909</v>
      </c>
      <c r="G7" s="31" t="s">
        <v>8910</v>
      </c>
      <c r="H7" s="31"/>
      <c r="I7" s="31"/>
      <c r="J7" s="31"/>
      <c r="K7" s="428"/>
      <c r="L7" s="321"/>
      <c r="M7" s="322"/>
      <c r="N7" s="323"/>
      <c r="O7" s="429"/>
      <c r="P7" s="322"/>
      <c r="Q7" s="323"/>
      <c r="R7" s="429"/>
      <c r="S7" s="322"/>
      <c r="T7" s="323"/>
      <c r="U7" s="324"/>
      <c r="V7" s="322"/>
      <c r="W7" s="323"/>
      <c r="X7" s="324" t="s">
        <v>22</v>
      </c>
      <c r="Y7" s="173" t="s">
        <v>8912</v>
      </c>
      <c r="Z7" s="322" t="s">
        <v>22</v>
      </c>
      <c r="AA7" s="104"/>
      <c r="AB7" s="303">
        <f>AA6</f>
        <v>50</v>
      </c>
      <c r="AC7" s="430"/>
      <c r="AD7" s="326" t="s">
        <v>22</v>
      </c>
      <c r="AE7" s="331"/>
      <c r="AF7" s="431"/>
      <c r="AG7" s="432"/>
      <c r="AH7" s="326"/>
      <c r="AI7" s="2"/>
      <c r="AJ7" s="59" t="str">
        <f t="shared" si="1"/>
        <v>нет з/ч</v>
      </c>
      <c r="AK7" s="61" t="str">
        <f t="shared" si="2"/>
        <v>нет з/ч</v>
      </c>
      <c r="AL7" s="61" t="str">
        <f t="shared" si="3"/>
        <v>нет з/ч</v>
      </c>
      <c r="AM7" s="304" t="str">
        <f t="shared" si="4"/>
        <v>нет з/ч</v>
      </c>
      <c r="AN7" s="2"/>
      <c r="AO7" s="289"/>
      <c r="AP7" s="296"/>
      <c r="AQ7" s="296"/>
      <c r="AR7" s="139"/>
      <c r="AS7" s="2"/>
      <c r="AT7" s="2" t="s">
        <v>1540</v>
      </c>
      <c r="AU7" s="2" t="s">
        <v>1540</v>
      </c>
      <c r="AV7" s="2"/>
      <c r="AW7" s="2"/>
      <c r="AX7" s="3" t="s">
        <v>8920</v>
      </c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>
      <c r="A8" s="335" t="s">
        <v>8921</v>
      </c>
      <c r="B8" s="320" t="s">
        <v>1540</v>
      </c>
      <c r="C8" s="65"/>
      <c r="D8" s="31" t="s">
        <v>71</v>
      </c>
      <c r="E8" s="11" t="s">
        <v>8908</v>
      </c>
      <c r="F8" s="427" t="s">
        <v>8909</v>
      </c>
      <c r="G8" s="31" t="s">
        <v>8910</v>
      </c>
      <c r="H8" s="31"/>
      <c r="I8" s="31"/>
      <c r="J8" s="31"/>
      <c r="K8" s="428"/>
      <c r="L8" s="321"/>
      <c r="M8" s="322"/>
      <c r="N8" s="323"/>
      <c r="O8" s="429"/>
      <c r="P8" s="322"/>
      <c r="Q8" s="323"/>
      <c r="R8" s="429"/>
      <c r="S8" s="322"/>
      <c r="T8" s="323"/>
      <c r="U8" s="324"/>
      <c r="V8" s="322"/>
      <c r="W8" s="323"/>
      <c r="X8" s="324" t="s">
        <v>22</v>
      </c>
      <c r="Y8" s="173" t="s">
        <v>8912</v>
      </c>
      <c r="Z8" s="322" t="s">
        <v>22</v>
      </c>
      <c r="AA8" s="67"/>
      <c r="AB8" s="303">
        <f>AA6</f>
        <v>50</v>
      </c>
      <c r="AC8" s="430"/>
      <c r="AD8" s="326" t="s">
        <v>22</v>
      </c>
      <c r="AE8" s="331"/>
      <c r="AF8" s="431"/>
      <c r="AG8" s="432"/>
      <c r="AH8" s="326"/>
      <c r="AI8" s="2"/>
      <c r="AJ8" s="59" t="str">
        <f t="shared" si="1"/>
        <v>нет з/ч</v>
      </c>
      <c r="AK8" s="61" t="str">
        <f t="shared" si="2"/>
        <v>нет з/ч</v>
      </c>
      <c r="AL8" s="61" t="str">
        <f t="shared" si="3"/>
        <v>нет з/ч</v>
      </c>
      <c r="AM8" s="304" t="str">
        <f t="shared" si="4"/>
        <v>нет з/ч</v>
      </c>
      <c r="AN8" s="2"/>
      <c r="AO8" s="289"/>
      <c r="AP8" s="296"/>
      <c r="AQ8" s="296"/>
      <c r="AR8" s="139"/>
      <c r="AS8" s="2"/>
      <c r="AT8" s="2" t="s">
        <v>1540</v>
      </c>
      <c r="AU8" s="2" t="s">
        <v>1540</v>
      </c>
      <c r="AV8" s="2"/>
      <c r="AW8" s="2"/>
      <c r="AX8" s="3" t="s">
        <v>8921</v>
      </c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>
      <c r="A9" s="332" t="s">
        <v>8922</v>
      </c>
      <c r="B9" s="320" t="s">
        <v>1540</v>
      </c>
      <c r="C9" s="65"/>
      <c r="D9" s="31" t="s">
        <v>71</v>
      </c>
      <c r="E9" s="11" t="s">
        <v>8908</v>
      </c>
      <c r="F9" s="427" t="s">
        <v>8915</v>
      </c>
      <c r="G9" s="31" t="s">
        <v>8916</v>
      </c>
      <c r="H9" s="31"/>
      <c r="I9" s="31"/>
      <c r="J9" s="31"/>
      <c r="K9" s="428"/>
      <c r="L9" s="321"/>
      <c r="M9" s="322"/>
      <c r="N9" s="323"/>
      <c r="O9" s="429"/>
      <c r="P9" s="322"/>
      <c r="Q9" s="323"/>
      <c r="R9" s="429"/>
      <c r="S9" s="322"/>
      <c r="T9" s="323"/>
      <c r="U9" s="324"/>
      <c r="V9" s="322"/>
      <c r="W9" s="323"/>
      <c r="X9" s="324" t="s">
        <v>22</v>
      </c>
      <c r="Y9" s="173" t="s">
        <v>8912</v>
      </c>
      <c r="Z9" s="322" t="s">
        <v>22</v>
      </c>
      <c r="AA9" s="333">
        <v>50.0</v>
      </c>
      <c r="AB9" s="303">
        <f>AA9</f>
        <v>50</v>
      </c>
      <c r="AC9" s="430"/>
      <c r="AD9" s="326" t="s">
        <v>22</v>
      </c>
      <c r="AE9" s="331"/>
      <c r="AF9" s="431"/>
      <c r="AG9" s="432"/>
      <c r="AH9" s="326"/>
      <c r="AI9" s="2"/>
      <c r="AJ9" s="59" t="str">
        <f t="shared" si="1"/>
        <v>нет з/ч</v>
      </c>
      <c r="AK9" s="61" t="str">
        <f t="shared" si="2"/>
        <v>нет з/ч</v>
      </c>
      <c r="AL9" s="61" t="str">
        <f t="shared" si="3"/>
        <v>нет з/ч</v>
      </c>
      <c r="AM9" s="304" t="str">
        <f t="shared" si="4"/>
        <v>нет з/ч</v>
      </c>
      <c r="AN9" s="2"/>
      <c r="AO9" s="289"/>
      <c r="AP9" s="296"/>
      <c r="AQ9" s="296"/>
      <c r="AR9" s="139"/>
      <c r="AS9" s="2"/>
      <c r="AT9" s="2" t="s">
        <v>1540</v>
      </c>
      <c r="AU9" s="2" t="s">
        <v>1540</v>
      </c>
      <c r="AV9" s="2"/>
      <c r="AW9" s="2"/>
      <c r="AX9" s="3" t="s">
        <v>8922</v>
      </c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>
      <c r="A10" s="332" t="s">
        <v>8923</v>
      </c>
      <c r="B10" s="320" t="s">
        <v>1540</v>
      </c>
      <c r="C10" s="65"/>
      <c r="D10" s="31" t="s">
        <v>71</v>
      </c>
      <c r="E10" s="11" t="s">
        <v>8908</v>
      </c>
      <c r="F10" s="427" t="s">
        <v>8915</v>
      </c>
      <c r="G10" s="31" t="s">
        <v>8916</v>
      </c>
      <c r="H10" s="31"/>
      <c r="I10" s="31"/>
      <c r="J10" s="31"/>
      <c r="K10" s="428"/>
      <c r="L10" s="321"/>
      <c r="M10" s="322"/>
      <c r="N10" s="323"/>
      <c r="O10" s="429"/>
      <c r="P10" s="322"/>
      <c r="Q10" s="323"/>
      <c r="R10" s="429"/>
      <c r="S10" s="322"/>
      <c r="T10" s="323"/>
      <c r="U10" s="324"/>
      <c r="V10" s="322"/>
      <c r="W10" s="323"/>
      <c r="X10" s="324" t="s">
        <v>22</v>
      </c>
      <c r="Y10" s="173" t="s">
        <v>8912</v>
      </c>
      <c r="Z10" s="322" t="s">
        <v>22</v>
      </c>
      <c r="AA10" s="104"/>
      <c r="AB10" s="303">
        <f>AA9</f>
        <v>50</v>
      </c>
      <c r="AC10" s="430"/>
      <c r="AD10" s="326" t="s">
        <v>22</v>
      </c>
      <c r="AE10" s="331"/>
      <c r="AF10" s="431"/>
      <c r="AG10" s="432"/>
      <c r="AH10" s="326"/>
      <c r="AI10" s="2"/>
      <c r="AJ10" s="59" t="str">
        <f t="shared" si="1"/>
        <v>нет з/ч</v>
      </c>
      <c r="AK10" s="61" t="str">
        <f t="shared" si="2"/>
        <v>нет з/ч</v>
      </c>
      <c r="AL10" s="61" t="str">
        <f t="shared" si="3"/>
        <v>нет з/ч</v>
      </c>
      <c r="AM10" s="304" t="str">
        <f t="shared" si="4"/>
        <v>нет з/ч</v>
      </c>
      <c r="AN10" s="2"/>
      <c r="AO10" s="289"/>
      <c r="AP10" s="296"/>
      <c r="AQ10" s="296"/>
      <c r="AR10" s="139"/>
      <c r="AS10" s="2"/>
      <c r="AT10" s="2" t="s">
        <v>1540</v>
      </c>
      <c r="AU10" s="2" t="s">
        <v>1540</v>
      </c>
      <c r="AV10" s="2"/>
      <c r="AW10" s="2"/>
      <c r="AX10" s="3" t="s">
        <v>8923</v>
      </c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>
      <c r="A11" s="332" t="s">
        <v>8924</v>
      </c>
      <c r="B11" s="320" t="s">
        <v>1540</v>
      </c>
      <c r="C11" s="65"/>
      <c r="D11" s="31" t="s">
        <v>71</v>
      </c>
      <c r="E11" s="11" t="s">
        <v>8908</v>
      </c>
      <c r="F11" s="427" t="s">
        <v>8915</v>
      </c>
      <c r="G11" s="31" t="s">
        <v>8916</v>
      </c>
      <c r="H11" s="31"/>
      <c r="I11" s="31"/>
      <c r="J11" s="31"/>
      <c r="K11" s="428"/>
      <c r="L11" s="321"/>
      <c r="M11" s="322"/>
      <c r="N11" s="323"/>
      <c r="O11" s="429"/>
      <c r="P11" s="322"/>
      <c r="Q11" s="323"/>
      <c r="R11" s="429"/>
      <c r="S11" s="322"/>
      <c r="T11" s="323"/>
      <c r="U11" s="324"/>
      <c r="V11" s="322"/>
      <c r="W11" s="323"/>
      <c r="X11" s="324" t="s">
        <v>22</v>
      </c>
      <c r="Y11" s="173" t="s">
        <v>8912</v>
      </c>
      <c r="Z11" s="322" t="s">
        <v>22</v>
      </c>
      <c r="AA11" s="67"/>
      <c r="AB11" s="303">
        <f>AA9</f>
        <v>50</v>
      </c>
      <c r="AC11" s="430"/>
      <c r="AD11" s="326" t="s">
        <v>22</v>
      </c>
      <c r="AE11" s="331"/>
      <c r="AF11" s="431"/>
      <c r="AG11" s="432"/>
      <c r="AH11" s="326"/>
      <c r="AI11" s="2"/>
      <c r="AJ11" s="59" t="str">
        <f t="shared" si="1"/>
        <v>нет з/ч</v>
      </c>
      <c r="AK11" s="61" t="str">
        <f t="shared" si="2"/>
        <v>нет з/ч</v>
      </c>
      <c r="AL11" s="61" t="str">
        <f t="shared" si="3"/>
        <v>нет з/ч</v>
      </c>
      <c r="AM11" s="304" t="str">
        <f t="shared" si="4"/>
        <v>нет з/ч</v>
      </c>
      <c r="AN11" s="2"/>
      <c r="AO11" s="289"/>
      <c r="AP11" s="296"/>
      <c r="AQ11" s="296"/>
      <c r="AR11" s="139"/>
      <c r="AS11" s="2"/>
      <c r="AT11" s="2" t="s">
        <v>1540</v>
      </c>
      <c r="AU11" s="2" t="s">
        <v>1540</v>
      </c>
      <c r="AV11" s="2"/>
      <c r="AW11" s="2"/>
      <c r="AX11" s="3" t="s">
        <v>8924</v>
      </c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>
      <c r="A12" s="335" t="s">
        <v>8925</v>
      </c>
      <c r="B12" s="320" t="s">
        <v>1540</v>
      </c>
      <c r="C12" s="65"/>
      <c r="D12" s="31" t="s">
        <v>77</v>
      </c>
      <c r="E12" s="11" t="s">
        <v>8908</v>
      </c>
      <c r="F12" s="427" t="s">
        <v>8909</v>
      </c>
      <c r="G12" s="31" t="s">
        <v>8910</v>
      </c>
      <c r="H12" s="31"/>
      <c r="I12" s="31"/>
      <c r="J12" s="31"/>
      <c r="K12" s="428"/>
      <c r="L12" s="321"/>
      <c r="M12" s="322"/>
      <c r="N12" s="323"/>
      <c r="O12" s="429"/>
      <c r="P12" s="322"/>
      <c r="Q12" s="323"/>
      <c r="R12" s="429"/>
      <c r="S12" s="322"/>
      <c r="T12" s="323"/>
      <c r="U12" s="324"/>
      <c r="V12" s="322"/>
      <c r="W12" s="323"/>
      <c r="X12" s="324" t="s">
        <v>22</v>
      </c>
      <c r="Y12" s="173" t="s">
        <v>8912</v>
      </c>
      <c r="Z12" s="322" t="s">
        <v>22</v>
      </c>
      <c r="AA12" s="313">
        <f>MAX(Z12:Z15)</f>
        <v>0</v>
      </c>
      <c r="AB12" s="303">
        <f>AA12</f>
        <v>0</v>
      </c>
      <c r="AC12" s="430"/>
      <c r="AD12" s="326" t="s">
        <v>22</v>
      </c>
      <c r="AE12" s="331"/>
      <c r="AF12" s="431"/>
      <c r="AG12" s="432"/>
      <c r="AH12" s="326"/>
      <c r="AI12" s="2"/>
      <c r="AJ12" s="59" t="str">
        <f t="shared" si="1"/>
        <v>нет з/ч</v>
      </c>
      <c r="AK12" s="61" t="str">
        <f t="shared" si="2"/>
        <v>нет з/ч</v>
      </c>
      <c r="AL12" s="61" t="str">
        <f t="shared" si="3"/>
        <v>нет з/ч</v>
      </c>
      <c r="AM12" s="304" t="str">
        <f t="shared" si="4"/>
        <v>нет з/ч</v>
      </c>
      <c r="AN12" s="2"/>
      <c r="AO12" s="289"/>
      <c r="AP12" s="296"/>
      <c r="AQ12" s="296"/>
      <c r="AR12" s="139"/>
      <c r="AS12" s="2"/>
      <c r="AT12" s="2" t="s">
        <v>1540</v>
      </c>
      <c r="AU12" s="2" t="s">
        <v>1540</v>
      </c>
      <c r="AV12" s="2"/>
      <c r="AW12" s="2"/>
      <c r="AX12" s="3" t="s">
        <v>8925</v>
      </c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>
      <c r="A13" s="335" t="s">
        <v>8926</v>
      </c>
      <c r="B13" s="320" t="s">
        <v>1540</v>
      </c>
      <c r="C13" s="65"/>
      <c r="D13" s="31" t="s">
        <v>77</v>
      </c>
      <c r="E13" s="11" t="s">
        <v>8908</v>
      </c>
      <c r="F13" s="427" t="s">
        <v>8909</v>
      </c>
      <c r="G13" s="31" t="s">
        <v>8910</v>
      </c>
      <c r="H13" s="31"/>
      <c r="I13" s="31"/>
      <c r="J13" s="31"/>
      <c r="K13" s="428"/>
      <c r="L13" s="321"/>
      <c r="M13" s="322"/>
      <c r="N13" s="323"/>
      <c r="O13" s="429"/>
      <c r="P13" s="322"/>
      <c r="Q13" s="323"/>
      <c r="R13" s="429"/>
      <c r="S13" s="322"/>
      <c r="T13" s="323"/>
      <c r="U13" s="324"/>
      <c r="V13" s="322"/>
      <c r="W13" s="323"/>
      <c r="X13" s="324" t="s">
        <v>22</v>
      </c>
      <c r="Y13" s="173" t="s">
        <v>8912</v>
      </c>
      <c r="Z13" s="322" t="s">
        <v>22</v>
      </c>
      <c r="AA13" s="104"/>
      <c r="AB13" s="303">
        <f>AA12</f>
        <v>0</v>
      </c>
      <c r="AC13" s="430"/>
      <c r="AD13" s="326" t="s">
        <v>22</v>
      </c>
      <c r="AE13" s="331"/>
      <c r="AF13" s="431"/>
      <c r="AG13" s="432"/>
      <c r="AH13" s="326"/>
      <c r="AI13" s="2"/>
      <c r="AJ13" s="59" t="str">
        <f t="shared" si="1"/>
        <v>нет з/ч</v>
      </c>
      <c r="AK13" s="61" t="str">
        <f t="shared" si="2"/>
        <v>нет з/ч</v>
      </c>
      <c r="AL13" s="61" t="str">
        <f t="shared" si="3"/>
        <v>нет з/ч</v>
      </c>
      <c r="AM13" s="304" t="str">
        <f t="shared" si="4"/>
        <v>нет з/ч</v>
      </c>
      <c r="AN13" s="2"/>
      <c r="AO13" s="289"/>
      <c r="AP13" s="296"/>
      <c r="AQ13" s="296"/>
      <c r="AR13" s="139"/>
      <c r="AS13" s="2"/>
      <c r="AT13" s="2" t="s">
        <v>1540</v>
      </c>
      <c r="AU13" s="2" t="s">
        <v>1540</v>
      </c>
      <c r="AV13" s="2"/>
      <c r="AW13" s="2"/>
      <c r="AX13" s="3" t="s">
        <v>8926</v>
      </c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>
      <c r="A14" s="335" t="s">
        <v>8927</v>
      </c>
      <c r="B14" s="320" t="s">
        <v>1540</v>
      </c>
      <c r="C14" s="65"/>
      <c r="D14" s="31" t="s">
        <v>77</v>
      </c>
      <c r="E14" s="11" t="s">
        <v>8908</v>
      </c>
      <c r="F14" s="427" t="s">
        <v>8909</v>
      </c>
      <c r="G14" s="31" t="s">
        <v>8910</v>
      </c>
      <c r="H14" s="31"/>
      <c r="I14" s="31"/>
      <c r="J14" s="31"/>
      <c r="K14" s="428"/>
      <c r="L14" s="321"/>
      <c r="M14" s="322"/>
      <c r="N14" s="323"/>
      <c r="O14" s="429"/>
      <c r="P14" s="322"/>
      <c r="Q14" s="323"/>
      <c r="R14" s="429"/>
      <c r="S14" s="322"/>
      <c r="T14" s="323"/>
      <c r="U14" s="324"/>
      <c r="V14" s="322"/>
      <c r="W14" s="323"/>
      <c r="X14" s="324" t="s">
        <v>22</v>
      </c>
      <c r="Y14" s="173" t="s">
        <v>8912</v>
      </c>
      <c r="Z14" s="322" t="s">
        <v>22</v>
      </c>
      <c r="AA14" s="104"/>
      <c r="AB14" s="303">
        <f>AA12</f>
        <v>0</v>
      </c>
      <c r="AC14" s="430"/>
      <c r="AD14" s="326" t="s">
        <v>22</v>
      </c>
      <c r="AE14" s="331"/>
      <c r="AF14" s="431"/>
      <c r="AG14" s="432"/>
      <c r="AH14" s="326"/>
      <c r="AI14" s="2"/>
      <c r="AJ14" s="59" t="str">
        <f t="shared" si="1"/>
        <v>нет з/ч</v>
      </c>
      <c r="AK14" s="61" t="str">
        <f t="shared" si="2"/>
        <v>нет з/ч</v>
      </c>
      <c r="AL14" s="61" t="str">
        <f t="shared" si="3"/>
        <v>нет з/ч</v>
      </c>
      <c r="AM14" s="304" t="str">
        <f t="shared" si="4"/>
        <v>нет з/ч</v>
      </c>
      <c r="AN14" s="2"/>
      <c r="AO14" s="289"/>
      <c r="AP14" s="296"/>
      <c r="AQ14" s="296"/>
      <c r="AR14" s="139"/>
      <c r="AS14" s="2"/>
      <c r="AT14" s="2" t="s">
        <v>1540</v>
      </c>
      <c r="AU14" s="2" t="s">
        <v>1540</v>
      </c>
      <c r="AV14" s="2"/>
      <c r="AW14" s="2"/>
      <c r="AX14" s="3" t="s">
        <v>8927</v>
      </c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>
      <c r="A15" s="335" t="s">
        <v>8928</v>
      </c>
      <c r="B15" s="320" t="s">
        <v>1540</v>
      </c>
      <c r="C15" s="65"/>
      <c r="D15" s="31" t="s">
        <v>77</v>
      </c>
      <c r="E15" s="11" t="s">
        <v>8908</v>
      </c>
      <c r="F15" s="427" t="s">
        <v>8909</v>
      </c>
      <c r="G15" s="31" t="s">
        <v>8910</v>
      </c>
      <c r="H15" s="31"/>
      <c r="I15" s="31"/>
      <c r="J15" s="31"/>
      <c r="K15" s="428"/>
      <c r="L15" s="321"/>
      <c r="M15" s="322"/>
      <c r="N15" s="323"/>
      <c r="O15" s="429"/>
      <c r="P15" s="322"/>
      <c r="Q15" s="323"/>
      <c r="R15" s="429"/>
      <c r="S15" s="322"/>
      <c r="T15" s="323"/>
      <c r="U15" s="324"/>
      <c r="V15" s="322"/>
      <c r="W15" s="323"/>
      <c r="X15" s="324" t="s">
        <v>22</v>
      </c>
      <c r="Y15" s="173" t="s">
        <v>8912</v>
      </c>
      <c r="Z15" s="322" t="s">
        <v>22</v>
      </c>
      <c r="AA15" s="67"/>
      <c r="AB15" s="303">
        <f>AA12</f>
        <v>0</v>
      </c>
      <c r="AC15" s="430"/>
      <c r="AD15" s="326" t="s">
        <v>22</v>
      </c>
      <c r="AE15" s="331"/>
      <c r="AF15" s="431"/>
      <c r="AG15" s="432"/>
      <c r="AH15" s="326"/>
      <c r="AI15" s="2"/>
      <c r="AJ15" s="59" t="str">
        <f t="shared" si="1"/>
        <v>нет з/ч</v>
      </c>
      <c r="AK15" s="61" t="str">
        <f t="shared" si="2"/>
        <v>нет з/ч</v>
      </c>
      <c r="AL15" s="61" t="str">
        <f t="shared" si="3"/>
        <v>нет з/ч</v>
      </c>
      <c r="AM15" s="304" t="str">
        <f t="shared" si="4"/>
        <v>нет з/ч</v>
      </c>
      <c r="AN15" s="2"/>
      <c r="AO15" s="289"/>
      <c r="AP15" s="296"/>
      <c r="AQ15" s="296"/>
      <c r="AR15" s="139"/>
      <c r="AS15" s="2"/>
      <c r="AT15" s="2" t="s">
        <v>1540</v>
      </c>
      <c r="AU15" s="2" t="s">
        <v>1540</v>
      </c>
      <c r="AV15" s="2"/>
      <c r="AW15" s="2"/>
      <c r="AX15" s="3" t="s">
        <v>8928</v>
      </c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>
      <c r="A16" s="332" t="s">
        <v>8929</v>
      </c>
      <c r="B16" s="320" t="s">
        <v>1540</v>
      </c>
      <c r="C16" s="65"/>
      <c r="D16" s="31" t="s">
        <v>77</v>
      </c>
      <c r="E16" s="11" t="s">
        <v>8908</v>
      </c>
      <c r="F16" s="427" t="s">
        <v>8915</v>
      </c>
      <c r="G16" s="31" t="s">
        <v>8916</v>
      </c>
      <c r="H16" s="31"/>
      <c r="I16" s="31"/>
      <c r="J16" s="31"/>
      <c r="K16" s="428"/>
      <c r="L16" s="321"/>
      <c r="M16" s="322"/>
      <c r="N16" s="323"/>
      <c r="O16" s="429"/>
      <c r="P16" s="322"/>
      <c r="Q16" s="323"/>
      <c r="R16" s="429"/>
      <c r="S16" s="322"/>
      <c r="T16" s="323"/>
      <c r="U16" s="324"/>
      <c r="V16" s="322"/>
      <c r="W16" s="323"/>
      <c r="X16" s="324" t="s">
        <v>22</v>
      </c>
      <c r="Y16" s="173" t="s">
        <v>8912</v>
      </c>
      <c r="Z16" s="322" t="s">
        <v>22</v>
      </c>
      <c r="AA16" s="313">
        <f>MAX(Z16:Z19)</f>
        <v>0</v>
      </c>
      <c r="AB16" s="303">
        <f>AA16</f>
        <v>0</v>
      </c>
      <c r="AC16" s="430"/>
      <c r="AD16" s="326" t="s">
        <v>22</v>
      </c>
      <c r="AE16" s="331"/>
      <c r="AF16" s="431"/>
      <c r="AG16" s="432"/>
      <c r="AH16" s="326"/>
      <c r="AI16" s="2"/>
      <c r="AJ16" s="59" t="str">
        <f t="shared" si="1"/>
        <v>нет з/ч</v>
      </c>
      <c r="AK16" s="61" t="str">
        <f t="shared" si="2"/>
        <v>нет з/ч</v>
      </c>
      <c r="AL16" s="61" t="str">
        <f t="shared" si="3"/>
        <v>нет з/ч</v>
      </c>
      <c r="AM16" s="304" t="str">
        <f t="shared" si="4"/>
        <v>нет з/ч</v>
      </c>
      <c r="AN16" s="2"/>
      <c r="AO16" s="289"/>
      <c r="AP16" s="296"/>
      <c r="AQ16" s="296"/>
      <c r="AR16" s="139"/>
      <c r="AS16" s="2"/>
      <c r="AT16" s="2" t="s">
        <v>1540</v>
      </c>
      <c r="AU16" s="2" t="s">
        <v>1540</v>
      </c>
      <c r="AV16" s="2"/>
      <c r="AW16" s="2"/>
      <c r="AX16" s="3" t="s">
        <v>8929</v>
      </c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>
      <c r="A17" s="332" t="s">
        <v>8930</v>
      </c>
      <c r="B17" s="320" t="s">
        <v>1540</v>
      </c>
      <c r="C17" s="65"/>
      <c r="D17" s="31" t="s">
        <v>77</v>
      </c>
      <c r="E17" s="11" t="s">
        <v>8908</v>
      </c>
      <c r="F17" s="427" t="s">
        <v>8915</v>
      </c>
      <c r="G17" s="31" t="s">
        <v>8916</v>
      </c>
      <c r="H17" s="31"/>
      <c r="I17" s="31"/>
      <c r="J17" s="31"/>
      <c r="K17" s="428"/>
      <c r="L17" s="321"/>
      <c r="M17" s="322"/>
      <c r="N17" s="323"/>
      <c r="O17" s="429"/>
      <c r="P17" s="322"/>
      <c r="Q17" s="323"/>
      <c r="R17" s="429"/>
      <c r="S17" s="322"/>
      <c r="T17" s="323"/>
      <c r="U17" s="324"/>
      <c r="V17" s="322"/>
      <c r="W17" s="323"/>
      <c r="X17" s="324" t="s">
        <v>22</v>
      </c>
      <c r="Y17" s="173" t="s">
        <v>8912</v>
      </c>
      <c r="Z17" s="322" t="s">
        <v>22</v>
      </c>
      <c r="AA17" s="104"/>
      <c r="AB17" s="303">
        <f>AA16</f>
        <v>0</v>
      </c>
      <c r="AC17" s="430"/>
      <c r="AD17" s="326" t="s">
        <v>22</v>
      </c>
      <c r="AE17" s="331"/>
      <c r="AF17" s="431"/>
      <c r="AG17" s="432"/>
      <c r="AH17" s="326"/>
      <c r="AI17" s="2"/>
      <c r="AJ17" s="59" t="str">
        <f t="shared" si="1"/>
        <v>нет з/ч</v>
      </c>
      <c r="AK17" s="61" t="str">
        <f t="shared" si="2"/>
        <v>нет з/ч</v>
      </c>
      <c r="AL17" s="61" t="str">
        <f t="shared" si="3"/>
        <v>нет з/ч</v>
      </c>
      <c r="AM17" s="304" t="str">
        <f t="shared" si="4"/>
        <v>нет з/ч</v>
      </c>
      <c r="AN17" s="2"/>
      <c r="AO17" s="289"/>
      <c r="AP17" s="296"/>
      <c r="AQ17" s="296"/>
      <c r="AR17" s="139"/>
      <c r="AS17" s="2"/>
      <c r="AT17" s="2" t="s">
        <v>1540</v>
      </c>
      <c r="AU17" s="2" t="s">
        <v>1540</v>
      </c>
      <c r="AV17" s="2"/>
      <c r="AW17" s="2"/>
      <c r="AX17" s="3" t="s">
        <v>8930</v>
      </c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>
      <c r="A18" s="332" t="s">
        <v>8931</v>
      </c>
      <c r="B18" s="320" t="s">
        <v>1540</v>
      </c>
      <c r="C18" s="65"/>
      <c r="D18" s="31" t="s">
        <v>77</v>
      </c>
      <c r="E18" s="11" t="s">
        <v>8908</v>
      </c>
      <c r="F18" s="427" t="s">
        <v>8915</v>
      </c>
      <c r="G18" s="31" t="s">
        <v>8916</v>
      </c>
      <c r="H18" s="31"/>
      <c r="I18" s="31"/>
      <c r="J18" s="31"/>
      <c r="K18" s="428"/>
      <c r="L18" s="321"/>
      <c r="M18" s="322"/>
      <c r="N18" s="323"/>
      <c r="O18" s="429"/>
      <c r="P18" s="322"/>
      <c r="Q18" s="323"/>
      <c r="R18" s="429"/>
      <c r="S18" s="322"/>
      <c r="T18" s="323"/>
      <c r="U18" s="324"/>
      <c r="V18" s="322"/>
      <c r="W18" s="323"/>
      <c r="X18" s="324" t="s">
        <v>22</v>
      </c>
      <c r="Y18" s="173" t="s">
        <v>8912</v>
      </c>
      <c r="Z18" s="322" t="s">
        <v>22</v>
      </c>
      <c r="AA18" s="104"/>
      <c r="AB18" s="303">
        <f>AA16</f>
        <v>0</v>
      </c>
      <c r="AC18" s="430"/>
      <c r="AD18" s="326" t="s">
        <v>22</v>
      </c>
      <c r="AE18" s="331"/>
      <c r="AF18" s="431"/>
      <c r="AG18" s="432"/>
      <c r="AH18" s="326"/>
      <c r="AI18" s="2"/>
      <c r="AJ18" s="59" t="str">
        <f t="shared" si="1"/>
        <v>нет з/ч</v>
      </c>
      <c r="AK18" s="61" t="str">
        <f t="shared" si="2"/>
        <v>нет з/ч</v>
      </c>
      <c r="AL18" s="61" t="str">
        <f t="shared" si="3"/>
        <v>нет з/ч</v>
      </c>
      <c r="AM18" s="304" t="str">
        <f t="shared" si="4"/>
        <v>нет з/ч</v>
      </c>
      <c r="AN18" s="2"/>
      <c r="AO18" s="289"/>
      <c r="AP18" s="296"/>
      <c r="AQ18" s="296"/>
      <c r="AR18" s="139"/>
      <c r="AS18" s="2"/>
      <c r="AT18" s="2" t="s">
        <v>1540</v>
      </c>
      <c r="AU18" s="2" t="s">
        <v>1540</v>
      </c>
      <c r="AV18" s="2"/>
      <c r="AW18" s="2"/>
      <c r="AX18" s="3" t="s">
        <v>8931</v>
      </c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>
      <c r="A19" s="332" t="s">
        <v>8932</v>
      </c>
      <c r="B19" s="320" t="s">
        <v>1540</v>
      </c>
      <c r="C19" s="65"/>
      <c r="D19" s="31" t="s">
        <v>77</v>
      </c>
      <c r="E19" s="11" t="s">
        <v>8908</v>
      </c>
      <c r="F19" s="427" t="s">
        <v>8915</v>
      </c>
      <c r="G19" s="31" t="s">
        <v>8916</v>
      </c>
      <c r="H19" s="31"/>
      <c r="I19" s="31"/>
      <c r="J19" s="31"/>
      <c r="K19" s="428"/>
      <c r="L19" s="321"/>
      <c r="M19" s="322"/>
      <c r="N19" s="323"/>
      <c r="O19" s="429"/>
      <c r="P19" s="322"/>
      <c r="Q19" s="323"/>
      <c r="R19" s="429"/>
      <c r="S19" s="322"/>
      <c r="T19" s="323"/>
      <c r="U19" s="324"/>
      <c r="V19" s="322"/>
      <c r="W19" s="323"/>
      <c r="X19" s="324" t="s">
        <v>22</v>
      </c>
      <c r="Y19" s="173" t="s">
        <v>8912</v>
      </c>
      <c r="Z19" s="322" t="s">
        <v>22</v>
      </c>
      <c r="AA19" s="67"/>
      <c r="AB19" s="303">
        <f>AA16</f>
        <v>0</v>
      </c>
      <c r="AC19" s="430"/>
      <c r="AD19" s="326" t="s">
        <v>22</v>
      </c>
      <c r="AE19" s="331"/>
      <c r="AF19" s="431"/>
      <c r="AG19" s="432"/>
      <c r="AH19" s="326"/>
      <c r="AI19" s="2"/>
      <c r="AJ19" s="59" t="str">
        <f t="shared" si="1"/>
        <v>нет з/ч</v>
      </c>
      <c r="AK19" s="61" t="str">
        <f t="shared" si="2"/>
        <v>нет з/ч</v>
      </c>
      <c r="AL19" s="61" t="str">
        <f t="shared" si="3"/>
        <v>нет з/ч</v>
      </c>
      <c r="AM19" s="304" t="str">
        <f t="shared" si="4"/>
        <v>нет з/ч</v>
      </c>
      <c r="AN19" s="2"/>
      <c r="AO19" s="289"/>
      <c r="AP19" s="296"/>
      <c r="AQ19" s="296"/>
      <c r="AR19" s="139"/>
      <c r="AS19" s="2"/>
      <c r="AT19" s="2" t="s">
        <v>1540</v>
      </c>
      <c r="AU19" s="2" t="s">
        <v>1540</v>
      </c>
      <c r="AV19" s="2"/>
      <c r="AW19" s="2"/>
      <c r="AX19" s="3" t="s">
        <v>8932</v>
      </c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>
      <c r="A20" s="335" t="s">
        <v>8933</v>
      </c>
      <c r="B20" s="93"/>
      <c r="C20" s="65"/>
      <c r="D20" s="31" t="s">
        <v>83</v>
      </c>
      <c r="E20" s="11" t="s">
        <v>8908</v>
      </c>
      <c r="F20" s="427" t="s">
        <v>8909</v>
      </c>
      <c r="G20" s="31" t="s">
        <v>8910</v>
      </c>
      <c r="H20" s="31"/>
      <c r="I20" s="31"/>
      <c r="J20" s="31"/>
      <c r="K20" s="428"/>
      <c r="L20" s="321"/>
      <c r="M20" s="322"/>
      <c r="N20" s="323"/>
      <c r="O20" s="429"/>
      <c r="P20" s="322"/>
      <c r="Q20" s="323"/>
      <c r="R20" s="429"/>
      <c r="S20" s="322"/>
      <c r="T20" s="323"/>
      <c r="U20" s="324"/>
      <c r="V20" s="322"/>
      <c r="W20" s="323"/>
      <c r="X20" s="324" t="s">
        <v>22</v>
      </c>
      <c r="Y20" s="173" t="s">
        <v>8912</v>
      </c>
      <c r="Z20" s="322" t="s">
        <v>22</v>
      </c>
      <c r="AA20" s="313">
        <f>MAX(Z20:Z22)</f>
        <v>0</v>
      </c>
      <c r="AB20" s="319">
        <f>AA20</f>
        <v>0</v>
      </c>
      <c r="AC20" s="430"/>
      <c r="AD20" s="326" t="s">
        <v>22</v>
      </c>
      <c r="AE20" s="331"/>
      <c r="AF20" s="431"/>
      <c r="AG20" s="432"/>
      <c r="AH20" s="326"/>
      <c r="AI20" s="2"/>
      <c r="AJ20" s="59" t="str">
        <f t="shared" si="1"/>
        <v>нет з/ч</v>
      </c>
      <c r="AK20" s="61" t="str">
        <f t="shared" si="2"/>
        <v>нет з/ч</v>
      </c>
      <c r="AL20" s="61" t="str">
        <f t="shared" si="3"/>
        <v>нет з/ч</v>
      </c>
      <c r="AM20" s="304" t="str">
        <f t="shared" ref="AM20:AM467" si="5">IF(W20&gt;0, AB2278 - W20, "нет з/ч")</f>
        <v>нет з/ч</v>
      </c>
      <c r="AN20" s="2"/>
      <c r="AO20" s="289"/>
      <c r="AP20" s="296"/>
      <c r="AQ20" s="296"/>
      <c r="AR20" s="139"/>
      <c r="AS20" s="2"/>
      <c r="AT20" s="2"/>
      <c r="AU20" s="2"/>
      <c r="AV20" s="2"/>
      <c r="AW20" s="2"/>
      <c r="AX20" s="3" t="s">
        <v>8933</v>
      </c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>
      <c r="A21" s="335" t="s">
        <v>8934</v>
      </c>
      <c r="B21" s="93"/>
      <c r="C21" s="65"/>
      <c r="D21" s="31" t="s">
        <v>83</v>
      </c>
      <c r="E21" s="11" t="s">
        <v>8908</v>
      </c>
      <c r="F21" s="427" t="s">
        <v>8909</v>
      </c>
      <c r="G21" s="31" t="s">
        <v>8910</v>
      </c>
      <c r="H21" s="31"/>
      <c r="I21" s="31"/>
      <c r="J21" s="31"/>
      <c r="K21" s="428"/>
      <c r="L21" s="321"/>
      <c r="M21" s="322"/>
      <c r="N21" s="323"/>
      <c r="O21" s="429"/>
      <c r="P21" s="322"/>
      <c r="Q21" s="323"/>
      <c r="R21" s="429"/>
      <c r="S21" s="322"/>
      <c r="T21" s="323"/>
      <c r="U21" s="324"/>
      <c r="V21" s="322"/>
      <c r="W21" s="323"/>
      <c r="X21" s="324" t="s">
        <v>22</v>
      </c>
      <c r="Y21" s="173" t="s">
        <v>8912</v>
      </c>
      <c r="Z21" s="322" t="s">
        <v>22</v>
      </c>
      <c r="AA21" s="104"/>
      <c r="AB21" s="319">
        <f>AA20</f>
        <v>0</v>
      </c>
      <c r="AC21" s="430"/>
      <c r="AD21" s="326" t="s">
        <v>22</v>
      </c>
      <c r="AE21" s="331"/>
      <c r="AF21" s="431"/>
      <c r="AG21" s="432"/>
      <c r="AH21" s="326"/>
      <c r="AI21" s="2"/>
      <c r="AJ21" s="59" t="str">
        <f t="shared" si="1"/>
        <v>нет з/ч</v>
      </c>
      <c r="AK21" s="61" t="str">
        <f t="shared" si="2"/>
        <v>нет з/ч</v>
      </c>
      <c r="AL21" s="61" t="str">
        <f t="shared" si="3"/>
        <v>нет з/ч</v>
      </c>
      <c r="AM21" s="304" t="str">
        <f t="shared" si="5"/>
        <v>нет з/ч</v>
      </c>
      <c r="AN21" s="2"/>
      <c r="AO21" s="289"/>
      <c r="AP21" s="296"/>
      <c r="AQ21" s="296"/>
      <c r="AR21" s="139"/>
      <c r="AS21" s="2"/>
      <c r="AT21" s="2"/>
      <c r="AU21" s="2"/>
      <c r="AV21" s="2"/>
      <c r="AW21" s="2"/>
      <c r="AX21" s="3" t="s">
        <v>8934</v>
      </c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>
      <c r="A22" s="335" t="s">
        <v>8935</v>
      </c>
      <c r="B22" s="93"/>
      <c r="C22" s="65"/>
      <c r="D22" s="31" t="s">
        <v>83</v>
      </c>
      <c r="E22" s="11" t="s">
        <v>8908</v>
      </c>
      <c r="F22" s="427" t="s">
        <v>8909</v>
      </c>
      <c r="G22" s="31" t="s">
        <v>8910</v>
      </c>
      <c r="H22" s="31"/>
      <c r="I22" s="31"/>
      <c r="J22" s="31"/>
      <c r="K22" s="428"/>
      <c r="L22" s="321"/>
      <c r="M22" s="322"/>
      <c r="N22" s="323"/>
      <c r="O22" s="429"/>
      <c r="P22" s="322"/>
      <c r="Q22" s="323"/>
      <c r="R22" s="429"/>
      <c r="S22" s="322"/>
      <c r="T22" s="323"/>
      <c r="U22" s="324"/>
      <c r="V22" s="322"/>
      <c r="W22" s="323"/>
      <c r="X22" s="324" t="s">
        <v>22</v>
      </c>
      <c r="Y22" s="173" t="s">
        <v>8912</v>
      </c>
      <c r="Z22" s="322" t="s">
        <v>22</v>
      </c>
      <c r="AA22" s="67"/>
      <c r="AB22" s="319">
        <f>AA20</f>
        <v>0</v>
      </c>
      <c r="AC22" s="430"/>
      <c r="AD22" s="326" t="s">
        <v>22</v>
      </c>
      <c r="AE22" s="331"/>
      <c r="AF22" s="431"/>
      <c r="AG22" s="432"/>
      <c r="AH22" s="326"/>
      <c r="AI22" s="2"/>
      <c r="AJ22" s="59" t="str">
        <f t="shared" si="1"/>
        <v>нет з/ч</v>
      </c>
      <c r="AK22" s="61" t="str">
        <f t="shared" si="2"/>
        <v>нет з/ч</v>
      </c>
      <c r="AL22" s="61" t="str">
        <f t="shared" si="3"/>
        <v>нет з/ч</v>
      </c>
      <c r="AM22" s="304" t="str">
        <f t="shared" si="5"/>
        <v>нет з/ч</v>
      </c>
      <c r="AN22" s="2"/>
      <c r="AO22" s="289"/>
      <c r="AP22" s="296"/>
      <c r="AQ22" s="296"/>
      <c r="AR22" s="139"/>
      <c r="AS22" s="2"/>
      <c r="AT22" s="2"/>
      <c r="AU22" s="2"/>
      <c r="AV22" s="2"/>
      <c r="AW22" s="2"/>
      <c r="AX22" s="3" t="s">
        <v>8935</v>
      </c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>
      <c r="A23" s="335" t="s">
        <v>8936</v>
      </c>
      <c r="B23" s="93"/>
      <c r="C23" s="65"/>
      <c r="D23" s="31" t="s">
        <v>83</v>
      </c>
      <c r="E23" s="11" t="s">
        <v>8908</v>
      </c>
      <c r="F23" s="427" t="s">
        <v>8915</v>
      </c>
      <c r="G23" s="31" t="s">
        <v>8916</v>
      </c>
      <c r="H23" s="31"/>
      <c r="I23" s="31"/>
      <c r="J23" s="31"/>
      <c r="K23" s="428"/>
      <c r="L23" s="327" t="s">
        <v>8937</v>
      </c>
      <c r="M23" s="322"/>
      <c r="N23" s="328">
        <v>500.0</v>
      </c>
      <c r="O23" s="429"/>
      <c r="P23" s="322"/>
      <c r="Q23" s="323"/>
      <c r="R23" s="429"/>
      <c r="S23" s="322"/>
      <c r="T23" s="323"/>
      <c r="U23" s="324"/>
      <c r="V23" s="322"/>
      <c r="W23" s="323"/>
      <c r="X23" s="324">
        <v>500.0</v>
      </c>
      <c r="Y23" s="173" t="s">
        <v>8912</v>
      </c>
      <c r="Z23" s="322">
        <v>600.0</v>
      </c>
      <c r="AA23" s="313">
        <f>MAX(Z23:Z25)</f>
        <v>600</v>
      </c>
      <c r="AB23" s="319">
        <f>AA23</f>
        <v>600</v>
      </c>
      <c r="AC23" s="430"/>
      <c r="AD23" s="326" t="s">
        <v>5839</v>
      </c>
      <c r="AE23" s="329" t="s">
        <v>8938</v>
      </c>
      <c r="AF23" s="431"/>
      <c r="AG23" s="432"/>
      <c r="AH23" s="330">
        <v>46080.71222894676</v>
      </c>
      <c r="AI23" s="2"/>
      <c r="AJ23" s="289">
        <f t="shared" si="1"/>
        <v>100</v>
      </c>
      <c r="AK23" s="61" t="str">
        <f t="shared" si="2"/>
        <v>нет з/ч</v>
      </c>
      <c r="AL23" s="61" t="str">
        <f t="shared" si="3"/>
        <v>нет з/ч</v>
      </c>
      <c r="AM23" s="304" t="str">
        <f t="shared" si="5"/>
        <v>нет з/ч</v>
      </c>
      <c r="AN23" s="2"/>
      <c r="AO23" s="289">
        <v>500.0</v>
      </c>
      <c r="AP23" s="296"/>
      <c r="AQ23" s="296"/>
      <c r="AR23" s="139"/>
      <c r="AS23" s="2"/>
      <c r="AT23" s="2"/>
      <c r="AU23" s="2"/>
      <c r="AV23" s="2"/>
      <c r="AW23" s="2"/>
      <c r="AX23" s="3" t="s">
        <v>8936</v>
      </c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>
      <c r="A24" s="335" t="s">
        <v>8939</v>
      </c>
      <c r="B24" s="93"/>
      <c r="C24" s="65"/>
      <c r="D24" s="31" t="s">
        <v>83</v>
      </c>
      <c r="E24" s="11" t="s">
        <v>8908</v>
      </c>
      <c r="F24" s="427" t="s">
        <v>8915</v>
      </c>
      <c r="G24" s="31" t="s">
        <v>8916</v>
      </c>
      <c r="H24" s="31"/>
      <c r="I24" s="31"/>
      <c r="J24" s="31"/>
      <c r="K24" s="428"/>
      <c r="L24" s="327" t="s">
        <v>8940</v>
      </c>
      <c r="M24" s="322"/>
      <c r="N24" s="328">
        <v>500.0</v>
      </c>
      <c r="O24" s="429"/>
      <c r="P24" s="322"/>
      <c r="Q24" s="323"/>
      <c r="R24" s="429"/>
      <c r="S24" s="322"/>
      <c r="T24" s="323"/>
      <c r="U24" s="324"/>
      <c r="V24" s="322"/>
      <c r="W24" s="323"/>
      <c r="X24" s="324">
        <v>500.0</v>
      </c>
      <c r="Y24" s="173" t="s">
        <v>8912</v>
      </c>
      <c r="Z24" s="322">
        <v>600.0</v>
      </c>
      <c r="AA24" s="104"/>
      <c r="AB24" s="319">
        <f>AA23</f>
        <v>600</v>
      </c>
      <c r="AC24" s="430"/>
      <c r="AD24" s="326" t="s">
        <v>5839</v>
      </c>
      <c r="AE24" s="329" t="s">
        <v>8941</v>
      </c>
      <c r="AF24" s="431"/>
      <c r="AG24" s="432"/>
      <c r="AH24" s="330">
        <v>46080.71226512731</v>
      </c>
      <c r="AI24" s="2"/>
      <c r="AJ24" s="289">
        <f t="shared" si="1"/>
        <v>100</v>
      </c>
      <c r="AK24" s="61" t="str">
        <f t="shared" si="2"/>
        <v>нет з/ч</v>
      </c>
      <c r="AL24" s="61" t="str">
        <f t="shared" si="3"/>
        <v>нет з/ч</v>
      </c>
      <c r="AM24" s="304" t="str">
        <f t="shared" si="5"/>
        <v>нет з/ч</v>
      </c>
      <c r="AN24" s="2"/>
      <c r="AO24" s="289">
        <v>500.0</v>
      </c>
      <c r="AP24" s="296"/>
      <c r="AQ24" s="296"/>
      <c r="AR24" s="139"/>
      <c r="AS24" s="2"/>
      <c r="AT24" s="2"/>
      <c r="AU24" s="2"/>
      <c r="AV24" s="2"/>
      <c r="AW24" s="2"/>
      <c r="AX24" s="3" t="s">
        <v>8939</v>
      </c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>
      <c r="A25" s="335" t="s">
        <v>8942</v>
      </c>
      <c r="B25" s="93"/>
      <c r="C25" s="65"/>
      <c r="D25" s="31" t="s">
        <v>83</v>
      </c>
      <c r="E25" s="11" t="s">
        <v>8908</v>
      </c>
      <c r="F25" s="427" t="s">
        <v>8915</v>
      </c>
      <c r="G25" s="31" t="s">
        <v>8916</v>
      </c>
      <c r="H25" s="31"/>
      <c r="I25" s="31"/>
      <c r="J25" s="31"/>
      <c r="K25" s="428"/>
      <c r="L25" s="327" t="s">
        <v>8943</v>
      </c>
      <c r="M25" s="322"/>
      <c r="N25" s="328">
        <v>500.0</v>
      </c>
      <c r="O25" s="429"/>
      <c r="P25" s="322"/>
      <c r="Q25" s="323"/>
      <c r="R25" s="429"/>
      <c r="S25" s="322"/>
      <c r="T25" s="323"/>
      <c r="U25" s="324"/>
      <c r="V25" s="322"/>
      <c r="W25" s="323"/>
      <c r="X25" s="324">
        <v>500.0</v>
      </c>
      <c r="Y25" s="173" t="s">
        <v>8912</v>
      </c>
      <c r="Z25" s="322">
        <v>600.0</v>
      </c>
      <c r="AA25" s="67"/>
      <c r="AB25" s="319">
        <f>AA23</f>
        <v>600</v>
      </c>
      <c r="AC25" s="430"/>
      <c r="AD25" s="326" t="s">
        <v>5839</v>
      </c>
      <c r="AE25" s="329" t="s">
        <v>8944</v>
      </c>
      <c r="AF25" s="431"/>
      <c r="AG25" s="432"/>
      <c r="AH25" s="330">
        <v>46080.71229954861</v>
      </c>
      <c r="AI25" s="2"/>
      <c r="AJ25" s="289">
        <f t="shared" si="1"/>
        <v>100</v>
      </c>
      <c r="AK25" s="61" t="str">
        <f t="shared" si="2"/>
        <v>нет з/ч</v>
      </c>
      <c r="AL25" s="61" t="str">
        <f t="shared" si="3"/>
        <v>нет з/ч</v>
      </c>
      <c r="AM25" s="304" t="str">
        <f t="shared" si="5"/>
        <v>нет з/ч</v>
      </c>
      <c r="AN25" s="2"/>
      <c r="AO25" s="289">
        <v>500.0</v>
      </c>
      <c r="AP25" s="296"/>
      <c r="AQ25" s="296"/>
      <c r="AR25" s="139"/>
      <c r="AS25" s="2"/>
      <c r="AT25" s="2"/>
      <c r="AU25" s="2"/>
      <c r="AV25" s="2"/>
      <c r="AW25" s="2"/>
      <c r="AX25" s="3" t="s">
        <v>8942</v>
      </c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>
      <c r="A26" s="335" t="s">
        <v>8945</v>
      </c>
      <c r="B26" s="93"/>
      <c r="C26" s="65"/>
      <c r="D26" s="31" t="s">
        <v>90</v>
      </c>
      <c r="E26" s="11" t="s">
        <v>8908</v>
      </c>
      <c r="F26" s="427" t="s">
        <v>8909</v>
      </c>
      <c r="G26" s="31" t="s">
        <v>8910</v>
      </c>
      <c r="H26" s="31"/>
      <c r="I26" s="31"/>
      <c r="J26" s="31"/>
      <c r="K26" s="428"/>
      <c r="L26" s="321"/>
      <c r="M26" s="322"/>
      <c r="N26" s="323"/>
      <c r="O26" s="429"/>
      <c r="P26" s="322"/>
      <c r="Q26" s="323"/>
      <c r="R26" s="429"/>
      <c r="S26" s="322"/>
      <c r="T26" s="323"/>
      <c r="U26" s="324"/>
      <c r="V26" s="322"/>
      <c r="W26" s="323"/>
      <c r="X26" s="324" t="s">
        <v>22</v>
      </c>
      <c r="Y26" s="173" t="s">
        <v>8912</v>
      </c>
      <c r="Z26" s="322" t="s">
        <v>22</v>
      </c>
      <c r="AA26" s="313">
        <f>MAX(Z26:Z28)</f>
        <v>0</v>
      </c>
      <c r="AB26" s="319">
        <f>AA26</f>
        <v>0</v>
      </c>
      <c r="AC26" s="430"/>
      <c r="AD26" s="326" t="s">
        <v>22</v>
      </c>
      <c r="AE26" s="331"/>
      <c r="AF26" s="431"/>
      <c r="AG26" s="432"/>
      <c r="AH26" s="326"/>
      <c r="AI26" s="2"/>
      <c r="AJ26" s="59" t="str">
        <f t="shared" si="1"/>
        <v>нет з/ч</v>
      </c>
      <c r="AK26" s="61" t="str">
        <f t="shared" si="2"/>
        <v>нет з/ч</v>
      </c>
      <c r="AL26" s="61" t="str">
        <f t="shared" si="3"/>
        <v>нет з/ч</v>
      </c>
      <c r="AM26" s="304" t="str">
        <f t="shared" si="5"/>
        <v>нет з/ч</v>
      </c>
      <c r="AN26" s="2"/>
      <c r="AO26" s="289"/>
      <c r="AP26" s="296"/>
      <c r="AQ26" s="296"/>
      <c r="AR26" s="139"/>
      <c r="AS26" s="2"/>
      <c r="AT26" s="2"/>
      <c r="AU26" s="2"/>
      <c r="AV26" s="2"/>
      <c r="AW26" s="2"/>
      <c r="AX26" s="3" t="s">
        <v>8945</v>
      </c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>
      <c r="A27" s="335" t="s">
        <v>8946</v>
      </c>
      <c r="B27" s="93"/>
      <c r="C27" s="65"/>
      <c r="D27" s="31" t="s">
        <v>90</v>
      </c>
      <c r="E27" s="11" t="s">
        <v>8908</v>
      </c>
      <c r="F27" s="427" t="s">
        <v>8909</v>
      </c>
      <c r="G27" s="31" t="s">
        <v>8910</v>
      </c>
      <c r="H27" s="31"/>
      <c r="I27" s="31"/>
      <c r="J27" s="31"/>
      <c r="K27" s="428"/>
      <c r="L27" s="321"/>
      <c r="M27" s="322"/>
      <c r="N27" s="323"/>
      <c r="O27" s="429"/>
      <c r="P27" s="322"/>
      <c r="Q27" s="323"/>
      <c r="R27" s="429"/>
      <c r="S27" s="322"/>
      <c r="T27" s="323"/>
      <c r="U27" s="324"/>
      <c r="V27" s="322"/>
      <c r="W27" s="323"/>
      <c r="X27" s="324" t="s">
        <v>22</v>
      </c>
      <c r="Y27" s="173" t="s">
        <v>8912</v>
      </c>
      <c r="Z27" s="322" t="s">
        <v>22</v>
      </c>
      <c r="AA27" s="104"/>
      <c r="AB27" s="319">
        <f>AA26</f>
        <v>0</v>
      </c>
      <c r="AC27" s="430"/>
      <c r="AD27" s="326" t="s">
        <v>22</v>
      </c>
      <c r="AE27" s="331"/>
      <c r="AF27" s="431"/>
      <c r="AG27" s="432"/>
      <c r="AH27" s="326"/>
      <c r="AI27" s="2"/>
      <c r="AJ27" s="59" t="str">
        <f t="shared" si="1"/>
        <v>нет з/ч</v>
      </c>
      <c r="AK27" s="61" t="str">
        <f t="shared" si="2"/>
        <v>нет з/ч</v>
      </c>
      <c r="AL27" s="61" t="str">
        <f t="shared" si="3"/>
        <v>нет з/ч</v>
      </c>
      <c r="AM27" s="304" t="str">
        <f t="shared" si="5"/>
        <v>нет з/ч</v>
      </c>
      <c r="AN27" s="2"/>
      <c r="AO27" s="289"/>
      <c r="AP27" s="296"/>
      <c r="AQ27" s="296"/>
      <c r="AR27" s="139"/>
      <c r="AS27" s="2"/>
      <c r="AT27" s="2"/>
      <c r="AU27" s="2"/>
      <c r="AV27" s="2"/>
      <c r="AW27" s="2"/>
      <c r="AX27" s="3" t="s">
        <v>8946</v>
      </c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>
      <c r="A28" s="335" t="s">
        <v>8947</v>
      </c>
      <c r="B28" s="93"/>
      <c r="C28" s="65"/>
      <c r="D28" s="31" t="s">
        <v>90</v>
      </c>
      <c r="E28" s="11" t="s">
        <v>8908</v>
      </c>
      <c r="F28" s="427" t="s">
        <v>8909</v>
      </c>
      <c r="G28" s="31" t="s">
        <v>8910</v>
      </c>
      <c r="H28" s="31"/>
      <c r="I28" s="31"/>
      <c r="J28" s="31"/>
      <c r="K28" s="428"/>
      <c r="L28" s="321"/>
      <c r="M28" s="322"/>
      <c r="N28" s="323"/>
      <c r="O28" s="429"/>
      <c r="P28" s="322"/>
      <c r="Q28" s="323"/>
      <c r="R28" s="429"/>
      <c r="S28" s="322"/>
      <c r="T28" s="323"/>
      <c r="U28" s="324"/>
      <c r="V28" s="322"/>
      <c r="W28" s="323"/>
      <c r="X28" s="324" t="s">
        <v>22</v>
      </c>
      <c r="Y28" s="173" t="s">
        <v>8912</v>
      </c>
      <c r="Z28" s="322" t="s">
        <v>22</v>
      </c>
      <c r="AA28" s="67"/>
      <c r="AB28" s="319">
        <f>AA26</f>
        <v>0</v>
      </c>
      <c r="AC28" s="430"/>
      <c r="AD28" s="326" t="s">
        <v>22</v>
      </c>
      <c r="AE28" s="331"/>
      <c r="AF28" s="431"/>
      <c r="AG28" s="432"/>
      <c r="AH28" s="326"/>
      <c r="AI28" s="2"/>
      <c r="AJ28" s="59" t="str">
        <f t="shared" si="1"/>
        <v>нет з/ч</v>
      </c>
      <c r="AK28" s="61" t="str">
        <f t="shared" si="2"/>
        <v>нет з/ч</v>
      </c>
      <c r="AL28" s="61" t="str">
        <f t="shared" si="3"/>
        <v>нет з/ч</v>
      </c>
      <c r="AM28" s="304" t="str">
        <f t="shared" si="5"/>
        <v>нет з/ч</v>
      </c>
      <c r="AN28" s="2"/>
      <c r="AO28" s="289"/>
      <c r="AP28" s="296"/>
      <c r="AQ28" s="296"/>
      <c r="AR28" s="139"/>
      <c r="AS28" s="2"/>
      <c r="AT28" s="2"/>
      <c r="AU28" s="2"/>
      <c r="AV28" s="2"/>
      <c r="AW28" s="2"/>
      <c r="AX28" s="3" t="s">
        <v>8947</v>
      </c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>
      <c r="A29" s="335" t="s">
        <v>8948</v>
      </c>
      <c r="B29" s="93"/>
      <c r="C29" s="65"/>
      <c r="D29" s="31" t="s">
        <v>90</v>
      </c>
      <c r="E29" s="11" t="s">
        <v>8908</v>
      </c>
      <c r="F29" s="427" t="s">
        <v>8915</v>
      </c>
      <c r="G29" s="31" t="s">
        <v>8916</v>
      </c>
      <c r="H29" s="31"/>
      <c r="I29" s="31"/>
      <c r="J29" s="31"/>
      <c r="K29" s="428"/>
      <c r="L29" s="321"/>
      <c r="M29" s="322"/>
      <c r="N29" s="323"/>
      <c r="O29" s="429"/>
      <c r="P29" s="322"/>
      <c r="Q29" s="323"/>
      <c r="R29" s="429"/>
      <c r="S29" s="322"/>
      <c r="T29" s="323"/>
      <c r="U29" s="324"/>
      <c r="V29" s="322"/>
      <c r="W29" s="323"/>
      <c r="X29" s="324" t="s">
        <v>22</v>
      </c>
      <c r="Y29" s="173" t="s">
        <v>8912</v>
      </c>
      <c r="Z29" s="322" t="s">
        <v>22</v>
      </c>
      <c r="AA29" s="313">
        <f>MAX(Z29:Z31)</f>
        <v>0</v>
      </c>
      <c r="AB29" s="319">
        <f>AA29</f>
        <v>0</v>
      </c>
      <c r="AC29" s="430"/>
      <c r="AD29" s="326" t="s">
        <v>22</v>
      </c>
      <c r="AE29" s="331"/>
      <c r="AF29" s="431"/>
      <c r="AG29" s="432"/>
      <c r="AH29" s="326"/>
      <c r="AI29" s="2"/>
      <c r="AJ29" s="59" t="str">
        <f t="shared" si="1"/>
        <v>нет з/ч</v>
      </c>
      <c r="AK29" s="61" t="str">
        <f t="shared" si="2"/>
        <v>нет з/ч</v>
      </c>
      <c r="AL29" s="61" t="str">
        <f t="shared" si="3"/>
        <v>нет з/ч</v>
      </c>
      <c r="AM29" s="304" t="str">
        <f t="shared" si="5"/>
        <v>нет з/ч</v>
      </c>
      <c r="AN29" s="2"/>
      <c r="AO29" s="289"/>
      <c r="AP29" s="296"/>
      <c r="AQ29" s="296"/>
      <c r="AR29" s="139"/>
      <c r="AS29" s="2"/>
      <c r="AT29" s="2"/>
      <c r="AU29" s="2"/>
      <c r="AV29" s="2"/>
      <c r="AW29" s="2"/>
      <c r="AX29" s="3" t="s">
        <v>8948</v>
      </c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>
      <c r="A30" s="335" t="s">
        <v>8949</v>
      </c>
      <c r="B30" s="93"/>
      <c r="C30" s="65"/>
      <c r="D30" s="31" t="s">
        <v>90</v>
      </c>
      <c r="E30" s="11" t="s">
        <v>8908</v>
      </c>
      <c r="F30" s="427" t="s">
        <v>8915</v>
      </c>
      <c r="G30" s="31" t="s">
        <v>8916</v>
      </c>
      <c r="H30" s="31"/>
      <c r="I30" s="31"/>
      <c r="J30" s="31"/>
      <c r="K30" s="428"/>
      <c r="L30" s="321"/>
      <c r="M30" s="322"/>
      <c r="N30" s="323"/>
      <c r="O30" s="429"/>
      <c r="P30" s="322"/>
      <c r="Q30" s="323"/>
      <c r="R30" s="429"/>
      <c r="S30" s="322"/>
      <c r="T30" s="323"/>
      <c r="U30" s="324"/>
      <c r="V30" s="322"/>
      <c r="W30" s="323"/>
      <c r="X30" s="324" t="s">
        <v>22</v>
      </c>
      <c r="Y30" s="173" t="s">
        <v>8912</v>
      </c>
      <c r="Z30" s="322" t="s">
        <v>22</v>
      </c>
      <c r="AA30" s="104"/>
      <c r="AB30" s="319">
        <f>AA29</f>
        <v>0</v>
      </c>
      <c r="AC30" s="430"/>
      <c r="AD30" s="326" t="s">
        <v>22</v>
      </c>
      <c r="AE30" s="331"/>
      <c r="AF30" s="431"/>
      <c r="AG30" s="432"/>
      <c r="AH30" s="326"/>
      <c r="AI30" s="2"/>
      <c r="AJ30" s="59" t="str">
        <f t="shared" si="1"/>
        <v>нет з/ч</v>
      </c>
      <c r="AK30" s="61" t="str">
        <f t="shared" si="2"/>
        <v>нет з/ч</v>
      </c>
      <c r="AL30" s="61" t="str">
        <f t="shared" si="3"/>
        <v>нет з/ч</v>
      </c>
      <c r="AM30" s="304" t="str">
        <f t="shared" si="5"/>
        <v>нет з/ч</v>
      </c>
      <c r="AN30" s="2"/>
      <c r="AO30" s="289"/>
      <c r="AP30" s="296"/>
      <c r="AQ30" s="296"/>
      <c r="AR30" s="139"/>
      <c r="AS30" s="2"/>
      <c r="AT30" s="2"/>
      <c r="AU30" s="2"/>
      <c r="AV30" s="2"/>
      <c r="AW30" s="2"/>
      <c r="AX30" s="3" t="s">
        <v>8949</v>
      </c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>
      <c r="A31" s="335" t="s">
        <v>8950</v>
      </c>
      <c r="B31" s="93"/>
      <c r="C31" s="65"/>
      <c r="D31" s="31" t="s">
        <v>90</v>
      </c>
      <c r="E31" s="11" t="s">
        <v>8908</v>
      </c>
      <c r="F31" s="427" t="s">
        <v>8915</v>
      </c>
      <c r="G31" s="31" t="s">
        <v>8916</v>
      </c>
      <c r="H31" s="31"/>
      <c r="I31" s="31"/>
      <c r="J31" s="31"/>
      <c r="K31" s="428"/>
      <c r="L31" s="321"/>
      <c r="M31" s="322"/>
      <c r="N31" s="323"/>
      <c r="O31" s="429"/>
      <c r="P31" s="322"/>
      <c r="Q31" s="323"/>
      <c r="R31" s="429"/>
      <c r="S31" s="322"/>
      <c r="T31" s="323"/>
      <c r="U31" s="324"/>
      <c r="V31" s="322"/>
      <c r="W31" s="323"/>
      <c r="X31" s="324" t="s">
        <v>22</v>
      </c>
      <c r="Y31" s="173" t="s">
        <v>8912</v>
      </c>
      <c r="Z31" s="322" t="s">
        <v>22</v>
      </c>
      <c r="AA31" s="67"/>
      <c r="AB31" s="319">
        <f>AA29</f>
        <v>0</v>
      </c>
      <c r="AC31" s="430"/>
      <c r="AD31" s="326" t="s">
        <v>22</v>
      </c>
      <c r="AE31" s="331"/>
      <c r="AF31" s="431"/>
      <c r="AG31" s="432"/>
      <c r="AH31" s="326"/>
      <c r="AI31" s="2"/>
      <c r="AJ31" s="59" t="str">
        <f t="shared" si="1"/>
        <v>нет з/ч</v>
      </c>
      <c r="AK31" s="61" t="str">
        <f t="shared" si="2"/>
        <v>нет з/ч</v>
      </c>
      <c r="AL31" s="61" t="str">
        <f t="shared" si="3"/>
        <v>нет з/ч</v>
      </c>
      <c r="AM31" s="304" t="str">
        <f t="shared" si="5"/>
        <v>нет з/ч</v>
      </c>
      <c r="AN31" s="2"/>
      <c r="AO31" s="289"/>
      <c r="AP31" s="296"/>
      <c r="AQ31" s="296"/>
      <c r="AR31" s="139"/>
      <c r="AS31" s="2"/>
      <c r="AT31" s="2"/>
      <c r="AU31" s="2"/>
      <c r="AV31" s="2"/>
      <c r="AW31" s="2"/>
      <c r="AX31" s="3" t="s">
        <v>8950</v>
      </c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>
      <c r="A32" s="335" t="s">
        <v>8951</v>
      </c>
      <c r="B32" s="93"/>
      <c r="C32" s="65"/>
      <c r="D32" s="31" t="s">
        <v>97</v>
      </c>
      <c r="E32" s="11" t="s">
        <v>8908</v>
      </c>
      <c r="F32" s="427" t="s">
        <v>8909</v>
      </c>
      <c r="G32" s="31" t="s">
        <v>8910</v>
      </c>
      <c r="H32" s="31"/>
      <c r="I32" s="31"/>
      <c r="J32" s="31"/>
      <c r="K32" s="428"/>
      <c r="L32" s="321"/>
      <c r="M32" s="322"/>
      <c r="N32" s="323"/>
      <c r="O32" s="429"/>
      <c r="P32" s="322"/>
      <c r="Q32" s="323"/>
      <c r="R32" s="429"/>
      <c r="S32" s="322"/>
      <c r="T32" s="323"/>
      <c r="U32" s="324"/>
      <c r="V32" s="322"/>
      <c r="W32" s="323"/>
      <c r="X32" s="324" t="s">
        <v>22</v>
      </c>
      <c r="Y32" s="173" t="s">
        <v>8912</v>
      </c>
      <c r="Z32" s="322" t="s">
        <v>22</v>
      </c>
      <c r="AA32" s="313">
        <f>MAX(Z32:Z35)</f>
        <v>0</v>
      </c>
      <c r="AB32" s="319">
        <f>AA32</f>
        <v>0</v>
      </c>
      <c r="AC32" s="430"/>
      <c r="AD32" s="326" t="s">
        <v>22</v>
      </c>
      <c r="AE32" s="331"/>
      <c r="AF32" s="431"/>
      <c r="AG32" s="432"/>
      <c r="AH32" s="326"/>
      <c r="AI32" s="2"/>
      <c r="AJ32" s="59" t="str">
        <f t="shared" si="1"/>
        <v>нет з/ч</v>
      </c>
      <c r="AK32" s="61" t="str">
        <f t="shared" si="2"/>
        <v>нет з/ч</v>
      </c>
      <c r="AL32" s="61" t="str">
        <f t="shared" si="3"/>
        <v>нет з/ч</v>
      </c>
      <c r="AM32" s="304" t="str">
        <f t="shared" si="5"/>
        <v>нет з/ч</v>
      </c>
      <c r="AN32" s="2"/>
      <c r="AO32" s="289"/>
      <c r="AP32" s="296"/>
      <c r="AQ32" s="296"/>
      <c r="AR32" s="139"/>
      <c r="AS32" s="2"/>
      <c r="AT32" s="2"/>
      <c r="AU32" s="2"/>
      <c r="AV32" s="2"/>
      <c r="AW32" s="2"/>
      <c r="AX32" s="3" t="s">
        <v>8951</v>
      </c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>
      <c r="A33" s="335" t="s">
        <v>8952</v>
      </c>
      <c r="B33" s="93"/>
      <c r="C33" s="65"/>
      <c r="D33" s="31" t="s">
        <v>97</v>
      </c>
      <c r="E33" s="11" t="s">
        <v>8908</v>
      </c>
      <c r="F33" s="427" t="s">
        <v>8909</v>
      </c>
      <c r="G33" s="31" t="s">
        <v>8910</v>
      </c>
      <c r="H33" s="31"/>
      <c r="I33" s="31"/>
      <c r="J33" s="31"/>
      <c r="K33" s="428"/>
      <c r="L33" s="321"/>
      <c r="M33" s="322"/>
      <c r="N33" s="323"/>
      <c r="O33" s="429"/>
      <c r="P33" s="322"/>
      <c r="Q33" s="323"/>
      <c r="R33" s="429"/>
      <c r="S33" s="322"/>
      <c r="T33" s="323"/>
      <c r="U33" s="324"/>
      <c r="V33" s="322"/>
      <c r="W33" s="323"/>
      <c r="X33" s="324" t="s">
        <v>22</v>
      </c>
      <c r="Y33" s="173" t="s">
        <v>8912</v>
      </c>
      <c r="Z33" s="322" t="s">
        <v>22</v>
      </c>
      <c r="AA33" s="104"/>
      <c r="AB33" s="319">
        <f>AA32</f>
        <v>0</v>
      </c>
      <c r="AC33" s="430"/>
      <c r="AD33" s="326" t="s">
        <v>22</v>
      </c>
      <c r="AE33" s="331"/>
      <c r="AF33" s="431"/>
      <c r="AG33" s="432"/>
      <c r="AH33" s="326"/>
      <c r="AI33" s="2"/>
      <c r="AJ33" s="59" t="str">
        <f t="shared" si="1"/>
        <v>нет з/ч</v>
      </c>
      <c r="AK33" s="61" t="str">
        <f t="shared" si="2"/>
        <v>нет з/ч</v>
      </c>
      <c r="AL33" s="61" t="str">
        <f t="shared" si="3"/>
        <v>нет з/ч</v>
      </c>
      <c r="AM33" s="304" t="str">
        <f t="shared" si="5"/>
        <v>нет з/ч</v>
      </c>
      <c r="AN33" s="2"/>
      <c r="AO33" s="289"/>
      <c r="AP33" s="296"/>
      <c r="AQ33" s="296"/>
      <c r="AR33" s="139"/>
      <c r="AS33" s="2"/>
      <c r="AT33" s="2"/>
      <c r="AU33" s="2"/>
      <c r="AV33" s="2"/>
      <c r="AW33" s="2"/>
      <c r="AX33" s="3" t="s">
        <v>8952</v>
      </c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>
      <c r="A34" s="335" t="s">
        <v>8953</v>
      </c>
      <c r="B34" s="93"/>
      <c r="C34" s="65"/>
      <c r="D34" s="31" t="s">
        <v>97</v>
      </c>
      <c r="E34" s="11" t="s">
        <v>8908</v>
      </c>
      <c r="F34" s="427" t="s">
        <v>8909</v>
      </c>
      <c r="G34" s="31" t="s">
        <v>8910</v>
      </c>
      <c r="H34" s="31"/>
      <c r="I34" s="31"/>
      <c r="J34" s="31"/>
      <c r="K34" s="428"/>
      <c r="L34" s="321"/>
      <c r="M34" s="322"/>
      <c r="N34" s="323"/>
      <c r="O34" s="429"/>
      <c r="P34" s="322"/>
      <c r="Q34" s="323"/>
      <c r="R34" s="429"/>
      <c r="S34" s="322"/>
      <c r="T34" s="323"/>
      <c r="U34" s="324"/>
      <c r="V34" s="322"/>
      <c r="W34" s="323"/>
      <c r="X34" s="324" t="s">
        <v>22</v>
      </c>
      <c r="Y34" s="173" t="s">
        <v>8912</v>
      </c>
      <c r="Z34" s="322" t="s">
        <v>22</v>
      </c>
      <c r="AA34" s="104"/>
      <c r="AB34" s="319">
        <f>AA32</f>
        <v>0</v>
      </c>
      <c r="AC34" s="430"/>
      <c r="AD34" s="326" t="s">
        <v>22</v>
      </c>
      <c r="AE34" s="331"/>
      <c r="AF34" s="431"/>
      <c r="AG34" s="432"/>
      <c r="AH34" s="326"/>
      <c r="AI34" s="2"/>
      <c r="AJ34" s="59" t="str">
        <f t="shared" si="1"/>
        <v>нет з/ч</v>
      </c>
      <c r="AK34" s="61" t="str">
        <f t="shared" si="2"/>
        <v>нет з/ч</v>
      </c>
      <c r="AL34" s="61" t="str">
        <f t="shared" si="3"/>
        <v>нет з/ч</v>
      </c>
      <c r="AM34" s="304" t="str">
        <f t="shared" si="5"/>
        <v>нет з/ч</v>
      </c>
      <c r="AN34" s="2"/>
      <c r="AO34" s="289"/>
      <c r="AP34" s="296"/>
      <c r="AQ34" s="296"/>
      <c r="AR34" s="139"/>
      <c r="AS34" s="2"/>
      <c r="AT34" s="2"/>
      <c r="AU34" s="2"/>
      <c r="AV34" s="2"/>
      <c r="AW34" s="2"/>
      <c r="AX34" s="3" t="s">
        <v>8953</v>
      </c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>
      <c r="A35" s="335" t="s">
        <v>8954</v>
      </c>
      <c r="B35" s="93"/>
      <c r="C35" s="65"/>
      <c r="D35" s="31" t="s">
        <v>97</v>
      </c>
      <c r="E35" s="11" t="s">
        <v>8908</v>
      </c>
      <c r="F35" s="427" t="s">
        <v>8909</v>
      </c>
      <c r="G35" s="31" t="s">
        <v>8910</v>
      </c>
      <c r="H35" s="31"/>
      <c r="I35" s="31"/>
      <c r="J35" s="31"/>
      <c r="K35" s="428"/>
      <c r="L35" s="321"/>
      <c r="M35" s="322"/>
      <c r="N35" s="323"/>
      <c r="O35" s="429"/>
      <c r="P35" s="322"/>
      <c r="Q35" s="323"/>
      <c r="R35" s="429"/>
      <c r="S35" s="322"/>
      <c r="T35" s="323"/>
      <c r="U35" s="324"/>
      <c r="V35" s="322"/>
      <c r="W35" s="323"/>
      <c r="X35" s="324" t="s">
        <v>22</v>
      </c>
      <c r="Y35" s="173" t="s">
        <v>8912</v>
      </c>
      <c r="Z35" s="322" t="s">
        <v>22</v>
      </c>
      <c r="AA35" s="67"/>
      <c r="AB35" s="319">
        <f>AA32</f>
        <v>0</v>
      </c>
      <c r="AC35" s="430"/>
      <c r="AD35" s="326" t="s">
        <v>22</v>
      </c>
      <c r="AE35" s="331"/>
      <c r="AF35" s="431"/>
      <c r="AG35" s="432"/>
      <c r="AH35" s="326"/>
      <c r="AI35" s="2"/>
      <c r="AJ35" s="59" t="str">
        <f t="shared" si="1"/>
        <v>нет з/ч</v>
      </c>
      <c r="AK35" s="61" t="str">
        <f t="shared" si="2"/>
        <v>нет з/ч</v>
      </c>
      <c r="AL35" s="61" t="str">
        <f t="shared" si="3"/>
        <v>нет з/ч</v>
      </c>
      <c r="AM35" s="304" t="str">
        <f t="shared" si="5"/>
        <v>нет з/ч</v>
      </c>
      <c r="AN35" s="2"/>
      <c r="AO35" s="289"/>
      <c r="AP35" s="296"/>
      <c r="AQ35" s="296"/>
      <c r="AR35" s="139"/>
      <c r="AS35" s="2"/>
      <c r="AT35" s="2"/>
      <c r="AU35" s="2"/>
      <c r="AV35" s="2"/>
      <c r="AW35" s="2"/>
      <c r="AX35" s="3" t="s">
        <v>8954</v>
      </c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>
      <c r="A36" s="335" t="s">
        <v>8955</v>
      </c>
      <c r="B36" s="93"/>
      <c r="C36" s="65"/>
      <c r="D36" s="31" t="s">
        <v>97</v>
      </c>
      <c r="E36" s="11" t="s">
        <v>8908</v>
      </c>
      <c r="F36" s="427" t="s">
        <v>8915</v>
      </c>
      <c r="G36" s="31" t="s">
        <v>8916</v>
      </c>
      <c r="H36" s="31"/>
      <c r="I36" s="31"/>
      <c r="J36" s="31"/>
      <c r="K36" s="428"/>
      <c r="L36" s="327" t="s">
        <v>8956</v>
      </c>
      <c r="M36" s="322"/>
      <c r="N36" s="328">
        <v>500.0</v>
      </c>
      <c r="O36" s="429"/>
      <c r="P36" s="322"/>
      <c r="Q36" s="323"/>
      <c r="R36" s="429"/>
      <c r="S36" s="322"/>
      <c r="T36" s="323"/>
      <c r="U36" s="324"/>
      <c r="V36" s="322"/>
      <c r="W36" s="323"/>
      <c r="X36" s="324">
        <v>500.0</v>
      </c>
      <c r="Y36" s="173" t="s">
        <v>8912</v>
      </c>
      <c r="Z36" s="322">
        <v>600.0</v>
      </c>
      <c r="AA36" s="313">
        <f>MAX(Z36:Z39)</f>
        <v>600</v>
      </c>
      <c r="AB36" s="319">
        <f>AA36</f>
        <v>600</v>
      </c>
      <c r="AC36" s="430"/>
      <c r="AD36" s="326" t="s">
        <v>5839</v>
      </c>
      <c r="AE36" s="329" t="s">
        <v>8957</v>
      </c>
      <c r="AF36" s="431"/>
      <c r="AG36" s="432"/>
      <c r="AH36" s="330">
        <v>46080.71232950232</v>
      </c>
      <c r="AI36" s="2"/>
      <c r="AJ36" s="289">
        <f t="shared" si="1"/>
        <v>100</v>
      </c>
      <c r="AK36" s="61" t="str">
        <f t="shared" si="2"/>
        <v>нет з/ч</v>
      </c>
      <c r="AL36" s="61" t="str">
        <f t="shared" si="3"/>
        <v>нет з/ч</v>
      </c>
      <c r="AM36" s="304" t="str">
        <f t="shared" si="5"/>
        <v>нет з/ч</v>
      </c>
      <c r="AN36" s="2"/>
      <c r="AO36" s="289">
        <v>500.0</v>
      </c>
      <c r="AP36" s="296"/>
      <c r="AQ36" s="296"/>
      <c r="AR36" s="139"/>
      <c r="AS36" s="2"/>
      <c r="AT36" s="2"/>
      <c r="AU36" s="2"/>
      <c r="AV36" s="2"/>
      <c r="AW36" s="2"/>
      <c r="AX36" s="3" t="s">
        <v>8955</v>
      </c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>
      <c r="A37" s="335" t="s">
        <v>8958</v>
      </c>
      <c r="B37" s="93"/>
      <c r="C37" s="65"/>
      <c r="D37" s="31" t="s">
        <v>97</v>
      </c>
      <c r="E37" s="11" t="s">
        <v>8908</v>
      </c>
      <c r="F37" s="427" t="s">
        <v>8915</v>
      </c>
      <c r="G37" s="31" t="s">
        <v>8916</v>
      </c>
      <c r="H37" s="31"/>
      <c r="I37" s="31"/>
      <c r="J37" s="31"/>
      <c r="K37" s="428"/>
      <c r="L37" s="327" t="s">
        <v>8959</v>
      </c>
      <c r="M37" s="322"/>
      <c r="N37" s="328">
        <v>500.0</v>
      </c>
      <c r="O37" s="429"/>
      <c r="P37" s="322"/>
      <c r="Q37" s="323"/>
      <c r="R37" s="429"/>
      <c r="S37" s="322"/>
      <c r="T37" s="323"/>
      <c r="U37" s="324"/>
      <c r="V37" s="322"/>
      <c r="W37" s="323"/>
      <c r="X37" s="324">
        <v>500.0</v>
      </c>
      <c r="Y37" s="173" t="s">
        <v>8912</v>
      </c>
      <c r="Z37" s="322">
        <v>600.0</v>
      </c>
      <c r="AA37" s="104"/>
      <c r="AB37" s="319">
        <f>AA36</f>
        <v>600</v>
      </c>
      <c r="AC37" s="430"/>
      <c r="AD37" s="326" t="s">
        <v>5839</v>
      </c>
      <c r="AE37" s="329" t="s">
        <v>8960</v>
      </c>
      <c r="AF37" s="431"/>
      <c r="AG37" s="432"/>
      <c r="AH37" s="330">
        <v>46080.71236604167</v>
      </c>
      <c r="AI37" s="2"/>
      <c r="AJ37" s="289">
        <f t="shared" si="1"/>
        <v>100</v>
      </c>
      <c r="AK37" s="61" t="str">
        <f t="shared" si="2"/>
        <v>нет з/ч</v>
      </c>
      <c r="AL37" s="61" t="str">
        <f t="shared" si="3"/>
        <v>нет з/ч</v>
      </c>
      <c r="AM37" s="304" t="str">
        <f t="shared" si="5"/>
        <v>нет з/ч</v>
      </c>
      <c r="AN37" s="2"/>
      <c r="AO37" s="289">
        <v>500.0</v>
      </c>
      <c r="AP37" s="296"/>
      <c r="AQ37" s="296"/>
      <c r="AR37" s="139"/>
      <c r="AS37" s="2"/>
      <c r="AT37" s="2"/>
      <c r="AU37" s="2"/>
      <c r="AV37" s="2"/>
      <c r="AW37" s="2"/>
      <c r="AX37" s="3" t="s">
        <v>8958</v>
      </c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>
      <c r="A38" s="335" t="s">
        <v>8961</v>
      </c>
      <c r="B38" s="93"/>
      <c r="C38" s="65"/>
      <c r="D38" s="31" t="s">
        <v>97</v>
      </c>
      <c r="E38" s="11" t="s">
        <v>8908</v>
      </c>
      <c r="F38" s="427" t="s">
        <v>8915</v>
      </c>
      <c r="G38" s="31" t="s">
        <v>8916</v>
      </c>
      <c r="H38" s="31"/>
      <c r="I38" s="31"/>
      <c r="J38" s="31"/>
      <c r="K38" s="428"/>
      <c r="L38" s="327" t="s">
        <v>8962</v>
      </c>
      <c r="M38" s="322"/>
      <c r="N38" s="328">
        <v>500.0</v>
      </c>
      <c r="O38" s="429"/>
      <c r="P38" s="322"/>
      <c r="Q38" s="323"/>
      <c r="R38" s="429"/>
      <c r="S38" s="322"/>
      <c r="T38" s="323"/>
      <c r="U38" s="324"/>
      <c r="V38" s="322"/>
      <c r="W38" s="323"/>
      <c r="X38" s="324">
        <v>500.0</v>
      </c>
      <c r="Y38" s="173" t="s">
        <v>8912</v>
      </c>
      <c r="Z38" s="322">
        <v>600.0</v>
      </c>
      <c r="AA38" s="104"/>
      <c r="AB38" s="319">
        <f>AA36</f>
        <v>600</v>
      </c>
      <c r="AC38" s="430"/>
      <c r="AD38" s="326" t="s">
        <v>5839</v>
      </c>
      <c r="AE38" s="329" t="s">
        <v>8963</v>
      </c>
      <c r="AF38" s="431"/>
      <c r="AG38" s="432"/>
      <c r="AH38" s="330">
        <v>46080.71239626157</v>
      </c>
      <c r="AI38" s="2"/>
      <c r="AJ38" s="289">
        <f t="shared" si="1"/>
        <v>100</v>
      </c>
      <c r="AK38" s="61" t="str">
        <f t="shared" si="2"/>
        <v>нет з/ч</v>
      </c>
      <c r="AL38" s="61" t="str">
        <f t="shared" si="3"/>
        <v>нет з/ч</v>
      </c>
      <c r="AM38" s="304" t="str">
        <f t="shared" si="5"/>
        <v>нет з/ч</v>
      </c>
      <c r="AN38" s="2"/>
      <c r="AO38" s="289">
        <v>500.0</v>
      </c>
      <c r="AP38" s="296"/>
      <c r="AQ38" s="296"/>
      <c r="AR38" s="139"/>
      <c r="AS38" s="2"/>
      <c r="AT38" s="2"/>
      <c r="AU38" s="2"/>
      <c r="AV38" s="2"/>
      <c r="AW38" s="2"/>
      <c r="AX38" s="3" t="s">
        <v>8961</v>
      </c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>
      <c r="A39" s="335" t="s">
        <v>8964</v>
      </c>
      <c r="B39" s="93"/>
      <c r="C39" s="65"/>
      <c r="D39" s="31" t="s">
        <v>97</v>
      </c>
      <c r="E39" s="11" t="s">
        <v>8908</v>
      </c>
      <c r="F39" s="427" t="s">
        <v>8915</v>
      </c>
      <c r="G39" s="31" t="s">
        <v>8916</v>
      </c>
      <c r="H39" s="31"/>
      <c r="I39" s="31"/>
      <c r="J39" s="31"/>
      <c r="K39" s="428"/>
      <c r="L39" s="327" t="s">
        <v>8965</v>
      </c>
      <c r="M39" s="322"/>
      <c r="N39" s="328">
        <v>500.0</v>
      </c>
      <c r="O39" s="429"/>
      <c r="P39" s="322"/>
      <c r="Q39" s="323"/>
      <c r="R39" s="429"/>
      <c r="S39" s="322"/>
      <c r="T39" s="323"/>
      <c r="U39" s="324"/>
      <c r="V39" s="322"/>
      <c r="W39" s="323"/>
      <c r="X39" s="324">
        <v>500.0</v>
      </c>
      <c r="Y39" s="173" t="s">
        <v>8912</v>
      </c>
      <c r="Z39" s="322">
        <v>600.0</v>
      </c>
      <c r="AA39" s="67"/>
      <c r="AB39" s="319">
        <f>AA36</f>
        <v>600</v>
      </c>
      <c r="AC39" s="430"/>
      <c r="AD39" s="326" t="s">
        <v>5839</v>
      </c>
      <c r="AE39" s="329" t="s">
        <v>8966</v>
      </c>
      <c r="AF39" s="431"/>
      <c r="AG39" s="432"/>
      <c r="AH39" s="330">
        <v>46080.71243216435</v>
      </c>
      <c r="AI39" s="2"/>
      <c r="AJ39" s="289">
        <f t="shared" si="1"/>
        <v>100</v>
      </c>
      <c r="AK39" s="61" t="str">
        <f t="shared" si="2"/>
        <v>нет з/ч</v>
      </c>
      <c r="AL39" s="61" t="str">
        <f t="shared" si="3"/>
        <v>нет з/ч</v>
      </c>
      <c r="AM39" s="304" t="str">
        <f t="shared" si="5"/>
        <v>нет з/ч</v>
      </c>
      <c r="AN39" s="2"/>
      <c r="AO39" s="289">
        <v>500.0</v>
      </c>
      <c r="AP39" s="296"/>
      <c r="AQ39" s="296"/>
      <c r="AR39" s="139"/>
      <c r="AS39" s="2"/>
      <c r="AT39" s="2"/>
      <c r="AU39" s="2"/>
      <c r="AV39" s="2"/>
      <c r="AW39" s="2"/>
      <c r="AX39" s="3" t="s">
        <v>8964</v>
      </c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>
      <c r="A40" s="335" t="s">
        <v>8967</v>
      </c>
      <c r="B40" s="93"/>
      <c r="C40" s="65"/>
      <c r="D40" s="31" t="s">
        <v>104</v>
      </c>
      <c r="E40" s="11" t="s">
        <v>8908</v>
      </c>
      <c r="F40" s="427" t="s">
        <v>8909</v>
      </c>
      <c r="G40" s="31" t="s">
        <v>8910</v>
      </c>
      <c r="H40" s="31"/>
      <c r="I40" s="31"/>
      <c r="J40" s="31"/>
      <c r="K40" s="428"/>
      <c r="L40" s="321"/>
      <c r="M40" s="322"/>
      <c r="N40" s="323"/>
      <c r="O40" s="429"/>
      <c r="P40" s="322"/>
      <c r="Q40" s="323"/>
      <c r="R40" s="429"/>
      <c r="S40" s="322"/>
      <c r="T40" s="323"/>
      <c r="U40" s="324"/>
      <c r="V40" s="322"/>
      <c r="W40" s="323"/>
      <c r="X40" s="324" t="s">
        <v>22</v>
      </c>
      <c r="Y40" s="173" t="s">
        <v>8912</v>
      </c>
      <c r="Z40" s="322" t="s">
        <v>22</v>
      </c>
      <c r="AA40" s="313">
        <f>MAX(Z40:Z43)</f>
        <v>0</v>
      </c>
      <c r="AB40" s="319">
        <f>AA40</f>
        <v>0</v>
      </c>
      <c r="AC40" s="430"/>
      <c r="AD40" s="326" t="s">
        <v>22</v>
      </c>
      <c r="AE40" s="331"/>
      <c r="AF40" s="431"/>
      <c r="AG40" s="432"/>
      <c r="AH40" s="326"/>
      <c r="AI40" s="2"/>
      <c r="AJ40" s="59" t="str">
        <f t="shared" si="1"/>
        <v>нет з/ч</v>
      </c>
      <c r="AK40" s="61" t="str">
        <f t="shared" si="2"/>
        <v>нет з/ч</v>
      </c>
      <c r="AL40" s="61" t="str">
        <f t="shared" si="3"/>
        <v>нет з/ч</v>
      </c>
      <c r="AM40" s="304" t="str">
        <f t="shared" si="5"/>
        <v>нет з/ч</v>
      </c>
      <c r="AN40" s="2"/>
      <c r="AO40" s="289"/>
      <c r="AP40" s="296"/>
      <c r="AQ40" s="296"/>
      <c r="AR40" s="139"/>
      <c r="AS40" s="2"/>
      <c r="AT40" s="2"/>
      <c r="AU40" s="2"/>
      <c r="AV40" s="2"/>
      <c r="AW40" s="2"/>
      <c r="AX40" s="3" t="s">
        <v>8967</v>
      </c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>
      <c r="A41" s="335" t="s">
        <v>8968</v>
      </c>
      <c r="B41" s="93"/>
      <c r="C41" s="65"/>
      <c r="D41" s="31" t="s">
        <v>104</v>
      </c>
      <c r="E41" s="11" t="s">
        <v>8908</v>
      </c>
      <c r="F41" s="427" t="s">
        <v>8909</v>
      </c>
      <c r="G41" s="31" t="s">
        <v>8910</v>
      </c>
      <c r="H41" s="31"/>
      <c r="I41" s="31"/>
      <c r="J41" s="31"/>
      <c r="K41" s="428"/>
      <c r="L41" s="321"/>
      <c r="M41" s="322"/>
      <c r="N41" s="323"/>
      <c r="O41" s="429"/>
      <c r="P41" s="322"/>
      <c r="Q41" s="323"/>
      <c r="R41" s="429"/>
      <c r="S41" s="322"/>
      <c r="T41" s="323"/>
      <c r="U41" s="324"/>
      <c r="V41" s="322"/>
      <c r="W41" s="323"/>
      <c r="X41" s="324" t="s">
        <v>22</v>
      </c>
      <c r="Y41" s="173" t="s">
        <v>8912</v>
      </c>
      <c r="Z41" s="322" t="s">
        <v>22</v>
      </c>
      <c r="AA41" s="104"/>
      <c r="AB41" s="319">
        <f>AA40</f>
        <v>0</v>
      </c>
      <c r="AC41" s="430"/>
      <c r="AD41" s="326" t="s">
        <v>22</v>
      </c>
      <c r="AE41" s="331"/>
      <c r="AF41" s="431"/>
      <c r="AG41" s="432"/>
      <c r="AH41" s="326"/>
      <c r="AI41" s="2"/>
      <c r="AJ41" s="59" t="str">
        <f t="shared" si="1"/>
        <v>нет з/ч</v>
      </c>
      <c r="AK41" s="61" t="str">
        <f t="shared" si="2"/>
        <v>нет з/ч</v>
      </c>
      <c r="AL41" s="61" t="str">
        <f t="shared" si="3"/>
        <v>нет з/ч</v>
      </c>
      <c r="AM41" s="304" t="str">
        <f t="shared" si="5"/>
        <v>нет з/ч</v>
      </c>
      <c r="AN41" s="2"/>
      <c r="AO41" s="289"/>
      <c r="AP41" s="296"/>
      <c r="AQ41" s="296"/>
      <c r="AR41" s="139"/>
      <c r="AS41" s="2"/>
      <c r="AT41" s="2"/>
      <c r="AU41" s="2"/>
      <c r="AV41" s="2"/>
      <c r="AW41" s="2"/>
      <c r="AX41" s="3" t="s">
        <v>8968</v>
      </c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>
      <c r="A42" s="335" t="s">
        <v>8969</v>
      </c>
      <c r="B42" s="93"/>
      <c r="C42" s="65"/>
      <c r="D42" s="31" t="s">
        <v>104</v>
      </c>
      <c r="E42" s="11" t="s">
        <v>8908</v>
      </c>
      <c r="F42" s="427" t="s">
        <v>8909</v>
      </c>
      <c r="G42" s="31" t="s">
        <v>8910</v>
      </c>
      <c r="H42" s="31"/>
      <c r="I42" s="31"/>
      <c r="J42" s="31"/>
      <c r="K42" s="428"/>
      <c r="L42" s="321"/>
      <c r="M42" s="322"/>
      <c r="N42" s="323"/>
      <c r="O42" s="429"/>
      <c r="P42" s="322"/>
      <c r="Q42" s="323"/>
      <c r="R42" s="429"/>
      <c r="S42" s="322"/>
      <c r="T42" s="323"/>
      <c r="U42" s="324"/>
      <c r="V42" s="322"/>
      <c r="W42" s="323"/>
      <c r="X42" s="324" t="s">
        <v>22</v>
      </c>
      <c r="Y42" s="173" t="s">
        <v>8912</v>
      </c>
      <c r="Z42" s="322" t="s">
        <v>22</v>
      </c>
      <c r="AA42" s="104"/>
      <c r="AB42" s="319">
        <f>AA40</f>
        <v>0</v>
      </c>
      <c r="AC42" s="430"/>
      <c r="AD42" s="326" t="s">
        <v>22</v>
      </c>
      <c r="AE42" s="331"/>
      <c r="AF42" s="431"/>
      <c r="AG42" s="432"/>
      <c r="AH42" s="326"/>
      <c r="AI42" s="2"/>
      <c r="AJ42" s="59" t="str">
        <f t="shared" si="1"/>
        <v>нет з/ч</v>
      </c>
      <c r="AK42" s="61" t="str">
        <f t="shared" si="2"/>
        <v>нет з/ч</v>
      </c>
      <c r="AL42" s="61" t="str">
        <f t="shared" si="3"/>
        <v>нет з/ч</v>
      </c>
      <c r="AM42" s="304" t="str">
        <f t="shared" si="5"/>
        <v>нет з/ч</v>
      </c>
      <c r="AN42" s="2"/>
      <c r="AO42" s="289"/>
      <c r="AP42" s="296"/>
      <c r="AQ42" s="296"/>
      <c r="AR42" s="139"/>
      <c r="AS42" s="2"/>
      <c r="AT42" s="2"/>
      <c r="AU42" s="2"/>
      <c r="AV42" s="2"/>
      <c r="AW42" s="2"/>
      <c r="AX42" s="3" t="s">
        <v>8969</v>
      </c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>
      <c r="A43" s="335" t="s">
        <v>8970</v>
      </c>
      <c r="B43" s="93"/>
      <c r="C43" s="65"/>
      <c r="D43" s="31" t="s">
        <v>104</v>
      </c>
      <c r="E43" s="11" t="s">
        <v>8908</v>
      </c>
      <c r="F43" s="427" t="s">
        <v>8909</v>
      </c>
      <c r="G43" s="31" t="s">
        <v>8910</v>
      </c>
      <c r="H43" s="31"/>
      <c r="I43" s="31"/>
      <c r="J43" s="31"/>
      <c r="K43" s="428"/>
      <c r="L43" s="321"/>
      <c r="M43" s="322"/>
      <c r="N43" s="323"/>
      <c r="O43" s="429"/>
      <c r="P43" s="322"/>
      <c r="Q43" s="323"/>
      <c r="R43" s="429"/>
      <c r="S43" s="322"/>
      <c r="T43" s="323"/>
      <c r="U43" s="324"/>
      <c r="V43" s="322"/>
      <c r="W43" s="323"/>
      <c r="X43" s="324" t="s">
        <v>22</v>
      </c>
      <c r="Y43" s="173" t="s">
        <v>8912</v>
      </c>
      <c r="Z43" s="322" t="s">
        <v>22</v>
      </c>
      <c r="AA43" s="67"/>
      <c r="AB43" s="319">
        <f>AA40</f>
        <v>0</v>
      </c>
      <c r="AC43" s="430"/>
      <c r="AD43" s="326" t="s">
        <v>22</v>
      </c>
      <c r="AE43" s="331"/>
      <c r="AF43" s="431"/>
      <c r="AG43" s="432"/>
      <c r="AH43" s="326"/>
      <c r="AI43" s="2"/>
      <c r="AJ43" s="59" t="str">
        <f t="shared" si="1"/>
        <v>нет з/ч</v>
      </c>
      <c r="AK43" s="61" t="str">
        <f t="shared" si="2"/>
        <v>нет з/ч</v>
      </c>
      <c r="AL43" s="61" t="str">
        <f t="shared" si="3"/>
        <v>нет з/ч</v>
      </c>
      <c r="AM43" s="304" t="str">
        <f t="shared" si="5"/>
        <v>нет з/ч</v>
      </c>
      <c r="AN43" s="2"/>
      <c r="AO43" s="289"/>
      <c r="AP43" s="296"/>
      <c r="AQ43" s="296"/>
      <c r="AR43" s="139"/>
      <c r="AS43" s="2"/>
      <c r="AT43" s="2"/>
      <c r="AU43" s="2"/>
      <c r="AV43" s="2"/>
      <c r="AW43" s="2"/>
      <c r="AX43" s="3" t="s">
        <v>8970</v>
      </c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>
      <c r="A44" s="335" t="s">
        <v>8971</v>
      </c>
      <c r="B44" s="93"/>
      <c r="C44" s="65"/>
      <c r="D44" s="31" t="s">
        <v>104</v>
      </c>
      <c r="E44" s="11" t="s">
        <v>8908</v>
      </c>
      <c r="F44" s="427" t="s">
        <v>8915</v>
      </c>
      <c r="G44" s="31" t="s">
        <v>8916</v>
      </c>
      <c r="H44" s="31"/>
      <c r="I44" s="31"/>
      <c r="J44" s="31"/>
      <c r="K44" s="428"/>
      <c r="L44" s="327" t="s">
        <v>8972</v>
      </c>
      <c r="M44" s="322"/>
      <c r="N44" s="328">
        <v>500.0</v>
      </c>
      <c r="O44" s="429"/>
      <c r="P44" s="322"/>
      <c r="Q44" s="323"/>
      <c r="R44" s="429"/>
      <c r="S44" s="322"/>
      <c r="T44" s="323"/>
      <c r="U44" s="324"/>
      <c r="V44" s="322"/>
      <c r="W44" s="323"/>
      <c r="X44" s="324">
        <v>500.0</v>
      </c>
      <c r="Y44" s="173" t="s">
        <v>8912</v>
      </c>
      <c r="Z44" s="322">
        <v>600.0</v>
      </c>
      <c r="AA44" s="313">
        <f>MAX(Z44:Z47)</f>
        <v>600</v>
      </c>
      <c r="AB44" s="319">
        <f>AA44</f>
        <v>600</v>
      </c>
      <c r="AC44" s="430"/>
      <c r="AD44" s="326" t="s">
        <v>5839</v>
      </c>
      <c r="AE44" s="329" t="s">
        <v>8973</v>
      </c>
      <c r="AF44" s="431"/>
      <c r="AG44" s="432"/>
      <c r="AH44" s="330">
        <v>46080.71246545139</v>
      </c>
      <c r="AI44" s="2"/>
      <c r="AJ44" s="289">
        <f t="shared" si="1"/>
        <v>100</v>
      </c>
      <c r="AK44" s="61" t="str">
        <f t="shared" si="2"/>
        <v>нет з/ч</v>
      </c>
      <c r="AL44" s="61" t="str">
        <f t="shared" si="3"/>
        <v>нет з/ч</v>
      </c>
      <c r="AM44" s="304" t="str">
        <f t="shared" si="5"/>
        <v>нет з/ч</v>
      </c>
      <c r="AN44" s="2"/>
      <c r="AO44" s="289">
        <v>500.0</v>
      </c>
      <c r="AP44" s="296"/>
      <c r="AQ44" s="296"/>
      <c r="AR44" s="139"/>
      <c r="AS44" s="2"/>
      <c r="AT44" s="2"/>
      <c r="AU44" s="2"/>
      <c r="AV44" s="2"/>
      <c r="AW44" s="2"/>
      <c r="AX44" s="3" t="s">
        <v>8971</v>
      </c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>
      <c r="A45" s="335" t="s">
        <v>8974</v>
      </c>
      <c r="B45" s="93"/>
      <c r="C45" s="65"/>
      <c r="D45" s="31" t="s">
        <v>104</v>
      </c>
      <c r="E45" s="11" t="s">
        <v>8908</v>
      </c>
      <c r="F45" s="427" t="s">
        <v>8915</v>
      </c>
      <c r="G45" s="31" t="s">
        <v>8916</v>
      </c>
      <c r="H45" s="31"/>
      <c r="I45" s="31"/>
      <c r="J45" s="31"/>
      <c r="K45" s="428"/>
      <c r="L45" s="327" t="s">
        <v>8975</v>
      </c>
      <c r="M45" s="322"/>
      <c r="N45" s="328">
        <v>500.0</v>
      </c>
      <c r="O45" s="429"/>
      <c r="P45" s="322"/>
      <c r="Q45" s="323"/>
      <c r="R45" s="429"/>
      <c r="S45" s="322"/>
      <c r="T45" s="323"/>
      <c r="U45" s="324"/>
      <c r="V45" s="322"/>
      <c r="W45" s="323"/>
      <c r="X45" s="324">
        <v>500.0</v>
      </c>
      <c r="Y45" s="173" t="s">
        <v>8912</v>
      </c>
      <c r="Z45" s="322">
        <v>600.0</v>
      </c>
      <c r="AA45" s="104"/>
      <c r="AB45" s="319">
        <f>AA44</f>
        <v>600</v>
      </c>
      <c r="AC45" s="430"/>
      <c r="AD45" s="326" t="s">
        <v>5839</v>
      </c>
      <c r="AE45" s="329" t="s">
        <v>8976</v>
      </c>
      <c r="AF45" s="431"/>
      <c r="AG45" s="432"/>
      <c r="AH45" s="330">
        <v>46080.71249326388</v>
      </c>
      <c r="AI45" s="2"/>
      <c r="AJ45" s="289">
        <f t="shared" si="1"/>
        <v>100</v>
      </c>
      <c r="AK45" s="61" t="str">
        <f t="shared" si="2"/>
        <v>нет з/ч</v>
      </c>
      <c r="AL45" s="61" t="str">
        <f t="shared" si="3"/>
        <v>нет з/ч</v>
      </c>
      <c r="AM45" s="304" t="str">
        <f t="shared" si="5"/>
        <v>нет з/ч</v>
      </c>
      <c r="AN45" s="2"/>
      <c r="AO45" s="289">
        <v>500.0</v>
      </c>
      <c r="AP45" s="296"/>
      <c r="AQ45" s="296"/>
      <c r="AR45" s="139"/>
      <c r="AS45" s="2"/>
      <c r="AT45" s="2"/>
      <c r="AU45" s="2"/>
      <c r="AV45" s="2"/>
      <c r="AW45" s="2"/>
      <c r="AX45" s="3" t="s">
        <v>8974</v>
      </c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>
      <c r="A46" s="335" t="s">
        <v>8977</v>
      </c>
      <c r="B46" s="93"/>
      <c r="C46" s="65"/>
      <c r="D46" s="31" t="s">
        <v>104</v>
      </c>
      <c r="E46" s="11" t="s">
        <v>8908</v>
      </c>
      <c r="F46" s="427" t="s">
        <v>8915</v>
      </c>
      <c r="G46" s="31" t="s">
        <v>8916</v>
      </c>
      <c r="H46" s="31"/>
      <c r="I46" s="31"/>
      <c r="J46" s="31"/>
      <c r="K46" s="428"/>
      <c r="L46" s="327" t="s">
        <v>8978</v>
      </c>
      <c r="M46" s="322"/>
      <c r="N46" s="328">
        <v>500.0</v>
      </c>
      <c r="O46" s="429"/>
      <c r="P46" s="322"/>
      <c r="Q46" s="323"/>
      <c r="R46" s="429"/>
      <c r="S46" s="322"/>
      <c r="T46" s="323"/>
      <c r="U46" s="324"/>
      <c r="V46" s="322"/>
      <c r="W46" s="323"/>
      <c r="X46" s="324">
        <v>500.0</v>
      </c>
      <c r="Y46" s="173" t="s">
        <v>8912</v>
      </c>
      <c r="Z46" s="322">
        <v>600.0</v>
      </c>
      <c r="AA46" s="104"/>
      <c r="AB46" s="319">
        <f>AA44</f>
        <v>600</v>
      </c>
      <c r="AC46" s="430"/>
      <c r="AD46" s="326" t="s">
        <v>5839</v>
      </c>
      <c r="AE46" s="329" t="s">
        <v>8979</v>
      </c>
      <c r="AF46" s="431"/>
      <c r="AG46" s="432"/>
      <c r="AH46" s="330">
        <v>46080.712529212964</v>
      </c>
      <c r="AI46" s="2"/>
      <c r="AJ46" s="289">
        <f t="shared" si="1"/>
        <v>100</v>
      </c>
      <c r="AK46" s="61" t="str">
        <f t="shared" si="2"/>
        <v>нет з/ч</v>
      </c>
      <c r="AL46" s="61" t="str">
        <f t="shared" si="3"/>
        <v>нет з/ч</v>
      </c>
      <c r="AM46" s="304" t="str">
        <f t="shared" si="5"/>
        <v>нет з/ч</v>
      </c>
      <c r="AN46" s="2"/>
      <c r="AO46" s="289">
        <v>500.0</v>
      </c>
      <c r="AP46" s="296"/>
      <c r="AQ46" s="296"/>
      <c r="AR46" s="139"/>
      <c r="AS46" s="2"/>
      <c r="AT46" s="2"/>
      <c r="AU46" s="2"/>
      <c r="AV46" s="2"/>
      <c r="AW46" s="2"/>
      <c r="AX46" s="3" t="s">
        <v>8977</v>
      </c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>
      <c r="A47" s="335" t="s">
        <v>8980</v>
      </c>
      <c r="B47" s="93"/>
      <c r="C47" s="65"/>
      <c r="D47" s="31" t="s">
        <v>104</v>
      </c>
      <c r="E47" s="11" t="s">
        <v>8908</v>
      </c>
      <c r="F47" s="427" t="s">
        <v>8915</v>
      </c>
      <c r="G47" s="31" t="s">
        <v>8916</v>
      </c>
      <c r="H47" s="31"/>
      <c r="I47" s="31"/>
      <c r="J47" s="31"/>
      <c r="K47" s="428"/>
      <c r="L47" s="327" t="s">
        <v>8981</v>
      </c>
      <c r="M47" s="322"/>
      <c r="N47" s="328">
        <v>500.0</v>
      </c>
      <c r="O47" s="429"/>
      <c r="P47" s="322"/>
      <c r="Q47" s="323"/>
      <c r="R47" s="429"/>
      <c r="S47" s="322"/>
      <c r="T47" s="323"/>
      <c r="U47" s="324"/>
      <c r="V47" s="322"/>
      <c r="W47" s="323"/>
      <c r="X47" s="324">
        <v>500.0</v>
      </c>
      <c r="Y47" s="173" t="s">
        <v>8912</v>
      </c>
      <c r="Z47" s="322">
        <v>600.0</v>
      </c>
      <c r="AA47" s="67"/>
      <c r="AB47" s="319">
        <f>AA44</f>
        <v>600</v>
      </c>
      <c r="AC47" s="430"/>
      <c r="AD47" s="326" t="s">
        <v>5839</v>
      </c>
      <c r="AE47" s="329" t="s">
        <v>8982</v>
      </c>
      <c r="AF47" s="431"/>
      <c r="AG47" s="432"/>
      <c r="AH47" s="330">
        <v>46080.712584988425</v>
      </c>
      <c r="AI47" s="2"/>
      <c r="AJ47" s="289">
        <f t="shared" si="1"/>
        <v>100</v>
      </c>
      <c r="AK47" s="61" t="str">
        <f t="shared" si="2"/>
        <v>нет з/ч</v>
      </c>
      <c r="AL47" s="61" t="str">
        <f t="shared" si="3"/>
        <v>нет з/ч</v>
      </c>
      <c r="AM47" s="304" t="str">
        <f t="shared" si="5"/>
        <v>нет з/ч</v>
      </c>
      <c r="AN47" s="2"/>
      <c r="AO47" s="289">
        <v>500.0</v>
      </c>
      <c r="AP47" s="296"/>
      <c r="AQ47" s="296"/>
      <c r="AR47" s="139"/>
      <c r="AS47" s="2"/>
      <c r="AT47" s="2"/>
      <c r="AU47" s="2"/>
      <c r="AV47" s="2"/>
      <c r="AW47" s="2"/>
      <c r="AX47" s="3" t="s">
        <v>8980</v>
      </c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>
      <c r="A48" s="335" t="s">
        <v>8983</v>
      </c>
      <c r="B48" s="93"/>
      <c r="C48" s="65"/>
      <c r="D48" s="31" t="s">
        <v>111</v>
      </c>
      <c r="E48" s="11" t="s">
        <v>8908</v>
      </c>
      <c r="F48" s="427" t="s">
        <v>8909</v>
      </c>
      <c r="G48" s="31" t="s">
        <v>8910</v>
      </c>
      <c r="H48" s="31"/>
      <c r="I48" s="31"/>
      <c r="J48" s="31"/>
      <c r="K48" s="428"/>
      <c r="L48" s="321"/>
      <c r="M48" s="322"/>
      <c r="N48" s="323"/>
      <c r="O48" s="429"/>
      <c r="P48" s="322"/>
      <c r="Q48" s="323"/>
      <c r="R48" s="429"/>
      <c r="S48" s="322"/>
      <c r="T48" s="323"/>
      <c r="U48" s="324"/>
      <c r="V48" s="322"/>
      <c r="W48" s="323"/>
      <c r="X48" s="324" t="s">
        <v>22</v>
      </c>
      <c r="Y48" s="173" t="s">
        <v>8912</v>
      </c>
      <c r="Z48" s="322" t="s">
        <v>22</v>
      </c>
      <c r="AA48" s="313">
        <f>MAX(Z48:Z53)</f>
        <v>0</v>
      </c>
      <c r="AB48" s="319">
        <f>AA48</f>
        <v>0</v>
      </c>
      <c r="AC48" s="430"/>
      <c r="AD48" s="326" t="s">
        <v>22</v>
      </c>
      <c r="AE48" s="331"/>
      <c r="AF48" s="431"/>
      <c r="AG48" s="432"/>
      <c r="AH48" s="326"/>
      <c r="AI48" s="2"/>
      <c r="AJ48" s="59" t="str">
        <f t="shared" si="1"/>
        <v>нет з/ч</v>
      </c>
      <c r="AK48" s="61" t="str">
        <f t="shared" si="2"/>
        <v>нет з/ч</v>
      </c>
      <c r="AL48" s="61" t="str">
        <f t="shared" si="3"/>
        <v>нет з/ч</v>
      </c>
      <c r="AM48" s="304" t="str">
        <f t="shared" si="5"/>
        <v>нет з/ч</v>
      </c>
      <c r="AN48" s="2"/>
      <c r="AO48" s="289"/>
      <c r="AP48" s="296"/>
      <c r="AQ48" s="296"/>
      <c r="AR48" s="139"/>
      <c r="AS48" s="2"/>
      <c r="AT48" s="2"/>
      <c r="AU48" s="2"/>
      <c r="AV48" s="2"/>
      <c r="AW48" s="2"/>
      <c r="AX48" s="3" t="s">
        <v>8983</v>
      </c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>
      <c r="A49" s="335" t="s">
        <v>8984</v>
      </c>
      <c r="B49" s="93"/>
      <c r="C49" s="65"/>
      <c r="D49" s="31" t="s">
        <v>111</v>
      </c>
      <c r="E49" s="11" t="s">
        <v>8908</v>
      </c>
      <c r="F49" s="427" t="s">
        <v>8909</v>
      </c>
      <c r="G49" s="31" t="s">
        <v>8910</v>
      </c>
      <c r="H49" s="31"/>
      <c r="I49" s="31"/>
      <c r="J49" s="31"/>
      <c r="K49" s="428"/>
      <c r="L49" s="321"/>
      <c r="M49" s="322"/>
      <c r="N49" s="323"/>
      <c r="O49" s="429"/>
      <c r="P49" s="322"/>
      <c r="Q49" s="323"/>
      <c r="R49" s="429"/>
      <c r="S49" s="322"/>
      <c r="T49" s="323"/>
      <c r="U49" s="324"/>
      <c r="V49" s="322"/>
      <c r="W49" s="323"/>
      <c r="X49" s="324" t="s">
        <v>22</v>
      </c>
      <c r="Y49" s="173" t="s">
        <v>8912</v>
      </c>
      <c r="Z49" s="322" t="s">
        <v>22</v>
      </c>
      <c r="AA49" s="104"/>
      <c r="AB49" s="319">
        <f>AA48</f>
        <v>0</v>
      </c>
      <c r="AC49" s="430"/>
      <c r="AD49" s="326" t="s">
        <v>22</v>
      </c>
      <c r="AE49" s="331"/>
      <c r="AF49" s="431"/>
      <c r="AG49" s="432"/>
      <c r="AH49" s="326"/>
      <c r="AI49" s="2"/>
      <c r="AJ49" s="59" t="str">
        <f t="shared" si="1"/>
        <v>нет з/ч</v>
      </c>
      <c r="AK49" s="61" t="str">
        <f t="shared" si="2"/>
        <v>нет з/ч</v>
      </c>
      <c r="AL49" s="61" t="str">
        <f t="shared" si="3"/>
        <v>нет з/ч</v>
      </c>
      <c r="AM49" s="304" t="str">
        <f t="shared" si="5"/>
        <v>нет з/ч</v>
      </c>
      <c r="AN49" s="2"/>
      <c r="AO49" s="289"/>
      <c r="AP49" s="296"/>
      <c r="AQ49" s="296"/>
      <c r="AR49" s="139"/>
      <c r="AS49" s="2"/>
      <c r="AT49" s="2"/>
      <c r="AU49" s="2"/>
      <c r="AV49" s="2"/>
      <c r="AW49" s="2"/>
      <c r="AX49" s="3" t="s">
        <v>8984</v>
      </c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>
      <c r="A50" s="335" t="s">
        <v>8985</v>
      </c>
      <c r="B50" s="93"/>
      <c r="C50" s="65"/>
      <c r="D50" s="31" t="s">
        <v>111</v>
      </c>
      <c r="E50" s="11" t="s">
        <v>8908</v>
      </c>
      <c r="F50" s="427" t="s">
        <v>8909</v>
      </c>
      <c r="G50" s="31" t="s">
        <v>8910</v>
      </c>
      <c r="H50" s="31"/>
      <c r="I50" s="31"/>
      <c r="J50" s="31"/>
      <c r="K50" s="428"/>
      <c r="L50" s="321"/>
      <c r="M50" s="322"/>
      <c r="N50" s="323"/>
      <c r="O50" s="429"/>
      <c r="P50" s="322"/>
      <c r="Q50" s="323"/>
      <c r="R50" s="429"/>
      <c r="S50" s="322"/>
      <c r="T50" s="323"/>
      <c r="U50" s="324"/>
      <c r="V50" s="322"/>
      <c r="W50" s="323"/>
      <c r="X50" s="324" t="s">
        <v>22</v>
      </c>
      <c r="Y50" s="173" t="s">
        <v>8912</v>
      </c>
      <c r="Z50" s="322" t="s">
        <v>22</v>
      </c>
      <c r="AA50" s="104"/>
      <c r="AB50" s="319">
        <f>AA48</f>
        <v>0</v>
      </c>
      <c r="AC50" s="430"/>
      <c r="AD50" s="326" t="s">
        <v>22</v>
      </c>
      <c r="AE50" s="325"/>
      <c r="AF50" s="431"/>
      <c r="AG50" s="432"/>
      <c r="AH50" s="326"/>
      <c r="AI50" s="2"/>
      <c r="AJ50" s="59" t="str">
        <f t="shared" si="1"/>
        <v>нет з/ч</v>
      </c>
      <c r="AK50" s="61" t="str">
        <f t="shared" si="2"/>
        <v>нет з/ч</v>
      </c>
      <c r="AL50" s="61" t="str">
        <f t="shared" si="3"/>
        <v>нет з/ч</v>
      </c>
      <c r="AM50" s="304" t="str">
        <f t="shared" si="5"/>
        <v>нет з/ч</v>
      </c>
      <c r="AN50" s="2"/>
      <c r="AO50" s="289"/>
      <c r="AP50" s="296"/>
      <c r="AQ50" s="296"/>
      <c r="AR50" s="139"/>
      <c r="AS50" s="2"/>
      <c r="AT50" s="2"/>
      <c r="AU50" s="2"/>
      <c r="AV50" s="2"/>
      <c r="AW50" s="2"/>
      <c r="AX50" s="3" t="s">
        <v>8985</v>
      </c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>
      <c r="A51" s="335" t="s">
        <v>8986</v>
      </c>
      <c r="B51" s="93"/>
      <c r="C51" s="65"/>
      <c r="D51" s="31" t="s">
        <v>111</v>
      </c>
      <c r="E51" s="11" t="s">
        <v>8908</v>
      </c>
      <c r="F51" s="427" t="s">
        <v>8909</v>
      </c>
      <c r="G51" s="31" t="s">
        <v>8910</v>
      </c>
      <c r="H51" s="31"/>
      <c r="I51" s="31"/>
      <c r="J51" s="31"/>
      <c r="K51" s="428"/>
      <c r="L51" s="321"/>
      <c r="M51" s="322"/>
      <c r="N51" s="323"/>
      <c r="O51" s="429"/>
      <c r="P51" s="322"/>
      <c r="Q51" s="323"/>
      <c r="R51" s="429"/>
      <c r="S51" s="322"/>
      <c r="T51" s="323"/>
      <c r="U51" s="324"/>
      <c r="V51" s="322"/>
      <c r="W51" s="323"/>
      <c r="X51" s="324" t="s">
        <v>22</v>
      </c>
      <c r="Y51" s="173" t="s">
        <v>8912</v>
      </c>
      <c r="Z51" s="322" t="s">
        <v>22</v>
      </c>
      <c r="AA51" s="104"/>
      <c r="AB51" s="319">
        <f>AA48</f>
        <v>0</v>
      </c>
      <c r="AC51" s="430"/>
      <c r="AD51" s="326" t="s">
        <v>22</v>
      </c>
      <c r="AE51" s="331"/>
      <c r="AF51" s="431"/>
      <c r="AG51" s="432"/>
      <c r="AH51" s="326"/>
      <c r="AI51" s="2"/>
      <c r="AJ51" s="59" t="str">
        <f t="shared" si="1"/>
        <v>нет з/ч</v>
      </c>
      <c r="AK51" s="61" t="str">
        <f t="shared" si="2"/>
        <v>нет з/ч</v>
      </c>
      <c r="AL51" s="61" t="str">
        <f t="shared" si="3"/>
        <v>нет з/ч</v>
      </c>
      <c r="AM51" s="304" t="str">
        <f t="shared" si="5"/>
        <v>нет з/ч</v>
      </c>
      <c r="AN51" s="2"/>
      <c r="AO51" s="289"/>
      <c r="AP51" s="296"/>
      <c r="AQ51" s="296"/>
      <c r="AR51" s="139"/>
      <c r="AS51" s="2"/>
      <c r="AT51" s="2"/>
      <c r="AU51" s="2"/>
      <c r="AV51" s="2"/>
      <c r="AW51" s="2"/>
      <c r="AX51" s="3" t="s">
        <v>8986</v>
      </c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>
      <c r="A52" s="335" t="s">
        <v>8987</v>
      </c>
      <c r="B52" s="93"/>
      <c r="C52" s="65"/>
      <c r="D52" s="31" t="s">
        <v>111</v>
      </c>
      <c r="E52" s="11" t="s">
        <v>8908</v>
      </c>
      <c r="F52" s="427" t="s">
        <v>8909</v>
      </c>
      <c r="G52" s="31" t="s">
        <v>8910</v>
      </c>
      <c r="H52" s="31"/>
      <c r="I52" s="31"/>
      <c r="J52" s="31"/>
      <c r="K52" s="428"/>
      <c r="L52" s="321"/>
      <c r="M52" s="322"/>
      <c r="N52" s="323"/>
      <c r="O52" s="429"/>
      <c r="P52" s="322"/>
      <c r="Q52" s="323"/>
      <c r="R52" s="429"/>
      <c r="S52" s="322"/>
      <c r="T52" s="323"/>
      <c r="U52" s="324"/>
      <c r="V52" s="322"/>
      <c r="W52" s="323"/>
      <c r="X52" s="324" t="s">
        <v>22</v>
      </c>
      <c r="Y52" s="173" t="s">
        <v>8912</v>
      </c>
      <c r="Z52" s="322" t="s">
        <v>22</v>
      </c>
      <c r="AA52" s="104"/>
      <c r="AB52" s="319">
        <f>AA48</f>
        <v>0</v>
      </c>
      <c r="AC52" s="430"/>
      <c r="AD52" s="326" t="s">
        <v>22</v>
      </c>
      <c r="AE52" s="331"/>
      <c r="AF52" s="431"/>
      <c r="AG52" s="432"/>
      <c r="AH52" s="326"/>
      <c r="AI52" s="2"/>
      <c r="AJ52" s="59" t="str">
        <f t="shared" si="1"/>
        <v>нет з/ч</v>
      </c>
      <c r="AK52" s="61" t="str">
        <f t="shared" si="2"/>
        <v>нет з/ч</v>
      </c>
      <c r="AL52" s="61" t="str">
        <f t="shared" si="3"/>
        <v>нет з/ч</v>
      </c>
      <c r="AM52" s="304" t="str">
        <f t="shared" si="5"/>
        <v>нет з/ч</v>
      </c>
      <c r="AN52" s="2"/>
      <c r="AO52" s="289"/>
      <c r="AP52" s="296"/>
      <c r="AQ52" s="296"/>
      <c r="AR52" s="139"/>
      <c r="AS52" s="2"/>
      <c r="AT52" s="2"/>
      <c r="AU52" s="2"/>
      <c r="AV52" s="2"/>
      <c r="AW52" s="2"/>
      <c r="AX52" s="3" t="s">
        <v>8987</v>
      </c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>
      <c r="A53" s="335" t="s">
        <v>8988</v>
      </c>
      <c r="B53" s="93"/>
      <c r="C53" s="65"/>
      <c r="D53" s="31" t="s">
        <v>111</v>
      </c>
      <c r="E53" s="11" t="s">
        <v>8908</v>
      </c>
      <c r="F53" s="427" t="s">
        <v>8909</v>
      </c>
      <c r="G53" s="31" t="s">
        <v>8910</v>
      </c>
      <c r="H53" s="31"/>
      <c r="I53" s="31"/>
      <c r="J53" s="31"/>
      <c r="K53" s="428"/>
      <c r="L53" s="321"/>
      <c r="M53" s="322"/>
      <c r="N53" s="323"/>
      <c r="O53" s="429"/>
      <c r="P53" s="322"/>
      <c r="Q53" s="323"/>
      <c r="R53" s="429"/>
      <c r="S53" s="322"/>
      <c r="T53" s="323"/>
      <c r="U53" s="324"/>
      <c r="V53" s="322"/>
      <c r="W53" s="323"/>
      <c r="X53" s="324" t="s">
        <v>22</v>
      </c>
      <c r="Y53" s="173" t="s">
        <v>8912</v>
      </c>
      <c r="Z53" s="322" t="s">
        <v>22</v>
      </c>
      <c r="AA53" s="67"/>
      <c r="AB53" s="319">
        <f>AA48</f>
        <v>0</v>
      </c>
      <c r="AC53" s="430"/>
      <c r="AD53" s="326" t="s">
        <v>22</v>
      </c>
      <c r="AE53" s="331"/>
      <c r="AF53" s="431"/>
      <c r="AG53" s="432"/>
      <c r="AH53" s="326"/>
      <c r="AI53" s="2"/>
      <c r="AJ53" s="59" t="str">
        <f t="shared" si="1"/>
        <v>нет з/ч</v>
      </c>
      <c r="AK53" s="61" t="str">
        <f t="shared" si="2"/>
        <v>нет з/ч</v>
      </c>
      <c r="AL53" s="61" t="str">
        <f t="shared" si="3"/>
        <v>нет з/ч</v>
      </c>
      <c r="AM53" s="304" t="str">
        <f t="shared" si="5"/>
        <v>нет з/ч</v>
      </c>
      <c r="AN53" s="2"/>
      <c r="AO53" s="289"/>
      <c r="AP53" s="296"/>
      <c r="AQ53" s="296"/>
      <c r="AR53" s="139"/>
      <c r="AS53" s="2"/>
      <c r="AT53" s="2"/>
      <c r="AU53" s="2"/>
      <c r="AV53" s="2"/>
      <c r="AW53" s="2"/>
      <c r="AX53" s="3" t="s">
        <v>8988</v>
      </c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>
      <c r="A54" s="335" t="s">
        <v>8989</v>
      </c>
      <c r="B54" s="93"/>
      <c r="C54" s="65"/>
      <c r="D54" s="31" t="s">
        <v>111</v>
      </c>
      <c r="E54" s="11" t="s">
        <v>8908</v>
      </c>
      <c r="F54" s="427" t="s">
        <v>8915</v>
      </c>
      <c r="G54" s="31" t="s">
        <v>8916</v>
      </c>
      <c r="H54" s="31"/>
      <c r="I54" s="31"/>
      <c r="J54" s="31"/>
      <c r="K54" s="428"/>
      <c r="L54" s="327" t="s">
        <v>8990</v>
      </c>
      <c r="M54" s="322"/>
      <c r="N54" s="328">
        <v>1290.0</v>
      </c>
      <c r="O54" s="429"/>
      <c r="P54" s="322"/>
      <c r="Q54" s="323"/>
      <c r="R54" s="429"/>
      <c r="S54" s="322"/>
      <c r="T54" s="323"/>
      <c r="U54" s="324"/>
      <c r="V54" s="322"/>
      <c r="W54" s="323"/>
      <c r="X54" s="324">
        <v>1290.0</v>
      </c>
      <c r="Y54" s="173" t="s">
        <v>8912</v>
      </c>
      <c r="Z54" s="322">
        <v>1500.0</v>
      </c>
      <c r="AA54" s="313">
        <f>MAX(Z54:Z59)</f>
        <v>1500</v>
      </c>
      <c r="AB54" s="319">
        <f>AA54</f>
        <v>1500</v>
      </c>
      <c r="AC54" s="430"/>
      <c r="AD54" s="326" t="s">
        <v>5839</v>
      </c>
      <c r="AE54" s="329" t="s">
        <v>8991</v>
      </c>
      <c r="AF54" s="431"/>
      <c r="AG54" s="432"/>
      <c r="AH54" s="330">
        <v>46080.71261953704</v>
      </c>
      <c r="AI54" s="2"/>
      <c r="AJ54" s="289">
        <f t="shared" si="1"/>
        <v>210</v>
      </c>
      <c r="AK54" s="61" t="str">
        <f t="shared" si="2"/>
        <v>нет з/ч</v>
      </c>
      <c r="AL54" s="61" t="str">
        <f t="shared" si="3"/>
        <v>нет з/ч</v>
      </c>
      <c r="AM54" s="304" t="str">
        <f t="shared" si="5"/>
        <v>нет з/ч</v>
      </c>
      <c r="AN54" s="2"/>
      <c r="AO54" s="289">
        <v>1290.0</v>
      </c>
      <c r="AP54" s="296"/>
      <c r="AQ54" s="296"/>
      <c r="AR54" s="139"/>
      <c r="AS54" s="2"/>
      <c r="AT54" s="2"/>
      <c r="AU54" s="2"/>
      <c r="AV54" s="2"/>
      <c r="AW54" s="2"/>
      <c r="AX54" s="3" t="s">
        <v>8989</v>
      </c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>
      <c r="A55" s="335" t="s">
        <v>8992</v>
      </c>
      <c r="B55" s="93"/>
      <c r="C55" s="65"/>
      <c r="D55" s="31" t="s">
        <v>111</v>
      </c>
      <c r="E55" s="11" t="s">
        <v>8908</v>
      </c>
      <c r="F55" s="427" t="s">
        <v>8915</v>
      </c>
      <c r="G55" s="31" t="s">
        <v>8916</v>
      </c>
      <c r="H55" s="31"/>
      <c r="I55" s="31"/>
      <c r="J55" s="31"/>
      <c r="K55" s="428"/>
      <c r="L55" s="327" t="s">
        <v>8993</v>
      </c>
      <c r="M55" s="322"/>
      <c r="N55" s="328">
        <v>1290.0</v>
      </c>
      <c r="O55" s="429"/>
      <c r="P55" s="322"/>
      <c r="Q55" s="323"/>
      <c r="R55" s="429"/>
      <c r="S55" s="322"/>
      <c r="T55" s="323"/>
      <c r="U55" s="324"/>
      <c r="V55" s="322"/>
      <c r="W55" s="323"/>
      <c r="X55" s="324">
        <v>1290.0</v>
      </c>
      <c r="Y55" s="173" t="s">
        <v>8912</v>
      </c>
      <c r="Z55" s="322">
        <v>1500.0</v>
      </c>
      <c r="AA55" s="104"/>
      <c r="AB55" s="319">
        <f>AA54</f>
        <v>1500</v>
      </c>
      <c r="AC55" s="430"/>
      <c r="AD55" s="326" t="s">
        <v>5839</v>
      </c>
      <c r="AE55" s="329" t="s">
        <v>8994</v>
      </c>
      <c r="AF55" s="431"/>
      <c r="AG55" s="432"/>
      <c r="AH55" s="330">
        <v>46080.7128934375</v>
      </c>
      <c r="AI55" s="2"/>
      <c r="AJ55" s="289">
        <f t="shared" si="1"/>
        <v>210</v>
      </c>
      <c r="AK55" s="61" t="str">
        <f t="shared" si="2"/>
        <v>нет з/ч</v>
      </c>
      <c r="AL55" s="61" t="str">
        <f t="shared" si="3"/>
        <v>нет з/ч</v>
      </c>
      <c r="AM55" s="304" t="str">
        <f t="shared" si="5"/>
        <v>нет з/ч</v>
      </c>
      <c r="AN55" s="2"/>
      <c r="AO55" s="289">
        <v>1290.0</v>
      </c>
      <c r="AP55" s="296"/>
      <c r="AQ55" s="296"/>
      <c r="AR55" s="139"/>
      <c r="AS55" s="2"/>
      <c r="AT55" s="2"/>
      <c r="AU55" s="2"/>
      <c r="AV55" s="2"/>
      <c r="AW55" s="2"/>
      <c r="AX55" s="3" t="s">
        <v>8992</v>
      </c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>
      <c r="A56" s="335" t="s">
        <v>8995</v>
      </c>
      <c r="B56" s="93"/>
      <c r="C56" s="65"/>
      <c r="D56" s="31" t="s">
        <v>111</v>
      </c>
      <c r="E56" s="11" t="s">
        <v>8908</v>
      </c>
      <c r="F56" s="427" t="s">
        <v>8915</v>
      </c>
      <c r="G56" s="31" t="s">
        <v>8916</v>
      </c>
      <c r="H56" s="31"/>
      <c r="I56" s="31"/>
      <c r="J56" s="31"/>
      <c r="K56" s="428"/>
      <c r="L56" s="327" t="s">
        <v>8996</v>
      </c>
      <c r="M56" s="322"/>
      <c r="N56" s="328">
        <v>1290.0</v>
      </c>
      <c r="O56" s="429"/>
      <c r="P56" s="322"/>
      <c r="Q56" s="323"/>
      <c r="R56" s="429"/>
      <c r="S56" s="322"/>
      <c r="T56" s="323"/>
      <c r="U56" s="324"/>
      <c r="V56" s="322"/>
      <c r="W56" s="323"/>
      <c r="X56" s="324">
        <v>1290.0</v>
      </c>
      <c r="Y56" s="173" t="s">
        <v>8912</v>
      </c>
      <c r="Z56" s="322">
        <v>1500.0</v>
      </c>
      <c r="AA56" s="104"/>
      <c r="AB56" s="319">
        <f>AA54</f>
        <v>1500</v>
      </c>
      <c r="AC56" s="430"/>
      <c r="AD56" s="326" t="s">
        <v>5839</v>
      </c>
      <c r="AE56" s="329" t="s">
        <v>8997</v>
      </c>
      <c r="AF56" s="431"/>
      <c r="AG56" s="432"/>
      <c r="AH56" s="330">
        <v>46080.71292734954</v>
      </c>
      <c r="AI56" s="2"/>
      <c r="AJ56" s="289">
        <f t="shared" si="1"/>
        <v>210</v>
      </c>
      <c r="AK56" s="61" t="str">
        <f t="shared" si="2"/>
        <v>нет з/ч</v>
      </c>
      <c r="AL56" s="61" t="str">
        <f t="shared" si="3"/>
        <v>нет з/ч</v>
      </c>
      <c r="AM56" s="304" t="str">
        <f t="shared" si="5"/>
        <v>нет з/ч</v>
      </c>
      <c r="AN56" s="2"/>
      <c r="AO56" s="289">
        <v>1290.0</v>
      </c>
      <c r="AP56" s="296"/>
      <c r="AQ56" s="296"/>
      <c r="AR56" s="139"/>
      <c r="AS56" s="2"/>
      <c r="AT56" s="2"/>
      <c r="AU56" s="2"/>
      <c r="AV56" s="2"/>
      <c r="AW56" s="2"/>
      <c r="AX56" s="3" t="s">
        <v>8995</v>
      </c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>
      <c r="A57" s="335" t="s">
        <v>8998</v>
      </c>
      <c r="B57" s="93"/>
      <c r="C57" s="65"/>
      <c r="D57" s="31" t="s">
        <v>111</v>
      </c>
      <c r="E57" s="11" t="s">
        <v>8908</v>
      </c>
      <c r="F57" s="427" t="s">
        <v>8915</v>
      </c>
      <c r="G57" s="31" t="s">
        <v>8916</v>
      </c>
      <c r="H57" s="31"/>
      <c r="I57" s="31"/>
      <c r="J57" s="31"/>
      <c r="K57" s="428"/>
      <c r="L57" s="327" t="s">
        <v>8999</v>
      </c>
      <c r="M57" s="322"/>
      <c r="N57" s="328">
        <v>1140.0</v>
      </c>
      <c r="O57" s="429"/>
      <c r="P57" s="322"/>
      <c r="Q57" s="323"/>
      <c r="R57" s="429"/>
      <c r="S57" s="322"/>
      <c r="T57" s="323"/>
      <c r="U57" s="324"/>
      <c r="V57" s="322"/>
      <c r="W57" s="323"/>
      <c r="X57" s="324">
        <v>1140.0</v>
      </c>
      <c r="Y57" s="173" t="s">
        <v>8912</v>
      </c>
      <c r="Z57" s="322">
        <v>1300.0</v>
      </c>
      <c r="AA57" s="104"/>
      <c r="AB57" s="319">
        <f>AA54</f>
        <v>1500</v>
      </c>
      <c r="AC57" s="430"/>
      <c r="AD57" s="326" t="s">
        <v>5839</v>
      </c>
      <c r="AE57" s="329" t="s">
        <v>9000</v>
      </c>
      <c r="AF57" s="431"/>
      <c r="AG57" s="432"/>
      <c r="AH57" s="330">
        <v>46080.7143509375</v>
      </c>
      <c r="AI57" s="2"/>
      <c r="AJ57" s="289">
        <f t="shared" si="1"/>
        <v>360</v>
      </c>
      <c r="AK57" s="61" t="str">
        <f t="shared" si="2"/>
        <v>нет з/ч</v>
      </c>
      <c r="AL57" s="61" t="str">
        <f t="shared" si="3"/>
        <v>нет з/ч</v>
      </c>
      <c r="AM57" s="304" t="str">
        <f t="shared" si="5"/>
        <v>нет з/ч</v>
      </c>
      <c r="AN57" s="2"/>
      <c r="AO57" s="289">
        <v>1140.0</v>
      </c>
      <c r="AP57" s="296"/>
      <c r="AQ57" s="296"/>
      <c r="AR57" s="139"/>
      <c r="AS57" s="2"/>
      <c r="AT57" s="2"/>
      <c r="AU57" s="2"/>
      <c r="AV57" s="2"/>
      <c r="AW57" s="2"/>
      <c r="AX57" s="3" t="s">
        <v>8998</v>
      </c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>
      <c r="A58" s="335" t="s">
        <v>9001</v>
      </c>
      <c r="B58" s="93"/>
      <c r="C58" s="65"/>
      <c r="D58" s="31" t="s">
        <v>111</v>
      </c>
      <c r="E58" s="11" t="s">
        <v>8908</v>
      </c>
      <c r="F58" s="427" t="s">
        <v>8915</v>
      </c>
      <c r="G58" s="31" t="s">
        <v>8916</v>
      </c>
      <c r="H58" s="31"/>
      <c r="I58" s="31"/>
      <c r="J58" s="31"/>
      <c r="K58" s="428"/>
      <c r="L58" s="327" t="s">
        <v>9002</v>
      </c>
      <c r="M58" s="322"/>
      <c r="N58" s="328">
        <v>1140.0</v>
      </c>
      <c r="O58" s="429"/>
      <c r="P58" s="322"/>
      <c r="Q58" s="323"/>
      <c r="R58" s="429"/>
      <c r="S58" s="322"/>
      <c r="T58" s="323"/>
      <c r="U58" s="324"/>
      <c r="V58" s="322"/>
      <c r="W58" s="323"/>
      <c r="X58" s="324">
        <v>1140.0</v>
      </c>
      <c r="Y58" s="173" t="s">
        <v>8912</v>
      </c>
      <c r="Z58" s="322">
        <v>1300.0</v>
      </c>
      <c r="AA58" s="104"/>
      <c r="AB58" s="319">
        <f>AA54</f>
        <v>1500</v>
      </c>
      <c r="AC58" s="430"/>
      <c r="AD58" s="326" t="s">
        <v>5839</v>
      </c>
      <c r="AE58" s="329" t="s">
        <v>9003</v>
      </c>
      <c r="AF58" s="431"/>
      <c r="AG58" s="432"/>
      <c r="AH58" s="330">
        <v>46080.71438369213</v>
      </c>
      <c r="AI58" s="2"/>
      <c r="AJ58" s="289">
        <f t="shared" si="1"/>
        <v>360</v>
      </c>
      <c r="AK58" s="61" t="str">
        <f t="shared" si="2"/>
        <v>нет з/ч</v>
      </c>
      <c r="AL58" s="61" t="str">
        <f t="shared" si="3"/>
        <v>нет з/ч</v>
      </c>
      <c r="AM58" s="304" t="str">
        <f t="shared" si="5"/>
        <v>нет з/ч</v>
      </c>
      <c r="AN58" s="2"/>
      <c r="AO58" s="289">
        <v>1140.0</v>
      </c>
      <c r="AP58" s="296"/>
      <c r="AQ58" s="296"/>
      <c r="AR58" s="139"/>
      <c r="AS58" s="2"/>
      <c r="AT58" s="2"/>
      <c r="AU58" s="2"/>
      <c r="AV58" s="2"/>
      <c r="AW58" s="2"/>
      <c r="AX58" s="3" t="s">
        <v>9001</v>
      </c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>
      <c r="A59" s="335" t="s">
        <v>9004</v>
      </c>
      <c r="B59" s="93"/>
      <c r="C59" s="65"/>
      <c r="D59" s="31" t="s">
        <v>111</v>
      </c>
      <c r="E59" s="11" t="s">
        <v>8908</v>
      </c>
      <c r="F59" s="427" t="s">
        <v>8915</v>
      </c>
      <c r="G59" s="31" t="s">
        <v>8916</v>
      </c>
      <c r="H59" s="31"/>
      <c r="I59" s="31"/>
      <c r="J59" s="31"/>
      <c r="K59" s="428"/>
      <c r="L59" s="327" t="s">
        <v>9005</v>
      </c>
      <c r="M59" s="322"/>
      <c r="N59" s="328">
        <v>1140.0</v>
      </c>
      <c r="O59" s="429"/>
      <c r="P59" s="322"/>
      <c r="Q59" s="323"/>
      <c r="R59" s="429"/>
      <c r="S59" s="322"/>
      <c r="T59" s="323"/>
      <c r="U59" s="324"/>
      <c r="V59" s="322"/>
      <c r="W59" s="323"/>
      <c r="X59" s="324">
        <v>1140.0</v>
      </c>
      <c r="Y59" s="173" t="s">
        <v>8912</v>
      </c>
      <c r="Z59" s="322">
        <v>1300.0</v>
      </c>
      <c r="AA59" s="67"/>
      <c r="AB59" s="319">
        <f>AA54</f>
        <v>1500</v>
      </c>
      <c r="AC59" s="430"/>
      <c r="AD59" s="326" t="s">
        <v>5839</v>
      </c>
      <c r="AE59" s="329" t="s">
        <v>9006</v>
      </c>
      <c r="AF59" s="431"/>
      <c r="AG59" s="432"/>
      <c r="AH59" s="330">
        <v>46080.7144171875</v>
      </c>
      <c r="AI59" s="2"/>
      <c r="AJ59" s="289">
        <f t="shared" si="1"/>
        <v>360</v>
      </c>
      <c r="AK59" s="61" t="str">
        <f t="shared" si="2"/>
        <v>нет з/ч</v>
      </c>
      <c r="AL59" s="61" t="str">
        <f t="shared" si="3"/>
        <v>нет з/ч</v>
      </c>
      <c r="AM59" s="304" t="str">
        <f t="shared" si="5"/>
        <v>нет з/ч</v>
      </c>
      <c r="AN59" s="2"/>
      <c r="AO59" s="289">
        <v>1140.0</v>
      </c>
      <c r="AP59" s="296"/>
      <c r="AQ59" s="296"/>
      <c r="AR59" s="139"/>
      <c r="AS59" s="2"/>
      <c r="AT59" s="2"/>
      <c r="AU59" s="2"/>
      <c r="AV59" s="2"/>
      <c r="AW59" s="2"/>
      <c r="AX59" s="3" t="s">
        <v>9004</v>
      </c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>
      <c r="A60" s="335" t="s">
        <v>9007</v>
      </c>
      <c r="B60" s="93"/>
      <c r="C60" s="65"/>
      <c r="D60" s="31" t="s">
        <v>118</v>
      </c>
      <c r="E60" s="11" t="s">
        <v>8908</v>
      </c>
      <c r="F60" s="427" t="s">
        <v>8909</v>
      </c>
      <c r="G60" s="31" t="s">
        <v>8910</v>
      </c>
      <c r="H60" s="31"/>
      <c r="I60" s="31"/>
      <c r="J60" s="31"/>
      <c r="K60" s="428"/>
      <c r="L60" s="321"/>
      <c r="M60" s="322"/>
      <c r="N60" s="323"/>
      <c r="O60" s="429"/>
      <c r="P60" s="322"/>
      <c r="Q60" s="323"/>
      <c r="R60" s="429"/>
      <c r="S60" s="322"/>
      <c r="T60" s="323"/>
      <c r="U60" s="324"/>
      <c r="V60" s="322"/>
      <c r="W60" s="323"/>
      <c r="X60" s="324" t="s">
        <v>22</v>
      </c>
      <c r="Y60" s="173" t="s">
        <v>8912</v>
      </c>
      <c r="Z60" s="322" t="s">
        <v>22</v>
      </c>
      <c r="AA60" s="313">
        <f>MAX(Z60:Z65)</f>
        <v>0</v>
      </c>
      <c r="AB60" s="319">
        <f>AA60</f>
        <v>0</v>
      </c>
      <c r="AC60" s="430"/>
      <c r="AD60" s="326" t="s">
        <v>22</v>
      </c>
      <c r="AE60" s="331"/>
      <c r="AF60" s="431"/>
      <c r="AG60" s="432"/>
      <c r="AH60" s="326"/>
      <c r="AI60" s="2"/>
      <c r="AJ60" s="59" t="str">
        <f t="shared" si="1"/>
        <v>нет з/ч</v>
      </c>
      <c r="AK60" s="61" t="str">
        <f t="shared" si="2"/>
        <v>нет з/ч</v>
      </c>
      <c r="AL60" s="61" t="str">
        <f t="shared" si="3"/>
        <v>нет з/ч</v>
      </c>
      <c r="AM60" s="304" t="str">
        <f t="shared" si="5"/>
        <v>нет з/ч</v>
      </c>
      <c r="AN60" s="2"/>
      <c r="AO60" s="289"/>
      <c r="AP60" s="296"/>
      <c r="AQ60" s="296"/>
      <c r="AR60" s="139"/>
      <c r="AS60" s="2"/>
      <c r="AT60" s="2"/>
      <c r="AU60" s="2"/>
      <c r="AV60" s="2"/>
      <c r="AW60" s="2"/>
      <c r="AX60" s="3" t="s">
        <v>9007</v>
      </c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>
      <c r="A61" s="335" t="s">
        <v>9008</v>
      </c>
      <c r="B61" s="93"/>
      <c r="C61" s="65"/>
      <c r="D61" s="31" t="s">
        <v>118</v>
      </c>
      <c r="E61" s="11" t="s">
        <v>8908</v>
      </c>
      <c r="F61" s="427" t="s">
        <v>8909</v>
      </c>
      <c r="G61" s="31" t="s">
        <v>8910</v>
      </c>
      <c r="H61" s="31"/>
      <c r="I61" s="31"/>
      <c r="J61" s="31"/>
      <c r="K61" s="428"/>
      <c r="L61" s="321"/>
      <c r="M61" s="322"/>
      <c r="N61" s="323"/>
      <c r="O61" s="429"/>
      <c r="P61" s="322"/>
      <c r="Q61" s="323"/>
      <c r="R61" s="429"/>
      <c r="S61" s="322"/>
      <c r="T61" s="323"/>
      <c r="U61" s="324"/>
      <c r="V61" s="322"/>
      <c r="W61" s="323"/>
      <c r="X61" s="324" t="s">
        <v>22</v>
      </c>
      <c r="Y61" s="173" t="s">
        <v>8912</v>
      </c>
      <c r="Z61" s="322" t="s">
        <v>22</v>
      </c>
      <c r="AA61" s="104"/>
      <c r="AB61" s="319">
        <f>AA60</f>
        <v>0</v>
      </c>
      <c r="AC61" s="430"/>
      <c r="AD61" s="326" t="s">
        <v>22</v>
      </c>
      <c r="AE61" s="331"/>
      <c r="AF61" s="431"/>
      <c r="AG61" s="432"/>
      <c r="AH61" s="326"/>
      <c r="AI61" s="2"/>
      <c r="AJ61" s="59" t="str">
        <f t="shared" si="1"/>
        <v>нет з/ч</v>
      </c>
      <c r="AK61" s="61" t="str">
        <f t="shared" si="2"/>
        <v>нет з/ч</v>
      </c>
      <c r="AL61" s="61" t="str">
        <f t="shared" si="3"/>
        <v>нет з/ч</v>
      </c>
      <c r="AM61" s="304" t="str">
        <f t="shared" si="5"/>
        <v>нет з/ч</v>
      </c>
      <c r="AN61" s="2"/>
      <c r="AO61" s="289"/>
      <c r="AP61" s="296"/>
      <c r="AQ61" s="296"/>
      <c r="AR61" s="139"/>
      <c r="AS61" s="2"/>
      <c r="AT61" s="2"/>
      <c r="AU61" s="2"/>
      <c r="AV61" s="2"/>
      <c r="AW61" s="2"/>
      <c r="AX61" s="3" t="s">
        <v>9008</v>
      </c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>
      <c r="A62" s="335" t="s">
        <v>9009</v>
      </c>
      <c r="B62" s="93"/>
      <c r="C62" s="65"/>
      <c r="D62" s="31" t="s">
        <v>118</v>
      </c>
      <c r="E62" s="11" t="s">
        <v>8908</v>
      </c>
      <c r="F62" s="427" t="s">
        <v>8909</v>
      </c>
      <c r="G62" s="31" t="s">
        <v>8910</v>
      </c>
      <c r="H62" s="31"/>
      <c r="I62" s="31"/>
      <c r="J62" s="31"/>
      <c r="K62" s="428"/>
      <c r="L62" s="321"/>
      <c r="M62" s="322"/>
      <c r="N62" s="323"/>
      <c r="O62" s="429"/>
      <c r="P62" s="322"/>
      <c r="Q62" s="323"/>
      <c r="R62" s="429"/>
      <c r="S62" s="322"/>
      <c r="T62" s="323"/>
      <c r="U62" s="324"/>
      <c r="V62" s="322"/>
      <c r="W62" s="323"/>
      <c r="X62" s="324" t="s">
        <v>22</v>
      </c>
      <c r="Y62" s="173" t="s">
        <v>8912</v>
      </c>
      <c r="Z62" s="322" t="s">
        <v>22</v>
      </c>
      <c r="AA62" s="104"/>
      <c r="AB62" s="319">
        <f>AA60</f>
        <v>0</v>
      </c>
      <c r="AC62" s="430"/>
      <c r="AD62" s="326" t="s">
        <v>22</v>
      </c>
      <c r="AE62" s="331"/>
      <c r="AF62" s="431"/>
      <c r="AG62" s="432"/>
      <c r="AH62" s="326"/>
      <c r="AI62" s="2"/>
      <c r="AJ62" s="59" t="str">
        <f t="shared" si="1"/>
        <v>нет з/ч</v>
      </c>
      <c r="AK62" s="61" t="str">
        <f t="shared" si="2"/>
        <v>нет з/ч</v>
      </c>
      <c r="AL62" s="61" t="str">
        <f t="shared" si="3"/>
        <v>нет з/ч</v>
      </c>
      <c r="AM62" s="304" t="str">
        <f t="shared" si="5"/>
        <v>нет з/ч</v>
      </c>
      <c r="AN62" s="2"/>
      <c r="AO62" s="289"/>
      <c r="AP62" s="296"/>
      <c r="AQ62" s="296"/>
      <c r="AR62" s="139"/>
      <c r="AS62" s="2"/>
      <c r="AT62" s="2"/>
      <c r="AU62" s="2"/>
      <c r="AV62" s="2"/>
      <c r="AW62" s="2"/>
      <c r="AX62" s="3" t="s">
        <v>9009</v>
      </c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>
      <c r="A63" s="335" t="s">
        <v>9010</v>
      </c>
      <c r="B63" s="93"/>
      <c r="C63" s="65"/>
      <c r="D63" s="31" t="s">
        <v>118</v>
      </c>
      <c r="E63" s="11" t="s">
        <v>8908</v>
      </c>
      <c r="F63" s="427" t="s">
        <v>8909</v>
      </c>
      <c r="G63" s="31" t="s">
        <v>8910</v>
      </c>
      <c r="H63" s="31"/>
      <c r="I63" s="31"/>
      <c r="J63" s="31"/>
      <c r="K63" s="428"/>
      <c r="L63" s="321"/>
      <c r="M63" s="322"/>
      <c r="N63" s="323"/>
      <c r="O63" s="429"/>
      <c r="P63" s="322"/>
      <c r="Q63" s="323"/>
      <c r="R63" s="429"/>
      <c r="S63" s="322"/>
      <c r="T63" s="323"/>
      <c r="U63" s="324"/>
      <c r="V63" s="322"/>
      <c r="W63" s="323"/>
      <c r="X63" s="324" t="s">
        <v>22</v>
      </c>
      <c r="Y63" s="173" t="s">
        <v>8912</v>
      </c>
      <c r="Z63" s="322" t="s">
        <v>22</v>
      </c>
      <c r="AA63" s="104"/>
      <c r="AB63" s="319">
        <f>AA60</f>
        <v>0</v>
      </c>
      <c r="AC63" s="430"/>
      <c r="AD63" s="326" t="s">
        <v>22</v>
      </c>
      <c r="AE63" s="331"/>
      <c r="AF63" s="431"/>
      <c r="AG63" s="432"/>
      <c r="AH63" s="326"/>
      <c r="AI63" s="2"/>
      <c r="AJ63" s="59" t="str">
        <f t="shared" si="1"/>
        <v>нет з/ч</v>
      </c>
      <c r="AK63" s="61" t="str">
        <f t="shared" si="2"/>
        <v>нет з/ч</v>
      </c>
      <c r="AL63" s="61" t="str">
        <f t="shared" si="3"/>
        <v>нет з/ч</v>
      </c>
      <c r="AM63" s="304" t="str">
        <f t="shared" si="5"/>
        <v>нет з/ч</v>
      </c>
      <c r="AN63" s="2"/>
      <c r="AO63" s="289"/>
      <c r="AP63" s="296"/>
      <c r="AQ63" s="296"/>
      <c r="AR63" s="139"/>
      <c r="AS63" s="2"/>
      <c r="AT63" s="2"/>
      <c r="AU63" s="2"/>
      <c r="AV63" s="2"/>
      <c r="AW63" s="2"/>
      <c r="AX63" s="3" t="s">
        <v>9010</v>
      </c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>
      <c r="A64" s="335" t="s">
        <v>9011</v>
      </c>
      <c r="B64" s="93"/>
      <c r="C64" s="65"/>
      <c r="D64" s="31" t="s">
        <v>118</v>
      </c>
      <c r="E64" s="11" t="s">
        <v>8908</v>
      </c>
      <c r="F64" s="427" t="s">
        <v>8909</v>
      </c>
      <c r="G64" s="31" t="s">
        <v>8910</v>
      </c>
      <c r="H64" s="31"/>
      <c r="I64" s="31"/>
      <c r="J64" s="31"/>
      <c r="K64" s="428"/>
      <c r="L64" s="321"/>
      <c r="M64" s="322"/>
      <c r="N64" s="323"/>
      <c r="O64" s="429"/>
      <c r="P64" s="322"/>
      <c r="Q64" s="323"/>
      <c r="R64" s="429"/>
      <c r="S64" s="322"/>
      <c r="T64" s="323"/>
      <c r="U64" s="324"/>
      <c r="V64" s="322"/>
      <c r="W64" s="323"/>
      <c r="X64" s="324" t="s">
        <v>22</v>
      </c>
      <c r="Y64" s="173" t="s">
        <v>8912</v>
      </c>
      <c r="Z64" s="322" t="s">
        <v>22</v>
      </c>
      <c r="AA64" s="104"/>
      <c r="AB64" s="319">
        <f>AA60</f>
        <v>0</v>
      </c>
      <c r="AC64" s="430"/>
      <c r="AD64" s="326" t="s">
        <v>22</v>
      </c>
      <c r="AE64" s="331"/>
      <c r="AF64" s="431"/>
      <c r="AG64" s="432"/>
      <c r="AH64" s="326"/>
      <c r="AI64" s="2"/>
      <c r="AJ64" s="59" t="str">
        <f t="shared" si="1"/>
        <v>нет з/ч</v>
      </c>
      <c r="AK64" s="61" t="str">
        <f t="shared" si="2"/>
        <v>нет з/ч</v>
      </c>
      <c r="AL64" s="61" t="str">
        <f t="shared" si="3"/>
        <v>нет з/ч</v>
      </c>
      <c r="AM64" s="304" t="str">
        <f t="shared" si="5"/>
        <v>нет з/ч</v>
      </c>
      <c r="AN64" s="2"/>
      <c r="AO64" s="289"/>
      <c r="AP64" s="296"/>
      <c r="AQ64" s="296"/>
      <c r="AR64" s="139"/>
      <c r="AS64" s="2"/>
      <c r="AT64" s="2"/>
      <c r="AU64" s="2"/>
      <c r="AV64" s="2"/>
      <c r="AW64" s="2"/>
      <c r="AX64" s="3" t="s">
        <v>9011</v>
      </c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>
      <c r="A65" s="335" t="s">
        <v>9012</v>
      </c>
      <c r="B65" s="93"/>
      <c r="C65" s="65"/>
      <c r="D65" s="31" t="s">
        <v>118</v>
      </c>
      <c r="E65" s="11" t="s">
        <v>8908</v>
      </c>
      <c r="F65" s="427" t="s">
        <v>8909</v>
      </c>
      <c r="G65" s="31" t="s">
        <v>8910</v>
      </c>
      <c r="H65" s="31"/>
      <c r="I65" s="31"/>
      <c r="J65" s="31"/>
      <c r="K65" s="428"/>
      <c r="L65" s="321"/>
      <c r="M65" s="322"/>
      <c r="N65" s="323"/>
      <c r="O65" s="429"/>
      <c r="P65" s="322"/>
      <c r="Q65" s="323"/>
      <c r="R65" s="429"/>
      <c r="S65" s="322"/>
      <c r="T65" s="323"/>
      <c r="U65" s="324"/>
      <c r="V65" s="322"/>
      <c r="W65" s="323"/>
      <c r="X65" s="324" t="s">
        <v>22</v>
      </c>
      <c r="Y65" s="173" t="s">
        <v>8912</v>
      </c>
      <c r="Z65" s="322" t="s">
        <v>22</v>
      </c>
      <c r="AA65" s="67"/>
      <c r="AB65" s="319">
        <f>AA60</f>
        <v>0</v>
      </c>
      <c r="AC65" s="430"/>
      <c r="AD65" s="326" t="s">
        <v>22</v>
      </c>
      <c r="AE65" s="331"/>
      <c r="AF65" s="431"/>
      <c r="AG65" s="432"/>
      <c r="AH65" s="326"/>
      <c r="AI65" s="2"/>
      <c r="AJ65" s="59" t="str">
        <f t="shared" si="1"/>
        <v>нет з/ч</v>
      </c>
      <c r="AK65" s="61" t="str">
        <f t="shared" si="2"/>
        <v>нет з/ч</v>
      </c>
      <c r="AL65" s="61" t="str">
        <f t="shared" si="3"/>
        <v>нет з/ч</v>
      </c>
      <c r="AM65" s="304" t="str">
        <f t="shared" si="5"/>
        <v>нет з/ч</v>
      </c>
      <c r="AN65" s="2"/>
      <c r="AO65" s="289"/>
      <c r="AP65" s="296"/>
      <c r="AQ65" s="296"/>
      <c r="AR65" s="139"/>
      <c r="AS65" s="2"/>
      <c r="AT65" s="2"/>
      <c r="AU65" s="2"/>
      <c r="AV65" s="2"/>
      <c r="AW65" s="2"/>
      <c r="AX65" s="3" t="s">
        <v>9012</v>
      </c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>
      <c r="A66" s="335" t="s">
        <v>9013</v>
      </c>
      <c r="B66" s="93"/>
      <c r="C66" s="65"/>
      <c r="D66" s="31" t="s">
        <v>118</v>
      </c>
      <c r="E66" s="11" t="s">
        <v>8908</v>
      </c>
      <c r="F66" s="427" t="s">
        <v>8915</v>
      </c>
      <c r="G66" s="31" t="s">
        <v>8916</v>
      </c>
      <c r="H66" s="31"/>
      <c r="I66" s="31"/>
      <c r="J66" s="31"/>
      <c r="K66" s="428"/>
      <c r="L66" s="327" t="s">
        <v>9014</v>
      </c>
      <c r="M66" s="322"/>
      <c r="N66" s="328">
        <v>1390.0</v>
      </c>
      <c r="O66" s="429"/>
      <c r="P66" s="322"/>
      <c r="Q66" s="323"/>
      <c r="R66" s="429"/>
      <c r="S66" s="322"/>
      <c r="T66" s="323"/>
      <c r="U66" s="324"/>
      <c r="V66" s="322"/>
      <c r="W66" s="323"/>
      <c r="X66" s="324">
        <v>1390.0</v>
      </c>
      <c r="Y66" s="173" t="s">
        <v>8912</v>
      </c>
      <c r="Z66" s="322">
        <v>1600.0</v>
      </c>
      <c r="AA66" s="313">
        <f>MAX(Z66:Z71)</f>
        <v>1600</v>
      </c>
      <c r="AB66" s="319">
        <f>AA66</f>
        <v>1600</v>
      </c>
      <c r="AC66" s="430"/>
      <c r="AD66" s="326" t="s">
        <v>5839</v>
      </c>
      <c r="AE66" s="329" t="s">
        <v>9015</v>
      </c>
      <c r="AF66" s="431"/>
      <c r="AG66" s="432"/>
      <c r="AH66" s="330">
        <v>46080.71445020833</v>
      </c>
      <c r="AI66" s="2"/>
      <c r="AJ66" s="289">
        <f t="shared" si="1"/>
        <v>210</v>
      </c>
      <c r="AK66" s="61" t="str">
        <f t="shared" si="2"/>
        <v>нет з/ч</v>
      </c>
      <c r="AL66" s="61" t="str">
        <f t="shared" si="3"/>
        <v>нет з/ч</v>
      </c>
      <c r="AM66" s="304" t="str">
        <f t="shared" si="5"/>
        <v>нет з/ч</v>
      </c>
      <c r="AN66" s="2"/>
      <c r="AO66" s="289">
        <v>1390.0</v>
      </c>
      <c r="AP66" s="296"/>
      <c r="AQ66" s="296"/>
      <c r="AR66" s="139"/>
      <c r="AS66" s="2"/>
      <c r="AT66" s="2"/>
      <c r="AU66" s="2"/>
      <c r="AV66" s="2"/>
      <c r="AW66" s="2"/>
      <c r="AX66" s="3" t="s">
        <v>9013</v>
      </c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>
      <c r="A67" s="335" t="s">
        <v>9016</v>
      </c>
      <c r="B67" s="93"/>
      <c r="C67" s="65"/>
      <c r="D67" s="31" t="s">
        <v>118</v>
      </c>
      <c r="E67" s="11" t="s">
        <v>8908</v>
      </c>
      <c r="F67" s="427" t="s">
        <v>8915</v>
      </c>
      <c r="G67" s="31" t="s">
        <v>8916</v>
      </c>
      <c r="H67" s="31"/>
      <c r="I67" s="31"/>
      <c r="J67" s="31"/>
      <c r="K67" s="428"/>
      <c r="L67" s="327" t="s">
        <v>9017</v>
      </c>
      <c r="M67" s="322"/>
      <c r="N67" s="328">
        <v>1390.0</v>
      </c>
      <c r="O67" s="429"/>
      <c r="P67" s="322"/>
      <c r="Q67" s="323"/>
      <c r="R67" s="429"/>
      <c r="S67" s="322"/>
      <c r="T67" s="323"/>
      <c r="U67" s="324"/>
      <c r="V67" s="322"/>
      <c r="W67" s="323"/>
      <c r="X67" s="324">
        <v>1390.0</v>
      </c>
      <c r="Y67" s="173" t="s">
        <v>8912</v>
      </c>
      <c r="Z67" s="322">
        <v>1600.0</v>
      </c>
      <c r="AA67" s="104"/>
      <c r="AB67" s="319">
        <f>AA66</f>
        <v>1600</v>
      </c>
      <c r="AC67" s="430"/>
      <c r="AD67" s="326" t="s">
        <v>5839</v>
      </c>
      <c r="AE67" s="329" t="s">
        <v>9018</v>
      </c>
      <c r="AF67" s="431"/>
      <c r="AG67" s="432"/>
      <c r="AH67" s="330">
        <v>46080.71529310185</v>
      </c>
      <c r="AI67" s="2"/>
      <c r="AJ67" s="289">
        <f t="shared" si="1"/>
        <v>210</v>
      </c>
      <c r="AK67" s="61" t="str">
        <f t="shared" si="2"/>
        <v>нет з/ч</v>
      </c>
      <c r="AL67" s="61" t="str">
        <f t="shared" si="3"/>
        <v>нет з/ч</v>
      </c>
      <c r="AM67" s="304" t="str">
        <f t="shared" si="5"/>
        <v>нет з/ч</v>
      </c>
      <c r="AN67" s="2"/>
      <c r="AO67" s="289">
        <v>1390.0</v>
      </c>
      <c r="AP67" s="296"/>
      <c r="AQ67" s="296"/>
      <c r="AR67" s="139"/>
      <c r="AS67" s="2"/>
      <c r="AT67" s="2"/>
      <c r="AU67" s="2"/>
      <c r="AV67" s="2"/>
      <c r="AW67" s="2"/>
      <c r="AX67" s="3" t="s">
        <v>9016</v>
      </c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>
      <c r="A68" s="335" t="s">
        <v>9019</v>
      </c>
      <c r="B68" s="93"/>
      <c r="C68" s="65"/>
      <c r="D68" s="31" t="s">
        <v>118</v>
      </c>
      <c r="E68" s="11" t="s">
        <v>8908</v>
      </c>
      <c r="F68" s="427" t="s">
        <v>8915</v>
      </c>
      <c r="G68" s="31" t="s">
        <v>8916</v>
      </c>
      <c r="H68" s="31"/>
      <c r="I68" s="31"/>
      <c r="J68" s="31"/>
      <c r="K68" s="428"/>
      <c r="L68" s="327" t="s">
        <v>9020</v>
      </c>
      <c r="M68" s="322"/>
      <c r="N68" s="328">
        <v>1390.0</v>
      </c>
      <c r="O68" s="429"/>
      <c r="P68" s="322"/>
      <c r="Q68" s="323"/>
      <c r="R68" s="429"/>
      <c r="S68" s="322"/>
      <c r="T68" s="323"/>
      <c r="U68" s="324"/>
      <c r="V68" s="322"/>
      <c r="W68" s="323"/>
      <c r="X68" s="324">
        <v>1390.0</v>
      </c>
      <c r="Y68" s="173" t="s">
        <v>8912</v>
      </c>
      <c r="Z68" s="322">
        <v>1600.0</v>
      </c>
      <c r="AA68" s="104"/>
      <c r="AB68" s="319">
        <f>AA66</f>
        <v>1600</v>
      </c>
      <c r="AC68" s="430"/>
      <c r="AD68" s="326" t="s">
        <v>5839</v>
      </c>
      <c r="AE68" s="329" t="s">
        <v>9021</v>
      </c>
      <c r="AF68" s="431"/>
      <c r="AG68" s="432"/>
      <c r="AH68" s="330">
        <v>46080.71533576389</v>
      </c>
      <c r="AI68" s="2"/>
      <c r="AJ68" s="289">
        <f t="shared" si="1"/>
        <v>210</v>
      </c>
      <c r="AK68" s="61" t="str">
        <f t="shared" si="2"/>
        <v>нет з/ч</v>
      </c>
      <c r="AL68" s="61" t="str">
        <f t="shared" si="3"/>
        <v>нет з/ч</v>
      </c>
      <c r="AM68" s="304" t="str">
        <f t="shared" si="5"/>
        <v>нет з/ч</v>
      </c>
      <c r="AN68" s="2"/>
      <c r="AO68" s="289">
        <v>1390.0</v>
      </c>
      <c r="AP68" s="296"/>
      <c r="AQ68" s="296"/>
      <c r="AR68" s="139"/>
      <c r="AS68" s="2"/>
      <c r="AT68" s="2"/>
      <c r="AU68" s="2"/>
      <c r="AV68" s="2"/>
      <c r="AW68" s="2"/>
      <c r="AX68" s="3" t="s">
        <v>9019</v>
      </c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>
      <c r="A69" s="335" t="s">
        <v>9022</v>
      </c>
      <c r="B69" s="93"/>
      <c r="C69" s="65"/>
      <c r="D69" s="31" t="s">
        <v>118</v>
      </c>
      <c r="E69" s="11" t="s">
        <v>8908</v>
      </c>
      <c r="F69" s="427" t="s">
        <v>8915</v>
      </c>
      <c r="G69" s="31" t="s">
        <v>8916</v>
      </c>
      <c r="H69" s="31"/>
      <c r="I69" s="31"/>
      <c r="J69" s="31"/>
      <c r="K69" s="428"/>
      <c r="L69" s="327" t="s">
        <v>9023</v>
      </c>
      <c r="M69" s="322"/>
      <c r="N69" s="328">
        <v>1390.0</v>
      </c>
      <c r="O69" s="429"/>
      <c r="P69" s="322"/>
      <c r="Q69" s="323"/>
      <c r="R69" s="429"/>
      <c r="S69" s="322"/>
      <c r="T69" s="323"/>
      <c r="U69" s="324"/>
      <c r="V69" s="322"/>
      <c r="W69" s="323"/>
      <c r="X69" s="324">
        <v>1390.0</v>
      </c>
      <c r="Y69" s="173" t="s">
        <v>8912</v>
      </c>
      <c r="Z69" s="322">
        <v>1600.0</v>
      </c>
      <c r="AA69" s="104"/>
      <c r="AB69" s="319">
        <f>AA66</f>
        <v>1600</v>
      </c>
      <c r="AC69" s="430"/>
      <c r="AD69" s="326" t="s">
        <v>5839</v>
      </c>
      <c r="AE69" s="329" t="s">
        <v>9024</v>
      </c>
      <c r="AF69" s="431"/>
      <c r="AG69" s="432"/>
      <c r="AH69" s="330">
        <v>46080.71537015046</v>
      </c>
      <c r="AI69" s="2"/>
      <c r="AJ69" s="289">
        <f t="shared" si="1"/>
        <v>210</v>
      </c>
      <c r="AK69" s="61" t="str">
        <f t="shared" si="2"/>
        <v>нет з/ч</v>
      </c>
      <c r="AL69" s="61" t="str">
        <f t="shared" si="3"/>
        <v>нет з/ч</v>
      </c>
      <c r="AM69" s="304" t="str">
        <f t="shared" si="5"/>
        <v>нет з/ч</v>
      </c>
      <c r="AN69" s="2"/>
      <c r="AO69" s="289">
        <v>1390.0</v>
      </c>
      <c r="AP69" s="296"/>
      <c r="AQ69" s="296"/>
      <c r="AR69" s="139"/>
      <c r="AS69" s="2"/>
      <c r="AT69" s="2"/>
      <c r="AU69" s="2"/>
      <c r="AV69" s="2"/>
      <c r="AW69" s="2"/>
      <c r="AX69" s="3" t="s">
        <v>9022</v>
      </c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>
      <c r="A70" s="335" t="s">
        <v>9025</v>
      </c>
      <c r="B70" s="93"/>
      <c r="C70" s="65"/>
      <c r="D70" s="31" t="s">
        <v>118</v>
      </c>
      <c r="E70" s="11" t="s">
        <v>8908</v>
      </c>
      <c r="F70" s="427" t="s">
        <v>8915</v>
      </c>
      <c r="G70" s="31" t="s">
        <v>8916</v>
      </c>
      <c r="H70" s="31"/>
      <c r="I70" s="31"/>
      <c r="J70" s="31"/>
      <c r="K70" s="428"/>
      <c r="L70" s="327" t="s">
        <v>9026</v>
      </c>
      <c r="M70" s="322"/>
      <c r="N70" s="328">
        <v>1390.0</v>
      </c>
      <c r="O70" s="429"/>
      <c r="P70" s="322"/>
      <c r="Q70" s="323"/>
      <c r="R70" s="429"/>
      <c r="S70" s="322"/>
      <c r="T70" s="323"/>
      <c r="U70" s="324"/>
      <c r="V70" s="322"/>
      <c r="W70" s="323"/>
      <c r="X70" s="324">
        <v>1390.0</v>
      </c>
      <c r="Y70" s="173" t="s">
        <v>8912</v>
      </c>
      <c r="Z70" s="322">
        <v>1600.0</v>
      </c>
      <c r="AA70" s="104"/>
      <c r="AB70" s="319">
        <f>AA66</f>
        <v>1600</v>
      </c>
      <c r="AC70" s="430"/>
      <c r="AD70" s="326" t="s">
        <v>5839</v>
      </c>
      <c r="AE70" s="329" t="s">
        <v>9027</v>
      </c>
      <c r="AF70" s="431"/>
      <c r="AG70" s="432"/>
      <c r="AH70" s="330">
        <v>46080.71541087963</v>
      </c>
      <c r="AI70" s="2"/>
      <c r="AJ70" s="289">
        <f t="shared" si="1"/>
        <v>210</v>
      </c>
      <c r="AK70" s="61" t="str">
        <f t="shared" si="2"/>
        <v>нет з/ч</v>
      </c>
      <c r="AL70" s="61" t="str">
        <f t="shared" si="3"/>
        <v>нет з/ч</v>
      </c>
      <c r="AM70" s="304" t="str">
        <f t="shared" si="5"/>
        <v>нет з/ч</v>
      </c>
      <c r="AN70" s="2"/>
      <c r="AO70" s="289">
        <v>1390.0</v>
      </c>
      <c r="AP70" s="296"/>
      <c r="AQ70" s="296"/>
      <c r="AR70" s="139"/>
      <c r="AS70" s="2"/>
      <c r="AT70" s="2"/>
      <c r="AU70" s="2"/>
      <c r="AV70" s="2"/>
      <c r="AW70" s="2"/>
      <c r="AX70" s="3" t="s">
        <v>9025</v>
      </c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>
      <c r="A71" s="335" t="s">
        <v>9028</v>
      </c>
      <c r="B71" s="93"/>
      <c r="C71" s="65"/>
      <c r="D71" s="31" t="s">
        <v>118</v>
      </c>
      <c r="E71" s="11" t="s">
        <v>8908</v>
      </c>
      <c r="F71" s="427" t="s">
        <v>8915</v>
      </c>
      <c r="G71" s="31" t="s">
        <v>8916</v>
      </c>
      <c r="H71" s="31"/>
      <c r="I71" s="31"/>
      <c r="J71" s="31"/>
      <c r="K71" s="428"/>
      <c r="L71" s="327" t="s">
        <v>9029</v>
      </c>
      <c r="M71" s="322"/>
      <c r="N71" s="328">
        <v>1390.0</v>
      </c>
      <c r="O71" s="429"/>
      <c r="P71" s="322"/>
      <c r="Q71" s="323"/>
      <c r="R71" s="429"/>
      <c r="S71" s="322"/>
      <c r="T71" s="323"/>
      <c r="U71" s="324"/>
      <c r="V71" s="322"/>
      <c r="W71" s="323"/>
      <c r="X71" s="324">
        <v>1390.0</v>
      </c>
      <c r="Y71" s="173" t="s">
        <v>8912</v>
      </c>
      <c r="Z71" s="322">
        <v>1600.0</v>
      </c>
      <c r="AA71" s="67"/>
      <c r="AB71" s="319">
        <f>AA66</f>
        <v>1600</v>
      </c>
      <c r="AC71" s="430"/>
      <c r="AD71" s="326" t="s">
        <v>5839</v>
      </c>
      <c r="AE71" s="329" t="s">
        <v>9030</v>
      </c>
      <c r="AF71" s="431"/>
      <c r="AG71" s="432"/>
      <c r="AH71" s="330">
        <v>46080.715449375</v>
      </c>
      <c r="AI71" s="2"/>
      <c r="AJ71" s="289">
        <f t="shared" si="1"/>
        <v>210</v>
      </c>
      <c r="AK71" s="61" t="str">
        <f t="shared" si="2"/>
        <v>нет з/ч</v>
      </c>
      <c r="AL71" s="61" t="str">
        <f t="shared" si="3"/>
        <v>нет з/ч</v>
      </c>
      <c r="AM71" s="304" t="str">
        <f t="shared" si="5"/>
        <v>нет з/ч</v>
      </c>
      <c r="AN71" s="2"/>
      <c r="AO71" s="289">
        <v>1390.0</v>
      </c>
      <c r="AP71" s="296"/>
      <c r="AQ71" s="296"/>
      <c r="AR71" s="139"/>
      <c r="AS71" s="2"/>
      <c r="AT71" s="2"/>
      <c r="AU71" s="2"/>
      <c r="AV71" s="2"/>
      <c r="AW71" s="2"/>
      <c r="AX71" s="3" t="s">
        <v>9028</v>
      </c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>
      <c r="A72" s="335" t="s">
        <v>9031</v>
      </c>
      <c r="B72" s="93"/>
      <c r="C72" s="65"/>
      <c r="D72" s="31" t="s">
        <v>125</v>
      </c>
      <c r="E72" s="11" t="s">
        <v>8908</v>
      </c>
      <c r="F72" s="427" t="s">
        <v>8909</v>
      </c>
      <c r="G72" s="31" t="s">
        <v>8910</v>
      </c>
      <c r="H72" s="31"/>
      <c r="I72" s="31"/>
      <c r="J72" s="31"/>
      <c r="K72" s="428"/>
      <c r="L72" s="321"/>
      <c r="M72" s="322"/>
      <c r="N72" s="323"/>
      <c r="O72" s="429"/>
      <c r="P72" s="322"/>
      <c r="Q72" s="323"/>
      <c r="R72" s="429"/>
      <c r="S72" s="322"/>
      <c r="T72" s="323"/>
      <c r="U72" s="324"/>
      <c r="V72" s="322"/>
      <c r="W72" s="323"/>
      <c r="X72" s="324" t="s">
        <v>22</v>
      </c>
      <c r="Y72" s="173" t="s">
        <v>8912</v>
      </c>
      <c r="Z72" s="322" t="s">
        <v>22</v>
      </c>
      <c r="AA72" s="313">
        <f>MAX(Z72:Z75)</f>
        <v>0</v>
      </c>
      <c r="AB72" s="319">
        <f>AA72</f>
        <v>0</v>
      </c>
      <c r="AC72" s="430"/>
      <c r="AD72" s="326" t="s">
        <v>22</v>
      </c>
      <c r="AE72" s="331"/>
      <c r="AF72" s="431"/>
      <c r="AG72" s="432"/>
      <c r="AH72" s="326"/>
      <c r="AI72" s="2"/>
      <c r="AJ72" s="59" t="str">
        <f t="shared" si="1"/>
        <v>нет з/ч</v>
      </c>
      <c r="AK72" s="61" t="str">
        <f t="shared" si="2"/>
        <v>нет з/ч</v>
      </c>
      <c r="AL72" s="61" t="str">
        <f t="shared" si="3"/>
        <v>нет з/ч</v>
      </c>
      <c r="AM72" s="304" t="str">
        <f t="shared" si="5"/>
        <v>нет з/ч</v>
      </c>
      <c r="AN72" s="2"/>
      <c r="AO72" s="289"/>
      <c r="AP72" s="296"/>
      <c r="AQ72" s="296"/>
      <c r="AR72" s="139"/>
      <c r="AS72" s="2"/>
      <c r="AT72" s="2"/>
      <c r="AU72" s="2"/>
      <c r="AV72" s="2"/>
      <c r="AW72" s="2"/>
      <c r="AX72" s="3" t="s">
        <v>9031</v>
      </c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>
      <c r="A73" s="335" t="s">
        <v>9032</v>
      </c>
      <c r="B73" s="93"/>
      <c r="C73" s="65"/>
      <c r="D73" s="31" t="s">
        <v>125</v>
      </c>
      <c r="E73" s="11" t="s">
        <v>8908</v>
      </c>
      <c r="F73" s="427" t="s">
        <v>8909</v>
      </c>
      <c r="G73" s="31" t="s">
        <v>8910</v>
      </c>
      <c r="H73" s="31"/>
      <c r="I73" s="31"/>
      <c r="J73" s="31"/>
      <c r="K73" s="428"/>
      <c r="L73" s="321"/>
      <c r="M73" s="322"/>
      <c r="N73" s="323"/>
      <c r="O73" s="429"/>
      <c r="P73" s="322"/>
      <c r="Q73" s="323"/>
      <c r="R73" s="429"/>
      <c r="S73" s="322"/>
      <c r="T73" s="323"/>
      <c r="U73" s="324"/>
      <c r="V73" s="322"/>
      <c r="W73" s="323"/>
      <c r="X73" s="324" t="s">
        <v>22</v>
      </c>
      <c r="Y73" s="173" t="s">
        <v>8912</v>
      </c>
      <c r="Z73" s="322" t="s">
        <v>22</v>
      </c>
      <c r="AA73" s="104"/>
      <c r="AB73" s="319">
        <f>AA72</f>
        <v>0</v>
      </c>
      <c r="AC73" s="430"/>
      <c r="AD73" s="326" t="s">
        <v>22</v>
      </c>
      <c r="AE73" s="331"/>
      <c r="AF73" s="431"/>
      <c r="AG73" s="432"/>
      <c r="AH73" s="326"/>
      <c r="AI73" s="2"/>
      <c r="AJ73" s="59" t="str">
        <f t="shared" si="1"/>
        <v>нет з/ч</v>
      </c>
      <c r="AK73" s="61" t="str">
        <f t="shared" si="2"/>
        <v>нет з/ч</v>
      </c>
      <c r="AL73" s="61" t="str">
        <f t="shared" si="3"/>
        <v>нет з/ч</v>
      </c>
      <c r="AM73" s="304" t="str">
        <f t="shared" si="5"/>
        <v>нет з/ч</v>
      </c>
      <c r="AN73" s="2"/>
      <c r="AO73" s="289"/>
      <c r="AP73" s="296"/>
      <c r="AQ73" s="296"/>
      <c r="AR73" s="139"/>
      <c r="AS73" s="2"/>
      <c r="AT73" s="2"/>
      <c r="AU73" s="2"/>
      <c r="AV73" s="2"/>
      <c r="AW73" s="2"/>
      <c r="AX73" s="3" t="s">
        <v>9032</v>
      </c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>
      <c r="A74" s="335" t="s">
        <v>9033</v>
      </c>
      <c r="B74" s="93"/>
      <c r="C74" s="65"/>
      <c r="D74" s="31" t="s">
        <v>125</v>
      </c>
      <c r="E74" s="11" t="s">
        <v>8908</v>
      </c>
      <c r="F74" s="427" t="s">
        <v>8909</v>
      </c>
      <c r="G74" s="31" t="s">
        <v>8910</v>
      </c>
      <c r="H74" s="31"/>
      <c r="I74" s="31"/>
      <c r="J74" s="31"/>
      <c r="K74" s="428"/>
      <c r="L74" s="321"/>
      <c r="M74" s="322"/>
      <c r="N74" s="323"/>
      <c r="O74" s="429"/>
      <c r="P74" s="322"/>
      <c r="Q74" s="323"/>
      <c r="R74" s="429"/>
      <c r="S74" s="322"/>
      <c r="T74" s="323"/>
      <c r="U74" s="324"/>
      <c r="V74" s="322"/>
      <c r="W74" s="323"/>
      <c r="X74" s="324" t="s">
        <v>22</v>
      </c>
      <c r="Y74" s="173" t="s">
        <v>8912</v>
      </c>
      <c r="Z74" s="322" t="s">
        <v>22</v>
      </c>
      <c r="AA74" s="104"/>
      <c r="AB74" s="319">
        <f>AA72</f>
        <v>0</v>
      </c>
      <c r="AC74" s="430"/>
      <c r="AD74" s="326" t="s">
        <v>22</v>
      </c>
      <c r="AE74" s="331"/>
      <c r="AF74" s="431"/>
      <c r="AG74" s="432"/>
      <c r="AH74" s="326"/>
      <c r="AI74" s="2"/>
      <c r="AJ74" s="59" t="str">
        <f t="shared" si="1"/>
        <v>нет з/ч</v>
      </c>
      <c r="AK74" s="61" t="str">
        <f t="shared" si="2"/>
        <v>нет з/ч</v>
      </c>
      <c r="AL74" s="61" t="str">
        <f t="shared" si="3"/>
        <v>нет з/ч</v>
      </c>
      <c r="AM74" s="304" t="str">
        <f t="shared" si="5"/>
        <v>нет з/ч</v>
      </c>
      <c r="AN74" s="2"/>
      <c r="AO74" s="289"/>
      <c r="AP74" s="296"/>
      <c r="AQ74" s="296"/>
      <c r="AR74" s="139"/>
      <c r="AS74" s="2"/>
      <c r="AT74" s="2"/>
      <c r="AU74" s="2"/>
      <c r="AV74" s="2"/>
      <c r="AW74" s="2"/>
      <c r="AX74" s="3" t="s">
        <v>9033</v>
      </c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>
      <c r="A75" s="335" t="s">
        <v>9034</v>
      </c>
      <c r="B75" s="93"/>
      <c r="C75" s="65"/>
      <c r="D75" s="31" t="s">
        <v>125</v>
      </c>
      <c r="E75" s="11" t="s">
        <v>8908</v>
      </c>
      <c r="F75" s="427" t="s">
        <v>8909</v>
      </c>
      <c r="G75" s="31" t="s">
        <v>8910</v>
      </c>
      <c r="H75" s="31"/>
      <c r="I75" s="31"/>
      <c r="J75" s="31"/>
      <c r="K75" s="428"/>
      <c r="L75" s="321"/>
      <c r="M75" s="322"/>
      <c r="N75" s="323"/>
      <c r="O75" s="429"/>
      <c r="P75" s="322"/>
      <c r="Q75" s="323"/>
      <c r="R75" s="429"/>
      <c r="S75" s="322"/>
      <c r="T75" s="323"/>
      <c r="U75" s="324"/>
      <c r="V75" s="322"/>
      <c r="W75" s="323"/>
      <c r="X75" s="324" t="s">
        <v>22</v>
      </c>
      <c r="Y75" s="173" t="s">
        <v>8912</v>
      </c>
      <c r="Z75" s="322" t="s">
        <v>22</v>
      </c>
      <c r="AA75" s="67"/>
      <c r="AB75" s="319">
        <f>AA72</f>
        <v>0</v>
      </c>
      <c r="AC75" s="430"/>
      <c r="AD75" s="326" t="s">
        <v>22</v>
      </c>
      <c r="AE75" s="331"/>
      <c r="AF75" s="431"/>
      <c r="AG75" s="432"/>
      <c r="AH75" s="326"/>
      <c r="AI75" s="2"/>
      <c r="AJ75" s="59" t="str">
        <f t="shared" si="1"/>
        <v>нет з/ч</v>
      </c>
      <c r="AK75" s="61" t="str">
        <f t="shared" si="2"/>
        <v>нет з/ч</v>
      </c>
      <c r="AL75" s="61" t="str">
        <f t="shared" si="3"/>
        <v>нет з/ч</v>
      </c>
      <c r="AM75" s="304" t="str">
        <f t="shared" si="5"/>
        <v>нет з/ч</v>
      </c>
      <c r="AN75" s="2"/>
      <c r="AO75" s="289"/>
      <c r="AP75" s="296"/>
      <c r="AQ75" s="296"/>
      <c r="AR75" s="139"/>
      <c r="AS75" s="2"/>
      <c r="AT75" s="2"/>
      <c r="AU75" s="2"/>
      <c r="AV75" s="2"/>
      <c r="AW75" s="2"/>
      <c r="AX75" s="3" t="s">
        <v>9034</v>
      </c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>
      <c r="A76" s="335" t="s">
        <v>9035</v>
      </c>
      <c r="B76" s="93"/>
      <c r="C76" s="65"/>
      <c r="D76" s="31" t="s">
        <v>125</v>
      </c>
      <c r="E76" s="11" t="s">
        <v>8908</v>
      </c>
      <c r="F76" s="427" t="s">
        <v>8915</v>
      </c>
      <c r="G76" s="31" t="s">
        <v>8916</v>
      </c>
      <c r="H76" s="31"/>
      <c r="I76" s="31"/>
      <c r="J76" s="31"/>
      <c r="K76" s="428"/>
      <c r="L76" s="327" t="s">
        <v>9036</v>
      </c>
      <c r="M76" s="322"/>
      <c r="N76" s="328">
        <v>1150.0</v>
      </c>
      <c r="O76" s="429"/>
      <c r="P76" s="322"/>
      <c r="Q76" s="323"/>
      <c r="R76" s="429"/>
      <c r="S76" s="322"/>
      <c r="T76" s="323"/>
      <c r="U76" s="324"/>
      <c r="V76" s="322"/>
      <c r="W76" s="323"/>
      <c r="X76" s="324">
        <v>1150.0</v>
      </c>
      <c r="Y76" s="173" t="s">
        <v>8912</v>
      </c>
      <c r="Z76" s="322">
        <v>1300.0</v>
      </c>
      <c r="AA76" s="313">
        <f>MAX(Z76:Z79)</f>
        <v>1300</v>
      </c>
      <c r="AB76" s="319">
        <f>AA76</f>
        <v>1300</v>
      </c>
      <c r="AC76" s="430"/>
      <c r="AD76" s="326" t="s">
        <v>5839</v>
      </c>
      <c r="AE76" s="329" t="s">
        <v>9037</v>
      </c>
      <c r="AF76" s="431"/>
      <c r="AG76" s="432"/>
      <c r="AH76" s="330">
        <v>46080.71548424769</v>
      </c>
      <c r="AI76" s="2"/>
      <c r="AJ76" s="289">
        <f t="shared" si="1"/>
        <v>150</v>
      </c>
      <c r="AK76" s="61" t="str">
        <f t="shared" si="2"/>
        <v>нет з/ч</v>
      </c>
      <c r="AL76" s="61" t="str">
        <f t="shared" si="3"/>
        <v>нет з/ч</v>
      </c>
      <c r="AM76" s="304" t="str">
        <f t="shared" si="5"/>
        <v>нет з/ч</v>
      </c>
      <c r="AN76" s="2"/>
      <c r="AO76" s="289">
        <v>1150.0</v>
      </c>
      <c r="AP76" s="296"/>
      <c r="AQ76" s="296"/>
      <c r="AR76" s="139"/>
      <c r="AS76" s="2"/>
      <c r="AT76" s="2"/>
      <c r="AU76" s="2"/>
      <c r="AV76" s="2"/>
      <c r="AW76" s="2"/>
      <c r="AX76" s="3" t="s">
        <v>9035</v>
      </c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>
      <c r="A77" s="335" t="s">
        <v>9038</v>
      </c>
      <c r="B77" s="93"/>
      <c r="C77" s="65"/>
      <c r="D77" s="31" t="s">
        <v>125</v>
      </c>
      <c r="E77" s="11" t="s">
        <v>8908</v>
      </c>
      <c r="F77" s="427" t="s">
        <v>8915</v>
      </c>
      <c r="G77" s="31" t="s">
        <v>8916</v>
      </c>
      <c r="H77" s="31"/>
      <c r="I77" s="31"/>
      <c r="J77" s="31"/>
      <c r="K77" s="428"/>
      <c r="L77" s="327" t="s">
        <v>9039</v>
      </c>
      <c r="M77" s="322"/>
      <c r="N77" s="328">
        <v>1150.0</v>
      </c>
      <c r="O77" s="429"/>
      <c r="P77" s="322"/>
      <c r="Q77" s="323"/>
      <c r="R77" s="429"/>
      <c r="S77" s="322"/>
      <c r="T77" s="323"/>
      <c r="U77" s="324"/>
      <c r="V77" s="322"/>
      <c r="W77" s="323"/>
      <c r="X77" s="324">
        <v>1150.0</v>
      </c>
      <c r="Y77" s="173" t="s">
        <v>8912</v>
      </c>
      <c r="Z77" s="322">
        <v>1300.0</v>
      </c>
      <c r="AA77" s="104"/>
      <c r="AB77" s="319">
        <f>AA76</f>
        <v>1300</v>
      </c>
      <c r="AC77" s="430"/>
      <c r="AD77" s="326" t="s">
        <v>5839</v>
      </c>
      <c r="AE77" s="329" t="s">
        <v>9040</v>
      </c>
      <c r="AF77" s="431"/>
      <c r="AG77" s="432"/>
      <c r="AH77" s="330">
        <v>46080.71551288194</v>
      </c>
      <c r="AI77" s="2"/>
      <c r="AJ77" s="289">
        <f t="shared" si="1"/>
        <v>150</v>
      </c>
      <c r="AK77" s="61" t="str">
        <f t="shared" si="2"/>
        <v>нет з/ч</v>
      </c>
      <c r="AL77" s="61" t="str">
        <f t="shared" si="3"/>
        <v>нет з/ч</v>
      </c>
      <c r="AM77" s="304" t="str">
        <f t="shared" si="5"/>
        <v>нет з/ч</v>
      </c>
      <c r="AN77" s="2"/>
      <c r="AO77" s="289">
        <v>1150.0</v>
      </c>
      <c r="AP77" s="296"/>
      <c r="AQ77" s="296"/>
      <c r="AR77" s="139"/>
      <c r="AS77" s="2"/>
      <c r="AT77" s="2"/>
      <c r="AU77" s="2"/>
      <c r="AV77" s="2"/>
      <c r="AW77" s="2"/>
      <c r="AX77" s="3" t="s">
        <v>9038</v>
      </c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>
      <c r="A78" s="335" t="s">
        <v>9041</v>
      </c>
      <c r="B78" s="93"/>
      <c r="C78" s="65"/>
      <c r="D78" s="31" t="s">
        <v>125</v>
      </c>
      <c r="E78" s="11" t="s">
        <v>8908</v>
      </c>
      <c r="F78" s="427" t="s">
        <v>8915</v>
      </c>
      <c r="G78" s="31" t="s">
        <v>8916</v>
      </c>
      <c r="H78" s="31"/>
      <c r="I78" s="31"/>
      <c r="J78" s="31"/>
      <c r="K78" s="428"/>
      <c r="L78" s="327" t="s">
        <v>9042</v>
      </c>
      <c r="M78" s="322"/>
      <c r="N78" s="328">
        <v>1150.0</v>
      </c>
      <c r="O78" s="429"/>
      <c r="P78" s="322"/>
      <c r="Q78" s="323"/>
      <c r="R78" s="429"/>
      <c r="S78" s="322"/>
      <c r="T78" s="323"/>
      <c r="U78" s="324"/>
      <c r="V78" s="322"/>
      <c r="W78" s="323"/>
      <c r="X78" s="324">
        <v>1150.0</v>
      </c>
      <c r="Y78" s="173" t="s">
        <v>8912</v>
      </c>
      <c r="Z78" s="322">
        <v>1300.0</v>
      </c>
      <c r="AA78" s="104"/>
      <c r="AB78" s="319">
        <f>AA76</f>
        <v>1300</v>
      </c>
      <c r="AC78" s="430"/>
      <c r="AD78" s="326" t="s">
        <v>5839</v>
      </c>
      <c r="AE78" s="329" t="s">
        <v>9043</v>
      </c>
      <c r="AF78" s="431"/>
      <c r="AG78" s="432"/>
      <c r="AH78" s="330">
        <v>46080.71554326389</v>
      </c>
      <c r="AI78" s="2"/>
      <c r="AJ78" s="289">
        <f t="shared" si="1"/>
        <v>150</v>
      </c>
      <c r="AK78" s="61" t="str">
        <f t="shared" si="2"/>
        <v>нет з/ч</v>
      </c>
      <c r="AL78" s="61" t="str">
        <f t="shared" si="3"/>
        <v>нет з/ч</v>
      </c>
      <c r="AM78" s="304" t="str">
        <f t="shared" si="5"/>
        <v>нет з/ч</v>
      </c>
      <c r="AN78" s="2"/>
      <c r="AO78" s="289">
        <v>1150.0</v>
      </c>
      <c r="AP78" s="296"/>
      <c r="AQ78" s="296"/>
      <c r="AR78" s="139"/>
      <c r="AS78" s="2"/>
      <c r="AT78" s="2"/>
      <c r="AU78" s="2"/>
      <c r="AV78" s="2"/>
      <c r="AW78" s="2"/>
      <c r="AX78" s="3" t="s">
        <v>9041</v>
      </c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>
      <c r="A79" s="335" t="s">
        <v>9044</v>
      </c>
      <c r="B79" s="93"/>
      <c r="C79" s="65"/>
      <c r="D79" s="31" t="s">
        <v>125</v>
      </c>
      <c r="E79" s="11" t="s">
        <v>8908</v>
      </c>
      <c r="F79" s="427" t="s">
        <v>8915</v>
      </c>
      <c r="G79" s="31" t="s">
        <v>8916</v>
      </c>
      <c r="H79" s="31"/>
      <c r="I79" s="31"/>
      <c r="J79" s="31"/>
      <c r="K79" s="428"/>
      <c r="L79" s="327" t="s">
        <v>9045</v>
      </c>
      <c r="M79" s="322"/>
      <c r="N79" s="328">
        <v>1150.0</v>
      </c>
      <c r="O79" s="429"/>
      <c r="P79" s="322"/>
      <c r="Q79" s="323"/>
      <c r="R79" s="429"/>
      <c r="S79" s="322"/>
      <c r="T79" s="323"/>
      <c r="U79" s="324"/>
      <c r="V79" s="322"/>
      <c r="W79" s="323"/>
      <c r="X79" s="324">
        <v>1150.0</v>
      </c>
      <c r="Y79" s="173" t="s">
        <v>8912</v>
      </c>
      <c r="Z79" s="322">
        <v>1300.0</v>
      </c>
      <c r="AA79" s="67"/>
      <c r="AB79" s="319">
        <f>AA76</f>
        <v>1300</v>
      </c>
      <c r="AC79" s="430"/>
      <c r="AD79" s="326" t="s">
        <v>5839</v>
      </c>
      <c r="AE79" s="329" t="s">
        <v>9046</v>
      </c>
      <c r="AF79" s="431"/>
      <c r="AG79" s="432"/>
      <c r="AH79" s="330">
        <v>46080.7155844213</v>
      </c>
      <c r="AI79" s="2"/>
      <c r="AJ79" s="289">
        <f t="shared" si="1"/>
        <v>150</v>
      </c>
      <c r="AK79" s="61" t="str">
        <f t="shared" si="2"/>
        <v>нет з/ч</v>
      </c>
      <c r="AL79" s="61" t="str">
        <f t="shared" si="3"/>
        <v>нет з/ч</v>
      </c>
      <c r="AM79" s="304" t="str">
        <f t="shared" si="5"/>
        <v>нет з/ч</v>
      </c>
      <c r="AN79" s="2"/>
      <c r="AO79" s="289">
        <v>1150.0</v>
      </c>
      <c r="AP79" s="296"/>
      <c r="AQ79" s="296"/>
      <c r="AR79" s="139"/>
      <c r="AS79" s="2"/>
      <c r="AT79" s="2"/>
      <c r="AU79" s="2"/>
      <c r="AV79" s="2"/>
      <c r="AW79" s="2"/>
      <c r="AX79" s="3" t="s">
        <v>9044</v>
      </c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>
      <c r="A80" s="335" t="s">
        <v>9047</v>
      </c>
      <c r="B80" s="93"/>
      <c r="C80" s="65"/>
      <c r="D80" s="31" t="s">
        <v>132</v>
      </c>
      <c r="E80" s="11" t="s">
        <v>8908</v>
      </c>
      <c r="F80" s="427" t="s">
        <v>8909</v>
      </c>
      <c r="G80" s="31" t="s">
        <v>8910</v>
      </c>
      <c r="H80" s="31"/>
      <c r="I80" s="31"/>
      <c r="J80" s="31"/>
      <c r="K80" s="428"/>
      <c r="L80" s="321"/>
      <c r="M80" s="322"/>
      <c r="N80" s="323"/>
      <c r="O80" s="429"/>
      <c r="P80" s="322"/>
      <c r="Q80" s="323"/>
      <c r="R80" s="429"/>
      <c r="S80" s="322"/>
      <c r="T80" s="323"/>
      <c r="U80" s="324"/>
      <c r="V80" s="322"/>
      <c r="W80" s="323"/>
      <c r="X80" s="324" t="s">
        <v>22</v>
      </c>
      <c r="Y80" s="173" t="s">
        <v>8912</v>
      </c>
      <c r="Z80" s="322" t="s">
        <v>22</v>
      </c>
      <c r="AA80" s="313">
        <f>MAX(Z80:Z83)</f>
        <v>0</v>
      </c>
      <c r="AB80" s="319">
        <f>AA80</f>
        <v>0</v>
      </c>
      <c r="AC80" s="430"/>
      <c r="AD80" s="326" t="s">
        <v>22</v>
      </c>
      <c r="AE80" s="331"/>
      <c r="AF80" s="431"/>
      <c r="AG80" s="432"/>
      <c r="AH80" s="326"/>
      <c r="AI80" s="2"/>
      <c r="AJ80" s="59" t="str">
        <f t="shared" si="1"/>
        <v>нет з/ч</v>
      </c>
      <c r="AK80" s="61" t="str">
        <f t="shared" si="2"/>
        <v>нет з/ч</v>
      </c>
      <c r="AL80" s="61" t="str">
        <f t="shared" si="3"/>
        <v>нет з/ч</v>
      </c>
      <c r="AM80" s="304" t="str">
        <f t="shared" si="5"/>
        <v>нет з/ч</v>
      </c>
      <c r="AN80" s="2"/>
      <c r="AO80" s="289"/>
      <c r="AP80" s="296"/>
      <c r="AQ80" s="296"/>
      <c r="AR80" s="139"/>
      <c r="AS80" s="2"/>
      <c r="AT80" s="2"/>
      <c r="AU80" s="2"/>
      <c r="AV80" s="2"/>
      <c r="AW80" s="2"/>
      <c r="AX80" s="3" t="s">
        <v>9047</v>
      </c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>
      <c r="A81" s="335" t="s">
        <v>9048</v>
      </c>
      <c r="B81" s="93"/>
      <c r="C81" s="65"/>
      <c r="D81" s="31" t="s">
        <v>132</v>
      </c>
      <c r="E81" s="11" t="s">
        <v>8908</v>
      </c>
      <c r="F81" s="427" t="s">
        <v>8909</v>
      </c>
      <c r="G81" s="31" t="s">
        <v>8910</v>
      </c>
      <c r="H81" s="31"/>
      <c r="I81" s="31"/>
      <c r="J81" s="31"/>
      <c r="K81" s="428"/>
      <c r="L81" s="321"/>
      <c r="M81" s="322"/>
      <c r="N81" s="323"/>
      <c r="O81" s="429"/>
      <c r="P81" s="322"/>
      <c r="Q81" s="323"/>
      <c r="R81" s="429"/>
      <c r="S81" s="322"/>
      <c r="T81" s="323"/>
      <c r="U81" s="324"/>
      <c r="V81" s="322"/>
      <c r="W81" s="323"/>
      <c r="X81" s="324" t="s">
        <v>22</v>
      </c>
      <c r="Y81" s="173" t="s">
        <v>8912</v>
      </c>
      <c r="Z81" s="322" t="s">
        <v>22</v>
      </c>
      <c r="AA81" s="104"/>
      <c r="AB81" s="319">
        <f>AA80</f>
        <v>0</v>
      </c>
      <c r="AC81" s="430"/>
      <c r="AD81" s="326" t="s">
        <v>22</v>
      </c>
      <c r="AE81" s="331"/>
      <c r="AF81" s="431"/>
      <c r="AG81" s="432"/>
      <c r="AH81" s="326"/>
      <c r="AI81" s="2"/>
      <c r="AJ81" s="59" t="str">
        <f t="shared" si="1"/>
        <v>нет з/ч</v>
      </c>
      <c r="AK81" s="61" t="str">
        <f t="shared" si="2"/>
        <v>нет з/ч</v>
      </c>
      <c r="AL81" s="61" t="str">
        <f t="shared" si="3"/>
        <v>нет з/ч</v>
      </c>
      <c r="AM81" s="304" t="str">
        <f t="shared" si="5"/>
        <v>нет з/ч</v>
      </c>
      <c r="AN81" s="2"/>
      <c r="AO81" s="289"/>
      <c r="AP81" s="296"/>
      <c r="AQ81" s="296"/>
      <c r="AR81" s="139"/>
      <c r="AS81" s="2"/>
      <c r="AT81" s="2"/>
      <c r="AU81" s="2"/>
      <c r="AV81" s="2"/>
      <c r="AW81" s="2"/>
      <c r="AX81" s="3" t="s">
        <v>9048</v>
      </c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>
      <c r="A82" s="335" t="s">
        <v>9049</v>
      </c>
      <c r="B82" s="93"/>
      <c r="C82" s="65"/>
      <c r="D82" s="31" t="s">
        <v>132</v>
      </c>
      <c r="E82" s="11" t="s">
        <v>8908</v>
      </c>
      <c r="F82" s="427" t="s">
        <v>8909</v>
      </c>
      <c r="G82" s="31" t="s">
        <v>8910</v>
      </c>
      <c r="H82" s="31"/>
      <c r="I82" s="31"/>
      <c r="J82" s="31"/>
      <c r="K82" s="428"/>
      <c r="L82" s="321"/>
      <c r="M82" s="322"/>
      <c r="N82" s="323"/>
      <c r="O82" s="429"/>
      <c r="P82" s="322"/>
      <c r="Q82" s="323"/>
      <c r="R82" s="429"/>
      <c r="S82" s="322"/>
      <c r="T82" s="323"/>
      <c r="U82" s="324"/>
      <c r="V82" s="322"/>
      <c r="W82" s="323"/>
      <c r="X82" s="324" t="s">
        <v>22</v>
      </c>
      <c r="Y82" s="173" t="s">
        <v>8912</v>
      </c>
      <c r="Z82" s="322" t="s">
        <v>22</v>
      </c>
      <c r="AA82" s="104"/>
      <c r="AB82" s="319">
        <f>AA80</f>
        <v>0</v>
      </c>
      <c r="AC82" s="430"/>
      <c r="AD82" s="326" t="s">
        <v>22</v>
      </c>
      <c r="AE82" s="331"/>
      <c r="AF82" s="431"/>
      <c r="AG82" s="432"/>
      <c r="AH82" s="326"/>
      <c r="AI82" s="2"/>
      <c r="AJ82" s="59" t="str">
        <f t="shared" si="1"/>
        <v>нет з/ч</v>
      </c>
      <c r="AK82" s="61" t="str">
        <f t="shared" si="2"/>
        <v>нет з/ч</v>
      </c>
      <c r="AL82" s="61" t="str">
        <f t="shared" si="3"/>
        <v>нет з/ч</v>
      </c>
      <c r="AM82" s="304" t="str">
        <f t="shared" si="5"/>
        <v>нет з/ч</v>
      </c>
      <c r="AN82" s="2"/>
      <c r="AO82" s="289"/>
      <c r="AP82" s="296"/>
      <c r="AQ82" s="296"/>
      <c r="AR82" s="139"/>
      <c r="AS82" s="2"/>
      <c r="AT82" s="2"/>
      <c r="AU82" s="2"/>
      <c r="AV82" s="2"/>
      <c r="AW82" s="2"/>
      <c r="AX82" s="3" t="s">
        <v>9049</v>
      </c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>
      <c r="A83" s="335" t="s">
        <v>9050</v>
      </c>
      <c r="B83" s="93"/>
      <c r="C83" s="65"/>
      <c r="D83" s="31" t="s">
        <v>132</v>
      </c>
      <c r="E83" s="11" t="s">
        <v>8908</v>
      </c>
      <c r="F83" s="427" t="s">
        <v>8909</v>
      </c>
      <c r="G83" s="31" t="s">
        <v>8910</v>
      </c>
      <c r="H83" s="31"/>
      <c r="I83" s="31"/>
      <c r="J83" s="31"/>
      <c r="K83" s="428"/>
      <c r="L83" s="321"/>
      <c r="M83" s="322"/>
      <c r="N83" s="323"/>
      <c r="O83" s="429"/>
      <c r="P83" s="322"/>
      <c r="Q83" s="323"/>
      <c r="R83" s="429"/>
      <c r="S83" s="322"/>
      <c r="T83" s="323"/>
      <c r="U83" s="324"/>
      <c r="V83" s="322"/>
      <c r="W83" s="323"/>
      <c r="X83" s="324" t="s">
        <v>22</v>
      </c>
      <c r="Y83" s="173" t="s">
        <v>8912</v>
      </c>
      <c r="Z83" s="322" t="s">
        <v>22</v>
      </c>
      <c r="AA83" s="67"/>
      <c r="AB83" s="319">
        <f>AA80</f>
        <v>0</v>
      </c>
      <c r="AC83" s="430"/>
      <c r="AD83" s="326" t="s">
        <v>22</v>
      </c>
      <c r="AE83" s="331"/>
      <c r="AF83" s="431"/>
      <c r="AG83" s="432"/>
      <c r="AH83" s="326"/>
      <c r="AI83" s="2"/>
      <c r="AJ83" s="59" t="str">
        <f t="shared" si="1"/>
        <v>нет з/ч</v>
      </c>
      <c r="AK83" s="61" t="str">
        <f t="shared" si="2"/>
        <v>нет з/ч</v>
      </c>
      <c r="AL83" s="61" t="str">
        <f t="shared" si="3"/>
        <v>нет з/ч</v>
      </c>
      <c r="AM83" s="304" t="str">
        <f t="shared" si="5"/>
        <v>нет з/ч</v>
      </c>
      <c r="AN83" s="2"/>
      <c r="AO83" s="289"/>
      <c r="AP83" s="296"/>
      <c r="AQ83" s="296"/>
      <c r="AR83" s="139"/>
      <c r="AS83" s="2"/>
      <c r="AT83" s="2"/>
      <c r="AU83" s="2"/>
      <c r="AV83" s="2"/>
      <c r="AW83" s="2"/>
      <c r="AX83" s="3" t="s">
        <v>9050</v>
      </c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>
      <c r="A84" s="335" t="s">
        <v>9051</v>
      </c>
      <c r="B84" s="93"/>
      <c r="C84" s="65"/>
      <c r="D84" s="31" t="s">
        <v>132</v>
      </c>
      <c r="E84" s="11" t="s">
        <v>8908</v>
      </c>
      <c r="F84" s="427" t="s">
        <v>8915</v>
      </c>
      <c r="G84" s="31" t="s">
        <v>8916</v>
      </c>
      <c r="H84" s="31"/>
      <c r="I84" s="31"/>
      <c r="J84" s="31"/>
      <c r="K84" s="428"/>
      <c r="L84" s="327" t="s">
        <v>9052</v>
      </c>
      <c r="M84" s="322"/>
      <c r="N84" s="328">
        <v>1200.0</v>
      </c>
      <c r="O84" s="429"/>
      <c r="P84" s="322"/>
      <c r="Q84" s="323"/>
      <c r="R84" s="429"/>
      <c r="S84" s="322"/>
      <c r="T84" s="323"/>
      <c r="U84" s="324"/>
      <c r="V84" s="322"/>
      <c r="W84" s="323"/>
      <c r="X84" s="324">
        <v>1200.0</v>
      </c>
      <c r="Y84" s="173" t="s">
        <v>8912</v>
      </c>
      <c r="Z84" s="322">
        <v>1400.0</v>
      </c>
      <c r="AA84" s="313">
        <f>MAX(Z84:Z87)</f>
        <v>1400</v>
      </c>
      <c r="AB84" s="319">
        <f>AA84</f>
        <v>1400</v>
      </c>
      <c r="AC84" s="430"/>
      <c r="AD84" s="326" t="s">
        <v>5839</v>
      </c>
      <c r="AE84" s="329" t="s">
        <v>9053</v>
      </c>
      <c r="AF84" s="431"/>
      <c r="AG84" s="432"/>
      <c r="AH84" s="330">
        <v>46080.71561450232</v>
      </c>
      <c r="AI84" s="2"/>
      <c r="AJ84" s="289">
        <f t="shared" si="1"/>
        <v>200</v>
      </c>
      <c r="AK84" s="61" t="str">
        <f t="shared" si="2"/>
        <v>нет з/ч</v>
      </c>
      <c r="AL84" s="61" t="str">
        <f t="shared" si="3"/>
        <v>нет з/ч</v>
      </c>
      <c r="AM84" s="304" t="str">
        <f t="shared" si="5"/>
        <v>нет з/ч</v>
      </c>
      <c r="AN84" s="2"/>
      <c r="AO84" s="289">
        <v>1200.0</v>
      </c>
      <c r="AP84" s="296"/>
      <c r="AQ84" s="296"/>
      <c r="AR84" s="139"/>
      <c r="AS84" s="2"/>
      <c r="AT84" s="2"/>
      <c r="AU84" s="2"/>
      <c r="AV84" s="2"/>
      <c r="AW84" s="2"/>
      <c r="AX84" s="3" t="s">
        <v>9051</v>
      </c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>
      <c r="A85" s="335" t="s">
        <v>9054</v>
      </c>
      <c r="B85" s="93"/>
      <c r="C85" s="65"/>
      <c r="D85" s="31" t="s">
        <v>132</v>
      </c>
      <c r="E85" s="11" t="s">
        <v>8908</v>
      </c>
      <c r="F85" s="427" t="s">
        <v>8915</v>
      </c>
      <c r="G85" s="31" t="s">
        <v>8916</v>
      </c>
      <c r="H85" s="31"/>
      <c r="I85" s="31"/>
      <c r="J85" s="31"/>
      <c r="K85" s="428"/>
      <c r="L85" s="327" t="s">
        <v>9055</v>
      </c>
      <c r="M85" s="322"/>
      <c r="N85" s="328">
        <v>1200.0</v>
      </c>
      <c r="O85" s="429"/>
      <c r="P85" s="322"/>
      <c r="Q85" s="323"/>
      <c r="R85" s="429"/>
      <c r="S85" s="322"/>
      <c r="T85" s="323"/>
      <c r="U85" s="324"/>
      <c r="V85" s="322"/>
      <c r="W85" s="323"/>
      <c r="X85" s="324">
        <v>1200.0</v>
      </c>
      <c r="Y85" s="173" t="s">
        <v>8912</v>
      </c>
      <c r="Z85" s="322">
        <v>1400.0</v>
      </c>
      <c r="AA85" s="104"/>
      <c r="AB85" s="319">
        <f>AA84</f>
        <v>1400</v>
      </c>
      <c r="AC85" s="430"/>
      <c r="AD85" s="326" t="s">
        <v>5839</v>
      </c>
      <c r="AE85" s="329" t="s">
        <v>9056</v>
      </c>
      <c r="AF85" s="431"/>
      <c r="AG85" s="432"/>
      <c r="AH85" s="330">
        <v>46080.71564952546</v>
      </c>
      <c r="AI85" s="2"/>
      <c r="AJ85" s="289">
        <f t="shared" si="1"/>
        <v>200</v>
      </c>
      <c r="AK85" s="61" t="str">
        <f t="shared" si="2"/>
        <v>нет з/ч</v>
      </c>
      <c r="AL85" s="61" t="str">
        <f t="shared" si="3"/>
        <v>нет з/ч</v>
      </c>
      <c r="AM85" s="304" t="str">
        <f t="shared" si="5"/>
        <v>нет з/ч</v>
      </c>
      <c r="AN85" s="2"/>
      <c r="AO85" s="289">
        <v>1200.0</v>
      </c>
      <c r="AP85" s="296"/>
      <c r="AQ85" s="296"/>
      <c r="AR85" s="139"/>
      <c r="AS85" s="2"/>
      <c r="AT85" s="2"/>
      <c r="AU85" s="2"/>
      <c r="AV85" s="2"/>
      <c r="AW85" s="2"/>
      <c r="AX85" s="3" t="s">
        <v>9054</v>
      </c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>
      <c r="A86" s="335" t="s">
        <v>9057</v>
      </c>
      <c r="B86" s="93"/>
      <c r="C86" s="65"/>
      <c r="D86" s="31" t="s">
        <v>132</v>
      </c>
      <c r="E86" s="11" t="s">
        <v>8908</v>
      </c>
      <c r="F86" s="427" t="s">
        <v>8915</v>
      </c>
      <c r="G86" s="31" t="s">
        <v>8916</v>
      </c>
      <c r="H86" s="31"/>
      <c r="I86" s="31"/>
      <c r="J86" s="31"/>
      <c r="K86" s="428"/>
      <c r="L86" s="327" t="s">
        <v>9058</v>
      </c>
      <c r="M86" s="322"/>
      <c r="N86" s="328">
        <v>1200.0</v>
      </c>
      <c r="O86" s="429"/>
      <c r="P86" s="322"/>
      <c r="Q86" s="323"/>
      <c r="R86" s="429"/>
      <c r="S86" s="322"/>
      <c r="T86" s="323"/>
      <c r="U86" s="324"/>
      <c r="V86" s="322"/>
      <c r="W86" s="323"/>
      <c r="X86" s="324">
        <v>1200.0</v>
      </c>
      <c r="Y86" s="173" t="s">
        <v>8912</v>
      </c>
      <c r="Z86" s="322">
        <v>1400.0</v>
      </c>
      <c r="AA86" s="104"/>
      <c r="AB86" s="319">
        <f>AA84</f>
        <v>1400</v>
      </c>
      <c r="AC86" s="430"/>
      <c r="AD86" s="326" t="s">
        <v>5839</v>
      </c>
      <c r="AE86" s="329" t="s">
        <v>9059</v>
      </c>
      <c r="AF86" s="431"/>
      <c r="AG86" s="432"/>
      <c r="AH86" s="330">
        <v>46080.715681076384</v>
      </c>
      <c r="AI86" s="2"/>
      <c r="AJ86" s="289">
        <f t="shared" si="1"/>
        <v>200</v>
      </c>
      <c r="AK86" s="61" t="str">
        <f t="shared" si="2"/>
        <v>нет з/ч</v>
      </c>
      <c r="AL86" s="61" t="str">
        <f t="shared" si="3"/>
        <v>нет з/ч</v>
      </c>
      <c r="AM86" s="304" t="str">
        <f t="shared" si="5"/>
        <v>нет з/ч</v>
      </c>
      <c r="AN86" s="2"/>
      <c r="AO86" s="289">
        <v>1200.0</v>
      </c>
      <c r="AP86" s="296"/>
      <c r="AQ86" s="296"/>
      <c r="AR86" s="139"/>
      <c r="AS86" s="2"/>
      <c r="AT86" s="2"/>
      <c r="AU86" s="2"/>
      <c r="AV86" s="2"/>
      <c r="AW86" s="2"/>
      <c r="AX86" s="3" t="s">
        <v>9057</v>
      </c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>
      <c r="A87" s="335" t="s">
        <v>9060</v>
      </c>
      <c r="B87" s="93"/>
      <c r="C87" s="65"/>
      <c r="D87" s="31" t="s">
        <v>132</v>
      </c>
      <c r="E87" s="11" t="s">
        <v>8908</v>
      </c>
      <c r="F87" s="427" t="s">
        <v>8915</v>
      </c>
      <c r="G87" s="31" t="s">
        <v>8916</v>
      </c>
      <c r="H87" s="31"/>
      <c r="I87" s="31"/>
      <c r="J87" s="31"/>
      <c r="K87" s="428"/>
      <c r="L87" s="327" t="s">
        <v>9061</v>
      </c>
      <c r="M87" s="322"/>
      <c r="N87" s="328">
        <v>1200.0</v>
      </c>
      <c r="O87" s="429"/>
      <c r="P87" s="322"/>
      <c r="Q87" s="323"/>
      <c r="R87" s="429"/>
      <c r="S87" s="322"/>
      <c r="T87" s="323"/>
      <c r="U87" s="324"/>
      <c r="V87" s="322"/>
      <c r="W87" s="323"/>
      <c r="X87" s="324">
        <v>1200.0</v>
      </c>
      <c r="Y87" s="173" t="s">
        <v>8912</v>
      </c>
      <c r="Z87" s="322">
        <v>1400.0</v>
      </c>
      <c r="AA87" s="67"/>
      <c r="AB87" s="319">
        <f>AA84</f>
        <v>1400</v>
      </c>
      <c r="AC87" s="430"/>
      <c r="AD87" s="326" t="s">
        <v>5839</v>
      </c>
      <c r="AE87" s="329" t="s">
        <v>9062</v>
      </c>
      <c r="AF87" s="431"/>
      <c r="AG87" s="432"/>
      <c r="AH87" s="330">
        <v>46080.71571791667</v>
      </c>
      <c r="AI87" s="2"/>
      <c r="AJ87" s="289">
        <f t="shared" si="1"/>
        <v>200</v>
      </c>
      <c r="AK87" s="61" t="str">
        <f t="shared" si="2"/>
        <v>нет з/ч</v>
      </c>
      <c r="AL87" s="61" t="str">
        <f t="shared" si="3"/>
        <v>нет з/ч</v>
      </c>
      <c r="AM87" s="304" t="str">
        <f t="shared" si="5"/>
        <v>нет з/ч</v>
      </c>
      <c r="AN87" s="2"/>
      <c r="AO87" s="289">
        <v>1200.0</v>
      </c>
      <c r="AP87" s="296"/>
      <c r="AQ87" s="296"/>
      <c r="AR87" s="139"/>
      <c r="AS87" s="2"/>
      <c r="AT87" s="2"/>
      <c r="AU87" s="2"/>
      <c r="AV87" s="2"/>
      <c r="AW87" s="2"/>
      <c r="AX87" s="3" t="s">
        <v>9060</v>
      </c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>
      <c r="A88" s="335" t="s">
        <v>9063</v>
      </c>
      <c r="B88" s="93"/>
      <c r="C88" s="65"/>
      <c r="D88" s="31" t="s">
        <v>139</v>
      </c>
      <c r="E88" s="11" t="s">
        <v>8908</v>
      </c>
      <c r="F88" s="427" t="s">
        <v>8909</v>
      </c>
      <c r="G88" s="31" t="s">
        <v>8910</v>
      </c>
      <c r="H88" s="31"/>
      <c r="I88" s="31"/>
      <c r="J88" s="31"/>
      <c r="K88" s="428"/>
      <c r="L88" s="321"/>
      <c r="M88" s="322"/>
      <c r="N88" s="323"/>
      <c r="O88" s="429"/>
      <c r="P88" s="322"/>
      <c r="Q88" s="323"/>
      <c r="R88" s="429"/>
      <c r="S88" s="322"/>
      <c r="T88" s="323"/>
      <c r="U88" s="324"/>
      <c r="V88" s="322"/>
      <c r="W88" s="323"/>
      <c r="X88" s="324" t="s">
        <v>22</v>
      </c>
      <c r="Y88" s="173" t="s">
        <v>8912</v>
      </c>
      <c r="Z88" s="322" t="s">
        <v>22</v>
      </c>
      <c r="AA88" s="313">
        <f>MAX(Z88:Z90)</f>
        <v>0</v>
      </c>
      <c r="AB88" s="319">
        <f>AA88</f>
        <v>0</v>
      </c>
      <c r="AC88" s="430"/>
      <c r="AD88" s="326" t="s">
        <v>22</v>
      </c>
      <c r="AE88" s="331"/>
      <c r="AF88" s="431"/>
      <c r="AG88" s="432"/>
      <c r="AH88" s="326"/>
      <c r="AI88" s="2"/>
      <c r="AJ88" s="59" t="str">
        <f t="shared" si="1"/>
        <v>нет з/ч</v>
      </c>
      <c r="AK88" s="61" t="str">
        <f t="shared" si="2"/>
        <v>нет з/ч</v>
      </c>
      <c r="AL88" s="61" t="str">
        <f t="shared" si="3"/>
        <v>нет з/ч</v>
      </c>
      <c r="AM88" s="304" t="str">
        <f t="shared" si="5"/>
        <v>нет з/ч</v>
      </c>
      <c r="AN88" s="2"/>
      <c r="AO88" s="289"/>
      <c r="AP88" s="296"/>
      <c r="AQ88" s="296"/>
      <c r="AR88" s="139"/>
      <c r="AS88" s="2"/>
      <c r="AT88" s="2"/>
      <c r="AU88" s="2"/>
      <c r="AV88" s="2"/>
      <c r="AW88" s="2"/>
      <c r="AX88" s="3" t="s">
        <v>9063</v>
      </c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>
      <c r="A89" s="335" t="s">
        <v>9064</v>
      </c>
      <c r="B89" s="93"/>
      <c r="C89" s="65"/>
      <c r="D89" s="31" t="s">
        <v>139</v>
      </c>
      <c r="E89" s="11" t="s">
        <v>8908</v>
      </c>
      <c r="F89" s="427" t="s">
        <v>8909</v>
      </c>
      <c r="G89" s="31" t="s">
        <v>8910</v>
      </c>
      <c r="H89" s="31"/>
      <c r="I89" s="31"/>
      <c r="J89" s="31" t="s">
        <v>8911</v>
      </c>
      <c r="K89" s="428"/>
      <c r="L89" s="321"/>
      <c r="M89" s="322"/>
      <c r="N89" s="323"/>
      <c r="O89" s="429"/>
      <c r="P89" s="322"/>
      <c r="Q89" s="323"/>
      <c r="R89" s="429"/>
      <c r="S89" s="322"/>
      <c r="T89" s="323"/>
      <c r="U89" s="324"/>
      <c r="V89" s="322"/>
      <c r="W89" s="323"/>
      <c r="X89" s="324" t="s">
        <v>22</v>
      </c>
      <c r="Y89" s="173" t="s">
        <v>8912</v>
      </c>
      <c r="Z89" s="322" t="s">
        <v>22</v>
      </c>
      <c r="AA89" s="104"/>
      <c r="AB89" s="319">
        <f>AA88</f>
        <v>0</v>
      </c>
      <c r="AC89" s="430"/>
      <c r="AD89" s="326" t="s">
        <v>22</v>
      </c>
      <c r="AE89" s="331"/>
      <c r="AF89" s="431"/>
      <c r="AG89" s="432"/>
      <c r="AH89" s="326"/>
      <c r="AI89" s="2"/>
      <c r="AJ89" s="59" t="str">
        <f t="shared" si="1"/>
        <v>нет з/ч</v>
      </c>
      <c r="AK89" s="61" t="str">
        <f t="shared" si="2"/>
        <v>нет з/ч</v>
      </c>
      <c r="AL89" s="61" t="str">
        <f t="shared" si="3"/>
        <v>нет з/ч</v>
      </c>
      <c r="AM89" s="304" t="str">
        <f t="shared" si="5"/>
        <v>нет з/ч</v>
      </c>
      <c r="AN89" s="2"/>
      <c r="AO89" s="289"/>
      <c r="AP89" s="296"/>
      <c r="AQ89" s="296"/>
      <c r="AR89" s="139"/>
      <c r="AS89" s="2"/>
      <c r="AT89" s="2"/>
      <c r="AU89" s="2"/>
      <c r="AV89" s="2"/>
      <c r="AW89" s="2"/>
      <c r="AX89" s="3" t="s">
        <v>9064</v>
      </c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>
      <c r="A90" s="335" t="s">
        <v>9065</v>
      </c>
      <c r="B90" s="93"/>
      <c r="C90" s="65"/>
      <c r="D90" s="31" t="s">
        <v>139</v>
      </c>
      <c r="E90" s="11" t="s">
        <v>8908</v>
      </c>
      <c r="F90" s="427" t="s">
        <v>8909</v>
      </c>
      <c r="G90" s="31" t="s">
        <v>8910</v>
      </c>
      <c r="H90" s="31"/>
      <c r="I90" s="31"/>
      <c r="J90" s="31"/>
      <c r="K90" s="428"/>
      <c r="L90" s="321"/>
      <c r="M90" s="322"/>
      <c r="N90" s="323"/>
      <c r="O90" s="429"/>
      <c r="P90" s="322"/>
      <c r="Q90" s="323"/>
      <c r="R90" s="429"/>
      <c r="S90" s="322"/>
      <c r="T90" s="323"/>
      <c r="U90" s="324"/>
      <c r="V90" s="322"/>
      <c r="W90" s="323"/>
      <c r="X90" s="324" t="s">
        <v>22</v>
      </c>
      <c r="Y90" s="173" t="s">
        <v>8912</v>
      </c>
      <c r="Z90" s="322" t="s">
        <v>22</v>
      </c>
      <c r="AA90" s="67"/>
      <c r="AB90" s="319">
        <f>AA88</f>
        <v>0</v>
      </c>
      <c r="AC90" s="430"/>
      <c r="AD90" s="326" t="s">
        <v>22</v>
      </c>
      <c r="AE90" s="331"/>
      <c r="AF90" s="431"/>
      <c r="AG90" s="432"/>
      <c r="AH90" s="326"/>
      <c r="AI90" s="2"/>
      <c r="AJ90" s="59" t="str">
        <f t="shared" si="1"/>
        <v>нет з/ч</v>
      </c>
      <c r="AK90" s="61" t="str">
        <f t="shared" si="2"/>
        <v>нет з/ч</v>
      </c>
      <c r="AL90" s="61" t="str">
        <f t="shared" si="3"/>
        <v>нет з/ч</v>
      </c>
      <c r="AM90" s="304" t="str">
        <f t="shared" si="5"/>
        <v>нет з/ч</v>
      </c>
      <c r="AN90" s="2"/>
      <c r="AO90" s="289"/>
      <c r="AP90" s="296"/>
      <c r="AQ90" s="296"/>
      <c r="AR90" s="139"/>
      <c r="AS90" s="2"/>
      <c r="AT90" s="2"/>
      <c r="AU90" s="2"/>
      <c r="AV90" s="2"/>
      <c r="AW90" s="2"/>
      <c r="AX90" s="3" t="s">
        <v>9065</v>
      </c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>
      <c r="A91" s="335" t="s">
        <v>9066</v>
      </c>
      <c r="B91" s="93"/>
      <c r="C91" s="65"/>
      <c r="D91" s="31" t="s">
        <v>139</v>
      </c>
      <c r="E91" s="11" t="s">
        <v>8908</v>
      </c>
      <c r="F91" s="427" t="s">
        <v>8915</v>
      </c>
      <c r="G91" s="31" t="s">
        <v>8916</v>
      </c>
      <c r="H91" s="31"/>
      <c r="I91" s="31"/>
      <c r="J91" s="31"/>
      <c r="K91" s="428"/>
      <c r="L91" s="327" t="s">
        <v>9067</v>
      </c>
      <c r="M91" s="322"/>
      <c r="N91" s="328">
        <v>1150.0</v>
      </c>
      <c r="O91" s="429"/>
      <c r="P91" s="322"/>
      <c r="Q91" s="323"/>
      <c r="R91" s="429"/>
      <c r="S91" s="322"/>
      <c r="T91" s="323"/>
      <c r="U91" s="324"/>
      <c r="V91" s="322"/>
      <c r="W91" s="323"/>
      <c r="X91" s="324">
        <v>1150.0</v>
      </c>
      <c r="Y91" s="173" t="s">
        <v>8912</v>
      </c>
      <c r="Z91" s="322">
        <v>1300.0</v>
      </c>
      <c r="AA91" s="313">
        <f>MAX(Z91:Z93)</f>
        <v>1300</v>
      </c>
      <c r="AB91" s="319">
        <f>AA91</f>
        <v>1300</v>
      </c>
      <c r="AC91" s="430"/>
      <c r="AD91" s="326" t="s">
        <v>5839</v>
      </c>
      <c r="AE91" s="329" t="s">
        <v>9068</v>
      </c>
      <c r="AF91" s="431"/>
      <c r="AG91" s="432"/>
      <c r="AH91" s="330">
        <v>46080.71576383102</v>
      </c>
      <c r="AI91" s="2"/>
      <c r="AJ91" s="289">
        <f t="shared" si="1"/>
        <v>150</v>
      </c>
      <c r="AK91" s="61" t="str">
        <f t="shared" si="2"/>
        <v>нет з/ч</v>
      </c>
      <c r="AL91" s="61" t="str">
        <f t="shared" si="3"/>
        <v>нет з/ч</v>
      </c>
      <c r="AM91" s="304" t="str">
        <f t="shared" si="5"/>
        <v>нет з/ч</v>
      </c>
      <c r="AN91" s="2"/>
      <c r="AO91" s="289">
        <v>1150.0</v>
      </c>
      <c r="AP91" s="296"/>
      <c r="AQ91" s="296"/>
      <c r="AR91" s="139"/>
      <c r="AS91" s="2"/>
      <c r="AT91" s="2"/>
      <c r="AU91" s="2"/>
      <c r="AV91" s="2"/>
      <c r="AW91" s="2"/>
      <c r="AX91" s="3" t="s">
        <v>9066</v>
      </c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>
      <c r="A92" s="335" t="s">
        <v>9069</v>
      </c>
      <c r="B92" s="93"/>
      <c r="C92" s="65"/>
      <c r="D92" s="31" t="s">
        <v>139</v>
      </c>
      <c r="E92" s="11" t="s">
        <v>8908</v>
      </c>
      <c r="F92" s="427" t="s">
        <v>8915</v>
      </c>
      <c r="G92" s="31" t="s">
        <v>8916</v>
      </c>
      <c r="H92" s="31"/>
      <c r="I92" s="31"/>
      <c r="J92" s="31" t="s">
        <v>8911</v>
      </c>
      <c r="K92" s="428"/>
      <c r="L92" s="327" t="s">
        <v>9070</v>
      </c>
      <c r="M92" s="322"/>
      <c r="N92" s="328">
        <v>1150.0</v>
      </c>
      <c r="O92" s="429"/>
      <c r="P92" s="322"/>
      <c r="Q92" s="323"/>
      <c r="R92" s="429"/>
      <c r="S92" s="322"/>
      <c r="T92" s="323"/>
      <c r="U92" s="324"/>
      <c r="V92" s="322"/>
      <c r="W92" s="323"/>
      <c r="X92" s="324">
        <v>1150.0</v>
      </c>
      <c r="Y92" s="173" t="s">
        <v>8912</v>
      </c>
      <c r="Z92" s="322">
        <v>1300.0</v>
      </c>
      <c r="AA92" s="104"/>
      <c r="AB92" s="319">
        <f>AA91</f>
        <v>1300</v>
      </c>
      <c r="AC92" s="430"/>
      <c r="AD92" s="326" t="s">
        <v>5839</v>
      </c>
      <c r="AE92" s="329" t="s">
        <v>9071</v>
      </c>
      <c r="AF92" s="431"/>
      <c r="AG92" s="432"/>
      <c r="AH92" s="330">
        <v>46080.715797060184</v>
      </c>
      <c r="AI92" s="2"/>
      <c r="AJ92" s="289">
        <f t="shared" si="1"/>
        <v>150</v>
      </c>
      <c r="AK92" s="61" t="str">
        <f t="shared" si="2"/>
        <v>нет з/ч</v>
      </c>
      <c r="AL92" s="61" t="str">
        <f t="shared" si="3"/>
        <v>нет з/ч</v>
      </c>
      <c r="AM92" s="304" t="str">
        <f t="shared" si="5"/>
        <v>нет з/ч</v>
      </c>
      <c r="AN92" s="2"/>
      <c r="AO92" s="289">
        <v>1150.0</v>
      </c>
      <c r="AP92" s="296"/>
      <c r="AQ92" s="296"/>
      <c r="AR92" s="139"/>
      <c r="AS92" s="2"/>
      <c r="AT92" s="2"/>
      <c r="AU92" s="2"/>
      <c r="AV92" s="2"/>
      <c r="AW92" s="2"/>
      <c r="AX92" s="3" t="s">
        <v>9069</v>
      </c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>
      <c r="A93" s="335" t="s">
        <v>9072</v>
      </c>
      <c r="B93" s="93"/>
      <c r="C93" s="65"/>
      <c r="D93" s="31" t="s">
        <v>139</v>
      </c>
      <c r="E93" s="11" t="s">
        <v>8908</v>
      </c>
      <c r="F93" s="427" t="s">
        <v>8915</v>
      </c>
      <c r="G93" s="31" t="s">
        <v>8916</v>
      </c>
      <c r="H93" s="31"/>
      <c r="I93" s="31"/>
      <c r="J93" s="31"/>
      <c r="K93" s="428"/>
      <c r="L93" s="327" t="s">
        <v>9073</v>
      </c>
      <c r="M93" s="322"/>
      <c r="N93" s="328">
        <v>1150.0</v>
      </c>
      <c r="O93" s="429"/>
      <c r="P93" s="322"/>
      <c r="Q93" s="323"/>
      <c r="R93" s="429"/>
      <c r="S93" s="322"/>
      <c r="T93" s="323"/>
      <c r="U93" s="324"/>
      <c r="V93" s="322"/>
      <c r="W93" s="323"/>
      <c r="X93" s="324">
        <v>1150.0</v>
      </c>
      <c r="Y93" s="173" t="s">
        <v>8912</v>
      </c>
      <c r="Z93" s="322">
        <v>1300.0</v>
      </c>
      <c r="AA93" s="67"/>
      <c r="AB93" s="319">
        <f>AA91</f>
        <v>1300</v>
      </c>
      <c r="AC93" s="430"/>
      <c r="AD93" s="326" t="s">
        <v>5839</v>
      </c>
      <c r="AE93" s="329" t="s">
        <v>9074</v>
      </c>
      <c r="AF93" s="431"/>
      <c r="AG93" s="432"/>
      <c r="AH93" s="330">
        <v>46080.71583383102</v>
      </c>
      <c r="AI93" s="2"/>
      <c r="AJ93" s="289">
        <f t="shared" si="1"/>
        <v>150</v>
      </c>
      <c r="AK93" s="61" t="str">
        <f t="shared" si="2"/>
        <v>нет з/ч</v>
      </c>
      <c r="AL93" s="61" t="str">
        <f t="shared" si="3"/>
        <v>нет з/ч</v>
      </c>
      <c r="AM93" s="304" t="str">
        <f t="shared" si="5"/>
        <v>нет з/ч</v>
      </c>
      <c r="AN93" s="2"/>
      <c r="AO93" s="289">
        <v>1150.0</v>
      </c>
      <c r="AP93" s="296"/>
      <c r="AQ93" s="296"/>
      <c r="AR93" s="139"/>
      <c r="AS93" s="2"/>
      <c r="AT93" s="2"/>
      <c r="AU93" s="2"/>
      <c r="AV93" s="2"/>
      <c r="AW93" s="2"/>
      <c r="AX93" s="3" t="s">
        <v>9072</v>
      </c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>
      <c r="A94" s="335" t="s">
        <v>9075</v>
      </c>
      <c r="B94" s="93"/>
      <c r="C94" s="65"/>
      <c r="D94" s="31" t="s">
        <v>146</v>
      </c>
      <c r="E94" s="11" t="s">
        <v>8908</v>
      </c>
      <c r="F94" s="427" t="s">
        <v>8909</v>
      </c>
      <c r="G94" s="31" t="s">
        <v>8910</v>
      </c>
      <c r="H94" s="31"/>
      <c r="I94" s="31"/>
      <c r="J94" s="31"/>
      <c r="K94" s="428"/>
      <c r="L94" s="321"/>
      <c r="M94" s="322"/>
      <c r="N94" s="323"/>
      <c r="O94" s="429"/>
      <c r="P94" s="322"/>
      <c r="Q94" s="323"/>
      <c r="R94" s="429"/>
      <c r="S94" s="322"/>
      <c r="T94" s="323"/>
      <c r="U94" s="324"/>
      <c r="V94" s="322"/>
      <c r="W94" s="323"/>
      <c r="X94" s="324" t="s">
        <v>22</v>
      </c>
      <c r="Y94" s="173" t="s">
        <v>8912</v>
      </c>
      <c r="Z94" s="322" t="s">
        <v>22</v>
      </c>
      <c r="AA94" s="313">
        <f>MAX(Z94:Z96)</f>
        <v>0</v>
      </c>
      <c r="AB94" s="319">
        <f>AA94</f>
        <v>0</v>
      </c>
      <c r="AC94" s="430"/>
      <c r="AD94" s="326" t="s">
        <v>22</v>
      </c>
      <c r="AE94" s="331"/>
      <c r="AF94" s="431"/>
      <c r="AG94" s="432"/>
      <c r="AH94" s="326"/>
      <c r="AI94" s="2"/>
      <c r="AJ94" s="59" t="str">
        <f t="shared" si="1"/>
        <v>нет з/ч</v>
      </c>
      <c r="AK94" s="61" t="str">
        <f t="shared" si="2"/>
        <v>нет з/ч</v>
      </c>
      <c r="AL94" s="61" t="str">
        <f t="shared" si="3"/>
        <v>нет з/ч</v>
      </c>
      <c r="AM94" s="304" t="str">
        <f t="shared" si="5"/>
        <v>нет з/ч</v>
      </c>
      <c r="AN94" s="2"/>
      <c r="AO94" s="289"/>
      <c r="AP94" s="296"/>
      <c r="AQ94" s="296"/>
      <c r="AR94" s="139"/>
      <c r="AS94" s="2"/>
      <c r="AT94" s="2"/>
      <c r="AU94" s="2"/>
      <c r="AV94" s="2"/>
      <c r="AW94" s="2"/>
      <c r="AX94" s="3" t="s">
        <v>9075</v>
      </c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>
      <c r="A95" s="335" t="s">
        <v>9076</v>
      </c>
      <c r="B95" s="93"/>
      <c r="C95" s="65"/>
      <c r="D95" s="31" t="s">
        <v>146</v>
      </c>
      <c r="E95" s="11" t="s">
        <v>8908</v>
      </c>
      <c r="F95" s="427" t="s">
        <v>8909</v>
      </c>
      <c r="G95" s="31" t="s">
        <v>8910</v>
      </c>
      <c r="H95" s="31"/>
      <c r="I95" s="31"/>
      <c r="J95" s="31" t="s">
        <v>8911</v>
      </c>
      <c r="K95" s="428"/>
      <c r="L95" s="321"/>
      <c r="M95" s="322"/>
      <c r="N95" s="323"/>
      <c r="O95" s="429"/>
      <c r="P95" s="322"/>
      <c r="Q95" s="323"/>
      <c r="R95" s="429"/>
      <c r="S95" s="322"/>
      <c r="T95" s="323"/>
      <c r="U95" s="324"/>
      <c r="V95" s="322"/>
      <c r="W95" s="323"/>
      <c r="X95" s="324" t="s">
        <v>22</v>
      </c>
      <c r="Y95" s="173" t="s">
        <v>8912</v>
      </c>
      <c r="Z95" s="322" t="s">
        <v>22</v>
      </c>
      <c r="AA95" s="104"/>
      <c r="AB95" s="319">
        <f>AA94</f>
        <v>0</v>
      </c>
      <c r="AC95" s="430"/>
      <c r="AD95" s="326" t="s">
        <v>22</v>
      </c>
      <c r="AE95" s="331"/>
      <c r="AF95" s="431"/>
      <c r="AG95" s="432"/>
      <c r="AH95" s="326"/>
      <c r="AI95" s="2"/>
      <c r="AJ95" s="59" t="str">
        <f t="shared" si="1"/>
        <v>нет з/ч</v>
      </c>
      <c r="AK95" s="61" t="str">
        <f t="shared" si="2"/>
        <v>нет з/ч</v>
      </c>
      <c r="AL95" s="61" t="str">
        <f t="shared" si="3"/>
        <v>нет з/ч</v>
      </c>
      <c r="AM95" s="304" t="str">
        <f t="shared" si="5"/>
        <v>нет з/ч</v>
      </c>
      <c r="AN95" s="2"/>
      <c r="AO95" s="289"/>
      <c r="AP95" s="296"/>
      <c r="AQ95" s="296"/>
      <c r="AR95" s="139"/>
      <c r="AS95" s="2"/>
      <c r="AT95" s="2"/>
      <c r="AU95" s="2"/>
      <c r="AV95" s="2"/>
      <c r="AW95" s="2"/>
      <c r="AX95" s="3" t="s">
        <v>9076</v>
      </c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>
      <c r="A96" s="335" t="s">
        <v>9077</v>
      </c>
      <c r="B96" s="93"/>
      <c r="C96" s="65"/>
      <c r="D96" s="31" t="s">
        <v>146</v>
      </c>
      <c r="E96" s="11" t="s">
        <v>8908</v>
      </c>
      <c r="F96" s="427" t="s">
        <v>8909</v>
      </c>
      <c r="G96" s="31" t="s">
        <v>8910</v>
      </c>
      <c r="H96" s="31"/>
      <c r="I96" s="31"/>
      <c r="J96" s="31"/>
      <c r="K96" s="428"/>
      <c r="L96" s="321"/>
      <c r="M96" s="322"/>
      <c r="N96" s="323"/>
      <c r="O96" s="429"/>
      <c r="P96" s="322"/>
      <c r="Q96" s="323"/>
      <c r="R96" s="429"/>
      <c r="S96" s="322"/>
      <c r="T96" s="323"/>
      <c r="U96" s="324"/>
      <c r="V96" s="322"/>
      <c r="W96" s="323"/>
      <c r="X96" s="324" t="s">
        <v>22</v>
      </c>
      <c r="Y96" s="173" t="s">
        <v>8912</v>
      </c>
      <c r="Z96" s="322" t="s">
        <v>22</v>
      </c>
      <c r="AA96" s="67"/>
      <c r="AB96" s="319">
        <f>AA94</f>
        <v>0</v>
      </c>
      <c r="AC96" s="430"/>
      <c r="AD96" s="326" t="s">
        <v>22</v>
      </c>
      <c r="AE96" s="331"/>
      <c r="AF96" s="431"/>
      <c r="AG96" s="432"/>
      <c r="AH96" s="326"/>
      <c r="AI96" s="2"/>
      <c r="AJ96" s="59" t="str">
        <f t="shared" si="1"/>
        <v>нет з/ч</v>
      </c>
      <c r="AK96" s="61" t="str">
        <f t="shared" si="2"/>
        <v>нет з/ч</v>
      </c>
      <c r="AL96" s="61" t="str">
        <f t="shared" si="3"/>
        <v>нет з/ч</v>
      </c>
      <c r="AM96" s="304" t="str">
        <f t="shared" si="5"/>
        <v>нет з/ч</v>
      </c>
      <c r="AN96" s="2"/>
      <c r="AO96" s="289"/>
      <c r="AP96" s="296"/>
      <c r="AQ96" s="296"/>
      <c r="AR96" s="139"/>
      <c r="AS96" s="2"/>
      <c r="AT96" s="2"/>
      <c r="AU96" s="2"/>
      <c r="AV96" s="2"/>
      <c r="AW96" s="2"/>
      <c r="AX96" s="3" t="s">
        <v>9077</v>
      </c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>
      <c r="A97" s="335" t="s">
        <v>9078</v>
      </c>
      <c r="B97" s="93"/>
      <c r="C97" s="65"/>
      <c r="D97" s="31" t="s">
        <v>146</v>
      </c>
      <c r="E97" s="11" t="s">
        <v>8908</v>
      </c>
      <c r="F97" s="427" t="s">
        <v>8915</v>
      </c>
      <c r="G97" s="31" t="s">
        <v>8916</v>
      </c>
      <c r="H97" s="31"/>
      <c r="I97" s="31"/>
      <c r="J97" s="31"/>
      <c r="K97" s="428"/>
      <c r="L97" s="321"/>
      <c r="M97" s="322"/>
      <c r="N97" s="323"/>
      <c r="O97" s="429"/>
      <c r="P97" s="322"/>
      <c r="Q97" s="323"/>
      <c r="R97" s="429"/>
      <c r="S97" s="322"/>
      <c r="T97" s="323"/>
      <c r="U97" s="324"/>
      <c r="V97" s="322"/>
      <c r="W97" s="323"/>
      <c r="X97" s="324" t="s">
        <v>22</v>
      </c>
      <c r="Y97" s="173" t="s">
        <v>8912</v>
      </c>
      <c r="Z97" s="322" t="s">
        <v>22</v>
      </c>
      <c r="AA97" s="313">
        <f>MAX(Z97:Z99)</f>
        <v>0</v>
      </c>
      <c r="AB97" s="319">
        <f>AA97</f>
        <v>0</v>
      </c>
      <c r="AC97" s="430"/>
      <c r="AD97" s="326" t="s">
        <v>22</v>
      </c>
      <c r="AE97" s="331"/>
      <c r="AF97" s="431"/>
      <c r="AG97" s="432"/>
      <c r="AH97" s="326"/>
      <c r="AI97" s="2"/>
      <c r="AJ97" s="59" t="str">
        <f t="shared" si="1"/>
        <v>нет з/ч</v>
      </c>
      <c r="AK97" s="61" t="str">
        <f t="shared" si="2"/>
        <v>нет з/ч</v>
      </c>
      <c r="AL97" s="61" t="str">
        <f t="shared" si="3"/>
        <v>нет з/ч</v>
      </c>
      <c r="AM97" s="304" t="str">
        <f t="shared" si="5"/>
        <v>нет з/ч</v>
      </c>
      <c r="AN97" s="2"/>
      <c r="AO97" s="289"/>
      <c r="AP97" s="296"/>
      <c r="AQ97" s="296"/>
      <c r="AR97" s="139"/>
      <c r="AS97" s="2"/>
      <c r="AT97" s="2"/>
      <c r="AU97" s="2"/>
      <c r="AV97" s="2"/>
      <c r="AW97" s="2"/>
      <c r="AX97" s="3" t="s">
        <v>9078</v>
      </c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>
      <c r="A98" s="335" t="s">
        <v>9079</v>
      </c>
      <c r="B98" s="93"/>
      <c r="C98" s="65"/>
      <c r="D98" s="31" t="s">
        <v>146</v>
      </c>
      <c r="E98" s="11" t="s">
        <v>8908</v>
      </c>
      <c r="F98" s="427" t="s">
        <v>8915</v>
      </c>
      <c r="G98" s="31" t="s">
        <v>8916</v>
      </c>
      <c r="H98" s="31"/>
      <c r="I98" s="31"/>
      <c r="J98" s="31" t="s">
        <v>8911</v>
      </c>
      <c r="K98" s="428"/>
      <c r="L98" s="321"/>
      <c r="M98" s="322"/>
      <c r="N98" s="323"/>
      <c r="O98" s="429"/>
      <c r="P98" s="322"/>
      <c r="Q98" s="323"/>
      <c r="R98" s="429"/>
      <c r="S98" s="322"/>
      <c r="T98" s="323"/>
      <c r="U98" s="324"/>
      <c r="V98" s="322"/>
      <c r="W98" s="323"/>
      <c r="X98" s="324" t="s">
        <v>22</v>
      </c>
      <c r="Y98" s="173" t="s">
        <v>8912</v>
      </c>
      <c r="Z98" s="322" t="s">
        <v>22</v>
      </c>
      <c r="AA98" s="104"/>
      <c r="AB98" s="319">
        <f>AA97</f>
        <v>0</v>
      </c>
      <c r="AC98" s="430"/>
      <c r="AD98" s="326" t="s">
        <v>22</v>
      </c>
      <c r="AE98" s="331"/>
      <c r="AF98" s="431"/>
      <c r="AG98" s="432"/>
      <c r="AH98" s="326"/>
      <c r="AI98" s="2"/>
      <c r="AJ98" s="59" t="str">
        <f t="shared" si="1"/>
        <v>нет з/ч</v>
      </c>
      <c r="AK98" s="61" t="str">
        <f t="shared" si="2"/>
        <v>нет з/ч</v>
      </c>
      <c r="AL98" s="61" t="str">
        <f t="shared" si="3"/>
        <v>нет з/ч</v>
      </c>
      <c r="AM98" s="304" t="str">
        <f t="shared" si="5"/>
        <v>нет з/ч</v>
      </c>
      <c r="AN98" s="2"/>
      <c r="AO98" s="289"/>
      <c r="AP98" s="296"/>
      <c r="AQ98" s="296"/>
      <c r="AR98" s="139"/>
      <c r="AS98" s="2"/>
      <c r="AT98" s="2"/>
      <c r="AU98" s="2"/>
      <c r="AV98" s="2"/>
      <c r="AW98" s="2"/>
      <c r="AX98" s="3" t="s">
        <v>9079</v>
      </c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>
      <c r="A99" s="335" t="s">
        <v>9080</v>
      </c>
      <c r="B99" s="93"/>
      <c r="C99" s="65"/>
      <c r="D99" s="31" t="s">
        <v>146</v>
      </c>
      <c r="E99" s="11" t="s">
        <v>8908</v>
      </c>
      <c r="F99" s="427" t="s">
        <v>8915</v>
      </c>
      <c r="G99" s="31" t="s">
        <v>8916</v>
      </c>
      <c r="H99" s="31"/>
      <c r="I99" s="31"/>
      <c r="J99" s="31"/>
      <c r="K99" s="428"/>
      <c r="L99" s="321"/>
      <c r="M99" s="322"/>
      <c r="N99" s="323"/>
      <c r="O99" s="429"/>
      <c r="P99" s="322"/>
      <c r="Q99" s="323"/>
      <c r="R99" s="429"/>
      <c r="S99" s="322"/>
      <c r="T99" s="323"/>
      <c r="U99" s="324"/>
      <c r="V99" s="322"/>
      <c r="W99" s="323"/>
      <c r="X99" s="324" t="s">
        <v>22</v>
      </c>
      <c r="Y99" s="173" t="s">
        <v>8912</v>
      </c>
      <c r="Z99" s="322" t="s">
        <v>22</v>
      </c>
      <c r="AA99" s="67"/>
      <c r="AB99" s="319">
        <f>AA97</f>
        <v>0</v>
      </c>
      <c r="AC99" s="430"/>
      <c r="AD99" s="326" t="s">
        <v>22</v>
      </c>
      <c r="AE99" s="331"/>
      <c r="AF99" s="431"/>
      <c r="AG99" s="432"/>
      <c r="AH99" s="326"/>
      <c r="AI99" s="2"/>
      <c r="AJ99" s="59" t="str">
        <f t="shared" si="1"/>
        <v>нет з/ч</v>
      </c>
      <c r="AK99" s="61" t="str">
        <f t="shared" si="2"/>
        <v>нет з/ч</v>
      </c>
      <c r="AL99" s="61" t="str">
        <f t="shared" si="3"/>
        <v>нет з/ч</v>
      </c>
      <c r="AM99" s="304" t="str">
        <f t="shared" si="5"/>
        <v>нет з/ч</v>
      </c>
      <c r="AN99" s="2"/>
      <c r="AO99" s="289"/>
      <c r="AP99" s="296"/>
      <c r="AQ99" s="296"/>
      <c r="AR99" s="139"/>
      <c r="AS99" s="2"/>
      <c r="AT99" s="2"/>
      <c r="AU99" s="2"/>
      <c r="AV99" s="2"/>
      <c r="AW99" s="2"/>
      <c r="AX99" s="3" t="s">
        <v>9080</v>
      </c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>
      <c r="A100" s="312" t="s">
        <v>9081</v>
      </c>
      <c r="B100" s="93"/>
      <c r="C100" s="65"/>
      <c r="D100" s="31" t="s">
        <v>153</v>
      </c>
      <c r="E100" s="11" t="s">
        <v>8908</v>
      </c>
      <c r="F100" s="427" t="s">
        <v>8909</v>
      </c>
      <c r="G100" s="31" t="s">
        <v>8910</v>
      </c>
      <c r="H100" s="31"/>
      <c r="I100" s="31"/>
      <c r="J100" s="31"/>
      <c r="K100" s="428"/>
      <c r="L100" s="321"/>
      <c r="M100" s="322"/>
      <c r="N100" s="323"/>
      <c r="O100" s="429"/>
      <c r="P100" s="322"/>
      <c r="Q100" s="323"/>
      <c r="R100" s="429"/>
      <c r="S100" s="322"/>
      <c r="T100" s="323"/>
      <c r="U100" s="324"/>
      <c r="V100" s="322"/>
      <c r="W100" s="323"/>
      <c r="X100" s="324" t="s">
        <v>22</v>
      </c>
      <c r="Y100" s="173" t="s">
        <v>8912</v>
      </c>
      <c r="Z100" s="322" t="s">
        <v>22</v>
      </c>
      <c r="AA100" s="313">
        <f>MAX(Z100:Z105)</f>
        <v>0</v>
      </c>
      <c r="AB100" s="319">
        <f>AA100</f>
        <v>0</v>
      </c>
      <c r="AC100" s="430"/>
      <c r="AD100" s="326" t="s">
        <v>22</v>
      </c>
      <c r="AE100" s="331"/>
      <c r="AF100" s="431"/>
      <c r="AG100" s="432"/>
      <c r="AH100" s="326"/>
      <c r="AI100" s="2"/>
      <c r="AJ100" s="59" t="str">
        <f t="shared" si="1"/>
        <v>нет з/ч</v>
      </c>
      <c r="AK100" s="61" t="str">
        <f t="shared" si="2"/>
        <v>нет з/ч</v>
      </c>
      <c r="AL100" s="61" t="str">
        <f t="shared" si="3"/>
        <v>нет з/ч</v>
      </c>
      <c r="AM100" s="304" t="str">
        <f t="shared" si="5"/>
        <v>нет з/ч</v>
      </c>
      <c r="AN100" s="2"/>
      <c r="AO100" s="289"/>
      <c r="AP100" s="296"/>
      <c r="AQ100" s="296"/>
      <c r="AR100" s="139"/>
      <c r="AS100" s="2"/>
      <c r="AT100" s="2"/>
      <c r="AU100" s="2"/>
      <c r="AV100" s="2"/>
      <c r="AW100" s="2"/>
      <c r="AX100" s="3" t="s">
        <v>9081</v>
      </c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>
      <c r="A101" s="312" t="s">
        <v>9082</v>
      </c>
      <c r="B101" s="93"/>
      <c r="C101" s="65"/>
      <c r="D101" s="31" t="s">
        <v>153</v>
      </c>
      <c r="E101" s="11" t="s">
        <v>8908</v>
      </c>
      <c r="F101" s="427" t="s">
        <v>8909</v>
      </c>
      <c r="G101" s="31" t="s">
        <v>8910</v>
      </c>
      <c r="H101" s="31"/>
      <c r="I101" s="31"/>
      <c r="J101" s="31"/>
      <c r="K101" s="428"/>
      <c r="L101" s="321"/>
      <c r="M101" s="322"/>
      <c r="N101" s="323"/>
      <c r="O101" s="429"/>
      <c r="P101" s="322"/>
      <c r="Q101" s="323"/>
      <c r="R101" s="429"/>
      <c r="S101" s="322"/>
      <c r="T101" s="323"/>
      <c r="U101" s="324"/>
      <c r="V101" s="322"/>
      <c r="W101" s="323"/>
      <c r="X101" s="324" t="s">
        <v>22</v>
      </c>
      <c r="Y101" s="173" t="s">
        <v>8912</v>
      </c>
      <c r="Z101" s="322" t="s">
        <v>22</v>
      </c>
      <c r="AA101" s="104"/>
      <c r="AB101" s="319">
        <f>AA100</f>
        <v>0</v>
      </c>
      <c r="AC101" s="430"/>
      <c r="AD101" s="326" t="s">
        <v>22</v>
      </c>
      <c r="AE101" s="331"/>
      <c r="AF101" s="431"/>
      <c r="AG101" s="432"/>
      <c r="AH101" s="326"/>
      <c r="AI101" s="2"/>
      <c r="AJ101" s="59" t="str">
        <f t="shared" si="1"/>
        <v>нет з/ч</v>
      </c>
      <c r="AK101" s="61" t="str">
        <f t="shared" si="2"/>
        <v>нет з/ч</v>
      </c>
      <c r="AL101" s="61" t="str">
        <f t="shared" si="3"/>
        <v>нет з/ч</v>
      </c>
      <c r="AM101" s="304" t="str">
        <f t="shared" si="5"/>
        <v>нет з/ч</v>
      </c>
      <c r="AN101" s="2"/>
      <c r="AO101" s="289"/>
      <c r="AP101" s="296"/>
      <c r="AQ101" s="296"/>
      <c r="AR101" s="139"/>
      <c r="AS101" s="2"/>
      <c r="AT101" s="2"/>
      <c r="AU101" s="2"/>
      <c r="AV101" s="2"/>
      <c r="AW101" s="2"/>
      <c r="AX101" s="3" t="s">
        <v>9082</v>
      </c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>
      <c r="A102" s="312" t="s">
        <v>9083</v>
      </c>
      <c r="B102" s="93"/>
      <c r="C102" s="65"/>
      <c r="D102" s="31" t="s">
        <v>153</v>
      </c>
      <c r="E102" s="11" t="s">
        <v>8908</v>
      </c>
      <c r="F102" s="427" t="s">
        <v>8909</v>
      </c>
      <c r="G102" s="31" t="s">
        <v>8910</v>
      </c>
      <c r="H102" s="31"/>
      <c r="I102" s="31"/>
      <c r="J102" s="31"/>
      <c r="K102" s="428"/>
      <c r="L102" s="321"/>
      <c r="M102" s="322"/>
      <c r="N102" s="323"/>
      <c r="O102" s="429"/>
      <c r="P102" s="322"/>
      <c r="Q102" s="323"/>
      <c r="R102" s="429"/>
      <c r="S102" s="322"/>
      <c r="T102" s="323"/>
      <c r="U102" s="324"/>
      <c r="V102" s="322"/>
      <c r="W102" s="323"/>
      <c r="X102" s="324" t="s">
        <v>22</v>
      </c>
      <c r="Y102" s="173" t="s">
        <v>8912</v>
      </c>
      <c r="Z102" s="322" t="s">
        <v>22</v>
      </c>
      <c r="AA102" s="104"/>
      <c r="AB102" s="319">
        <f>AA100</f>
        <v>0</v>
      </c>
      <c r="AC102" s="430"/>
      <c r="AD102" s="326" t="s">
        <v>22</v>
      </c>
      <c r="AE102" s="331"/>
      <c r="AF102" s="431"/>
      <c r="AG102" s="432"/>
      <c r="AH102" s="326"/>
      <c r="AI102" s="2"/>
      <c r="AJ102" s="59" t="str">
        <f t="shared" si="1"/>
        <v>нет з/ч</v>
      </c>
      <c r="AK102" s="61" t="str">
        <f t="shared" si="2"/>
        <v>нет з/ч</v>
      </c>
      <c r="AL102" s="61" t="str">
        <f t="shared" si="3"/>
        <v>нет з/ч</v>
      </c>
      <c r="AM102" s="304" t="str">
        <f t="shared" si="5"/>
        <v>нет з/ч</v>
      </c>
      <c r="AN102" s="2"/>
      <c r="AO102" s="289"/>
      <c r="AP102" s="296"/>
      <c r="AQ102" s="296"/>
      <c r="AR102" s="139"/>
      <c r="AS102" s="2"/>
      <c r="AT102" s="2"/>
      <c r="AU102" s="2"/>
      <c r="AV102" s="2"/>
      <c r="AW102" s="2"/>
      <c r="AX102" s="3" t="s">
        <v>9083</v>
      </c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>
      <c r="A103" s="312" t="s">
        <v>9084</v>
      </c>
      <c r="B103" s="93"/>
      <c r="C103" s="65"/>
      <c r="D103" s="31" t="s">
        <v>153</v>
      </c>
      <c r="E103" s="11" t="s">
        <v>8908</v>
      </c>
      <c r="F103" s="427" t="s">
        <v>8909</v>
      </c>
      <c r="G103" s="31" t="s">
        <v>8910</v>
      </c>
      <c r="H103" s="31"/>
      <c r="I103" s="31"/>
      <c r="J103" s="31"/>
      <c r="K103" s="428"/>
      <c r="L103" s="321"/>
      <c r="M103" s="322"/>
      <c r="N103" s="323"/>
      <c r="O103" s="429"/>
      <c r="P103" s="322"/>
      <c r="Q103" s="323"/>
      <c r="R103" s="429"/>
      <c r="S103" s="322"/>
      <c r="T103" s="323"/>
      <c r="U103" s="324"/>
      <c r="V103" s="322"/>
      <c r="W103" s="323"/>
      <c r="X103" s="324" t="s">
        <v>22</v>
      </c>
      <c r="Y103" s="173" t="s">
        <v>8912</v>
      </c>
      <c r="Z103" s="322" t="s">
        <v>22</v>
      </c>
      <c r="AA103" s="104"/>
      <c r="AB103" s="319">
        <f>AA100</f>
        <v>0</v>
      </c>
      <c r="AC103" s="430"/>
      <c r="AD103" s="326" t="s">
        <v>22</v>
      </c>
      <c r="AE103" s="331"/>
      <c r="AF103" s="431"/>
      <c r="AG103" s="432"/>
      <c r="AH103" s="326"/>
      <c r="AI103" s="2"/>
      <c r="AJ103" s="59" t="str">
        <f t="shared" si="1"/>
        <v>нет з/ч</v>
      </c>
      <c r="AK103" s="61" t="str">
        <f t="shared" si="2"/>
        <v>нет з/ч</v>
      </c>
      <c r="AL103" s="61" t="str">
        <f t="shared" si="3"/>
        <v>нет з/ч</v>
      </c>
      <c r="AM103" s="304" t="str">
        <f t="shared" si="5"/>
        <v>нет з/ч</v>
      </c>
      <c r="AN103" s="2"/>
      <c r="AO103" s="289"/>
      <c r="AP103" s="296"/>
      <c r="AQ103" s="296"/>
      <c r="AR103" s="139"/>
      <c r="AS103" s="2"/>
      <c r="AT103" s="2"/>
      <c r="AU103" s="2"/>
      <c r="AV103" s="2"/>
      <c r="AW103" s="2"/>
      <c r="AX103" s="3" t="s">
        <v>9084</v>
      </c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>
      <c r="A104" s="312" t="s">
        <v>9085</v>
      </c>
      <c r="B104" s="93"/>
      <c r="C104" s="65"/>
      <c r="D104" s="31" t="s">
        <v>153</v>
      </c>
      <c r="E104" s="11" t="s">
        <v>8908</v>
      </c>
      <c r="F104" s="427" t="s">
        <v>8909</v>
      </c>
      <c r="G104" s="31" t="s">
        <v>8910</v>
      </c>
      <c r="H104" s="31"/>
      <c r="I104" s="31"/>
      <c r="J104" s="31"/>
      <c r="K104" s="428"/>
      <c r="L104" s="321"/>
      <c r="M104" s="322"/>
      <c r="N104" s="323"/>
      <c r="O104" s="429"/>
      <c r="P104" s="322"/>
      <c r="Q104" s="323"/>
      <c r="R104" s="429"/>
      <c r="S104" s="322"/>
      <c r="T104" s="323"/>
      <c r="U104" s="324"/>
      <c r="V104" s="322"/>
      <c r="W104" s="323"/>
      <c r="X104" s="324" t="s">
        <v>22</v>
      </c>
      <c r="Y104" s="173" t="s">
        <v>8912</v>
      </c>
      <c r="Z104" s="322" t="s">
        <v>22</v>
      </c>
      <c r="AA104" s="104"/>
      <c r="AB104" s="319">
        <f>AA100</f>
        <v>0</v>
      </c>
      <c r="AC104" s="430"/>
      <c r="AD104" s="326" t="s">
        <v>22</v>
      </c>
      <c r="AE104" s="331"/>
      <c r="AF104" s="431"/>
      <c r="AG104" s="432"/>
      <c r="AH104" s="326"/>
      <c r="AI104" s="2"/>
      <c r="AJ104" s="59" t="str">
        <f t="shared" si="1"/>
        <v>нет з/ч</v>
      </c>
      <c r="AK104" s="61" t="str">
        <f t="shared" si="2"/>
        <v>нет з/ч</v>
      </c>
      <c r="AL104" s="61" t="str">
        <f t="shared" si="3"/>
        <v>нет з/ч</v>
      </c>
      <c r="AM104" s="304" t="str">
        <f t="shared" si="5"/>
        <v>нет з/ч</v>
      </c>
      <c r="AN104" s="2"/>
      <c r="AO104" s="289"/>
      <c r="AP104" s="296"/>
      <c r="AQ104" s="296"/>
      <c r="AR104" s="139"/>
      <c r="AS104" s="2"/>
      <c r="AT104" s="2"/>
      <c r="AU104" s="2"/>
      <c r="AV104" s="2"/>
      <c r="AW104" s="2"/>
      <c r="AX104" s="3" t="s">
        <v>9085</v>
      </c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>
      <c r="A105" s="312" t="s">
        <v>9086</v>
      </c>
      <c r="B105" s="93"/>
      <c r="C105" s="65"/>
      <c r="D105" s="31" t="s">
        <v>153</v>
      </c>
      <c r="E105" s="11" t="s">
        <v>8908</v>
      </c>
      <c r="F105" s="427" t="s">
        <v>8909</v>
      </c>
      <c r="G105" s="31" t="s">
        <v>8910</v>
      </c>
      <c r="H105" s="31"/>
      <c r="I105" s="31"/>
      <c r="J105" s="31"/>
      <c r="K105" s="428"/>
      <c r="L105" s="321"/>
      <c r="M105" s="322"/>
      <c r="N105" s="323"/>
      <c r="O105" s="429"/>
      <c r="P105" s="322"/>
      <c r="Q105" s="323"/>
      <c r="R105" s="429"/>
      <c r="S105" s="322"/>
      <c r="T105" s="323"/>
      <c r="U105" s="324"/>
      <c r="V105" s="322"/>
      <c r="W105" s="323"/>
      <c r="X105" s="324" t="s">
        <v>22</v>
      </c>
      <c r="Y105" s="173" t="s">
        <v>8912</v>
      </c>
      <c r="Z105" s="322" t="s">
        <v>22</v>
      </c>
      <c r="AA105" s="67"/>
      <c r="AB105" s="319">
        <f>AA100</f>
        <v>0</v>
      </c>
      <c r="AC105" s="430"/>
      <c r="AD105" s="326" t="s">
        <v>22</v>
      </c>
      <c r="AE105" s="331"/>
      <c r="AF105" s="431"/>
      <c r="AG105" s="432"/>
      <c r="AH105" s="326"/>
      <c r="AI105" s="2"/>
      <c r="AJ105" s="59" t="str">
        <f t="shared" si="1"/>
        <v>нет з/ч</v>
      </c>
      <c r="AK105" s="61" t="str">
        <f t="shared" si="2"/>
        <v>нет з/ч</v>
      </c>
      <c r="AL105" s="61" t="str">
        <f t="shared" si="3"/>
        <v>нет з/ч</v>
      </c>
      <c r="AM105" s="304" t="str">
        <f t="shared" si="5"/>
        <v>нет з/ч</v>
      </c>
      <c r="AN105" s="2"/>
      <c r="AO105" s="289"/>
      <c r="AP105" s="296"/>
      <c r="AQ105" s="296"/>
      <c r="AR105" s="139"/>
      <c r="AS105" s="2"/>
      <c r="AT105" s="2"/>
      <c r="AU105" s="2"/>
      <c r="AV105" s="2"/>
      <c r="AW105" s="2"/>
      <c r="AX105" s="3" t="s">
        <v>9086</v>
      </c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>
      <c r="A106" s="312" t="s">
        <v>9087</v>
      </c>
      <c r="B106" s="93"/>
      <c r="C106" s="65"/>
      <c r="D106" s="31" t="s">
        <v>153</v>
      </c>
      <c r="E106" s="11" t="s">
        <v>8908</v>
      </c>
      <c r="F106" s="427" t="s">
        <v>8915</v>
      </c>
      <c r="G106" s="31" t="s">
        <v>8916</v>
      </c>
      <c r="H106" s="31"/>
      <c r="I106" s="31"/>
      <c r="J106" s="31"/>
      <c r="K106" s="428"/>
      <c r="L106" s="327" t="s">
        <v>9088</v>
      </c>
      <c r="M106" s="322"/>
      <c r="N106" s="328">
        <v>1200.0</v>
      </c>
      <c r="O106" s="429"/>
      <c r="P106" s="322"/>
      <c r="Q106" s="323"/>
      <c r="R106" s="429"/>
      <c r="S106" s="322"/>
      <c r="T106" s="323"/>
      <c r="U106" s="324"/>
      <c r="V106" s="322"/>
      <c r="W106" s="323"/>
      <c r="X106" s="324">
        <v>1200.0</v>
      </c>
      <c r="Y106" s="173" t="s">
        <v>8912</v>
      </c>
      <c r="Z106" s="322">
        <v>1400.0</v>
      </c>
      <c r="AA106" s="313">
        <f>MAX(Z106:Z111)</f>
        <v>1400</v>
      </c>
      <c r="AB106" s="319">
        <f>AA106</f>
        <v>1400</v>
      </c>
      <c r="AC106" s="430"/>
      <c r="AD106" s="326" t="s">
        <v>5839</v>
      </c>
      <c r="AE106" s="329" t="s">
        <v>9089</v>
      </c>
      <c r="AF106" s="431"/>
      <c r="AG106" s="432"/>
      <c r="AH106" s="330">
        <v>46080.715874710644</v>
      </c>
      <c r="AI106" s="2"/>
      <c r="AJ106" s="289">
        <f t="shared" si="1"/>
        <v>200</v>
      </c>
      <c r="AK106" s="61" t="str">
        <f t="shared" si="2"/>
        <v>нет з/ч</v>
      </c>
      <c r="AL106" s="61" t="str">
        <f t="shared" si="3"/>
        <v>нет з/ч</v>
      </c>
      <c r="AM106" s="304" t="str">
        <f t="shared" si="5"/>
        <v>нет з/ч</v>
      </c>
      <c r="AN106" s="2"/>
      <c r="AO106" s="289">
        <v>1200.0</v>
      </c>
      <c r="AP106" s="296"/>
      <c r="AQ106" s="296"/>
      <c r="AR106" s="139"/>
      <c r="AS106" s="2"/>
      <c r="AT106" s="2"/>
      <c r="AU106" s="2"/>
      <c r="AV106" s="2"/>
      <c r="AW106" s="2"/>
      <c r="AX106" s="3" t="s">
        <v>9087</v>
      </c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>
      <c r="A107" s="312" t="s">
        <v>9090</v>
      </c>
      <c r="B107" s="93"/>
      <c r="C107" s="65"/>
      <c r="D107" s="31" t="s">
        <v>153</v>
      </c>
      <c r="E107" s="11" t="s">
        <v>8908</v>
      </c>
      <c r="F107" s="427" t="s">
        <v>8915</v>
      </c>
      <c r="G107" s="31" t="s">
        <v>8916</v>
      </c>
      <c r="H107" s="31"/>
      <c r="I107" s="31"/>
      <c r="J107" s="31"/>
      <c r="K107" s="428"/>
      <c r="L107" s="327" t="s">
        <v>9091</v>
      </c>
      <c r="M107" s="322"/>
      <c r="N107" s="328">
        <v>1200.0</v>
      </c>
      <c r="O107" s="429"/>
      <c r="P107" s="322"/>
      <c r="Q107" s="323"/>
      <c r="R107" s="429"/>
      <c r="S107" s="322"/>
      <c r="T107" s="323"/>
      <c r="U107" s="324"/>
      <c r="V107" s="322"/>
      <c r="W107" s="323"/>
      <c r="X107" s="324">
        <v>1200.0</v>
      </c>
      <c r="Y107" s="173" t="s">
        <v>8912</v>
      </c>
      <c r="Z107" s="322">
        <v>1400.0</v>
      </c>
      <c r="AA107" s="104"/>
      <c r="AB107" s="319">
        <f>AA106</f>
        <v>1400</v>
      </c>
      <c r="AC107" s="430"/>
      <c r="AD107" s="326" t="s">
        <v>5839</v>
      </c>
      <c r="AE107" s="329" t="s">
        <v>9092</v>
      </c>
      <c r="AF107" s="431"/>
      <c r="AG107" s="432"/>
      <c r="AH107" s="330">
        <v>46080.71644905093</v>
      </c>
      <c r="AI107" s="2"/>
      <c r="AJ107" s="289">
        <f t="shared" si="1"/>
        <v>200</v>
      </c>
      <c r="AK107" s="61" t="str">
        <f t="shared" si="2"/>
        <v>нет з/ч</v>
      </c>
      <c r="AL107" s="61" t="str">
        <f t="shared" si="3"/>
        <v>нет з/ч</v>
      </c>
      <c r="AM107" s="304" t="str">
        <f t="shared" si="5"/>
        <v>нет з/ч</v>
      </c>
      <c r="AN107" s="2"/>
      <c r="AO107" s="289">
        <v>1200.0</v>
      </c>
      <c r="AP107" s="296"/>
      <c r="AQ107" s="296"/>
      <c r="AR107" s="139"/>
      <c r="AS107" s="2"/>
      <c r="AT107" s="2"/>
      <c r="AU107" s="2"/>
      <c r="AV107" s="2"/>
      <c r="AW107" s="2"/>
      <c r="AX107" s="3" t="s">
        <v>9090</v>
      </c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>
      <c r="A108" s="312" t="s">
        <v>9093</v>
      </c>
      <c r="B108" s="93"/>
      <c r="C108" s="65"/>
      <c r="D108" s="31" t="s">
        <v>153</v>
      </c>
      <c r="E108" s="11" t="s">
        <v>8908</v>
      </c>
      <c r="F108" s="427" t="s">
        <v>8915</v>
      </c>
      <c r="G108" s="31" t="s">
        <v>8916</v>
      </c>
      <c r="H108" s="31"/>
      <c r="I108" s="31"/>
      <c r="J108" s="31"/>
      <c r="K108" s="428"/>
      <c r="L108" s="327" t="s">
        <v>9094</v>
      </c>
      <c r="M108" s="322"/>
      <c r="N108" s="328">
        <v>1200.0</v>
      </c>
      <c r="O108" s="429"/>
      <c r="P108" s="322"/>
      <c r="Q108" s="323"/>
      <c r="R108" s="429"/>
      <c r="S108" s="322"/>
      <c r="T108" s="323"/>
      <c r="U108" s="324"/>
      <c r="V108" s="322"/>
      <c r="W108" s="323"/>
      <c r="X108" s="324">
        <v>1200.0</v>
      </c>
      <c r="Y108" s="173" t="s">
        <v>8912</v>
      </c>
      <c r="Z108" s="322">
        <v>1400.0</v>
      </c>
      <c r="AA108" s="104"/>
      <c r="AB108" s="319">
        <f>AA106</f>
        <v>1400</v>
      </c>
      <c r="AC108" s="430"/>
      <c r="AD108" s="326" t="s">
        <v>5839</v>
      </c>
      <c r="AE108" s="329" t="s">
        <v>9095</v>
      </c>
      <c r="AF108" s="431"/>
      <c r="AG108" s="432"/>
      <c r="AH108" s="330">
        <v>46080.71647678241</v>
      </c>
      <c r="AI108" s="2"/>
      <c r="AJ108" s="289">
        <f t="shared" si="1"/>
        <v>200</v>
      </c>
      <c r="AK108" s="61" t="str">
        <f t="shared" si="2"/>
        <v>нет з/ч</v>
      </c>
      <c r="AL108" s="61" t="str">
        <f t="shared" si="3"/>
        <v>нет з/ч</v>
      </c>
      <c r="AM108" s="304" t="str">
        <f t="shared" si="5"/>
        <v>нет з/ч</v>
      </c>
      <c r="AN108" s="2"/>
      <c r="AO108" s="289">
        <v>1200.0</v>
      </c>
      <c r="AP108" s="296"/>
      <c r="AQ108" s="296"/>
      <c r="AR108" s="139"/>
      <c r="AS108" s="2"/>
      <c r="AT108" s="2"/>
      <c r="AU108" s="2"/>
      <c r="AV108" s="2"/>
      <c r="AW108" s="2"/>
      <c r="AX108" s="3" t="s">
        <v>9093</v>
      </c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>
      <c r="A109" s="312" t="s">
        <v>9096</v>
      </c>
      <c r="B109" s="93"/>
      <c r="C109" s="65"/>
      <c r="D109" s="31" t="s">
        <v>153</v>
      </c>
      <c r="E109" s="11" t="s">
        <v>8908</v>
      </c>
      <c r="F109" s="427" t="s">
        <v>8915</v>
      </c>
      <c r="G109" s="31" t="s">
        <v>8916</v>
      </c>
      <c r="H109" s="31"/>
      <c r="I109" s="31"/>
      <c r="J109" s="31"/>
      <c r="K109" s="428"/>
      <c r="L109" s="327" t="s">
        <v>9097</v>
      </c>
      <c r="M109" s="322"/>
      <c r="N109" s="328">
        <v>1200.0</v>
      </c>
      <c r="O109" s="429"/>
      <c r="P109" s="322"/>
      <c r="Q109" s="323"/>
      <c r="R109" s="429"/>
      <c r="S109" s="322"/>
      <c r="T109" s="323"/>
      <c r="U109" s="324"/>
      <c r="V109" s="322"/>
      <c r="W109" s="323"/>
      <c r="X109" s="324">
        <v>1200.0</v>
      </c>
      <c r="Y109" s="173" t="s">
        <v>8912</v>
      </c>
      <c r="Z109" s="322">
        <v>1400.0</v>
      </c>
      <c r="AA109" s="104"/>
      <c r="AB109" s="319">
        <f>AA106</f>
        <v>1400</v>
      </c>
      <c r="AC109" s="430"/>
      <c r="AD109" s="326" t="s">
        <v>5839</v>
      </c>
      <c r="AE109" s="329" t="s">
        <v>9098</v>
      </c>
      <c r="AF109" s="431"/>
      <c r="AG109" s="432"/>
      <c r="AH109" s="330">
        <v>46080.71650517361</v>
      </c>
      <c r="AI109" s="2"/>
      <c r="AJ109" s="289">
        <f t="shared" si="1"/>
        <v>200</v>
      </c>
      <c r="AK109" s="61" t="str">
        <f t="shared" si="2"/>
        <v>нет з/ч</v>
      </c>
      <c r="AL109" s="61" t="str">
        <f t="shared" si="3"/>
        <v>нет з/ч</v>
      </c>
      <c r="AM109" s="304" t="str">
        <f t="shared" si="5"/>
        <v>нет з/ч</v>
      </c>
      <c r="AN109" s="2"/>
      <c r="AO109" s="289">
        <v>1200.0</v>
      </c>
      <c r="AP109" s="296"/>
      <c r="AQ109" s="296"/>
      <c r="AR109" s="139"/>
      <c r="AS109" s="2"/>
      <c r="AT109" s="2"/>
      <c r="AU109" s="2"/>
      <c r="AV109" s="2"/>
      <c r="AW109" s="2"/>
      <c r="AX109" s="3" t="s">
        <v>9096</v>
      </c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</row>
    <row r="110">
      <c r="A110" s="312" t="s">
        <v>9099</v>
      </c>
      <c r="B110" s="93"/>
      <c r="C110" s="65"/>
      <c r="D110" s="31" t="s">
        <v>153</v>
      </c>
      <c r="E110" s="11" t="s">
        <v>8908</v>
      </c>
      <c r="F110" s="427" t="s">
        <v>8915</v>
      </c>
      <c r="G110" s="31" t="s">
        <v>8916</v>
      </c>
      <c r="H110" s="31"/>
      <c r="I110" s="31"/>
      <c r="J110" s="31"/>
      <c r="K110" s="428"/>
      <c r="L110" s="327" t="s">
        <v>9100</v>
      </c>
      <c r="M110" s="322"/>
      <c r="N110" s="328">
        <v>1200.0</v>
      </c>
      <c r="O110" s="429"/>
      <c r="P110" s="322"/>
      <c r="Q110" s="323"/>
      <c r="R110" s="429"/>
      <c r="S110" s="322"/>
      <c r="T110" s="323"/>
      <c r="U110" s="324"/>
      <c r="V110" s="322"/>
      <c r="W110" s="323"/>
      <c r="X110" s="324">
        <v>1200.0</v>
      </c>
      <c r="Y110" s="173" t="s">
        <v>8912</v>
      </c>
      <c r="Z110" s="322">
        <v>1400.0</v>
      </c>
      <c r="AA110" s="104"/>
      <c r="AB110" s="319">
        <f>AA106</f>
        <v>1400</v>
      </c>
      <c r="AC110" s="430"/>
      <c r="AD110" s="326" t="s">
        <v>5839</v>
      </c>
      <c r="AE110" s="329" t="s">
        <v>9101</v>
      </c>
      <c r="AF110" s="431"/>
      <c r="AG110" s="432"/>
      <c r="AH110" s="330">
        <v>46080.71653160879</v>
      </c>
      <c r="AI110" s="2"/>
      <c r="AJ110" s="289">
        <f t="shared" si="1"/>
        <v>200</v>
      </c>
      <c r="AK110" s="61" t="str">
        <f t="shared" si="2"/>
        <v>нет з/ч</v>
      </c>
      <c r="AL110" s="61" t="str">
        <f t="shared" si="3"/>
        <v>нет з/ч</v>
      </c>
      <c r="AM110" s="304" t="str">
        <f t="shared" si="5"/>
        <v>нет з/ч</v>
      </c>
      <c r="AN110" s="2"/>
      <c r="AO110" s="289">
        <v>1200.0</v>
      </c>
      <c r="AP110" s="296"/>
      <c r="AQ110" s="296"/>
      <c r="AR110" s="139"/>
      <c r="AS110" s="2"/>
      <c r="AT110" s="2"/>
      <c r="AU110" s="2"/>
      <c r="AV110" s="2"/>
      <c r="AW110" s="2"/>
      <c r="AX110" s="3" t="s">
        <v>9099</v>
      </c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</row>
    <row r="111">
      <c r="A111" s="312" t="s">
        <v>9102</v>
      </c>
      <c r="B111" s="93"/>
      <c r="C111" s="65"/>
      <c r="D111" s="31" t="s">
        <v>153</v>
      </c>
      <c r="E111" s="11" t="s">
        <v>8908</v>
      </c>
      <c r="F111" s="427" t="s">
        <v>8915</v>
      </c>
      <c r="G111" s="31" t="s">
        <v>8916</v>
      </c>
      <c r="H111" s="31"/>
      <c r="I111" s="31"/>
      <c r="J111" s="31"/>
      <c r="K111" s="428"/>
      <c r="L111" s="327" t="s">
        <v>9103</v>
      </c>
      <c r="M111" s="322"/>
      <c r="N111" s="328">
        <v>1200.0</v>
      </c>
      <c r="O111" s="429"/>
      <c r="P111" s="322"/>
      <c r="Q111" s="323"/>
      <c r="R111" s="429"/>
      <c r="S111" s="322"/>
      <c r="T111" s="323"/>
      <c r="U111" s="324"/>
      <c r="V111" s="322"/>
      <c r="W111" s="323"/>
      <c r="X111" s="324">
        <v>1200.0</v>
      </c>
      <c r="Y111" s="173" t="s">
        <v>8912</v>
      </c>
      <c r="Z111" s="322">
        <v>1400.0</v>
      </c>
      <c r="AA111" s="67"/>
      <c r="AB111" s="319">
        <f>AA106</f>
        <v>1400</v>
      </c>
      <c r="AC111" s="430"/>
      <c r="AD111" s="326" t="s">
        <v>5839</v>
      </c>
      <c r="AE111" s="329" t="s">
        <v>9104</v>
      </c>
      <c r="AF111" s="431"/>
      <c r="AG111" s="432"/>
      <c r="AH111" s="330">
        <v>46080.716562013884</v>
      </c>
      <c r="AI111" s="2"/>
      <c r="AJ111" s="289">
        <f t="shared" si="1"/>
        <v>200</v>
      </c>
      <c r="AK111" s="61" t="str">
        <f t="shared" si="2"/>
        <v>нет з/ч</v>
      </c>
      <c r="AL111" s="61" t="str">
        <f t="shared" si="3"/>
        <v>нет з/ч</v>
      </c>
      <c r="AM111" s="304" t="str">
        <f t="shared" si="5"/>
        <v>нет з/ч</v>
      </c>
      <c r="AN111" s="2"/>
      <c r="AO111" s="289">
        <v>1200.0</v>
      </c>
      <c r="AP111" s="296"/>
      <c r="AQ111" s="296"/>
      <c r="AR111" s="139"/>
      <c r="AS111" s="2"/>
      <c r="AT111" s="2"/>
      <c r="AU111" s="2"/>
      <c r="AV111" s="2"/>
      <c r="AW111" s="2"/>
      <c r="AX111" s="3" t="s">
        <v>9102</v>
      </c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</row>
    <row r="112">
      <c r="A112" s="315" t="s">
        <v>9105</v>
      </c>
      <c r="B112" s="93"/>
      <c r="C112" s="65"/>
      <c r="D112" s="31" t="s">
        <v>159</v>
      </c>
      <c r="E112" s="11" t="s">
        <v>8908</v>
      </c>
      <c r="F112" s="427" t="s">
        <v>8909</v>
      </c>
      <c r="G112" s="31" t="s">
        <v>8910</v>
      </c>
      <c r="H112" s="31"/>
      <c r="I112" s="31"/>
      <c r="J112" s="31"/>
      <c r="K112" s="428"/>
      <c r="L112" s="321"/>
      <c r="M112" s="322"/>
      <c r="N112" s="323"/>
      <c r="O112" s="429"/>
      <c r="P112" s="322"/>
      <c r="Q112" s="323"/>
      <c r="R112" s="429"/>
      <c r="S112" s="322"/>
      <c r="T112" s="323"/>
      <c r="U112" s="324"/>
      <c r="V112" s="322"/>
      <c r="W112" s="323"/>
      <c r="X112" s="324" t="s">
        <v>22</v>
      </c>
      <c r="Y112" s="173" t="s">
        <v>8912</v>
      </c>
      <c r="Z112" s="322" t="s">
        <v>22</v>
      </c>
      <c r="AA112" s="313">
        <f>MAX(Z112:Z113)</f>
        <v>0</v>
      </c>
      <c r="AB112" s="319">
        <f>AA112</f>
        <v>0</v>
      </c>
      <c r="AC112" s="430"/>
      <c r="AD112" s="326" t="s">
        <v>22</v>
      </c>
      <c r="AE112" s="331"/>
      <c r="AF112" s="431"/>
      <c r="AG112" s="432"/>
      <c r="AH112" s="326"/>
      <c r="AI112" s="2"/>
      <c r="AJ112" s="59" t="str">
        <f t="shared" si="1"/>
        <v>нет з/ч</v>
      </c>
      <c r="AK112" s="61" t="str">
        <f t="shared" si="2"/>
        <v>нет з/ч</v>
      </c>
      <c r="AL112" s="61" t="str">
        <f t="shared" si="3"/>
        <v>нет з/ч</v>
      </c>
      <c r="AM112" s="304" t="str">
        <f t="shared" si="5"/>
        <v>нет з/ч</v>
      </c>
      <c r="AN112" s="2"/>
      <c r="AO112" s="289"/>
      <c r="AP112" s="296"/>
      <c r="AQ112" s="296"/>
      <c r="AR112" s="139"/>
      <c r="AS112" s="2"/>
      <c r="AT112" s="2"/>
      <c r="AU112" s="2"/>
      <c r="AV112" s="2"/>
      <c r="AW112" s="2"/>
      <c r="AX112" s="3" t="s">
        <v>9105</v>
      </c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>
      <c r="A113" s="315" t="s">
        <v>9106</v>
      </c>
      <c r="B113" s="93"/>
      <c r="C113" s="65"/>
      <c r="D113" s="31" t="s">
        <v>159</v>
      </c>
      <c r="E113" s="11" t="s">
        <v>8908</v>
      </c>
      <c r="F113" s="427" t="s">
        <v>8909</v>
      </c>
      <c r="G113" s="31" t="s">
        <v>8910</v>
      </c>
      <c r="H113" s="31"/>
      <c r="I113" s="31"/>
      <c r="J113" s="31"/>
      <c r="K113" s="428"/>
      <c r="L113" s="321"/>
      <c r="M113" s="322"/>
      <c r="N113" s="323"/>
      <c r="O113" s="429"/>
      <c r="P113" s="322"/>
      <c r="Q113" s="323"/>
      <c r="R113" s="429"/>
      <c r="S113" s="322"/>
      <c r="T113" s="323"/>
      <c r="U113" s="324"/>
      <c r="V113" s="322"/>
      <c r="W113" s="323"/>
      <c r="X113" s="324" t="s">
        <v>22</v>
      </c>
      <c r="Y113" s="173" t="s">
        <v>8912</v>
      </c>
      <c r="Z113" s="322" t="s">
        <v>22</v>
      </c>
      <c r="AA113" s="67"/>
      <c r="AB113" s="319">
        <f>AA112</f>
        <v>0</v>
      </c>
      <c r="AC113" s="430"/>
      <c r="AD113" s="326" t="s">
        <v>22</v>
      </c>
      <c r="AE113" s="331"/>
      <c r="AF113" s="431"/>
      <c r="AG113" s="432"/>
      <c r="AH113" s="326"/>
      <c r="AI113" s="2"/>
      <c r="AJ113" s="59" t="str">
        <f t="shared" si="1"/>
        <v>нет з/ч</v>
      </c>
      <c r="AK113" s="61" t="str">
        <f t="shared" si="2"/>
        <v>нет з/ч</v>
      </c>
      <c r="AL113" s="61" t="str">
        <f t="shared" si="3"/>
        <v>нет з/ч</v>
      </c>
      <c r="AM113" s="304" t="str">
        <f t="shared" si="5"/>
        <v>нет з/ч</v>
      </c>
      <c r="AN113" s="2"/>
      <c r="AO113" s="289"/>
      <c r="AP113" s="296"/>
      <c r="AQ113" s="296"/>
      <c r="AR113" s="139"/>
      <c r="AS113" s="2"/>
      <c r="AT113" s="2"/>
      <c r="AU113" s="2"/>
      <c r="AV113" s="2"/>
      <c r="AW113" s="2"/>
      <c r="AX113" s="3" t="s">
        <v>9106</v>
      </c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>
      <c r="A114" s="315" t="s">
        <v>9107</v>
      </c>
      <c r="B114" s="93"/>
      <c r="C114" s="65"/>
      <c r="D114" s="31" t="s">
        <v>159</v>
      </c>
      <c r="E114" s="11" t="s">
        <v>8908</v>
      </c>
      <c r="F114" s="427" t="s">
        <v>8915</v>
      </c>
      <c r="G114" s="31" t="s">
        <v>8916</v>
      </c>
      <c r="H114" s="31"/>
      <c r="I114" s="31"/>
      <c r="J114" s="31"/>
      <c r="K114" s="428"/>
      <c r="L114" s="327" t="s">
        <v>9108</v>
      </c>
      <c r="M114" s="322"/>
      <c r="N114" s="328">
        <v>1600.0</v>
      </c>
      <c r="O114" s="429"/>
      <c r="P114" s="322"/>
      <c r="Q114" s="323"/>
      <c r="R114" s="429"/>
      <c r="S114" s="322"/>
      <c r="T114" s="323"/>
      <c r="U114" s="324"/>
      <c r="V114" s="322"/>
      <c r="W114" s="323"/>
      <c r="X114" s="324">
        <v>1600.0</v>
      </c>
      <c r="Y114" s="173" t="s">
        <v>8912</v>
      </c>
      <c r="Z114" s="322">
        <v>1800.0</v>
      </c>
      <c r="AA114" s="313">
        <f>MAX(Z114:Z115)</f>
        <v>1800</v>
      </c>
      <c r="AB114" s="319">
        <f>AA114</f>
        <v>1800</v>
      </c>
      <c r="AC114" s="430"/>
      <c r="AD114" s="326" t="s">
        <v>5839</v>
      </c>
      <c r="AE114" s="329" t="s">
        <v>9109</v>
      </c>
      <c r="AF114" s="431"/>
      <c r="AG114" s="432"/>
      <c r="AH114" s="330">
        <v>46080.71659034722</v>
      </c>
      <c r="AI114" s="2"/>
      <c r="AJ114" s="289">
        <f t="shared" si="1"/>
        <v>200</v>
      </c>
      <c r="AK114" s="61" t="str">
        <f t="shared" si="2"/>
        <v>нет з/ч</v>
      </c>
      <c r="AL114" s="61" t="str">
        <f t="shared" si="3"/>
        <v>нет з/ч</v>
      </c>
      <c r="AM114" s="304" t="str">
        <f t="shared" si="5"/>
        <v>нет з/ч</v>
      </c>
      <c r="AN114" s="2"/>
      <c r="AO114" s="289">
        <v>1600.0</v>
      </c>
      <c r="AP114" s="296"/>
      <c r="AQ114" s="296"/>
      <c r="AR114" s="139"/>
      <c r="AS114" s="2"/>
      <c r="AT114" s="2"/>
      <c r="AU114" s="2"/>
      <c r="AV114" s="2"/>
      <c r="AW114" s="2"/>
      <c r="AX114" s="3" t="s">
        <v>9107</v>
      </c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>
      <c r="A115" s="315" t="s">
        <v>9110</v>
      </c>
      <c r="B115" s="93"/>
      <c r="C115" s="65"/>
      <c r="D115" s="31" t="s">
        <v>159</v>
      </c>
      <c r="E115" s="11" t="s">
        <v>8908</v>
      </c>
      <c r="F115" s="427" t="s">
        <v>8915</v>
      </c>
      <c r="G115" s="31" t="s">
        <v>8916</v>
      </c>
      <c r="H115" s="31"/>
      <c r="I115" s="31"/>
      <c r="J115" s="31"/>
      <c r="K115" s="428"/>
      <c r="L115" s="327" t="s">
        <v>9111</v>
      </c>
      <c r="M115" s="322"/>
      <c r="N115" s="328">
        <v>1600.0</v>
      </c>
      <c r="O115" s="429"/>
      <c r="P115" s="322"/>
      <c r="Q115" s="323"/>
      <c r="R115" s="429"/>
      <c r="S115" s="322"/>
      <c r="T115" s="323"/>
      <c r="U115" s="324"/>
      <c r="V115" s="322"/>
      <c r="W115" s="323"/>
      <c r="X115" s="324">
        <v>1600.0</v>
      </c>
      <c r="Y115" s="173" t="s">
        <v>8912</v>
      </c>
      <c r="Z115" s="322">
        <v>1800.0</v>
      </c>
      <c r="AA115" s="67"/>
      <c r="AB115" s="319">
        <f>AA114</f>
        <v>1800</v>
      </c>
      <c r="AC115" s="430"/>
      <c r="AD115" s="326" t="s">
        <v>5839</v>
      </c>
      <c r="AE115" s="329" t="s">
        <v>9112</v>
      </c>
      <c r="AF115" s="431"/>
      <c r="AG115" s="432"/>
      <c r="AH115" s="330">
        <v>46080.716616261576</v>
      </c>
      <c r="AI115" s="2"/>
      <c r="AJ115" s="289">
        <f t="shared" si="1"/>
        <v>200</v>
      </c>
      <c r="AK115" s="61" t="str">
        <f t="shared" si="2"/>
        <v>нет з/ч</v>
      </c>
      <c r="AL115" s="61" t="str">
        <f t="shared" si="3"/>
        <v>нет з/ч</v>
      </c>
      <c r="AM115" s="304" t="str">
        <f t="shared" si="5"/>
        <v>нет з/ч</v>
      </c>
      <c r="AN115" s="2"/>
      <c r="AO115" s="289">
        <v>1600.0</v>
      </c>
      <c r="AP115" s="296"/>
      <c r="AQ115" s="296"/>
      <c r="AR115" s="139"/>
      <c r="AS115" s="2"/>
      <c r="AT115" s="2"/>
      <c r="AU115" s="2"/>
      <c r="AV115" s="2"/>
      <c r="AW115" s="2"/>
      <c r="AX115" s="3" t="s">
        <v>9110</v>
      </c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>
      <c r="A116" s="312" t="s">
        <v>9113</v>
      </c>
      <c r="B116" s="93"/>
      <c r="C116" s="65"/>
      <c r="D116" s="31" t="s">
        <v>167</v>
      </c>
      <c r="E116" s="11" t="s">
        <v>8908</v>
      </c>
      <c r="F116" s="427" t="s">
        <v>8909</v>
      </c>
      <c r="G116" s="31" t="s">
        <v>8910</v>
      </c>
      <c r="H116" s="31"/>
      <c r="I116" s="31"/>
      <c r="J116" s="31"/>
      <c r="K116" s="428"/>
      <c r="L116" s="321"/>
      <c r="M116" s="322"/>
      <c r="N116" s="323"/>
      <c r="O116" s="429"/>
      <c r="P116" s="322"/>
      <c r="Q116" s="323"/>
      <c r="R116" s="429"/>
      <c r="S116" s="322"/>
      <c r="T116" s="323"/>
      <c r="U116" s="324"/>
      <c r="V116" s="322"/>
      <c r="W116" s="323"/>
      <c r="X116" s="324" t="s">
        <v>22</v>
      </c>
      <c r="Y116" s="173" t="s">
        <v>8912</v>
      </c>
      <c r="Z116" s="322" t="s">
        <v>22</v>
      </c>
      <c r="AA116" s="313">
        <f>MAX(Z116:Z118)</f>
        <v>0</v>
      </c>
      <c r="AB116" s="319">
        <f>AA116</f>
        <v>0</v>
      </c>
      <c r="AC116" s="430"/>
      <c r="AD116" s="326" t="s">
        <v>22</v>
      </c>
      <c r="AE116" s="331"/>
      <c r="AF116" s="431"/>
      <c r="AG116" s="432"/>
      <c r="AH116" s="326"/>
      <c r="AI116" s="2"/>
      <c r="AJ116" s="59" t="str">
        <f t="shared" si="1"/>
        <v>нет з/ч</v>
      </c>
      <c r="AK116" s="61" t="str">
        <f t="shared" si="2"/>
        <v>нет з/ч</v>
      </c>
      <c r="AL116" s="61" t="str">
        <f t="shared" si="3"/>
        <v>нет з/ч</v>
      </c>
      <c r="AM116" s="304" t="str">
        <f t="shared" si="5"/>
        <v>нет з/ч</v>
      </c>
      <c r="AN116" s="2"/>
      <c r="AO116" s="289"/>
      <c r="AP116" s="296"/>
      <c r="AQ116" s="296"/>
      <c r="AR116" s="139"/>
      <c r="AS116" s="2"/>
      <c r="AT116" s="2"/>
      <c r="AU116" s="2"/>
      <c r="AV116" s="2"/>
      <c r="AW116" s="2"/>
      <c r="AX116" s="3" t="s">
        <v>9113</v>
      </c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>
      <c r="A117" s="312" t="s">
        <v>9114</v>
      </c>
      <c r="B117" s="93"/>
      <c r="C117" s="65"/>
      <c r="D117" s="31" t="s">
        <v>167</v>
      </c>
      <c r="E117" s="11" t="s">
        <v>8908</v>
      </c>
      <c r="F117" s="427" t="s">
        <v>8909</v>
      </c>
      <c r="G117" s="31" t="s">
        <v>8910</v>
      </c>
      <c r="H117" s="31"/>
      <c r="I117" s="31"/>
      <c r="J117" s="31"/>
      <c r="K117" s="428"/>
      <c r="L117" s="321"/>
      <c r="M117" s="322"/>
      <c r="N117" s="323"/>
      <c r="O117" s="429"/>
      <c r="P117" s="322"/>
      <c r="Q117" s="323"/>
      <c r="R117" s="429"/>
      <c r="S117" s="322"/>
      <c r="T117" s="323"/>
      <c r="U117" s="324"/>
      <c r="V117" s="322"/>
      <c r="W117" s="323"/>
      <c r="X117" s="324" t="s">
        <v>22</v>
      </c>
      <c r="Y117" s="173" t="s">
        <v>8912</v>
      </c>
      <c r="Z117" s="322" t="s">
        <v>22</v>
      </c>
      <c r="AA117" s="104"/>
      <c r="AB117" s="319">
        <f>AA116</f>
        <v>0</v>
      </c>
      <c r="AC117" s="430"/>
      <c r="AD117" s="326" t="s">
        <v>22</v>
      </c>
      <c r="AE117" s="331"/>
      <c r="AF117" s="431"/>
      <c r="AG117" s="432"/>
      <c r="AH117" s="326"/>
      <c r="AI117" s="2"/>
      <c r="AJ117" s="59" t="str">
        <f t="shared" si="1"/>
        <v>нет з/ч</v>
      </c>
      <c r="AK117" s="61" t="str">
        <f t="shared" si="2"/>
        <v>нет з/ч</v>
      </c>
      <c r="AL117" s="61" t="str">
        <f t="shared" si="3"/>
        <v>нет з/ч</v>
      </c>
      <c r="AM117" s="304" t="str">
        <f t="shared" si="5"/>
        <v>нет з/ч</v>
      </c>
      <c r="AN117" s="2"/>
      <c r="AO117" s="289"/>
      <c r="AP117" s="296"/>
      <c r="AQ117" s="296"/>
      <c r="AR117" s="139"/>
      <c r="AS117" s="2"/>
      <c r="AT117" s="2"/>
      <c r="AU117" s="2"/>
      <c r="AV117" s="2"/>
      <c r="AW117" s="2"/>
      <c r="AX117" s="3" t="s">
        <v>9114</v>
      </c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>
      <c r="A118" s="312" t="s">
        <v>9115</v>
      </c>
      <c r="B118" s="93"/>
      <c r="C118" s="65"/>
      <c r="D118" s="31" t="s">
        <v>167</v>
      </c>
      <c r="E118" s="11" t="s">
        <v>8908</v>
      </c>
      <c r="F118" s="427" t="s">
        <v>8909</v>
      </c>
      <c r="G118" s="31" t="s">
        <v>8910</v>
      </c>
      <c r="H118" s="31"/>
      <c r="I118" s="31"/>
      <c r="J118" s="31"/>
      <c r="K118" s="428"/>
      <c r="L118" s="321"/>
      <c r="M118" s="322"/>
      <c r="N118" s="323"/>
      <c r="O118" s="429"/>
      <c r="P118" s="322"/>
      <c r="Q118" s="323"/>
      <c r="R118" s="429"/>
      <c r="S118" s="322"/>
      <c r="T118" s="323"/>
      <c r="U118" s="324"/>
      <c r="V118" s="322"/>
      <c r="W118" s="323"/>
      <c r="X118" s="324" t="s">
        <v>22</v>
      </c>
      <c r="Y118" s="173" t="s">
        <v>8912</v>
      </c>
      <c r="Z118" s="322" t="s">
        <v>22</v>
      </c>
      <c r="AA118" s="67"/>
      <c r="AB118" s="319">
        <f>AA116</f>
        <v>0</v>
      </c>
      <c r="AC118" s="430"/>
      <c r="AD118" s="326" t="s">
        <v>22</v>
      </c>
      <c r="AE118" s="331"/>
      <c r="AF118" s="431"/>
      <c r="AG118" s="432"/>
      <c r="AH118" s="326"/>
      <c r="AI118" s="2"/>
      <c r="AJ118" s="59" t="str">
        <f t="shared" si="1"/>
        <v>нет з/ч</v>
      </c>
      <c r="AK118" s="61" t="str">
        <f t="shared" si="2"/>
        <v>нет з/ч</v>
      </c>
      <c r="AL118" s="61" t="str">
        <f t="shared" si="3"/>
        <v>нет з/ч</v>
      </c>
      <c r="AM118" s="304" t="str">
        <f t="shared" si="5"/>
        <v>нет з/ч</v>
      </c>
      <c r="AN118" s="2"/>
      <c r="AO118" s="289"/>
      <c r="AP118" s="296"/>
      <c r="AQ118" s="296"/>
      <c r="AR118" s="139"/>
      <c r="AS118" s="2"/>
      <c r="AT118" s="2"/>
      <c r="AU118" s="2"/>
      <c r="AV118" s="2"/>
      <c r="AW118" s="2"/>
      <c r="AX118" s="3" t="s">
        <v>9115</v>
      </c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>
      <c r="A119" s="312" t="s">
        <v>9116</v>
      </c>
      <c r="B119" s="93"/>
      <c r="C119" s="65"/>
      <c r="D119" s="31" t="s">
        <v>167</v>
      </c>
      <c r="E119" s="11" t="s">
        <v>8908</v>
      </c>
      <c r="F119" s="427" t="s">
        <v>8915</v>
      </c>
      <c r="G119" s="31" t="s">
        <v>8916</v>
      </c>
      <c r="H119" s="31"/>
      <c r="I119" s="31"/>
      <c r="J119" s="31"/>
      <c r="K119" s="428"/>
      <c r="L119" s="327" t="s">
        <v>9117</v>
      </c>
      <c r="M119" s="322"/>
      <c r="N119" s="328">
        <v>1900.0</v>
      </c>
      <c r="O119" s="429"/>
      <c r="P119" s="322"/>
      <c r="Q119" s="323"/>
      <c r="R119" s="429"/>
      <c r="S119" s="322"/>
      <c r="T119" s="323"/>
      <c r="U119" s="324"/>
      <c r="V119" s="322"/>
      <c r="W119" s="323"/>
      <c r="X119" s="324">
        <v>1900.0</v>
      </c>
      <c r="Y119" s="173" t="s">
        <v>8912</v>
      </c>
      <c r="Z119" s="322">
        <v>2200.0</v>
      </c>
      <c r="AA119" s="313">
        <f>MAX(Z119:Z121)</f>
        <v>2200</v>
      </c>
      <c r="AB119" s="319">
        <f>AA119</f>
        <v>2200</v>
      </c>
      <c r="AC119" s="430"/>
      <c r="AD119" s="326" t="s">
        <v>5839</v>
      </c>
      <c r="AE119" s="329" t="s">
        <v>9118</v>
      </c>
      <c r="AF119" s="431"/>
      <c r="AG119" s="432"/>
      <c r="AH119" s="330">
        <v>46080.71664547454</v>
      </c>
      <c r="AI119" s="2"/>
      <c r="AJ119" s="289">
        <f t="shared" si="1"/>
        <v>300</v>
      </c>
      <c r="AK119" s="61" t="str">
        <f t="shared" si="2"/>
        <v>нет з/ч</v>
      </c>
      <c r="AL119" s="61" t="str">
        <f t="shared" si="3"/>
        <v>нет з/ч</v>
      </c>
      <c r="AM119" s="304" t="str">
        <f t="shared" si="5"/>
        <v>нет з/ч</v>
      </c>
      <c r="AN119" s="2"/>
      <c r="AO119" s="289">
        <v>1900.0</v>
      </c>
      <c r="AP119" s="296"/>
      <c r="AQ119" s="296"/>
      <c r="AR119" s="139"/>
      <c r="AS119" s="2"/>
      <c r="AT119" s="2"/>
      <c r="AU119" s="2"/>
      <c r="AV119" s="2"/>
      <c r="AW119" s="2"/>
      <c r="AX119" s="3" t="s">
        <v>9116</v>
      </c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>
      <c r="A120" s="312" t="s">
        <v>9119</v>
      </c>
      <c r="B120" s="93"/>
      <c r="C120" s="65"/>
      <c r="D120" s="31" t="s">
        <v>167</v>
      </c>
      <c r="E120" s="11" t="s">
        <v>8908</v>
      </c>
      <c r="F120" s="427" t="s">
        <v>8915</v>
      </c>
      <c r="G120" s="31" t="s">
        <v>8916</v>
      </c>
      <c r="H120" s="31"/>
      <c r="I120" s="31"/>
      <c r="J120" s="31"/>
      <c r="K120" s="428"/>
      <c r="L120" s="327" t="s">
        <v>9120</v>
      </c>
      <c r="M120" s="322"/>
      <c r="N120" s="328">
        <v>1900.0</v>
      </c>
      <c r="O120" s="429"/>
      <c r="P120" s="322"/>
      <c r="Q120" s="323"/>
      <c r="R120" s="429"/>
      <c r="S120" s="322"/>
      <c r="T120" s="323"/>
      <c r="U120" s="324"/>
      <c r="V120" s="322"/>
      <c r="W120" s="323"/>
      <c r="X120" s="324">
        <v>1900.0</v>
      </c>
      <c r="Y120" s="173" t="s">
        <v>8912</v>
      </c>
      <c r="Z120" s="322">
        <v>2200.0</v>
      </c>
      <c r="AA120" s="104"/>
      <c r="AB120" s="319">
        <f>AA119</f>
        <v>2200</v>
      </c>
      <c r="AC120" s="430"/>
      <c r="AD120" s="326" t="s">
        <v>5839</v>
      </c>
      <c r="AE120" s="329" t="s">
        <v>9121</v>
      </c>
      <c r="AF120" s="431"/>
      <c r="AG120" s="432"/>
      <c r="AH120" s="330">
        <v>46080.71667569445</v>
      </c>
      <c r="AI120" s="2"/>
      <c r="AJ120" s="289">
        <f t="shared" si="1"/>
        <v>300</v>
      </c>
      <c r="AK120" s="61" t="str">
        <f t="shared" si="2"/>
        <v>нет з/ч</v>
      </c>
      <c r="AL120" s="61" t="str">
        <f t="shared" si="3"/>
        <v>нет з/ч</v>
      </c>
      <c r="AM120" s="304" t="str">
        <f t="shared" si="5"/>
        <v>нет з/ч</v>
      </c>
      <c r="AN120" s="2"/>
      <c r="AO120" s="289">
        <v>1900.0</v>
      </c>
      <c r="AP120" s="296"/>
      <c r="AQ120" s="296"/>
      <c r="AR120" s="139"/>
      <c r="AS120" s="2"/>
      <c r="AT120" s="2"/>
      <c r="AU120" s="2"/>
      <c r="AV120" s="2"/>
      <c r="AW120" s="2"/>
      <c r="AX120" s="3" t="s">
        <v>9119</v>
      </c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>
      <c r="A121" s="312" t="s">
        <v>9122</v>
      </c>
      <c r="B121" s="93"/>
      <c r="C121" s="65"/>
      <c r="D121" s="31" t="s">
        <v>167</v>
      </c>
      <c r="E121" s="11" t="s">
        <v>8908</v>
      </c>
      <c r="F121" s="427" t="s">
        <v>8915</v>
      </c>
      <c r="G121" s="31" t="s">
        <v>8916</v>
      </c>
      <c r="H121" s="31"/>
      <c r="I121" s="31"/>
      <c r="J121" s="31"/>
      <c r="K121" s="428"/>
      <c r="L121" s="327" t="s">
        <v>9123</v>
      </c>
      <c r="M121" s="322"/>
      <c r="N121" s="328">
        <v>1900.0</v>
      </c>
      <c r="O121" s="429"/>
      <c r="P121" s="322"/>
      <c r="Q121" s="323"/>
      <c r="R121" s="429"/>
      <c r="S121" s="322"/>
      <c r="T121" s="323"/>
      <c r="U121" s="324"/>
      <c r="V121" s="322"/>
      <c r="W121" s="323"/>
      <c r="X121" s="324">
        <v>1900.0</v>
      </c>
      <c r="Y121" s="173" t="s">
        <v>8912</v>
      </c>
      <c r="Z121" s="322">
        <v>2200.0</v>
      </c>
      <c r="AA121" s="67"/>
      <c r="AB121" s="319">
        <f>AA119</f>
        <v>2200</v>
      </c>
      <c r="AC121" s="430"/>
      <c r="AD121" s="326" t="s">
        <v>5839</v>
      </c>
      <c r="AE121" s="329" t="s">
        <v>9124</v>
      </c>
      <c r="AF121" s="431"/>
      <c r="AG121" s="432"/>
      <c r="AH121" s="330">
        <v>46080.716703425926</v>
      </c>
      <c r="AI121" s="2"/>
      <c r="AJ121" s="289">
        <f t="shared" si="1"/>
        <v>300</v>
      </c>
      <c r="AK121" s="61" t="str">
        <f t="shared" si="2"/>
        <v>нет з/ч</v>
      </c>
      <c r="AL121" s="61" t="str">
        <f t="shared" si="3"/>
        <v>нет з/ч</v>
      </c>
      <c r="AM121" s="304" t="str">
        <f t="shared" si="5"/>
        <v>нет з/ч</v>
      </c>
      <c r="AN121" s="2"/>
      <c r="AO121" s="289">
        <v>1900.0</v>
      </c>
      <c r="AP121" s="296"/>
      <c r="AQ121" s="296"/>
      <c r="AR121" s="139"/>
      <c r="AS121" s="2"/>
      <c r="AT121" s="2"/>
      <c r="AU121" s="2"/>
      <c r="AV121" s="2"/>
      <c r="AW121" s="2"/>
      <c r="AX121" s="3" t="s">
        <v>9122</v>
      </c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</row>
    <row r="122">
      <c r="A122" s="312" t="s">
        <v>9125</v>
      </c>
      <c r="B122" s="93"/>
      <c r="C122" s="65"/>
      <c r="D122" s="31" t="s">
        <v>175</v>
      </c>
      <c r="E122" s="11" t="s">
        <v>8908</v>
      </c>
      <c r="F122" s="427" t="s">
        <v>8909</v>
      </c>
      <c r="G122" s="31" t="s">
        <v>8910</v>
      </c>
      <c r="H122" s="31"/>
      <c r="I122" s="31"/>
      <c r="J122" s="31"/>
      <c r="K122" s="428"/>
      <c r="L122" s="321"/>
      <c r="M122" s="322"/>
      <c r="N122" s="323"/>
      <c r="O122" s="429"/>
      <c r="P122" s="322"/>
      <c r="Q122" s="323"/>
      <c r="R122" s="429"/>
      <c r="S122" s="322"/>
      <c r="T122" s="323"/>
      <c r="U122" s="324"/>
      <c r="V122" s="322"/>
      <c r="W122" s="323"/>
      <c r="X122" s="324" t="s">
        <v>22</v>
      </c>
      <c r="Y122" s="173" t="s">
        <v>8912</v>
      </c>
      <c r="Z122" s="322" t="s">
        <v>22</v>
      </c>
      <c r="AA122" s="313">
        <f>MAX(Z122:Z124)</f>
        <v>0</v>
      </c>
      <c r="AB122" s="319">
        <f>AA122</f>
        <v>0</v>
      </c>
      <c r="AC122" s="430"/>
      <c r="AD122" s="326" t="s">
        <v>22</v>
      </c>
      <c r="AE122" s="331"/>
      <c r="AF122" s="431"/>
      <c r="AG122" s="432"/>
      <c r="AH122" s="326"/>
      <c r="AI122" s="2"/>
      <c r="AJ122" s="59" t="str">
        <f t="shared" si="1"/>
        <v>нет з/ч</v>
      </c>
      <c r="AK122" s="61" t="str">
        <f t="shared" si="2"/>
        <v>нет з/ч</v>
      </c>
      <c r="AL122" s="61" t="str">
        <f t="shared" si="3"/>
        <v>нет з/ч</v>
      </c>
      <c r="AM122" s="304" t="str">
        <f t="shared" si="5"/>
        <v>нет з/ч</v>
      </c>
      <c r="AN122" s="2"/>
      <c r="AO122" s="289"/>
      <c r="AP122" s="296"/>
      <c r="AQ122" s="296"/>
      <c r="AR122" s="139"/>
      <c r="AS122" s="2"/>
      <c r="AT122" s="2"/>
      <c r="AU122" s="2"/>
      <c r="AV122" s="2"/>
      <c r="AW122" s="2"/>
      <c r="AX122" s="3" t="s">
        <v>9125</v>
      </c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</row>
    <row r="123">
      <c r="A123" s="312" t="s">
        <v>9126</v>
      </c>
      <c r="B123" s="93"/>
      <c r="C123" s="65"/>
      <c r="D123" s="31" t="s">
        <v>175</v>
      </c>
      <c r="E123" s="11" t="s">
        <v>8908</v>
      </c>
      <c r="F123" s="427" t="s">
        <v>8909</v>
      </c>
      <c r="G123" s="31" t="s">
        <v>8910</v>
      </c>
      <c r="H123" s="31"/>
      <c r="I123" s="31"/>
      <c r="J123" s="31"/>
      <c r="K123" s="428"/>
      <c r="L123" s="321"/>
      <c r="M123" s="322"/>
      <c r="N123" s="323"/>
      <c r="O123" s="429"/>
      <c r="P123" s="322"/>
      <c r="Q123" s="323"/>
      <c r="R123" s="429"/>
      <c r="S123" s="322"/>
      <c r="T123" s="323"/>
      <c r="U123" s="324"/>
      <c r="V123" s="322"/>
      <c r="W123" s="323"/>
      <c r="X123" s="324" t="s">
        <v>22</v>
      </c>
      <c r="Y123" s="173" t="s">
        <v>8912</v>
      </c>
      <c r="Z123" s="322" t="s">
        <v>22</v>
      </c>
      <c r="AA123" s="104"/>
      <c r="AB123" s="319">
        <f>AA122</f>
        <v>0</v>
      </c>
      <c r="AC123" s="430"/>
      <c r="AD123" s="326" t="s">
        <v>22</v>
      </c>
      <c r="AE123" s="331"/>
      <c r="AF123" s="431"/>
      <c r="AG123" s="432"/>
      <c r="AH123" s="326"/>
      <c r="AI123" s="2"/>
      <c r="AJ123" s="59" t="str">
        <f t="shared" si="1"/>
        <v>нет з/ч</v>
      </c>
      <c r="AK123" s="61" t="str">
        <f t="shared" si="2"/>
        <v>нет з/ч</v>
      </c>
      <c r="AL123" s="61" t="str">
        <f t="shared" si="3"/>
        <v>нет з/ч</v>
      </c>
      <c r="AM123" s="304" t="str">
        <f t="shared" si="5"/>
        <v>нет з/ч</v>
      </c>
      <c r="AN123" s="2"/>
      <c r="AO123" s="289"/>
      <c r="AP123" s="296"/>
      <c r="AQ123" s="296"/>
      <c r="AR123" s="139"/>
      <c r="AS123" s="2"/>
      <c r="AT123" s="2"/>
      <c r="AU123" s="2"/>
      <c r="AV123" s="2"/>
      <c r="AW123" s="2"/>
      <c r="AX123" s="3" t="s">
        <v>9126</v>
      </c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</row>
    <row r="124">
      <c r="A124" s="312" t="s">
        <v>9127</v>
      </c>
      <c r="B124" s="93"/>
      <c r="C124" s="65"/>
      <c r="D124" s="31" t="s">
        <v>175</v>
      </c>
      <c r="E124" s="11" t="s">
        <v>8908</v>
      </c>
      <c r="F124" s="427" t="s">
        <v>8909</v>
      </c>
      <c r="G124" s="31" t="s">
        <v>8910</v>
      </c>
      <c r="H124" s="31"/>
      <c r="I124" s="31"/>
      <c r="J124" s="31"/>
      <c r="K124" s="428"/>
      <c r="L124" s="321"/>
      <c r="M124" s="322"/>
      <c r="N124" s="323"/>
      <c r="O124" s="429"/>
      <c r="P124" s="322"/>
      <c r="Q124" s="323"/>
      <c r="R124" s="429"/>
      <c r="S124" s="322"/>
      <c r="T124" s="323"/>
      <c r="U124" s="324"/>
      <c r="V124" s="322"/>
      <c r="W124" s="323"/>
      <c r="X124" s="324" t="s">
        <v>22</v>
      </c>
      <c r="Y124" s="173" t="s">
        <v>8912</v>
      </c>
      <c r="Z124" s="322" t="s">
        <v>22</v>
      </c>
      <c r="AA124" s="67"/>
      <c r="AB124" s="319">
        <f>AA122</f>
        <v>0</v>
      </c>
      <c r="AC124" s="430"/>
      <c r="AD124" s="326" t="s">
        <v>22</v>
      </c>
      <c r="AE124" s="331"/>
      <c r="AF124" s="431"/>
      <c r="AG124" s="432"/>
      <c r="AH124" s="326"/>
      <c r="AI124" s="2"/>
      <c r="AJ124" s="59" t="str">
        <f t="shared" si="1"/>
        <v>нет з/ч</v>
      </c>
      <c r="AK124" s="61" t="str">
        <f t="shared" si="2"/>
        <v>нет з/ч</v>
      </c>
      <c r="AL124" s="61" t="str">
        <f t="shared" si="3"/>
        <v>нет з/ч</v>
      </c>
      <c r="AM124" s="304" t="str">
        <f t="shared" si="5"/>
        <v>нет з/ч</v>
      </c>
      <c r="AN124" s="2"/>
      <c r="AO124" s="289"/>
      <c r="AP124" s="296"/>
      <c r="AQ124" s="296"/>
      <c r="AR124" s="139"/>
      <c r="AS124" s="2"/>
      <c r="AT124" s="2"/>
      <c r="AU124" s="2"/>
      <c r="AV124" s="2"/>
      <c r="AW124" s="2"/>
      <c r="AX124" s="3" t="s">
        <v>9127</v>
      </c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</row>
    <row r="125">
      <c r="A125" s="312" t="s">
        <v>9128</v>
      </c>
      <c r="B125" s="93"/>
      <c r="C125" s="65"/>
      <c r="D125" s="31" t="s">
        <v>175</v>
      </c>
      <c r="E125" s="11" t="s">
        <v>8908</v>
      </c>
      <c r="F125" s="427" t="s">
        <v>8915</v>
      </c>
      <c r="G125" s="31" t="s">
        <v>8916</v>
      </c>
      <c r="H125" s="31"/>
      <c r="I125" s="31"/>
      <c r="J125" s="31"/>
      <c r="K125" s="428"/>
      <c r="L125" s="327" t="s">
        <v>9129</v>
      </c>
      <c r="M125" s="322"/>
      <c r="N125" s="328">
        <v>1950.0</v>
      </c>
      <c r="O125" s="429"/>
      <c r="P125" s="322"/>
      <c r="Q125" s="323"/>
      <c r="R125" s="429"/>
      <c r="S125" s="322"/>
      <c r="T125" s="323"/>
      <c r="U125" s="324"/>
      <c r="V125" s="322"/>
      <c r="W125" s="323"/>
      <c r="X125" s="324">
        <v>1950.0</v>
      </c>
      <c r="Y125" s="173" t="s">
        <v>8912</v>
      </c>
      <c r="Z125" s="322">
        <v>2200.0</v>
      </c>
      <c r="AA125" s="313">
        <f>MAX(Z125:Z127)</f>
        <v>2200</v>
      </c>
      <c r="AB125" s="319">
        <f>AA125</f>
        <v>2200</v>
      </c>
      <c r="AC125" s="430"/>
      <c r="AD125" s="326" t="s">
        <v>5839</v>
      </c>
      <c r="AE125" s="329" t="s">
        <v>9130</v>
      </c>
      <c r="AF125" s="431"/>
      <c r="AG125" s="432"/>
      <c r="AH125" s="330">
        <v>46080.7167283912</v>
      </c>
      <c r="AI125" s="2"/>
      <c r="AJ125" s="289">
        <f t="shared" si="1"/>
        <v>250</v>
      </c>
      <c r="AK125" s="61" t="str">
        <f t="shared" si="2"/>
        <v>нет з/ч</v>
      </c>
      <c r="AL125" s="61" t="str">
        <f t="shared" si="3"/>
        <v>нет з/ч</v>
      </c>
      <c r="AM125" s="304" t="str">
        <f t="shared" si="5"/>
        <v>нет з/ч</v>
      </c>
      <c r="AN125" s="2"/>
      <c r="AO125" s="289">
        <v>1950.0</v>
      </c>
      <c r="AP125" s="296"/>
      <c r="AQ125" s="296"/>
      <c r="AR125" s="139"/>
      <c r="AS125" s="2"/>
      <c r="AT125" s="2"/>
      <c r="AU125" s="2"/>
      <c r="AV125" s="2"/>
      <c r="AW125" s="2"/>
      <c r="AX125" s="3" t="s">
        <v>9128</v>
      </c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</row>
    <row r="126">
      <c r="A126" s="312" t="s">
        <v>9131</v>
      </c>
      <c r="B126" s="93"/>
      <c r="C126" s="65"/>
      <c r="D126" s="31" t="s">
        <v>175</v>
      </c>
      <c r="E126" s="11" t="s">
        <v>8908</v>
      </c>
      <c r="F126" s="427" t="s">
        <v>8915</v>
      </c>
      <c r="G126" s="31" t="s">
        <v>8916</v>
      </c>
      <c r="H126" s="31"/>
      <c r="I126" s="31"/>
      <c r="J126" s="31"/>
      <c r="K126" s="428"/>
      <c r="L126" s="327" t="s">
        <v>9132</v>
      </c>
      <c r="M126" s="322"/>
      <c r="N126" s="328">
        <v>1950.0</v>
      </c>
      <c r="O126" s="429"/>
      <c r="P126" s="322"/>
      <c r="Q126" s="323"/>
      <c r="R126" s="429"/>
      <c r="S126" s="322"/>
      <c r="T126" s="323"/>
      <c r="U126" s="324"/>
      <c r="V126" s="322"/>
      <c r="W126" s="323"/>
      <c r="X126" s="324">
        <v>1950.0</v>
      </c>
      <c r="Y126" s="173" t="s">
        <v>8912</v>
      </c>
      <c r="Z126" s="322">
        <v>2200.0</v>
      </c>
      <c r="AA126" s="104"/>
      <c r="AB126" s="319">
        <f>AA125</f>
        <v>2200</v>
      </c>
      <c r="AC126" s="430"/>
      <c r="AD126" s="326" t="s">
        <v>5839</v>
      </c>
      <c r="AE126" s="329" t="s">
        <v>9133</v>
      </c>
      <c r="AF126" s="431"/>
      <c r="AG126" s="432"/>
      <c r="AH126" s="330">
        <v>46080.71675450231</v>
      </c>
      <c r="AI126" s="2"/>
      <c r="AJ126" s="289">
        <f t="shared" si="1"/>
        <v>250</v>
      </c>
      <c r="AK126" s="61" t="str">
        <f t="shared" si="2"/>
        <v>нет з/ч</v>
      </c>
      <c r="AL126" s="61" t="str">
        <f t="shared" si="3"/>
        <v>нет з/ч</v>
      </c>
      <c r="AM126" s="304" t="str">
        <f t="shared" si="5"/>
        <v>нет з/ч</v>
      </c>
      <c r="AN126" s="2"/>
      <c r="AO126" s="289">
        <v>1950.0</v>
      </c>
      <c r="AP126" s="296"/>
      <c r="AQ126" s="296"/>
      <c r="AR126" s="139"/>
      <c r="AS126" s="2"/>
      <c r="AT126" s="2"/>
      <c r="AU126" s="2"/>
      <c r="AV126" s="2"/>
      <c r="AW126" s="2"/>
      <c r="AX126" s="3" t="s">
        <v>9131</v>
      </c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</row>
    <row r="127">
      <c r="A127" s="312" t="s">
        <v>9134</v>
      </c>
      <c r="B127" s="93"/>
      <c r="C127" s="65"/>
      <c r="D127" s="31" t="s">
        <v>175</v>
      </c>
      <c r="E127" s="11" t="s">
        <v>8908</v>
      </c>
      <c r="F127" s="427" t="s">
        <v>8915</v>
      </c>
      <c r="G127" s="31" t="s">
        <v>8916</v>
      </c>
      <c r="H127" s="31"/>
      <c r="I127" s="31"/>
      <c r="J127" s="31"/>
      <c r="K127" s="428"/>
      <c r="L127" s="327" t="s">
        <v>9135</v>
      </c>
      <c r="M127" s="322"/>
      <c r="N127" s="328">
        <v>1950.0</v>
      </c>
      <c r="O127" s="429"/>
      <c r="P127" s="322"/>
      <c r="Q127" s="323"/>
      <c r="R127" s="429"/>
      <c r="S127" s="322"/>
      <c r="T127" s="323"/>
      <c r="U127" s="324"/>
      <c r="V127" s="322"/>
      <c r="W127" s="323"/>
      <c r="X127" s="324">
        <v>1950.0</v>
      </c>
      <c r="Y127" s="173" t="s">
        <v>8912</v>
      </c>
      <c r="Z127" s="322">
        <v>2200.0</v>
      </c>
      <c r="AA127" s="67"/>
      <c r="AB127" s="319">
        <f>AA125</f>
        <v>2200</v>
      </c>
      <c r="AC127" s="430"/>
      <c r="AD127" s="326" t="s">
        <v>5839</v>
      </c>
      <c r="AE127" s="329" t="s">
        <v>9136</v>
      </c>
      <c r="AF127" s="431"/>
      <c r="AG127" s="432"/>
      <c r="AH127" s="330">
        <v>46080.716779814815</v>
      </c>
      <c r="AI127" s="2"/>
      <c r="AJ127" s="289">
        <f t="shared" si="1"/>
        <v>250</v>
      </c>
      <c r="AK127" s="61" t="str">
        <f t="shared" si="2"/>
        <v>нет з/ч</v>
      </c>
      <c r="AL127" s="61" t="str">
        <f t="shared" si="3"/>
        <v>нет з/ч</v>
      </c>
      <c r="AM127" s="304" t="str">
        <f t="shared" si="5"/>
        <v>нет з/ч</v>
      </c>
      <c r="AN127" s="2"/>
      <c r="AO127" s="289">
        <v>1950.0</v>
      </c>
      <c r="AP127" s="296"/>
      <c r="AQ127" s="296"/>
      <c r="AR127" s="139"/>
      <c r="AS127" s="2"/>
      <c r="AT127" s="2"/>
      <c r="AU127" s="2"/>
      <c r="AV127" s="2"/>
      <c r="AW127" s="2"/>
      <c r="AX127" s="3" t="s">
        <v>9134</v>
      </c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>
      <c r="A128" s="315" t="s">
        <v>9137</v>
      </c>
      <c r="B128" s="320" t="s">
        <v>9138</v>
      </c>
      <c r="C128" s="65"/>
      <c r="D128" s="31" t="s">
        <v>183</v>
      </c>
      <c r="E128" s="11" t="s">
        <v>8908</v>
      </c>
      <c r="F128" s="427" t="s">
        <v>8909</v>
      </c>
      <c r="G128" s="31" t="s">
        <v>8910</v>
      </c>
      <c r="H128" s="31"/>
      <c r="I128" s="31"/>
      <c r="J128" s="31"/>
      <c r="K128" s="428"/>
      <c r="L128" s="321"/>
      <c r="M128" s="322"/>
      <c r="N128" s="323"/>
      <c r="O128" s="429"/>
      <c r="P128" s="322"/>
      <c r="Q128" s="323"/>
      <c r="R128" s="429"/>
      <c r="S128" s="322"/>
      <c r="T128" s="323"/>
      <c r="U128" s="324"/>
      <c r="V128" s="322"/>
      <c r="W128" s="323"/>
      <c r="X128" s="324" t="s">
        <v>22</v>
      </c>
      <c r="Y128" s="173" t="s">
        <v>8912</v>
      </c>
      <c r="Z128" s="322" t="s">
        <v>22</v>
      </c>
      <c r="AA128" s="313">
        <f>MAX(Z128:Z133)</f>
        <v>0</v>
      </c>
      <c r="AB128" s="319">
        <f>AA128</f>
        <v>0</v>
      </c>
      <c r="AC128" s="430"/>
      <c r="AD128" s="326" t="s">
        <v>22</v>
      </c>
      <c r="AE128" s="331"/>
      <c r="AF128" s="431"/>
      <c r="AG128" s="432"/>
      <c r="AH128" s="326"/>
      <c r="AI128" s="2"/>
      <c r="AJ128" s="59" t="str">
        <f t="shared" si="1"/>
        <v>нет з/ч</v>
      </c>
      <c r="AK128" s="61" t="str">
        <f t="shared" si="2"/>
        <v>нет з/ч</v>
      </c>
      <c r="AL128" s="61" t="str">
        <f t="shared" si="3"/>
        <v>нет з/ч</v>
      </c>
      <c r="AM128" s="304" t="str">
        <f t="shared" si="5"/>
        <v>нет з/ч</v>
      </c>
      <c r="AN128" s="2"/>
      <c r="AO128" s="289"/>
      <c r="AP128" s="296"/>
      <c r="AQ128" s="296"/>
      <c r="AR128" s="139"/>
      <c r="AS128" s="2"/>
      <c r="AT128" s="2" t="s">
        <v>9138</v>
      </c>
      <c r="AU128" s="2" t="s">
        <v>9138</v>
      </c>
      <c r="AV128" s="2"/>
      <c r="AW128" s="2"/>
      <c r="AX128" s="3" t="s">
        <v>9137</v>
      </c>
      <c r="AY128" s="2"/>
      <c r="AZ128" s="1" t="s">
        <v>1582</v>
      </c>
      <c r="BA128" s="1" t="s">
        <v>5975</v>
      </c>
      <c r="BB128" s="2"/>
      <c r="BC128" s="1" t="s">
        <v>1589</v>
      </c>
      <c r="BD128" s="1" t="s">
        <v>5878</v>
      </c>
      <c r="BE128" s="1" t="s">
        <v>5878</v>
      </c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29">
      <c r="A129" s="315" t="s">
        <v>9139</v>
      </c>
      <c r="B129" s="320"/>
      <c r="C129" s="65"/>
      <c r="D129" s="31" t="s">
        <v>183</v>
      </c>
      <c r="E129" s="11" t="s">
        <v>8908</v>
      </c>
      <c r="F129" s="427" t="s">
        <v>8909</v>
      </c>
      <c r="G129" s="31" t="s">
        <v>8910</v>
      </c>
      <c r="H129" s="31"/>
      <c r="I129" s="31"/>
      <c r="J129" s="31"/>
      <c r="K129" s="428"/>
      <c r="L129" s="321"/>
      <c r="M129" s="322"/>
      <c r="N129" s="323"/>
      <c r="O129" s="429"/>
      <c r="P129" s="322"/>
      <c r="Q129" s="323"/>
      <c r="R129" s="429"/>
      <c r="S129" s="322"/>
      <c r="T129" s="323"/>
      <c r="U129" s="324"/>
      <c r="V129" s="322"/>
      <c r="W129" s="323"/>
      <c r="X129" s="324" t="s">
        <v>22</v>
      </c>
      <c r="Y129" s="173" t="s">
        <v>8912</v>
      </c>
      <c r="Z129" s="322" t="s">
        <v>22</v>
      </c>
      <c r="AA129" s="104"/>
      <c r="AB129" s="319">
        <f>AA128</f>
        <v>0</v>
      </c>
      <c r="AC129" s="430"/>
      <c r="AD129" s="326" t="s">
        <v>22</v>
      </c>
      <c r="AE129" s="331"/>
      <c r="AF129" s="431"/>
      <c r="AG129" s="432"/>
      <c r="AH129" s="326"/>
      <c r="AI129" s="2"/>
      <c r="AJ129" s="59" t="str">
        <f t="shared" si="1"/>
        <v>нет з/ч</v>
      </c>
      <c r="AK129" s="61" t="str">
        <f t="shared" si="2"/>
        <v>нет з/ч</v>
      </c>
      <c r="AL129" s="61" t="str">
        <f t="shared" si="3"/>
        <v>нет з/ч</v>
      </c>
      <c r="AM129" s="304" t="str">
        <f t="shared" si="5"/>
        <v>нет з/ч</v>
      </c>
      <c r="AN129" s="2"/>
      <c r="AO129" s="289"/>
      <c r="AP129" s="296"/>
      <c r="AQ129" s="296"/>
      <c r="AR129" s="139"/>
      <c r="AS129" s="2"/>
      <c r="AT129" s="2"/>
      <c r="AU129" s="2"/>
      <c r="AV129" s="2"/>
      <c r="AW129" s="2"/>
      <c r="AX129" s="3" t="s">
        <v>9139</v>
      </c>
      <c r="AY129" s="2"/>
      <c r="AZ129" s="1" t="s">
        <v>1582</v>
      </c>
      <c r="BA129" s="1" t="s">
        <v>5975</v>
      </c>
      <c r="BB129" s="2"/>
      <c r="BC129" s="1" t="s">
        <v>1589</v>
      </c>
      <c r="BD129" s="1" t="s">
        <v>5878</v>
      </c>
      <c r="BE129" s="1" t="s">
        <v>5878</v>
      </c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>
      <c r="A130" s="315" t="s">
        <v>9140</v>
      </c>
      <c r="B130" s="320"/>
      <c r="C130" s="65"/>
      <c r="D130" s="31" t="s">
        <v>183</v>
      </c>
      <c r="E130" s="11" t="s">
        <v>8908</v>
      </c>
      <c r="F130" s="427" t="s">
        <v>8909</v>
      </c>
      <c r="G130" s="31" t="s">
        <v>8910</v>
      </c>
      <c r="H130" s="31"/>
      <c r="I130" s="31"/>
      <c r="J130" s="31"/>
      <c r="K130" s="428"/>
      <c r="L130" s="321"/>
      <c r="M130" s="322"/>
      <c r="N130" s="323"/>
      <c r="O130" s="429"/>
      <c r="P130" s="322"/>
      <c r="Q130" s="323"/>
      <c r="R130" s="429"/>
      <c r="S130" s="322"/>
      <c r="T130" s="323"/>
      <c r="U130" s="324"/>
      <c r="V130" s="322"/>
      <c r="W130" s="323"/>
      <c r="X130" s="324" t="s">
        <v>22</v>
      </c>
      <c r="Y130" s="173" t="s">
        <v>8912</v>
      </c>
      <c r="Z130" s="322" t="s">
        <v>22</v>
      </c>
      <c r="AA130" s="104"/>
      <c r="AB130" s="319">
        <f>AA128</f>
        <v>0</v>
      </c>
      <c r="AC130" s="430"/>
      <c r="AD130" s="326" t="s">
        <v>22</v>
      </c>
      <c r="AE130" s="331"/>
      <c r="AF130" s="431"/>
      <c r="AG130" s="432"/>
      <c r="AH130" s="326"/>
      <c r="AI130" s="2"/>
      <c r="AJ130" s="59" t="str">
        <f t="shared" si="1"/>
        <v>нет з/ч</v>
      </c>
      <c r="AK130" s="61" t="str">
        <f t="shared" si="2"/>
        <v>нет з/ч</v>
      </c>
      <c r="AL130" s="61" t="str">
        <f t="shared" si="3"/>
        <v>нет з/ч</v>
      </c>
      <c r="AM130" s="304" t="str">
        <f t="shared" si="5"/>
        <v>нет з/ч</v>
      </c>
      <c r="AN130" s="2"/>
      <c r="AO130" s="289"/>
      <c r="AP130" s="296"/>
      <c r="AQ130" s="296"/>
      <c r="AR130" s="139"/>
      <c r="AS130" s="2"/>
      <c r="AT130" s="2"/>
      <c r="AU130" s="2"/>
      <c r="AV130" s="2"/>
      <c r="AW130" s="2"/>
      <c r="AX130" s="3" t="s">
        <v>9140</v>
      </c>
      <c r="AY130" s="2"/>
      <c r="AZ130" s="1" t="s">
        <v>1582</v>
      </c>
      <c r="BA130" s="1" t="s">
        <v>5975</v>
      </c>
      <c r="BB130" s="2"/>
      <c r="BC130" s="1" t="s">
        <v>1589</v>
      </c>
      <c r="BD130" s="1" t="s">
        <v>5878</v>
      </c>
      <c r="BE130" s="1" t="s">
        <v>5878</v>
      </c>
      <c r="BF130" s="2"/>
      <c r="BG130" s="2"/>
      <c r="BH130" s="2"/>
      <c r="BI130" s="2"/>
      <c r="BJ130" s="2"/>
      <c r="BK130" s="2"/>
      <c r="BL130" s="2"/>
      <c r="BM130" s="2"/>
      <c r="BN130" s="2"/>
      <c r="BO130" s="2"/>
    </row>
    <row r="131">
      <c r="A131" s="315" t="s">
        <v>9141</v>
      </c>
      <c r="B131" s="320"/>
      <c r="C131" s="65"/>
      <c r="D131" s="31" t="s">
        <v>183</v>
      </c>
      <c r="E131" s="11" t="s">
        <v>8908</v>
      </c>
      <c r="F131" s="427" t="s">
        <v>8909</v>
      </c>
      <c r="G131" s="31" t="s">
        <v>8910</v>
      </c>
      <c r="H131" s="31"/>
      <c r="I131" s="31"/>
      <c r="J131" s="31"/>
      <c r="K131" s="428"/>
      <c r="L131" s="321"/>
      <c r="M131" s="322"/>
      <c r="N131" s="323"/>
      <c r="O131" s="429"/>
      <c r="P131" s="322"/>
      <c r="Q131" s="323"/>
      <c r="R131" s="429"/>
      <c r="S131" s="322"/>
      <c r="T131" s="323"/>
      <c r="U131" s="324"/>
      <c r="V131" s="322"/>
      <c r="W131" s="323"/>
      <c r="X131" s="324" t="s">
        <v>22</v>
      </c>
      <c r="Y131" s="173" t="s">
        <v>8912</v>
      </c>
      <c r="Z131" s="322" t="s">
        <v>22</v>
      </c>
      <c r="AA131" s="104"/>
      <c r="AB131" s="319">
        <f>AA128</f>
        <v>0</v>
      </c>
      <c r="AC131" s="430"/>
      <c r="AD131" s="326" t="s">
        <v>22</v>
      </c>
      <c r="AE131" s="331"/>
      <c r="AF131" s="431"/>
      <c r="AG131" s="432"/>
      <c r="AH131" s="326"/>
      <c r="AI131" s="2"/>
      <c r="AJ131" s="59" t="str">
        <f t="shared" si="1"/>
        <v>нет з/ч</v>
      </c>
      <c r="AK131" s="61" t="str">
        <f t="shared" si="2"/>
        <v>нет з/ч</v>
      </c>
      <c r="AL131" s="61" t="str">
        <f t="shared" si="3"/>
        <v>нет з/ч</v>
      </c>
      <c r="AM131" s="304" t="str">
        <f t="shared" si="5"/>
        <v>нет з/ч</v>
      </c>
      <c r="AN131" s="2"/>
      <c r="AO131" s="289"/>
      <c r="AP131" s="296"/>
      <c r="AQ131" s="296"/>
      <c r="AR131" s="139"/>
      <c r="AS131" s="2"/>
      <c r="AT131" s="2"/>
      <c r="AU131" s="2"/>
      <c r="AV131" s="2"/>
      <c r="AW131" s="2"/>
      <c r="AX131" s="3" t="s">
        <v>9141</v>
      </c>
      <c r="AY131" s="2"/>
      <c r="AZ131" s="1" t="s">
        <v>1582</v>
      </c>
      <c r="BA131" s="1" t="s">
        <v>5975</v>
      </c>
      <c r="BB131" s="2"/>
      <c r="BC131" s="1" t="s">
        <v>1589</v>
      </c>
      <c r="BD131" s="1" t="s">
        <v>5878</v>
      </c>
      <c r="BE131" s="1" t="s">
        <v>5878</v>
      </c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>
      <c r="A132" s="315" t="s">
        <v>9142</v>
      </c>
      <c r="B132" s="320"/>
      <c r="C132" s="65"/>
      <c r="D132" s="31" t="s">
        <v>183</v>
      </c>
      <c r="E132" s="11" t="s">
        <v>8908</v>
      </c>
      <c r="F132" s="427" t="s">
        <v>8909</v>
      </c>
      <c r="G132" s="31" t="s">
        <v>8910</v>
      </c>
      <c r="H132" s="31"/>
      <c r="I132" s="31"/>
      <c r="J132" s="31"/>
      <c r="K132" s="428"/>
      <c r="L132" s="321"/>
      <c r="M132" s="322"/>
      <c r="N132" s="323"/>
      <c r="O132" s="429"/>
      <c r="P132" s="322"/>
      <c r="Q132" s="323"/>
      <c r="R132" s="429"/>
      <c r="S132" s="322"/>
      <c r="T132" s="323"/>
      <c r="U132" s="324"/>
      <c r="V132" s="322"/>
      <c r="W132" s="323"/>
      <c r="X132" s="324" t="s">
        <v>22</v>
      </c>
      <c r="Y132" s="173" t="s">
        <v>8912</v>
      </c>
      <c r="Z132" s="322" t="s">
        <v>22</v>
      </c>
      <c r="AA132" s="104"/>
      <c r="AB132" s="319">
        <f>AA128</f>
        <v>0</v>
      </c>
      <c r="AC132" s="430"/>
      <c r="AD132" s="326" t="s">
        <v>22</v>
      </c>
      <c r="AE132" s="331"/>
      <c r="AF132" s="431"/>
      <c r="AG132" s="432"/>
      <c r="AH132" s="326"/>
      <c r="AI132" s="2"/>
      <c r="AJ132" s="59" t="str">
        <f t="shared" si="1"/>
        <v>нет з/ч</v>
      </c>
      <c r="AK132" s="61" t="str">
        <f t="shared" si="2"/>
        <v>нет з/ч</v>
      </c>
      <c r="AL132" s="61" t="str">
        <f t="shared" si="3"/>
        <v>нет з/ч</v>
      </c>
      <c r="AM132" s="304" t="str">
        <f t="shared" si="5"/>
        <v>нет з/ч</v>
      </c>
      <c r="AN132" s="2"/>
      <c r="AO132" s="289"/>
      <c r="AP132" s="296"/>
      <c r="AQ132" s="296"/>
      <c r="AR132" s="139"/>
      <c r="AS132" s="2"/>
      <c r="AT132" s="2"/>
      <c r="AU132" s="2"/>
      <c r="AV132" s="2"/>
      <c r="AW132" s="2"/>
      <c r="AX132" s="3" t="s">
        <v>9142</v>
      </c>
      <c r="AY132" s="2"/>
      <c r="AZ132" s="1" t="s">
        <v>1582</v>
      </c>
      <c r="BA132" s="1" t="s">
        <v>5975</v>
      </c>
      <c r="BB132" s="2"/>
      <c r="BC132" s="1" t="s">
        <v>1589</v>
      </c>
      <c r="BD132" s="1" t="s">
        <v>5878</v>
      </c>
      <c r="BE132" s="1" t="s">
        <v>5878</v>
      </c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>
      <c r="A133" s="315" t="s">
        <v>9143</v>
      </c>
      <c r="B133" s="320"/>
      <c r="C133" s="65"/>
      <c r="D133" s="31" t="s">
        <v>183</v>
      </c>
      <c r="E133" s="11" t="s">
        <v>8908</v>
      </c>
      <c r="F133" s="427" t="s">
        <v>8909</v>
      </c>
      <c r="G133" s="31" t="s">
        <v>8910</v>
      </c>
      <c r="H133" s="31"/>
      <c r="I133" s="31"/>
      <c r="J133" s="31"/>
      <c r="K133" s="428"/>
      <c r="L133" s="321"/>
      <c r="M133" s="322"/>
      <c r="N133" s="323"/>
      <c r="O133" s="429"/>
      <c r="P133" s="322"/>
      <c r="Q133" s="323"/>
      <c r="R133" s="429"/>
      <c r="S133" s="322"/>
      <c r="T133" s="323"/>
      <c r="U133" s="324"/>
      <c r="V133" s="322"/>
      <c r="W133" s="323"/>
      <c r="X133" s="324" t="s">
        <v>22</v>
      </c>
      <c r="Y133" s="173" t="s">
        <v>8912</v>
      </c>
      <c r="Z133" s="322" t="s">
        <v>22</v>
      </c>
      <c r="AA133" s="67"/>
      <c r="AB133" s="319">
        <f>AA128</f>
        <v>0</v>
      </c>
      <c r="AC133" s="430"/>
      <c r="AD133" s="326" t="s">
        <v>22</v>
      </c>
      <c r="AE133" s="331"/>
      <c r="AF133" s="431"/>
      <c r="AG133" s="432"/>
      <c r="AH133" s="326"/>
      <c r="AI133" s="2"/>
      <c r="AJ133" s="59" t="str">
        <f t="shared" si="1"/>
        <v>нет з/ч</v>
      </c>
      <c r="AK133" s="61" t="str">
        <f t="shared" si="2"/>
        <v>нет з/ч</v>
      </c>
      <c r="AL133" s="61" t="str">
        <f t="shared" si="3"/>
        <v>нет з/ч</v>
      </c>
      <c r="AM133" s="304" t="str">
        <f t="shared" si="5"/>
        <v>нет з/ч</v>
      </c>
      <c r="AN133" s="2"/>
      <c r="AO133" s="289"/>
      <c r="AP133" s="296"/>
      <c r="AQ133" s="296"/>
      <c r="AR133" s="139"/>
      <c r="AS133" s="2"/>
      <c r="AT133" s="2"/>
      <c r="AU133" s="2"/>
      <c r="AV133" s="2"/>
      <c r="AW133" s="2"/>
      <c r="AX133" s="3" t="s">
        <v>9143</v>
      </c>
      <c r="AY133" s="2"/>
      <c r="AZ133" s="1" t="s">
        <v>1582</v>
      </c>
      <c r="BA133" s="1" t="s">
        <v>5975</v>
      </c>
      <c r="BB133" s="2"/>
      <c r="BC133" s="1" t="s">
        <v>1589</v>
      </c>
      <c r="BD133" s="1" t="s">
        <v>5878</v>
      </c>
      <c r="BE133" s="1" t="s">
        <v>5878</v>
      </c>
      <c r="BF133" s="2"/>
      <c r="BG133" s="2"/>
      <c r="BH133" s="2"/>
      <c r="BI133" s="2"/>
      <c r="BJ133" s="2"/>
      <c r="BK133" s="2"/>
      <c r="BL133" s="2"/>
      <c r="BM133" s="2"/>
      <c r="BN133" s="2"/>
      <c r="BO133" s="2"/>
    </row>
    <row r="134">
      <c r="A134" s="315" t="s">
        <v>9144</v>
      </c>
      <c r="B134" s="320" t="s">
        <v>9145</v>
      </c>
      <c r="C134" s="65"/>
      <c r="D134" s="31" t="s">
        <v>183</v>
      </c>
      <c r="E134" s="11" t="s">
        <v>8908</v>
      </c>
      <c r="F134" s="427" t="s">
        <v>8915</v>
      </c>
      <c r="G134" s="31" t="s">
        <v>8916</v>
      </c>
      <c r="H134" s="31"/>
      <c r="I134" s="31"/>
      <c r="J134" s="31"/>
      <c r="K134" s="428"/>
      <c r="L134" s="327" t="s">
        <v>9146</v>
      </c>
      <c r="M134" s="322"/>
      <c r="N134" s="328">
        <v>1250.0</v>
      </c>
      <c r="O134" s="429"/>
      <c r="P134" s="322"/>
      <c r="Q134" s="323"/>
      <c r="R134" s="429"/>
      <c r="S134" s="322"/>
      <c r="T134" s="323"/>
      <c r="U134" s="324"/>
      <c r="V134" s="322"/>
      <c r="W134" s="323"/>
      <c r="X134" s="324">
        <v>1250.0</v>
      </c>
      <c r="Y134" s="173" t="s">
        <v>8912</v>
      </c>
      <c r="Z134" s="322">
        <v>1400.0</v>
      </c>
      <c r="AA134" s="313">
        <f>MAX(Z134:Z139)</f>
        <v>1400</v>
      </c>
      <c r="AB134" s="319">
        <f>AA134</f>
        <v>1400</v>
      </c>
      <c r="AC134" s="430"/>
      <c r="AD134" s="326" t="s">
        <v>5839</v>
      </c>
      <c r="AE134" s="329" t="s">
        <v>9147</v>
      </c>
      <c r="AF134" s="431"/>
      <c r="AG134" s="432"/>
      <c r="AH134" s="330">
        <v>46080.71680542824</v>
      </c>
      <c r="AI134" s="2"/>
      <c r="AJ134" s="289">
        <f t="shared" si="1"/>
        <v>150</v>
      </c>
      <c r="AK134" s="61" t="str">
        <f t="shared" si="2"/>
        <v>нет з/ч</v>
      </c>
      <c r="AL134" s="61" t="str">
        <f t="shared" si="3"/>
        <v>нет з/ч</v>
      </c>
      <c r="AM134" s="304" t="str">
        <f t="shared" si="5"/>
        <v>нет з/ч</v>
      </c>
      <c r="AN134" s="2"/>
      <c r="AO134" s="289">
        <v>1250.0</v>
      </c>
      <c r="AP134" s="296"/>
      <c r="AQ134" s="296"/>
      <c r="AR134" s="139"/>
      <c r="AS134" s="2"/>
      <c r="AT134" s="2" t="s">
        <v>9145</v>
      </c>
      <c r="AU134" s="2" t="s">
        <v>9145</v>
      </c>
      <c r="AV134" s="2"/>
      <c r="AW134" s="2"/>
      <c r="AX134" s="3" t="s">
        <v>9144</v>
      </c>
      <c r="AY134" s="2"/>
      <c r="AZ134" s="1" t="s">
        <v>1582</v>
      </c>
      <c r="BA134" s="1" t="s">
        <v>5975</v>
      </c>
      <c r="BB134" s="2"/>
      <c r="BC134" s="1" t="s">
        <v>1589</v>
      </c>
      <c r="BD134" s="1" t="s">
        <v>5878</v>
      </c>
      <c r="BE134" s="1" t="s">
        <v>5878</v>
      </c>
      <c r="BF134" s="2"/>
      <c r="BG134" s="2"/>
      <c r="BH134" s="2"/>
      <c r="BI134" s="2"/>
      <c r="BJ134" s="2"/>
      <c r="BK134" s="2"/>
      <c r="BL134" s="2"/>
      <c r="BM134" s="2"/>
      <c r="BN134" s="2"/>
      <c r="BO134" s="2"/>
    </row>
    <row r="135">
      <c r="A135" s="315" t="s">
        <v>9148</v>
      </c>
      <c r="B135" s="320" t="s">
        <v>9149</v>
      </c>
      <c r="C135" s="65"/>
      <c r="D135" s="31" t="s">
        <v>183</v>
      </c>
      <c r="E135" s="11" t="s">
        <v>8908</v>
      </c>
      <c r="F135" s="427" t="s">
        <v>8915</v>
      </c>
      <c r="G135" s="31" t="s">
        <v>8916</v>
      </c>
      <c r="H135" s="31"/>
      <c r="I135" s="31"/>
      <c r="J135" s="31"/>
      <c r="K135" s="428"/>
      <c r="L135" s="327" t="s">
        <v>9150</v>
      </c>
      <c r="M135" s="322"/>
      <c r="N135" s="328">
        <v>1250.0</v>
      </c>
      <c r="O135" s="429"/>
      <c r="P135" s="322"/>
      <c r="Q135" s="323"/>
      <c r="R135" s="429"/>
      <c r="S135" s="322"/>
      <c r="T135" s="323"/>
      <c r="U135" s="324"/>
      <c r="V135" s="322"/>
      <c r="W135" s="323"/>
      <c r="X135" s="324">
        <v>1250.0</v>
      </c>
      <c r="Y135" s="173" t="s">
        <v>8912</v>
      </c>
      <c r="Z135" s="322">
        <v>1400.0</v>
      </c>
      <c r="AA135" s="104"/>
      <c r="AB135" s="319">
        <f>AA134</f>
        <v>1400</v>
      </c>
      <c r="AC135" s="430"/>
      <c r="AD135" s="326" t="s">
        <v>5839</v>
      </c>
      <c r="AE135" s="329" t="s">
        <v>9151</v>
      </c>
      <c r="AF135" s="431"/>
      <c r="AG135" s="432"/>
      <c r="AH135" s="330">
        <v>46080.71683572917</v>
      </c>
      <c r="AI135" s="2"/>
      <c r="AJ135" s="289">
        <f t="shared" si="1"/>
        <v>150</v>
      </c>
      <c r="AK135" s="61" t="str">
        <f t="shared" si="2"/>
        <v>нет з/ч</v>
      </c>
      <c r="AL135" s="61" t="str">
        <f t="shared" si="3"/>
        <v>нет з/ч</v>
      </c>
      <c r="AM135" s="304" t="str">
        <f t="shared" si="5"/>
        <v>нет з/ч</v>
      </c>
      <c r="AN135" s="2"/>
      <c r="AO135" s="289">
        <v>1250.0</v>
      </c>
      <c r="AP135" s="296"/>
      <c r="AQ135" s="296"/>
      <c r="AR135" s="139"/>
      <c r="AS135" s="2"/>
      <c r="AT135" s="2" t="s">
        <v>9149</v>
      </c>
      <c r="AU135" s="2" t="s">
        <v>9149</v>
      </c>
      <c r="AV135" s="2"/>
      <c r="AW135" s="2"/>
      <c r="AX135" s="3" t="s">
        <v>9148</v>
      </c>
      <c r="AY135" s="2"/>
      <c r="AZ135" s="1" t="s">
        <v>1582</v>
      </c>
      <c r="BA135" s="1" t="s">
        <v>5975</v>
      </c>
      <c r="BB135" s="2"/>
      <c r="BC135" s="1" t="s">
        <v>1589</v>
      </c>
      <c r="BD135" s="1" t="s">
        <v>5878</v>
      </c>
      <c r="BE135" s="1" t="s">
        <v>5878</v>
      </c>
      <c r="BF135" s="2"/>
      <c r="BG135" s="2"/>
      <c r="BH135" s="2"/>
      <c r="BI135" s="2"/>
      <c r="BJ135" s="2"/>
      <c r="BK135" s="2"/>
      <c r="BL135" s="2"/>
      <c r="BM135" s="2"/>
      <c r="BN135" s="2"/>
      <c r="BO135" s="2"/>
    </row>
    <row r="136">
      <c r="A136" s="315" t="s">
        <v>9152</v>
      </c>
      <c r="B136" s="320" t="s">
        <v>9153</v>
      </c>
      <c r="C136" s="65"/>
      <c r="D136" s="31" t="s">
        <v>183</v>
      </c>
      <c r="E136" s="11" t="s">
        <v>8908</v>
      </c>
      <c r="F136" s="427" t="s">
        <v>8915</v>
      </c>
      <c r="G136" s="31" t="s">
        <v>8916</v>
      </c>
      <c r="H136" s="31"/>
      <c r="I136" s="31"/>
      <c r="J136" s="31"/>
      <c r="K136" s="428"/>
      <c r="L136" s="327" t="s">
        <v>9154</v>
      </c>
      <c r="M136" s="322"/>
      <c r="N136" s="328">
        <v>1250.0</v>
      </c>
      <c r="O136" s="429"/>
      <c r="P136" s="322"/>
      <c r="Q136" s="323"/>
      <c r="R136" s="429"/>
      <c r="S136" s="322"/>
      <c r="T136" s="323"/>
      <c r="U136" s="324"/>
      <c r="V136" s="322"/>
      <c r="W136" s="323"/>
      <c r="X136" s="324">
        <v>1250.0</v>
      </c>
      <c r="Y136" s="173" t="s">
        <v>8912</v>
      </c>
      <c r="Z136" s="322">
        <v>1400.0</v>
      </c>
      <c r="AA136" s="104"/>
      <c r="AB136" s="319">
        <f>AA134</f>
        <v>1400</v>
      </c>
      <c r="AC136" s="430"/>
      <c r="AD136" s="326" t="s">
        <v>5839</v>
      </c>
      <c r="AE136" s="329" t="s">
        <v>9155</v>
      </c>
      <c r="AF136" s="431"/>
      <c r="AG136" s="432"/>
      <c r="AH136" s="330">
        <v>46080.7168659375</v>
      </c>
      <c r="AI136" s="2"/>
      <c r="AJ136" s="289">
        <f t="shared" si="1"/>
        <v>150</v>
      </c>
      <c r="AK136" s="61" t="str">
        <f t="shared" si="2"/>
        <v>нет з/ч</v>
      </c>
      <c r="AL136" s="61" t="str">
        <f t="shared" si="3"/>
        <v>нет з/ч</v>
      </c>
      <c r="AM136" s="304" t="str">
        <f t="shared" si="5"/>
        <v>нет з/ч</v>
      </c>
      <c r="AN136" s="2"/>
      <c r="AO136" s="289">
        <v>1250.0</v>
      </c>
      <c r="AP136" s="296"/>
      <c r="AQ136" s="296"/>
      <c r="AR136" s="139"/>
      <c r="AS136" s="2"/>
      <c r="AT136" s="2" t="s">
        <v>9153</v>
      </c>
      <c r="AU136" s="2" t="s">
        <v>9153</v>
      </c>
      <c r="AV136" s="2"/>
      <c r="AW136" s="2"/>
      <c r="AX136" s="3" t="s">
        <v>9152</v>
      </c>
      <c r="AY136" s="2"/>
      <c r="AZ136" s="1" t="s">
        <v>1582</v>
      </c>
      <c r="BA136" s="1" t="s">
        <v>5975</v>
      </c>
      <c r="BB136" s="2"/>
      <c r="BC136" s="1" t="s">
        <v>1589</v>
      </c>
      <c r="BD136" s="1" t="s">
        <v>5878</v>
      </c>
      <c r="BE136" s="1" t="s">
        <v>5878</v>
      </c>
      <c r="BF136" s="2"/>
      <c r="BG136" s="2"/>
      <c r="BH136" s="2"/>
      <c r="BI136" s="2"/>
      <c r="BJ136" s="2"/>
      <c r="BK136" s="2"/>
      <c r="BL136" s="2"/>
      <c r="BM136" s="2"/>
      <c r="BN136" s="2"/>
      <c r="BO136" s="2"/>
    </row>
    <row r="137">
      <c r="A137" s="315" t="s">
        <v>9156</v>
      </c>
      <c r="B137" s="320" t="s">
        <v>9157</v>
      </c>
      <c r="C137" s="65"/>
      <c r="D137" s="31" t="s">
        <v>183</v>
      </c>
      <c r="E137" s="11" t="s">
        <v>8908</v>
      </c>
      <c r="F137" s="427" t="s">
        <v>8915</v>
      </c>
      <c r="G137" s="31" t="s">
        <v>8916</v>
      </c>
      <c r="H137" s="31"/>
      <c r="I137" s="31"/>
      <c r="J137" s="31"/>
      <c r="K137" s="428"/>
      <c r="L137" s="327" t="s">
        <v>9158</v>
      </c>
      <c r="M137" s="322"/>
      <c r="N137" s="328">
        <v>1250.0</v>
      </c>
      <c r="O137" s="429"/>
      <c r="P137" s="322"/>
      <c r="Q137" s="323"/>
      <c r="R137" s="429"/>
      <c r="S137" s="322"/>
      <c r="T137" s="323"/>
      <c r="U137" s="324"/>
      <c r="V137" s="322"/>
      <c r="W137" s="323"/>
      <c r="X137" s="324">
        <v>1250.0</v>
      </c>
      <c r="Y137" s="173" t="s">
        <v>8912</v>
      </c>
      <c r="Z137" s="322">
        <v>1400.0</v>
      </c>
      <c r="AA137" s="104"/>
      <c r="AB137" s="319">
        <f>AA134</f>
        <v>1400</v>
      </c>
      <c r="AC137" s="430"/>
      <c r="AD137" s="326" t="s">
        <v>5839</v>
      </c>
      <c r="AE137" s="329" t="s">
        <v>9159</v>
      </c>
      <c r="AF137" s="431"/>
      <c r="AG137" s="432"/>
      <c r="AH137" s="330">
        <v>46080.71689123842</v>
      </c>
      <c r="AI137" s="2"/>
      <c r="AJ137" s="289">
        <f t="shared" si="1"/>
        <v>150</v>
      </c>
      <c r="AK137" s="61" t="str">
        <f t="shared" si="2"/>
        <v>нет з/ч</v>
      </c>
      <c r="AL137" s="61" t="str">
        <f t="shared" si="3"/>
        <v>нет з/ч</v>
      </c>
      <c r="AM137" s="304" t="str">
        <f t="shared" si="5"/>
        <v>нет з/ч</v>
      </c>
      <c r="AN137" s="2"/>
      <c r="AO137" s="289">
        <v>1250.0</v>
      </c>
      <c r="AP137" s="296"/>
      <c r="AQ137" s="296"/>
      <c r="AR137" s="139"/>
      <c r="AS137" s="2"/>
      <c r="AT137" s="2" t="s">
        <v>9157</v>
      </c>
      <c r="AU137" s="2" t="s">
        <v>9157</v>
      </c>
      <c r="AV137" s="2"/>
      <c r="AW137" s="2"/>
      <c r="AX137" s="3" t="s">
        <v>9156</v>
      </c>
      <c r="AY137" s="2"/>
      <c r="AZ137" s="1" t="s">
        <v>1582</v>
      </c>
      <c r="BA137" s="1" t="s">
        <v>5975</v>
      </c>
      <c r="BB137" s="2"/>
      <c r="BC137" s="1" t="s">
        <v>1589</v>
      </c>
      <c r="BD137" s="1" t="s">
        <v>5878</v>
      </c>
      <c r="BE137" s="1" t="s">
        <v>5878</v>
      </c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>
      <c r="A138" s="315" t="s">
        <v>9160</v>
      </c>
      <c r="B138" s="320" t="s">
        <v>9161</v>
      </c>
      <c r="C138" s="65"/>
      <c r="D138" s="31" t="s">
        <v>183</v>
      </c>
      <c r="E138" s="11" t="s">
        <v>8908</v>
      </c>
      <c r="F138" s="427" t="s">
        <v>8915</v>
      </c>
      <c r="G138" s="31" t="s">
        <v>8916</v>
      </c>
      <c r="H138" s="31"/>
      <c r="I138" s="31"/>
      <c r="J138" s="31"/>
      <c r="K138" s="428"/>
      <c r="L138" s="327" t="s">
        <v>9162</v>
      </c>
      <c r="M138" s="322"/>
      <c r="N138" s="328">
        <v>1250.0</v>
      </c>
      <c r="O138" s="429"/>
      <c r="P138" s="322"/>
      <c r="Q138" s="323"/>
      <c r="R138" s="429"/>
      <c r="S138" s="322"/>
      <c r="T138" s="323"/>
      <c r="U138" s="324"/>
      <c r="V138" s="322"/>
      <c r="W138" s="323"/>
      <c r="X138" s="324">
        <v>1250.0</v>
      </c>
      <c r="Y138" s="173" t="s">
        <v>8912</v>
      </c>
      <c r="Z138" s="322">
        <v>1400.0</v>
      </c>
      <c r="AA138" s="104"/>
      <c r="AB138" s="319">
        <f>AA134</f>
        <v>1400</v>
      </c>
      <c r="AC138" s="430"/>
      <c r="AD138" s="326" t="s">
        <v>5839</v>
      </c>
      <c r="AE138" s="329" t="s">
        <v>9163</v>
      </c>
      <c r="AF138" s="431"/>
      <c r="AG138" s="432"/>
      <c r="AH138" s="330">
        <v>46080.71692010417</v>
      </c>
      <c r="AI138" s="2"/>
      <c r="AJ138" s="289">
        <f t="shared" si="1"/>
        <v>150</v>
      </c>
      <c r="AK138" s="61" t="str">
        <f t="shared" si="2"/>
        <v>нет з/ч</v>
      </c>
      <c r="AL138" s="61" t="str">
        <f t="shared" si="3"/>
        <v>нет з/ч</v>
      </c>
      <c r="AM138" s="304" t="str">
        <f t="shared" si="5"/>
        <v>нет з/ч</v>
      </c>
      <c r="AN138" s="2"/>
      <c r="AO138" s="289">
        <v>1250.0</v>
      </c>
      <c r="AP138" s="296"/>
      <c r="AQ138" s="296"/>
      <c r="AR138" s="139"/>
      <c r="AS138" s="2"/>
      <c r="AT138" s="2" t="s">
        <v>9161</v>
      </c>
      <c r="AU138" s="2" t="s">
        <v>9161</v>
      </c>
      <c r="AV138" s="2"/>
      <c r="AW138" s="2"/>
      <c r="AX138" s="3" t="s">
        <v>9160</v>
      </c>
      <c r="AY138" s="2"/>
      <c r="AZ138" s="1" t="s">
        <v>1582</v>
      </c>
      <c r="BA138" s="1" t="s">
        <v>5975</v>
      </c>
      <c r="BB138" s="2"/>
      <c r="BC138" s="1" t="s">
        <v>1589</v>
      </c>
      <c r="BD138" s="1" t="s">
        <v>5878</v>
      </c>
      <c r="BE138" s="1" t="s">
        <v>5878</v>
      </c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>
      <c r="A139" s="315" t="s">
        <v>9164</v>
      </c>
      <c r="B139" s="320" t="s">
        <v>9165</v>
      </c>
      <c r="C139" s="65"/>
      <c r="D139" s="31" t="s">
        <v>183</v>
      </c>
      <c r="E139" s="11" t="s">
        <v>8908</v>
      </c>
      <c r="F139" s="427" t="s">
        <v>8915</v>
      </c>
      <c r="G139" s="31" t="s">
        <v>8916</v>
      </c>
      <c r="H139" s="31"/>
      <c r="I139" s="31"/>
      <c r="J139" s="31"/>
      <c r="K139" s="428"/>
      <c r="L139" s="327" t="s">
        <v>9166</v>
      </c>
      <c r="M139" s="322"/>
      <c r="N139" s="328">
        <v>1250.0</v>
      </c>
      <c r="O139" s="429"/>
      <c r="P139" s="322"/>
      <c r="Q139" s="323"/>
      <c r="R139" s="429"/>
      <c r="S139" s="322"/>
      <c r="T139" s="323"/>
      <c r="U139" s="324"/>
      <c r="V139" s="322"/>
      <c r="W139" s="323"/>
      <c r="X139" s="324">
        <v>1250.0</v>
      </c>
      <c r="Y139" s="173" t="s">
        <v>8912</v>
      </c>
      <c r="Z139" s="322">
        <v>1400.0</v>
      </c>
      <c r="AA139" s="67"/>
      <c r="AB139" s="319">
        <f>AA134</f>
        <v>1400</v>
      </c>
      <c r="AC139" s="430"/>
      <c r="AD139" s="326" t="s">
        <v>5839</v>
      </c>
      <c r="AE139" s="329" t="s">
        <v>9167</v>
      </c>
      <c r="AF139" s="431"/>
      <c r="AG139" s="432"/>
      <c r="AH139" s="330">
        <v>46080.716948807865</v>
      </c>
      <c r="AI139" s="2"/>
      <c r="AJ139" s="289">
        <f t="shared" si="1"/>
        <v>150</v>
      </c>
      <c r="AK139" s="61" t="str">
        <f t="shared" si="2"/>
        <v>нет з/ч</v>
      </c>
      <c r="AL139" s="61" t="str">
        <f t="shared" si="3"/>
        <v>нет з/ч</v>
      </c>
      <c r="AM139" s="304" t="str">
        <f t="shared" si="5"/>
        <v>нет з/ч</v>
      </c>
      <c r="AN139" s="2"/>
      <c r="AO139" s="289">
        <v>1250.0</v>
      </c>
      <c r="AP139" s="296"/>
      <c r="AQ139" s="296"/>
      <c r="AR139" s="139"/>
      <c r="AS139" s="2"/>
      <c r="AT139" s="2" t="s">
        <v>9165</v>
      </c>
      <c r="AU139" s="2" t="s">
        <v>9165</v>
      </c>
      <c r="AV139" s="2"/>
      <c r="AW139" s="2"/>
      <c r="AX139" s="3" t="s">
        <v>9164</v>
      </c>
      <c r="AY139" s="2"/>
      <c r="AZ139" s="1" t="s">
        <v>1582</v>
      </c>
      <c r="BA139" s="1" t="s">
        <v>5975</v>
      </c>
      <c r="BB139" s="2"/>
      <c r="BC139" s="1" t="s">
        <v>1589</v>
      </c>
      <c r="BD139" s="1" t="s">
        <v>5878</v>
      </c>
      <c r="BE139" s="1" t="s">
        <v>5878</v>
      </c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>
      <c r="A140" s="315" t="s">
        <v>9168</v>
      </c>
      <c r="B140" s="93"/>
      <c r="C140" s="65"/>
      <c r="D140" s="31" t="s">
        <v>185</v>
      </c>
      <c r="E140" s="11" t="s">
        <v>8908</v>
      </c>
      <c r="F140" s="427" t="s">
        <v>8909</v>
      </c>
      <c r="G140" s="31" t="s">
        <v>8910</v>
      </c>
      <c r="H140" s="31"/>
      <c r="I140" s="31"/>
      <c r="J140" s="31"/>
      <c r="K140" s="428"/>
      <c r="L140" s="321"/>
      <c r="M140" s="322"/>
      <c r="N140" s="323"/>
      <c r="O140" s="429"/>
      <c r="P140" s="322"/>
      <c r="Q140" s="323"/>
      <c r="R140" s="429"/>
      <c r="S140" s="322"/>
      <c r="T140" s="323"/>
      <c r="U140" s="324"/>
      <c r="V140" s="322"/>
      <c r="W140" s="323"/>
      <c r="X140" s="324" t="s">
        <v>22</v>
      </c>
      <c r="Y140" s="173" t="s">
        <v>8912</v>
      </c>
      <c r="Z140" s="322" t="s">
        <v>22</v>
      </c>
      <c r="AA140" s="313">
        <f>MAX(Z140:Z143)</f>
        <v>0</v>
      </c>
      <c r="AB140" s="319">
        <f>AA140</f>
        <v>0</v>
      </c>
      <c r="AC140" s="430"/>
      <c r="AD140" s="326" t="s">
        <v>22</v>
      </c>
      <c r="AE140" s="331"/>
      <c r="AF140" s="431"/>
      <c r="AG140" s="432"/>
      <c r="AH140" s="326"/>
      <c r="AI140" s="2"/>
      <c r="AJ140" s="59" t="str">
        <f t="shared" si="1"/>
        <v>нет з/ч</v>
      </c>
      <c r="AK140" s="61" t="str">
        <f t="shared" si="2"/>
        <v>нет з/ч</v>
      </c>
      <c r="AL140" s="61" t="str">
        <f t="shared" si="3"/>
        <v>нет з/ч</v>
      </c>
      <c r="AM140" s="304" t="str">
        <f t="shared" si="5"/>
        <v>нет з/ч</v>
      </c>
      <c r="AN140" s="2"/>
      <c r="AO140" s="289"/>
      <c r="AP140" s="296"/>
      <c r="AQ140" s="296"/>
      <c r="AR140" s="139"/>
      <c r="AS140" s="2"/>
      <c r="AT140" s="2"/>
      <c r="AU140" s="2"/>
      <c r="AV140" s="2"/>
      <c r="AW140" s="2"/>
      <c r="AX140" s="3" t="s">
        <v>9168</v>
      </c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>
      <c r="A141" s="315" t="s">
        <v>9169</v>
      </c>
      <c r="B141" s="93"/>
      <c r="C141" s="65"/>
      <c r="D141" s="31" t="s">
        <v>185</v>
      </c>
      <c r="E141" s="11" t="s">
        <v>8908</v>
      </c>
      <c r="F141" s="427" t="s">
        <v>8909</v>
      </c>
      <c r="G141" s="31" t="s">
        <v>8910</v>
      </c>
      <c r="H141" s="31"/>
      <c r="I141" s="31"/>
      <c r="J141" s="31"/>
      <c r="K141" s="428"/>
      <c r="L141" s="321"/>
      <c r="M141" s="322"/>
      <c r="N141" s="323"/>
      <c r="O141" s="429"/>
      <c r="P141" s="322"/>
      <c r="Q141" s="323"/>
      <c r="R141" s="429"/>
      <c r="S141" s="322"/>
      <c r="T141" s="323"/>
      <c r="U141" s="324"/>
      <c r="V141" s="322"/>
      <c r="W141" s="323"/>
      <c r="X141" s="324" t="s">
        <v>22</v>
      </c>
      <c r="Y141" s="173" t="s">
        <v>8912</v>
      </c>
      <c r="Z141" s="322" t="s">
        <v>22</v>
      </c>
      <c r="AA141" s="104"/>
      <c r="AB141" s="319">
        <f>AA140</f>
        <v>0</v>
      </c>
      <c r="AC141" s="430"/>
      <c r="AD141" s="326" t="s">
        <v>22</v>
      </c>
      <c r="AE141" s="331"/>
      <c r="AF141" s="431"/>
      <c r="AG141" s="432"/>
      <c r="AH141" s="326"/>
      <c r="AI141" s="2"/>
      <c r="AJ141" s="59" t="str">
        <f t="shared" si="1"/>
        <v>нет з/ч</v>
      </c>
      <c r="AK141" s="61" t="str">
        <f t="shared" si="2"/>
        <v>нет з/ч</v>
      </c>
      <c r="AL141" s="61" t="str">
        <f t="shared" si="3"/>
        <v>нет з/ч</v>
      </c>
      <c r="AM141" s="304" t="str">
        <f t="shared" si="5"/>
        <v>нет з/ч</v>
      </c>
      <c r="AN141" s="2"/>
      <c r="AO141" s="289"/>
      <c r="AP141" s="296"/>
      <c r="AQ141" s="296"/>
      <c r="AR141" s="139"/>
      <c r="AS141" s="2"/>
      <c r="AT141" s="2"/>
      <c r="AU141" s="2"/>
      <c r="AV141" s="2"/>
      <c r="AW141" s="2"/>
      <c r="AX141" s="3" t="s">
        <v>9169</v>
      </c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>
      <c r="A142" s="315" t="s">
        <v>9170</v>
      </c>
      <c r="B142" s="320" t="s">
        <v>9171</v>
      </c>
      <c r="C142" s="65"/>
      <c r="D142" s="31" t="s">
        <v>185</v>
      </c>
      <c r="E142" s="11" t="s">
        <v>8908</v>
      </c>
      <c r="F142" s="427" t="s">
        <v>8909</v>
      </c>
      <c r="G142" s="31" t="s">
        <v>8910</v>
      </c>
      <c r="H142" s="31"/>
      <c r="I142" s="31"/>
      <c r="J142" s="31"/>
      <c r="K142" s="428"/>
      <c r="L142" s="321"/>
      <c r="M142" s="322"/>
      <c r="N142" s="323"/>
      <c r="O142" s="429"/>
      <c r="P142" s="322"/>
      <c r="Q142" s="323"/>
      <c r="R142" s="429"/>
      <c r="S142" s="322"/>
      <c r="T142" s="323"/>
      <c r="U142" s="324"/>
      <c r="V142" s="322"/>
      <c r="W142" s="323"/>
      <c r="X142" s="324" t="s">
        <v>22</v>
      </c>
      <c r="Y142" s="173" t="s">
        <v>8912</v>
      </c>
      <c r="Z142" s="322" t="s">
        <v>22</v>
      </c>
      <c r="AA142" s="104"/>
      <c r="AB142" s="319">
        <f>AA140</f>
        <v>0</v>
      </c>
      <c r="AC142" s="430"/>
      <c r="AD142" s="326" t="s">
        <v>22</v>
      </c>
      <c r="AE142" s="331"/>
      <c r="AF142" s="431"/>
      <c r="AG142" s="432"/>
      <c r="AH142" s="326"/>
      <c r="AI142" s="2"/>
      <c r="AJ142" s="59" t="str">
        <f t="shared" si="1"/>
        <v>нет з/ч</v>
      </c>
      <c r="AK142" s="61" t="str">
        <f t="shared" si="2"/>
        <v>нет з/ч</v>
      </c>
      <c r="AL142" s="61" t="str">
        <f t="shared" si="3"/>
        <v>нет з/ч</v>
      </c>
      <c r="AM142" s="304" t="str">
        <f t="shared" si="5"/>
        <v>нет з/ч</v>
      </c>
      <c r="AN142" s="2"/>
      <c r="AO142" s="289"/>
      <c r="AP142" s="296"/>
      <c r="AQ142" s="296"/>
      <c r="AR142" s="139"/>
      <c r="AS142" s="2"/>
      <c r="AT142" s="2" t="s">
        <v>9171</v>
      </c>
      <c r="AU142" s="2" t="s">
        <v>9171</v>
      </c>
      <c r="AV142" s="2"/>
      <c r="AW142" s="2"/>
      <c r="AX142" s="3" t="s">
        <v>9170</v>
      </c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>
      <c r="A143" s="315" t="s">
        <v>9172</v>
      </c>
      <c r="B143" s="93"/>
      <c r="C143" s="65"/>
      <c r="D143" s="31" t="s">
        <v>185</v>
      </c>
      <c r="E143" s="11" t="s">
        <v>8908</v>
      </c>
      <c r="F143" s="427" t="s">
        <v>8909</v>
      </c>
      <c r="G143" s="31" t="s">
        <v>8910</v>
      </c>
      <c r="H143" s="31"/>
      <c r="I143" s="31"/>
      <c r="J143" s="31"/>
      <c r="K143" s="428"/>
      <c r="L143" s="321"/>
      <c r="M143" s="322"/>
      <c r="N143" s="323"/>
      <c r="O143" s="429"/>
      <c r="P143" s="322"/>
      <c r="Q143" s="323"/>
      <c r="R143" s="429"/>
      <c r="S143" s="322"/>
      <c r="T143" s="323"/>
      <c r="U143" s="324"/>
      <c r="V143" s="322"/>
      <c r="W143" s="323"/>
      <c r="X143" s="324" t="s">
        <v>22</v>
      </c>
      <c r="Y143" s="173" t="s">
        <v>8912</v>
      </c>
      <c r="Z143" s="322" t="s">
        <v>22</v>
      </c>
      <c r="AA143" s="67"/>
      <c r="AB143" s="319">
        <f>AA140</f>
        <v>0</v>
      </c>
      <c r="AC143" s="430"/>
      <c r="AD143" s="326" t="s">
        <v>22</v>
      </c>
      <c r="AE143" s="331"/>
      <c r="AF143" s="431"/>
      <c r="AG143" s="432"/>
      <c r="AH143" s="326"/>
      <c r="AI143" s="2"/>
      <c r="AJ143" s="59" t="str">
        <f t="shared" si="1"/>
        <v>нет з/ч</v>
      </c>
      <c r="AK143" s="61" t="str">
        <f t="shared" si="2"/>
        <v>нет з/ч</v>
      </c>
      <c r="AL143" s="61" t="str">
        <f t="shared" si="3"/>
        <v>нет з/ч</v>
      </c>
      <c r="AM143" s="304" t="str">
        <f t="shared" si="5"/>
        <v>нет з/ч</v>
      </c>
      <c r="AN143" s="2"/>
      <c r="AO143" s="289"/>
      <c r="AP143" s="296"/>
      <c r="AQ143" s="296"/>
      <c r="AR143" s="139"/>
      <c r="AS143" s="2"/>
      <c r="AT143" s="2"/>
      <c r="AU143" s="2"/>
      <c r="AV143" s="2"/>
      <c r="AW143" s="2"/>
      <c r="AX143" s="3" t="s">
        <v>9172</v>
      </c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>
      <c r="A144" s="315" t="s">
        <v>9173</v>
      </c>
      <c r="B144" s="320" t="s">
        <v>9174</v>
      </c>
      <c r="C144" s="65"/>
      <c r="D144" s="31" t="s">
        <v>185</v>
      </c>
      <c r="E144" s="11" t="s">
        <v>8908</v>
      </c>
      <c r="F144" s="427" t="s">
        <v>8915</v>
      </c>
      <c r="G144" s="31" t="s">
        <v>8916</v>
      </c>
      <c r="H144" s="31"/>
      <c r="I144" s="31"/>
      <c r="J144" s="31"/>
      <c r="K144" s="428"/>
      <c r="L144" s="327" t="s">
        <v>9175</v>
      </c>
      <c r="M144" s="322"/>
      <c r="N144" s="328">
        <v>2400.0</v>
      </c>
      <c r="O144" s="429"/>
      <c r="P144" s="322"/>
      <c r="Q144" s="323"/>
      <c r="R144" s="429"/>
      <c r="S144" s="322"/>
      <c r="T144" s="323"/>
      <c r="U144" s="324"/>
      <c r="V144" s="322"/>
      <c r="W144" s="323"/>
      <c r="X144" s="324">
        <v>2400.0</v>
      </c>
      <c r="Y144" s="173" t="s">
        <v>8912</v>
      </c>
      <c r="Z144" s="322">
        <v>2700.0</v>
      </c>
      <c r="AA144" s="313">
        <f>MAX(Z144:Z147)</f>
        <v>2700</v>
      </c>
      <c r="AB144" s="319">
        <f>AA144</f>
        <v>2700</v>
      </c>
      <c r="AC144" s="430"/>
      <c r="AD144" s="326" t="s">
        <v>5839</v>
      </c>
      <c r="AE144" s="329" t="s">
        <v>9176</v>
      </c>
      <c r="AF144" s="431"/>
      <c r="AG144" s="432"/>
      <c r="AH144" s="330">
        <v>46080.71697446759</v>
      </c>
      <c r="AI144" s="2"/>
      <c r="AJ144" s="289">
        <f t="shared" si="1"/>
        <v>300</v>
      </c>
      <c r="AK144" s="61" t="str">
        <f t="shared" si="2"/>
        <v>нет з/ч</v>
      </c>
      <c r="AL144" s="61" t="str">
        <f t="shared" si="3"/>
        <v>нет з/ч</v>
      </c>
      <c r="AM144" s="304" t="str">
        <f t="shared" si="5"/>
        <v>нет з/ч</v>
      </c>
      <c r="AN144" s="2"/>
      <c r="AO144" s="289">
        <v>2400.0</v>
      </c>
      <c r="AP144" s="296"/>
      <c r="AQ144" s="296"/>
      <c r="AR144" s="139"/>
      <c r="AS144" s="2"/>
      <c r="AT144" s="2" t="s">
        <v>9174</v>
      </c>
      <c r="AU144" s="2" t="s">
        <v>9174</v>
      </c>
      <c r="AV144" s="2"/>
      <c r="AW144" s="2"/>
      <c r="AX144" s="3" t="s">
        <v>9173</v>
      </c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>
      <c r="A145" s="315" t="s">
        <v>9177</v>
      </c>
      <c r="B145" s="320" t="s">
        <v>9178</v>
      </c>
      <c r="C145" s="65"/>
      <c r="D145" s="31" t="s">
        <v>185</v>
      </c>
      <c r="E145" s="11" t="s">
        <v>8908</v>
      </c>
      <c r="F145" s="427" t="s">
        <v>8915</v>
      </c>
      <c r="G145" s="31" t="s">
        <v>8916</v>
      </c>
      <c r="H145" s="31"/>
      <c r="I145" s="31"/>
      <c r="J145" s="31"/>
      <c r="K145" s="428"/>
      <c r="L145" s="327" t="s">
        <v>9179</v>
      </c>
      <c r="M145" s="322"/>
      <c r="N145" s="328">
        <v>2400.0</v>
      </c>
      <c r="O145" s="429"/>
      <c r="P145" s="322"/>
      <c r="Q145" s="323"/>
      <c r="R145" s="429"/>
      <c r="S145" s="322"/>
      <c r="T145" s="323"/>
      <c r="U145" s="324"/>
      <c r="V145" s="322"/>
      <c r="W145" s="323"/>
      <c r="X145" s="324">
        <v>2400.0</v>
      </c>
      <c r="Y145" s="173" t="s">
        <v>8912</v>
      </c>
      <c r="Z145" s="322">
        <v>2700.0</v>
      </c>
      <c r="AA145" s="104"/>
      <c r="AB145" s="319">
        <f>AA144</f>
        <v>2700</v>
      </c>
      <c r="AC145" s="430"/>
      <c r="AD145" s="326" t="s">
        <v>5839</v>
      </c>
      <c r="AE145" s="329" t="s">
        <v>9180</v>
      </c>
      <c r="AF145" s="431"/>
      <c r="AG145" s="432"/>
      <c r="AH145" s="330">
        <v>46080.71699954861</v>
      </c>
      <c r="AI145" s="2"/>
      <c r="AJ145" s="289">
        <f t="shared" si="1"/>
        <v>300</v>
      </c>
      <c r="AK145" s="61" t="str">
        <f t="shared" si="2"/>
        <v>нет з/ч</v>
      </c>
      <c r="AL145" s="61" t="str">
        <f t="shared" si="3"/>
        <v>нет з/ч</v>
      </c>
      <c r="AM145" s="304" t="str">
        <f t="shared" si="5"/>
        <v>нет з/ч</v>
      </c>
      <c r="AN145" s="2"/>
      <c r="AO145" s="289">
        <v>2400.0</v>
      </c>
      <c r="AP145" s="296"/>
      <c r="AQ145" s="296"/>
      <c r="AR145" s="139"/>
      <c r="AS145" s="2"/>
      <c r="AT145" s="2" t="s">
        <v>9178</v>
      </c>
      <c r="AU145" s="2" t="s">
        <v>9178</v>
      </c>
      <c r="AV145" s="2"/>
      <c r="AW145" s="2"/>
      <c r="AX145" s="3" t="s">
        <v>9177</v>
      </c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>
      <c r="A146" s="315" t="s">
        <v>9181</v>
      </c>
      <c r="B146" s="320" t="s">
        <v>9182</v>
      </c>
      <c r="C146" s="65"/>
      <c r="D146" s="31" t="s">
        <v>185</v>
      </c>
      <c r="E146" s="11" t="s">
        <v>8908</v>
      </c>
      <c r="F146" s="427" t="s">
        <v>8915</v>
      </c>
      <c r="G146" s="31" t="s">
        <v>8916</v>
      </c>
      <c r="H146" s="31"/>
      <c r="I146" s="31"/>
      <c r="J146" s="31"/>
      <c r="K146" s="428"/>
      <c r="L146" s="327" t="s">
        <v>9183</v>
      </c>
      <c r="M146" s="322"/>
      <c r="N146" s="328">
        <v>2400.0</v>
      </c>
      <c r="O146" s="429"/>
      <c r="P146" s="322"/>
      <c r="Q146" s="323"/>
      <c r="R146" s="429"/>
      <c r="S146" s="322"/>
      <c r="T146" s="323"/>
      <c r="U146" s="324"/>
      <c r="V146" s="322"/>
      <c r="W146" s="323"/>
      <c r="X146" s="324">
        <v>2400.0</v>
      </c>
      <c r="Y146" s="173" t="s">
        <v>8912</v>
      </c>
      <c r="Z146" s="322">
        <v>2700.0</v>
      </c>
      <c r="AA146" s="104"/>
      <c r="AB146" s="319">
        <f>AA144</f>
        <v>2700</v>
      </c>
      <c r="AC146" s="430"/>
      <c r="AD146" s="326" t="s">
        <v>5839</v>
      </c>
      <c r="AE146" s="329" t="s">
        <v>9184</v>
      </c>
      <c r="AF146" s="431"/>
      <c r="AG146" s="432"/>
      <c r="AH146" s="330">
        <v>46080.717035277776</v>
      </c>
      <c r="AI146" s="2"/>
      <c r="AJ146" s="289">
        <f t="shared" si="1"/>
        <v>300</v>
      </c>
      <c r="AK146" s="61" t="str">
        <f t="shared" si="2"/>
        <v>нет з/ч</v>
      </c>
      <c r="AL146" s="61" t="str">
        <f t="shared" si="3"/>
        <v>нет з/ч</v>
      </c>
      <c r="AM146" s="304" t="str">
        <f t="shared" si="5"/>
        <v>нет з/ч</v>
      </c>
      <c r="AN146" s="2"/>
      <c r="AO146" s="289">
        <v>2400.0</v>
      </c>
      <c r="AP146" s="296"/>
      <c r="AQ146" s="296"/>
      <c r="AR146" s="139"/>
      <c r="AS146" s="2"/>
      <c r="AT146" s="2" t="s">
        <v>9182</v>
      </c>
      <c r="AU146" s="2" t="s">
        <v>9182</v>
      </c>
      <c r="AV146" s="2"/>
      <c r="AW146" s="2"/>
      <c r="AX146" s="3" t="s">
        <v>9181</v>
      </c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>
      <c r="A147" s="315" t="s">
        <v>9185</v>
      </c>
      <c r="B147" s="320" t="s">
        <v>9186</v>
      </c>
      <c r="C147" s="65"/>
      <c r="D147" s="31" t="s">
        <v>185</v>
      </c>
      <c r="E147" s="11" t="s">
        <v>8908</v>
      </c>
      <c r="F147" s="427" t="s">
        <v>8915</v>
      </c>
      <c r="G147" s="31" t="s">
        <v>8916</v>
      </c>
      <c r="H147" s="31"/>
      <c r="I147" s="31"/>
      <c r="J147" s="31"/>
      <c r="K147" s="428"/>
      <c r="L147" s="327" t="s">
        <v>9187</v>
      </c>
      <c r="M147" s="322"/>
      <c r="N147" s="328">
        <v>2400.0</v>
      </c>
      <c r="O147" s="429"/>
      <c r="P147" s="322"/>
      <c r="Q147" s="323"/>
      <c r="R147" s="429"/>
      <c r="S147" s="322"/>
      <c r="T147" s="323"/>
      <c r="U147" s="324"/>
      <c r="V147" s="322"/>
      <c r="W147" s="323"/>
      <c r="X147" s="324">
        <v>2400.0</v>
      </c>
      <c r="Y147" s="173" t="s">
        <v>8912</v>
      </c>
      <c r="Z147" s="322">
        <v>2700.0</v>
      </c>
      <c r="AA147" s="67"/>
      <c r="AB147" s="319">
        <f>AA144</f>
        <v>2700</v>
      </c>
      <c r="AC147" s="430"/>
      <c r="AD147" s="326" t="s">
        <v>5839</v>
      </c>
      <c r="AE147" s="329" t="s">
        <v>9188</v>
      </c>
      <c r="AF147" s="431"/>
      <c r="AG147" s="432"/>
      <c r="AH147" s="330">
        <v>46080.71706354167</v>
      </c>
      <c r="AI147" s="2"/>
      <c r="AJ147" s="289">
        <f t="shared" si="1"/>
        <v>300</v>
      </c>
      <c r="AK147" s="61" t="str">
        <f t="shared" si="2"/>
        <v>нет з/ч</v>
      </c>
      <c r="AL147" s="61" t="str">
        <f t="shared" si="3"/>
        <v>нет з/ч</v>
      </c>
      <c r="AM147" s="304" t="str">
        <f t="shared" si="5"/>
        <v>нет з/ч</v>
      </c>
      <c r="AN147" s="2"/>
      <c r="AO147" s="289">
        <v>2400.0</v>
      </c>
      <c r="AP147" s="296"/>
      <c r="AQ147" s="296"/>
      <c r="AR147" s="139"/>
      <c r="AS147" s="2"/>
      <c r="AT147" s="2" t="s">
        <v>9186</v>
      </c>
      <c r="AU147" s="2" t="s">
        <v>9186</v>
      </c>
      <c r="AV147" s="2"/>
      <c r="AW147" s="2"/>
      <c r="AX147" s="3" t="s">
        <v>9185</v>
      </c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>
      <c r="A148" s="315" t="s">
        <v>9189</v>
      </c>
      <c r="B148" s="93"/>
      <c r="C148" s="65"/>
      <c r="D148" s="31" t="s">
        <v>193</v>
      </c>
      <c r="E148" s="11" t="s">
        <v>8908</v>
      </c>
      <c r="F148" s="427" t="s">
        <v>8909</v>
      </c>
      <c r="G148" s="31" t="s">
        <v>8910</v>
      </c>
      <c r="H148" s="31"/>
      <c r="I148" s="31"/>
      <c r="J148" s="31"/>
      <c r="K148" s="428"/>
      <c r="L148" s="321"/>
      <c r="M148" s="322"/>
      <c r="N148" s="323"/>
      <c r="O148" s="429"/>
      <c r="P148" s="322"/>
      <c r="Q148" s="323"/>
      <c r="R148" s="429"/>
      <c r="S148" s="322"/>
      <c r="T148" s="323"/>
      <c r="U148" s="324"/>
      <c r="V148" s="322"/>
      <c r="W148" s="323"/>
      <c r="X148" s="324" t="s">
        <v>22</v>
      </c>
      <c r="Y148" s="173" t="s">
        <v>8912</v>
      </c>
      <c r="Z148" s="322" t="s">
        <v>22</v>
      </c>
      <c r="AA148" s="313">
        <f>MAX(Z148:Z151)</f>
        <v>0</v>
      </c>
      <c r="AB148" s="319">
        <f>AA148</f>
        <v>0</v>
      </c>
      <c r="AC148" s="430"/>
      <c r="AD148" s="326" t="s">
        <v>22</v>
      </c>
      <c r="AE148" s="331"/>
      <c r="AF148" s="431"/>
      <c r="AG148" s="432"/>
      <c r="AH148" s="326"/>
      <c r="AI148" s="2"/>
      <c r="AJ148" s="59" t="str">
        <f t="shared" si="1"/>
        <v>нет з/ч</v>
      </c>
      <c r="AK148" s="61" t="str">
        <f t="shared" si="2"/>
        <v>нет з/ч</v>
      </c>
      <c r="AL148" s="61" t="str">
        <f t="shared" si="3"/>
        <v>нет з/ч</v>
      </c>
      <c r="AM148" s="304" t="str">
        <f t="shared" si="5"/>
        <v>нет з/ч</v>
      </c>
      <c r="AN148" s="2"/>
      <c r="AO148" s="289"/>
      <c r="AP148" s="296"/>
      <c r="AQ148" s="296"/>
      <c r="AR148" s="139"/>
      <c r="AS148" s="2"/>
      <c r="AT148" s="2"/>
      <c r="AU148" s="2"/>
      <c r="AV148" s="2"/>
      <c r="AW148" s="2"/>
      <c r="AX148" s="3" t="s">
        <v>9189</v>
      </c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>
      <c r="A149" s="315" t="s">
        <v>9190</v>
      </c>
      <c r="B149" s="93"/>
      <c r="C149" s="65"/>
      <c r="D149" s="31" t="s">
        <v>193</v>
      </c>
      <c r="E149" s="11" t="s">
        <v>8908</v>
      </c>
      <c r="F149" s="427" t="s">
        <v>8909</v>
      </c>
      <c r="G149" s="31" t="s">
        <v>8910</v>
      </c>
      <c r="H149" s="31"/>
      <c r="I149" s="31"/>
      <c r="J149" s="31"/>
      <c r="K149" s="428"/>
      <c r="L149" s="321"/>
      <c r="M149" s="322"/>
      <c r="N149" s="323"/>
      <c r="O149" s="429"/>
      <c r="P149" s="322"/>
      <c r="Q149" s="323"/>
      <c r="R149" s="429"/>
      <c r="S149" s="322"/>
      <c r="T149" s="323"/>
      <c r="U149" s="324"/>
      <c r="V149" s="322"/>
      <c r="W149" s="323"/>
      <c r="X149" s="324" t="s">
        <v>22</v>
      </c>
      <c r="Y149" s="173" t="s">
        <v>8912</v>
      </c>
      <c r="Z149" s="322" t="s">
        <v>22</v>
      </c>
      <c r="AA149" s="104"/>
      <c r="AB149" s="319">
        <f>AA148</f>
        <v>0</v>
      </c>
      <c r="AC149" s="430"/>
      <c r="AD149" s="326" t="s">
        <v>22</v>
      </c>
      <c r="AE149" s="331"/>
      <c r="AF149" s="431"/>
      <c r="AG149" s="432"/>
      <c r="AH149" s="326"/>
      <c r="AI149" s="2"/>
      <c r="AJ149" s="59" t="str">
        <f t="shared" si="1"/>
        <v>нет з/ч</v>
      </c>
      <c r="AK149" s="61" t="str">
        <f t="shared" si="2"/>
        <v>нет з/ч</v>
      </c>
      <c r="AL149" s="61" t="str">
        <f t="shared" si="3"/>
        <v>нет з/ч</v>
      </c>
      <c r="AM149" s="304" t="str">
        <f t="shared" si="5"/>
        <v>нет з/ч</v>
      </c>
      <c r="AN149" s="2"/>
      <c r="AO149" s="289"/>
      <c r="AP149" s="296"/>
      <c r="AQ149" s="296"/>
      <c r="AR149" s="139"/>
      <c r="AS149" s="2"/>
      <c r="AT149" s="2"/>
      <c r="AU149" s="2"/>
      <c r="AV149" s="2"/>
      <c r="AW149" s="2"/>
      <c r="AX149" s="3" t="s">
        <v>9190</v>
      </c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>
      <c r="A150" s="315" t="s">
        <v>9191</v>
      </c>
      <c r="B150" s="93"/>
      <c r="C150" s="65"/>
      <c r="D150" s="31" t="s">
        <v>193</v>
      </c>
      <c r="E150" s="11" t="s">
        <v>8908</v>
      </c>
      <c r="F150" s="427" t="s">
        <v>8909</v>
      </c>
      <c r="G150" s="31" t="s">
        <v>8910</v>
      </c>
      <c r="H150" s="31"/>
      <c r="I150" s="31"/>
      <c r="J150" s="31"/>
      <c r="K150" s="428"/>
      <c r="L150" s="321"/>
      <c r="M150" s="322"/>
      <c r="N150" s="323"/>
      <c r="O150" s="429"/>
      <c r="P150" s="322"/>
      <c r="Q150" s="323"/>
      <c r="R150" s="429"/>
      <c r="S150" s="322"/>
      <c r="T150" s="323"/>
      <c r="U150" s="324"/>
      <c r="V150" s="322"/>
      <c r="W150" s="323"/>
      <c r="X150" s="324" t="s">
        <v>22</v>
      </c>
      <c r="Y150" s="173" t="s">
        <v>8912</v>
      </c>
      <c r="Z150" s="322" t="s">
        <v>22</v>
      </c>
      <c r="AA150" s="104"/>
      <c r="AB150" s="319">
        <f>AA148</f>
        <v>0</v>
      </c>
      <c r="AC150" s="430"/>
      <c r="AD150" s="326" t="s">
        <v>22</v>
      </c>
      <c r="AE150" s="331"/>
      <c r="AF150" s="431"/>
      <c r="AG150" s="432"/>
      <c r="AH150" s="326"/>
      <c r="AI150" s="2"/>
      <c r="AJ150" s="59" t="str">
        <f t="shared" si="1"/>
        <v>нет з/ч</v>
      </c>
      <c r="AK150" s="61" t="str">
        <f t="shared" si="2"/>
        <v>нет з/ч</v>
      </c>
      <c r="AL150" s="61" t="str">
        <f t="shared" si="3"/>
        <v>нет з/ч</v>
      </c>
      <c r="AM150" s="304" t="str">
        <f t="shared" si="5"/>
        <v>нет з/ч</v>
      </c>
      <c r="AN150" s="2"/>
      <c r="AO150" s="289"/>
      <c r="AP150" s="296"/>
      <c r="AQ150" s="296"/>
      <c r="AR150" s="139"/>
      <c r="AS150" s="2"/>
      <c r="AT150" s="2"/>
      <c r="AU150" s="2"/>
      <c r="AV150" s="2"/>
      <c r="AW150" s="2"/>
      <c r="AX150" s="3" t="s">
        <v>9191</v>
      </c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>
      <c r="A151" s="315" t="s">
        <v>9192</v>
      </c>
      <c r="B151" s="93"/>
      <c r="C151" s="65"/>
      <c r="D151" s="31" t="s">
        <v>193</v>
      </c>
      <c r="E151" s="11" t="s">
        <v>8908</v>
      </c>
      <c r="F151" s="427" t="s">
        <v>8909</v>
      </c>
      <c r="G151" s="31" t="s">
        <v>8910</v>
      </c>
      <c r="H151" s="31"/>
      <c r="I151" s="31"/>
      <c r="J151" s="31"/>
      <c r="K151" s="428"/>
      <c r="L151" s="321"/>
      <c r="M151" s="322"/>
      <c r="N151" s="323"/>
      <c r="O151" s="429"/>
      <c r="P151" s="322"/>
      <c r="Q151" s="323"/>
      <c r="R151" s="429"/>
      <c r="S151" s="322"/>
      <c r="T151" s="323"/>
      <c r="U151" s="324"/>
      <c r="V151" s="322"/>
      <c r="W151" s="323"/>
      <c r="X151" s="324" t="s">
        <v>22</v>
      </c>
      <c r="Y151" s="173" t="s">
        <v>8912</v>
      </c>
      <c r="Z151" s="322" t="s">
        <v>22</v>
      </c>
      <c r="AA151" s="67"/>
      <c r="AB151" s="319">
        <f>AA148</f>
        <v>0</v>
      </c>
      <c r="AC151" s="430"/>
      <c r="AD151" s="326" t="s">
        <v>22</v>
      </c>
      <c r="AE151" s="331"/>
      <c r="AF151" s="431"/>
      <c r="AG151" s="432"/>
      <c r="AH151" s="326"/>
      <c r="AI151" s="2"/>
      <c r="AJ151" s="59" t="str">
        <f t="shared" si="1"/>
        <v>нет з/ч</v>
      </c>
      <c r="AK151" s="61" t="str">
        <f t="shared" si="2"/>
        <v>нет з/ч</v>
      </c>
      <c r="AL151" s="61" t="str">
        <f t="shared" si="3"/>
        <v>нет з/ч</v>
      </c>
      <c r="AM151" s="304" t="str">
        <f t="shared" si="5"/>
        <v>нет з/ч</v>
      </c>
      <c r="AN151" s="2"/>
      <c r="AO151" s="289"/>
      <c r="AP151" s="296"/>
      <c r="AQ151" s="296"/>
      <c r="AR151" s="139"/>
      <c r="AS151" s="2"/>
      <c r="AT151" s="2"/>
      <c r="AU151" s="2"/>
      <c r="AV151" s="2"/>
      <c r="AW151" s="2"/>
      <c r="AX151" s="3" t="s">
        <v>9192</v>
      </c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>
      <c r="A152" s="315" t="s">
        <v>9193</v>
      </c>
      <c r="B152" s="93"/>
      <c r="C152" s="65"/>
      <c r="D152" s="31" t="s">
        <v>193</v>
      </c>
      <c r="E152" s="11" t="s">
        <v>8908</v>
      </c>
      <c r="F152" s="427" t="s">
        <v>8915</v>
      </c>
      <c r="G152" s="31" t="s">
        <v>8916</v>
      </c>
      <c r="H152" s="31"/>
      <c r="I152" s="31"/>
      <c r="J152" s="31"/>
      <c r="K152" s="428"/>
      <c r="L152" s="327" t="s">
        <v>9194</v>
      </c>
      <c r="M152" s="322"/>
      <c r="N152" s="328">
        <v>2400.0</v>
      </c>
      <c r="O152" s="429"/>
      <c r="P152" s="322"/>
      <c r="Q152" s="323"/>
      <c r="R152" s="429"/>
      <c r="S152" s="322"/>
      <c r="T152" s="323"/>
      <c r="U152" s="324"/>
      <c r="V152" s="322"/>
      <c r="W152" s="323"/>
      <c r="X152" s="324">
        <v>2400.0</v>
      </c>
      <c r="Y152" s="173" t="s">
        <v>8912</v>
      </c>
      <c r="Z152" s="322">
        <v>2700.0</v>
      </c>
      <c r="AA152" s="313">
        <f>MAX(Z152:Z155)</f>
        <v>2700</v>
      </c>
      <c r="AB152" s="319">
        <f>AA152</f>
        <v>2700</v>
      </c>
      <c r="AC152" s="430"/>
      <c r="AD152" s="326" t="s">
        <v>5839</v>
      </c>
      <c r="AE152" s="329" t="s">
        <v>9195</v>
      </c>
      <c r="AF152" s="431"/>
      <c r="AG152" s="432"/>
      <c r="AH152" s="330">
        <v>46080.71708858796</v>
      </c>
      <c r="AI152" s="2"/>
      <c r="AJ152" s="289">
        <f t="shared" si="1"/>
        <v>300</v>
      </c>
      <c r="AK152" s="61" t="str">
        <f t="shared" si="2"/>
        <v>нет з/ч</v>
      </c>
      <c r="AL152" s="61" t="str">
        <f t="shared" si="3"/>
        <v>нет з/ч</v>
      </c>
      <c r="AM152" s="304" t="str">
        <f t="shared" si="5"/>
        <v>нет з/ч</v>
      </c>
      <c r="AN152" s="2"/>
      <c r="AO152" s="289">
        <v>2400.0</v>
      </c>
      <c r="AP152" s="296"/>
      <c r="AQ152" s="296"/>
      <c r="AR152" s="139"/>
      <c r="AS152" s="2"/>
      <c r="AT152" s="2"/>
      <c r="AU152" s="2"/>
      <c r="AV152" s="2"/>
      <c r="AW152" s="2"/>
      <c r="AX152" s="3" t="s">
        <v>9193</v>
      </c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>
      <c r="A153" s="315" t="s">
        <v>9196</v>
      </c>
      <c r="B153" s="93"/>
      <c r="C153" s="65"/>
      <c r="D153" s="31" t="s">
        <v>193</v>
      </c>
      <c r="E153" s="11" t="s">
        <v>8908</v>
      </c>
      <c r="F153" s="427" t="s">
        <v>8915</v>
      </c>
      <c r="G153" s="31" t="s">
        <v>8916</v>
      </c>
      <c r="H153" s="31"/>
      <c r="I153" s="31"/>
      <c r="J153" s="31"/>
      <c r="K153" s="428"/>
      <c r="L153" s="327" t="s">
        <v>9197</v>
      </c>
      <c r="M153" s="322"/>
      <c r="N153" s="328">
        <v>2400.0</v>
      </c>
      <c r="O153" s="429"/>
      <c r="P153" s="322"/>
      <c r="Q153" s="323"/>
      <c r="R153" s="429"/>
      <c r="S153" s="322"/>
      <c r="T153" s="323"/>
      <c r="U153" s="324"/>
      <c r="V153" s="322"/>
      <c r="W153" s="323"/>
      <c r="X153" s="324">
        <v>2400.0</v>
      </c>
      <c r="Y153" s="173" t="s">
        <v>8912</v>
      </c>
      <c r="Z153" s="322">
        <v>2700.0</v>
      </c>
      <c r="AA153" s="104"/>
      <c r="AB153" s="319">
        <f>AA152</f>
        <v>2700</v>
      </c>
      <c r="AC153" s="430"/>
      <c r="AD153" s="326" t="s">
        <v>5839</v>
      </c>
      <c r="AE153" s="329" t="s">
        <v>9198</v>
      </c>
      <c r="AF153" s="431"/>
      <c r="AG153" s="432"/>
      <c r="AH153" s="330">
        <v>46080.717113437495</v>
      </c>
      <c r="AI153" s="2"/>
      <c r="AJ153" s="289">
        <f t="shared" si="1"/>
        <v>300</v>
      </c>
      <c r="AK153" s="61" t="str">
        <f t="shared" si="2"/>
        <v>нет з/ч</v>
      </c>
      <c r="AL153" s="61" t="str">
        <f t="shared" si="3"/>
        <v>нет з/ч</v>
      </c>
      <c r="AM153" s="304" t="str">
        <f t="shared" si="5"/>
        <v>нет з/ч</v>
      </c>
      <c r="AN153" s="2"/>
      <c r="AO153" s="289">
        <v>2400.0</v>
      </c>
      <c r="AP153" s="296"/>
      <c r="AQ153" s="296"/>
      <c r="AR153" s="139"/>
      <c r="AS153" s="2"/>
      <c r="AT153" s="2"/>
      <c r="AU153" s="2"/>
      <c r="AV153" s="2"/>
      <c r="AW153" s="2"/>
      <c r="AX153" s="3" t="s">
        <v>9196</v>
      </c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>
      <c r="A154" s="315" t="s">
        <v>9199</v>
      </c>
      <c r="B154" s="93"/>
      <c r="C154" s="65"/>
      <c r="D154" s="31" t="s">
        <v>193</v>
      </c>
      <c r="E154" s="11" t="s">
        <v>8908</v>
      </c>
      <c r="F154" s="427" t="s">
        <v>8915</v>
      </c>
      <c r="G154" s="31" t="s">
        <v>8916</v>
      </c>
      <c r="H154" s="31"/>
      <c r="I154" s="31"/>
      <c r="J154" s="31"/>
      <c r="K154" s="428"/>
      <c r="L154" s="327" t="s">
        <v>9200</v>
      </c>
      <c r="M154" s="322"/>
      <c r="N154" s="328">
        <v>2400.0</v>
      </c>
      <c r="O154" s="429"/>
      <c r="P154" s="322"/>
      <c r="Q154" s="323"/>
      <c r="R154" s="429"/>
      <c r="S154" s="322"/>
      <c r="T154" s="323"/>
      <c r="U154" s="324"/>
      <c r="V154" s="322"/>
      <c r="W154" s="323"/>
      <c r="X154" s="324">
        <v>2400.0</v>
      </c>
      <c r="Y154" s="173" t="s">
        <v>8912</v>
      </c>
      <c r="Z154" s="322">
        <v>2700.0</v>
      </c>
      <c r="AA154" s="104"/>
      <c r="AB154" s="319">
        <f>AA152</f>
        <v>2700</v>
      </c>
      <c r="AC154" s="430"/>
      <c r="AD154" s="326" t="s">
        <v>5839</v>
      </c>
      <c r="AE154" s="329" t="s">
        <v>9201</v>
      </c>
      <c r="AF154" s="431"/>
      <c r="AG154" s="432"/>
      <c r="AH154" s="330">
        <v>46080.71713972223</v>
      </c>
      <c r="AI154" s="2"/>
      <c r="AJ154" s="289">
        <f t="shared" si="1"/>
        <v>300</v>
      </c>
      <c r="AK154" s="61" t="str">
        <f t="shared" si="2"/>
        <v>нет з/ч</v>
      </c>
      <c r="AL154" s="61" t="str">
        <f t="shared" si="3"/>
        <v>нет з/ч</v>
      </c>
      <c r="AM154" s="304" t="str">
        <f t="shared" si="5"/>
        <v>нет з/ч</v>
      </c>
      <c r="AN154" s="2"/>
      <c r="AO154" s="289">
        <v>2400.0</v>
      </c>
      <c r="AP154" s="296"/>
      <c r="AQ154" s="296"/>
      <c r="AR154" s="139"/>
      <c r="AS154" s="2"/>
      <c r="AT154" s="2"/>
      <c r="AU154" s="2"/>
      <c r="AV154" s="2"/>
      <c r="AW154" s="2"/>
      <c r="AX154" s="3" t="s">
        <v>9199</v>
      </c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>
      <c r="A155" s="315" t="s">
        <v>9202</v>
      </c>
      <c r="B155" s="93"/>
      <c r="C155" s="65"/>
      <c r="D155" s="31" t="s">
        <v>193</v>
      </c>
      <c r="E155" s="11" t="s">
        <v>8908</v>
      </c>
      <c r="F155" s="427" t="s">
        <v>8915</v>
      </c>
      <c r="G155" s="31" t="s">
        <v>8916</v>
      </c>
      <c r="H155" s="31"/>
      <c r="I155" s="31"/>
      <c r="J155" s="31"/>
      <c r="K155" s="428"/>
      <c r="L155" s="327" t="s">
        <v>9203</v>
      </c>
      <c r="M155" s="322"/>
      <c r="N155" s="328">
        <v>2400.0</v>
      </c>
      <c r="O155" s="429"/>
      <c r="P155" s="322"/>
      <c r="Q155" s="323"/>
      <c r="R155" s="429"/>
      <c r="S155" s="322"/>
      <c r="T155" s="323"/>
      <c r="U155" s="324"/>
      <c r="V155" s="322"/>
      <c r="W155" s="323"/>
      <c r="X155" s="324">
        <v>2400.0</v>
      </c>
      <c r="Y155" s="173" t="s">
        <v>8912</v>
      </c>
      <c r="Z155" s="322">
        <v>2700.0</v>
      </c>
      <c r="AA155" s="67"/>
      <c r="AB155" s="319">
        <f>AA152</f>
        <v>2700</v>
      </c>
      <c r="AC155" s="430"/>
      <c r="AD155" s="326" t="s">
        <v>5839</v>
      </c>
      <c r="AE155" s="329" t="s">
        <v>9204</v>
      </c>
      <c r="AF155" s="431"/>
      <c r="AG155" s="432"/>
      <c r="AH155" s="330">
        <v>46080.71716597222</v>
      </c>
      <c r="AI155" s="2"/>
      <c r="AJ155" s="289">
        <f t="shared" si="1"/>
        <v>300</v>
      </c>
      <c r="AK155" s="61" t="str">
        <f t="shared" si="2"/>
        <v>нет з/ч</v>
      </c>
      <c r="AL155" s="61" t="str">
        <f t="shared" si="3"/>
        <v>нет з/ч</v>
      </c>
      <c r="AM155" s="304" t="str">
        <f t="shared" si="5"/>
        <v>нет з/ч</v>
      </c>
      <c r="AN155" s="2"/>
      <c r="AO155" s="289">
        <v>2400.0</v>
      </c>
      <c r="AP155" s="296"/>
      <c r="AQ155" s="296"/>
      <c r="AR155" s="139"/>
      <c r="AS155" s="2"/>
      <c r="AT155" s="2"/>
      <c r="AU155" s="2"/>
      <c r="AV155" s="2"/>
      <c r="AW155" s="2"/>
      <c r="AX155" s="3" t="s">
        <v>9202</v>
      </c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>
      <c r="A156" s="315" t="s">
        <v>9205</v>
      </c>
      <c r="B156" s="93"/>
      <c r="C156" s="65"/>
      <c r="D156" s="31" t="s">
        <v>201</v>
      </c>
      <c r="E156" s="11" t="s">
        <v>8908</v>
      </c>
      <c r="F156" s="427" t="s">
        <v>8909</v>
      </c>
      <c r="G156" s="31" t="s">
        <v>8910</v>
      </c>
      <c r="H156" s="31"/>
      <c r="I156" s="31"/>
      <c r="J156" s="31"/>
      <c r="K156" s="428"/>
      <c r="L156" s="321"/>
      <c r="M156" s="322"/>
      <c r="N156" s="323"/>
      <c r="O156" s="429"/>
      <c r="P156" s="322"/>
      <c r="Q156" s="323"/>
      <c r="R156" s="429"/>
      <c r="S156" s="322"/>
      <c r="T156" s="323"/>
      <c r="U156" s="324"/>
      <c r="V156" s="322"/>
      <c r="W156" s="323"/>
      <c r="X156" s="324" t="s">
        <v>22</v>
      </c>
      <c r="Y156" s="173" t="s">
        <v>8912</v>
      </c>
      <c r="Z156" s="322" t="s">
        <v>22</v>
      </c>
      <c r="AA156" s="313">
        <f>MAX(Z156:Z167)</f>
        <v>0</v>
      </c>
      <c r="AB156" s="319">
        <f>AA156</f>
        <v>0</v>
      </c>
      <c r="AC156" s="430"/>
      <c r="AD156" s="326" t="s">
        <v>22</v>
      </c>
      <c r="AE156" s="331"/>
      <c r="AF156" s="431"/>
      <c r="AG156" s="432"/>
      <c r="AH156" s="326"/>
      <c r="AI156" s="2"/>
      <c r="AJ156" s="59" t="str">
        <f t="shared" si="1"/>
        <v>нет з/ч</v>
      </c>
      <c r="AK156" s="61" t="str">
        <f t="shared" si="2"/>
        <v>нет з/ч</v>
      </c>
      <c r="AL156" s="61" t="str">
        <f t="shared" si="3"/>
        <v>нет з/ч</v>
      </c>
      <c r="AM156" s="304" t="str">
        <f t="shared" si="5"/>
        <v>нет з/ч</v>
      </c>
      <c r="AN156" s="2"/>
      <c r="AO156" s="289"/>
      <c r="AP156" s="296"/>
      <c r="AQ156" s="296"/>
      <c r="AR156" s="139"/>
      <c r="AS156" s="2"/>
      <c r="AT156" s="2"/>
      <c r="AU156" s="2"/>
      <c r="AV156" s="2"/>
      <c r="AW156" s="2"/>
      <c r="AX156" s="3" t="s">
        <v>9205</v>
      </c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>
      <c r="A157" s="315" t="s">
        <v>9206</v>
      </c>
      <c r="B157" s="93"/>
      <c r="C157" s="65"/>
      <c r="D157" s="31" t="s">
        <v>201</v>
      </c>
      <c r="E157" s="11" t="s">
        <v>8908</v>
      </c>
      <c r="F157" s="427" t="s">
        <v>8909</v>
      </c>
      <c r="G157" s="31" t="s">
        <v>8910</v>
      </c>
      <c r="H157" s="31"/>
      <c r="I157" s="31"/>
      <c r="J157" s="31"/>
      <c r="K157" s="428"/>
      <c r="L157" s="321"/>
      <c r="M157" s="322"/>
      <c r="N157" s="323"/>
      <c r="O157" s="429"/>
      <c r="P157" s="322"/>
      <c r="Q157" s="323"/>
      <c r="R157" s="429"/>
      <c r="S157" s="322"/>
      <c r="T157" s="323"/>
      <c r="U157" s="324"/>
      <c r="V157" s="322"/>
      <c r="W157" s="323"/>
      <c r="X157" s="324" t="s">
        <v>22</v>
      </c>
      <c r="Y157" s="173" t="s">
        <v>8912</v>
      </c>
      <c r="Z157" s="322" t="s">
        <v>22</v>
      </c>
      <c r="AA157" s="104"/>
      <c r="AB157" s="319">
        <f>AA156</f>
        <v>0</v>
      </c>
      <c r="AC157" s="430"/>
      <c r="AD157" s="326" t="s">
        <v>22</v>
      </c>
      <c r="AE157" s="331"/>
      <c r="AF157" s="431"/>
      <c r="AG157" s="432"/>
      <c r="AH157" s="326"/>
      <c r="AI157" s="2"/>
      <c r="AJ157" s="59" t="str">
        <f t="shared" si="1"/>
        <v>нет з/ч</v>
      </c>
      <c r="AK157" s="61" t="str">
        <f t="shared" si="2"/>
        <v>нет з/ч</v>
      </c>
      <c r="AL157" s="61" t="str">
        <f t="shared" si="3"/>
        <v>нет з/ч</v>
      </c>
      <c r="AM157" s="304" t="str">
        <f t="shared" si="5"/>
        <v>нет з/ч</v>
      </c>
      <c r="AN157" s="2"/>
      <c r="AO157" s="289"/>
      <c r="AP157" s="296"/>
      <c r="AQ157" s="296"/>
      <c r="AR157" s="139"/>
      <c r="AS157" s="2"/>
      <c r="AT157" s="2"/>
      <c r="AU157" s="2"/>
      <c r="AV157" s="2"/>
      <c r="AW157" s="2"/>
      <c r="AX157" s="3" t="s">
        <v>9206</v>
      </c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>
      <c r="A158" s="315" t="s">
        <v>9207</v>
      </c>
      <c r="B158" s="93"/>
      <c r="C158" s="65"/>
      <c r="D158" s="31" t="s">
        <v>201</v>
      </c>
      <c r="E158" s="11" t="s">
        <v>8908</v>
      </c>
      <c r="F158" s="427" t="s">
        <v>8909</v>
      </c>
      <c r="G158" s="31" t="s">
        <v>8910</v>
      </c>
      <c r="H158" s="31"/>
      <c r="I158" s="31"/>
      <c r="J158" s="31"/>
      <c r="K158" s="428"/>
      <c r="L158" s="321"/>
      <c r="M158" s="322"/>
      <c r="N158" s="323"/>
      <c r="O158" s="429"/>
      <c r="P158" s="322"/>
      <c r="Q158" s="323"/>
      <c r="R158" s="429"/>
      <c r="S158" s="322"/>
      <c r="T158" s="323"/>
      <c r="U158" s="324"/>
      <c r="V158" s="322"/>
      <c r="W158" s="323"/>
      <c r="X158" s="324" t="s">
        <v>22</v>
      </c>
      <c r="Y158" s="173" t="s">
        <v>8912</v>
      </c>
      <c r="Z158" s="322" t="s">
        <v>22</v>
      </c>
      <c r="AA158" s="104"/>
      <c r="AB158" s="319">
        <f>AA156</f>
        <v>0</v>
      </c>
      <c r="AC158" s="430"/>
      <c r="AD158" s="326" t="s">
        <v>22</v>
      </c>
      <c r="AE158" s="331"/>
      <c r="AF158" s="431"/>
      <c r="AG158" s="432"/>
      <c r="AH158" s="326"/>
      <c r="AI158" s="2"/>
      <c r="AJ158" s="59" t="str">
        <f t="shared" si="1"/>
        <v>нет з/ч</v>
      </c>
      <c r="AK158" s="61" t="str">
        <f t="shared" si="2"/>
        <v>нет з/ч</v>
      </c>
      <c r="AL158" s="61" t="str">
        <f t="shared" si="3"/>
        <v>нет з/ч</v>
      </c>
      <c r="AM158" s="304" t="str">
        <f t="shared" si="5"/>
        <v>нет з/ч</v>
      </c>
      <c r="AN158" s="2"/>
      <c r="AO158" s="289"/>
      <c r="AP158" s="296"/>
      <c r="AQ158" s="296"/>
      <c r="AR158" s="139"/>
      <c r="AS158" s="2"/>
      <c r="AT158" s="2"/>
      <c r="AU158" s="2"/>
      <c r="AV158" s="2"/>
      <c r="AW158" s="2"/>
      <c r="AX158" s="3" t="s">
        <v>9207</v>
      </c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>
      <c r="A159" s="315" t="s">
        <v>9208</v>
      </c>
      <c r="B159" s="93"/>
      <c r="C159" s="65"/>
      <c r="D159" s="31" t="s">
        <v>201</v>
      </c>
      <c r="E159" s="11" t="s">
        <v>8908</v>
      </c>
      <c r="F159" s="427" t="s">
        <v>8909</v>
      </c>
      <c r="G159" s="31" t="s">
        <v>8910</v>
      </c>
      <c r="H159" s="31"/>
      <c r="I159" s="31"/>
      <c r="J159" s="31"/>
      <c r="K159" s="428"/>
      <c r="L159" s="321"/>
      <c r="M159" s="322"/>
      <c r="N159" s="323"/>
      <c r="O159" s="429"/>
      <c r="P159" s="322"/>
      <c r="Q159" s="323"/>
      <c r="R159" s="429"/>
      <c r="S159" s="322"/>
      <c r="T159" s="323"/>
      <c r="U159" s="324"/>
      <c r="V159" s="322"/>
      <c r="W159" s="323"/>
      <c r="X159" s="324" t="s">
        <v>22</v>
      </c>
      <c r="Y159" s="173" t="s">
        <v>8912</v>
      </c>
      <c r="Z159" s="322" t="s">
        <v>22</v>
      </c>
      <c r="AA159" s="104"/>
      <c r="AB159" s="319">
        <f>AA156</f>
        <v>0</v>
      </c>
      <c r="AC159" s="430"/>
      <c r="AD159" s="326" t="s">
        <v>22</v>
      </c>
      <c r="AE159" s="331"/>
      <c r="AF159" s="431"/>
      <c r="AG159" s="432"/>
      <c r="AH159" s="326"/>
      <c r="AI159" s="2"/>
      <c r="AJ159" s="59" t="str">
        <f t="shared" si="1"/>
        <v>нет з/ч</v>
      </c>
      <c r="AK159" s="61" t="str">
        <f t="shared" si="2"/>
        <v>нет з/ч</v>
      </c>
      <c r="AL159" s="61" t="str">
        <f t="shared" si="3"/>
        <v>нет з/ч</v>
      </c>
      <c r="AM159" s="304" t="str">
        <f t="shared" si="5"/>
        <v>нет з/ч</v>
      </c>
      <c r="AN159" s="2"/>
      <c r="AO159" s="289"/>
      <c r="AP159" s="296"/>
      <c r="AQ159" s="296"/>
      <c r="AR159" s="139"/>
      <c r="AS159" s="2"/>
      <c r="AT159" s="2"/>
      <c r="AU159" s="2"/>
      <c r="AV159" s="2"/>
      <c r="AW159" s="2"/>
      <c r="AX159" s="3" t="s">
        <v>9208</v>
      </c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>
      <c r="A160" s="315" t="s">
        <v>9209</v>
      </c>
      <c r="B160" s="93"/>
      <c r="C160" s="65"/>
      <c r="D160" s="31" t="s">
        <v>201</v>
      </c>
      <c r="E160" s="11" t="s">
        <v>8908</v>
      </c>
      <c r="F160" s="427" t="s">
        <v>8909</v>
      </c>
      <c r="G160" s="31" t="s">
        <v>8910</v>
      </c>
      <c r="H160" s="31"/>
      <c r="I160" s="31"/>
      <c r="J160" s="31"/>
      <c r="K160" s="428"/>
      <c r="L160" s="321"/>
      <c r="M160" s="322"/>
      <c r="N160" s="323"/>
      <c r="O160" s="429"/>
      <c r="P160" s="322"/>
      <c r="Q160" s="323"/>
      <c r="R160" s="429"/>
      <c r="S160" s="322"/>
      <c r="T160" s="323"/>
      <c r="U160" s="324"/>
      <c r="V160" s="322"/>
      <c r="W160" s="323"/>
      <c r="X160" s="324" t="s">
        <v>22</v>
      </c>
      <c r="Y160" s="173" t="s">
        <v>8912</v>
      </c>
      <c r="Z160" s="322" t="s">
        <v>22</v>
      </c>
      <c r="AA160" s="104"/>
      <c r="AB160" s="319">
        <f>AA156</f>
        <v>0</v>
      </c>
      <c r="AC160" s="430"/>
      <c r="AD160" s="326" t="s">
        <v>22</v>
      </c>
      <c r="AE160" s="331"/>
      <c r="AF160" s="431"/>
      <c r="AG160" s="432"/>
      <c r="AH160" s="326"/>
      <c r="AI160" s="2"/>
      <c r="AJ160" s="59" t="str">
        <f t="shared" si="1"/>
        <v>нет з/ч</v>
      </c>
      <c r="AK160" s="61" t="str">
        <f t="shared" si="2"/>
        <v>нет з/ч</v>
      </c>
      <c r="AL160" s="61" t="str">
        <f t="shared" si="3"/>
        <v>нет з/ч</v>
      </c>
      <c r="AM160" s="304" t="str">
        <f t="shared" si="5"/>
        <v>нет з/ч</v>
      </c>
      <c r="AN160" s="2"/>
      <c r="AO160" s="289"/>
      <c r="AP160" s="296"/>
      <c r="AQ160" s="296"/>
      <c r="AR160" s="139"/>
      <c r="AS160" s="2"/>
      <c r="AT160" s="2"/>
      <c r="AU160" s="2"/>
      <c r="AV160" s="2"/>
      <c r="AW160" s="2"/>
      <c r="AX160" s="3" t="s">
        <v>9209</v>
      </c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>
      <c r="A161" s="315" t="s">
        <v>9210</v>
      </c>
      <c r="B161" s="93"/>
      <c r="C161" s="65"/>
      <c r="D161" s="31" t="s">
        <v>201</v>
      </c>
      <c r="E161" s="11" t="s">
        <v>8908</v>
      </c>
      <c r="F161" s="427" t="s">
        <v>8909</v>
      </c>
      <c r="G161" s="31" t="s">
        <v>8910</v>
      </c>
      <c r="H161" s="31"/>
      <c r="I161" s="31"/>
      <c r="J161" s="31"/>
      <c r="K161" s="428"/>
      <c r="L161" s="321"/>
      <c r="M161" s="322"/>
      <c r="N161" s="323"/>
      <c r="O161" s="429"/>
      <c r="P161" s="322"/>
      <c r="Q161" s="323"/>
      <c r="R161" s="429"/>
      <c r="S161" s="322"/>
      <c r="T161" s="323"/>
      <c r="U161" s="324"/>
      <c r="V161" s="322"/>
      <c r="W161" s="323"/>
      <c r="X161" s="324" t="s">
        <v>22</v>
      </c>
      <c r="Y161" s="173" t="s">
        <v>8912</v>
      </c>
      <c r="Z161" s="322" t="s">
        <v>22</v>
      </c>
      <c r="AA161" s="104"/>
      <c r="AB161" s="319">
        <f>AA156</f>
        <v>0</v>
      </c>
      <c r="AC161" s="430"/>
      <c r="AD161" s="326" t="s">
        <v>22</v>
      </c>
      <c r="AE161" s="331"/>
      <c r="AF161" s="431"/>
      <c r="AG161" s="432"/>
      <c r="AH161" s="326"/>
      <c r="AI161" s="2"/>
      <c r="AJ161" s="59" t="str">
        <f t="shared" si="1"/>
        <v>нет з/ч</v>
      </c>
      <c r="AK161" s="61" t="str">
        <f t="shared" si="2"/>
        <v>нет з/ч</v>
      </c>
      <c r="AL161" s="61" t="str">
        <f t="shared" si="3"/>
        <v>нет з/ч</v>
      </c>
      <c r="AM161" s="304" t="str">
        <f t="shared" si="5"/>
        <v>нет з/ч</v>
      </c>
      <c r="AN161" s="2"/>
      <c r="AO161" s="289"/>
      <c r="AP161" s="296"/>
      <c r="AQ161" s="296"/>
      <c r="AR161" s="139"/>
      <c r="AS161" s="2"/>
      <c r="AT161" s="2"/>
      <c r="AU161" s="2"/>
      <c r="AV161" s="2"/>
      <c r="AW161" s="2"/>
      <c r="AX161" s="3" t="s">
        <v>9210</v>
      </c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>
      <c r="A162" s="315" t="s">
        <v>9211</v>
      </c>
      <c r="B162" s="93"/>
      <c r="C162" s="65"/>
      <c r="D162" s="31" t="s">
        <v>201</v>
      </c>
      <c r="E162" s="11" t="s">
        <v>8908</v>
      </c>
      <c r="F162" s="427" t="s">
        <v>8909</v>
      </c>
      <c r="G162" s="31" t="s">
        <v>8910</v>
      </c>
      <c r="H162" s="31"/>
      <c r="I162" s="31"/>
      <c r="J162" s="31"/>
      <c r="K162" s="428"/>
      <c r="L162" s="321"/>
      <c r="M162" s="322"/>
      <c r="N162" s="323"/>
      <c r="O162" s="429"/>
      <c r="P162" s="322"/>
      <c r="Q162" s="323"/>
      <c r="R162" s="429"/>
      <c r="S162" s="322"/>
      <c r="T162" s="323"/>
      <c r="U162" s="324"/>
      <c r="V162" s="322"/>
      <c r="W162" s="323"/>
      <c r="X162" s="324" t="s">
        <v>22</v>
      </c>
      <c r="Y162" s="173" t="s">
        <v>8912</v>
      </c>
      <c r="Z162" s="322" t="s">
        <v>22</v>
      </c>
      <c r="AA162" s="104"/>
      <c r="AB162" s="319">
        <f>AA156</f>
        <v>0</v>
      </c>
      <c r="AC162" s="430"/>
      <c r="AD162" s="326" t="s">
        <v>22</v>
      </c>
      <c r="AE162" s="331"/>
      <c r="AF162" s="431"/>
      <c r="AG162" s="432"/>
      <c r="AH162" s="326"/>
      <c r="AI162" s="2"/>
      <c r="AJ162" s="59" t="str">
        <f t="shared" si="1"/>
        <v>нет з/ч</v>
      </c>
      <c r="AK162" s="61" t="str">
        <f t="shared" si="2"/>
        <v>нет з/ч</v>
      </c>
      <c r="AL162" s="61" t="str">
        <f t="shared" si="3"/>
        <v>нет з/ч</v>
      </c>
      <c r="AM162" s="304" t="str">
        <f t="shared" si="5"/>
        <v>нет з/ч</v>
      </c>
      <c r="AN162" s="2"/>
      <c r="AO162" s="289"/>
      <c r="AP162" s="296"/>
      <c r="AQ162" s="296"/>
      <c r="AR162" s="139"/>
      <c r="AS162" s="2"/>
      <c r="AT162" s="2"/>
      <c r="AU162" s="2"/>
      <c r="AV162" s="2"/>
      <c r="AW162" s="2"/>
      <c r="AX162" s="3" t="s">
        <v>9211</v>
      </c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>
      <c r="A163" s="315" t="s">
        <v>9212</v>
      </c>
      <c r="B163" s="93"/>
      <c r="C163" s="65"/>
      <c r="D163" s="31" t="s">
        <v>201</v>
      </c>
      <c r="E163" s="11" t="s">
        <v>8908</v>
      </c>
      <c r="F163" s="427" t="s">
        <v>8909</v>
      </c>
      <c r="G163" s="31" t="s">
        <v>8910</v>
      </c>
      <c r="H163" s="31"/>
      <c r="I163" s="31"/>
      <c r="J163" s="31"/>
      <c r="K163" s="428"/>
      <c r="L163" s="321"/>
      <c r="M163" s="322"/>
      <c r="N163" s="323"/>
      <c r="O163" s="429"/>
      <c r="P163" s="322"/>
      <c r="Q163" s="323"/>
      <c r="R163" s="429"/>
      <c r="S163" s="322"/>
      <c r="T163" s="323"/>
      <c r="U163" s="324"/>
      <c r="V163" s="322"/>
      <c r="W163" s="323"/>
      <c r="X163" s="324" t="s">
        <v>22</v>
      </c>
      <c r="Y163" s="173" t="s">
        <v>8912</v>
      </c>
      <c r="Z163" s="322" t="s">
        <v>22</v>
      </c>
      <c r="AA163" s="104"/>
      <c r="AB163" s="319">
        <f>AA156</f>
        <v>0</v>
      </c>
      <c r="AC163" s="430"/>
      <c r="AD163" s="326" t="s">
        <v>22</v>
      </c>
      <c r="AE163" s="331"/>
      <c r="AF163" s="431"/>
      <c r="AG163" s="432"/>
      <c r="AH163" s="326"/>
      <c r="AI163" s="2"/>
      <c r="AJ163" s="59" t="str">
        <f t="shared" si="1"/>
        <v>нет з/ч</v>
      </c>
      <c r="AK163" s="61" t="str">
        <f t="shared" si="2"/>
        <v>нет з/ч</v>
      </c>
      <c r="AL163" s="61" t="str">
        <f t="shared" si="3"/>
        <v>нет з/ч</v>
      </c>
      <c r="AM163" s="304" t="str">
        <f t="shared" si="5"/>
        <v>нет з/ч</v>
      </c>
      <c r="AN163" s="2"/>
      <c r="AO163" s="289"/>
      <c r="AP163" s="296"/>
      <c r="AQ163" s="296"/>
      <c r="AR163" s="139"/>
      <c r="AS163" s="2"/>
      <c r="AT163" s="2"/>
      <c r="AU163" s="2"/>
      <c r="AV163" s="2"/>
      <c r="AW163" s="2"/>
      <c r="AX163" s="3" t="s">
        <v>9212</v>
      </c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>
      <c r="A164" s="315" t="s">
        <v>9213</v>
      </c>
      <c r="B164" s="93"/>
      <c r="C164" s="65"/>
      <c r="D164" s="31" t="s">
        <v>201</v>
      </c>
      <c r="E164" s="11" t="s">
        <v>8908</v>
      </c>
      <c r="F164" s="427" t="s">
        <v>8909</v>
      </c>
      <c r="G164" s="31" t="s">
        <v>8910</v>
      </c>
      <c r="H164" s="31"/>
      <c r="I164" s="31"/>
      <c r="J164" s="31"/>
      <c r="K164" s="428"/>
      <c r="L164" s="321"/>
      <c r="M164" s="322"/>
      <c r="N164" s="323"/>
      <c r="O164" s="429"/>
      <c r="P164" s="322"/>
      <c r="Q164" s="323"/>
      <c r="R164" s="429"/>
      <c r="S164" s="322"/>
      <c r="T164" s="323"/>
      <c r="U164" s="324"/>
      <c r="V164" s="322"/>
      <c r="W164" s="323"/>
      <c r="X164" s="324" t="s">
        <v>22</v>
      </c>
      <c r="Y164" s="173" t="s">
        <v>8912</v>
      </c>
      <c r="Z164" s="322" t="s">
        <v>22</v>
      </c>
      <c r="AA164" s="104"/>
      <c r="AB164" s="319">
        <f>AA156</f>
        <v>0</v>
      </c>
      <c r="AC164" s="430"/>
      <c r="AD164" s="326" t="s">
        <v>22</v>
      </c>
      <c r="AE164" s="331"/>
      <c r="AF164" s="431"/>
      <c r="AG164" s="432"/>
      <c r="AH164" s="326"/>
      <c r="AI164" s="2"/>
      <c r="AJ164" s="59" t="str">
        <f t="shared" si="1"/>
        <v>нет з/ч</v>
      </c>
      <c r="AK164" s="61" t="str">
        <f t="shared" si="2"/>
        <v>нет з/ч</v>
      </c>
      <c r="AL164" s="61" t="str">
        <f t="shared" si="3"/>
        <v>нет з/ч</v>
      </c>
      <c r="AM164" s="304" t="str">
        <f t="shared" si="5"/>
        <v>нет з/ч</v>
      </c>
      <c r="AN164" s="2"/>
      <c r="AO164" s="289"/>
      <c r="AP164" s="296"/>
      <c r="AQ164" s="296"/>
      <c r="AR164" s="139"/>
      <c r="AS164" s="2"/>
      <c r="AT164" s="2"/>
      <c r="AU164" s="2"/>
      <c r="AV164" s="2"/>
      <c r="AW164" s="2"/>
      <c r="AX164" s="3" t="s">
        <v>9213</v>
      </c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>
      <c r="A165" s="315" t="s">
        <v>9214</v>
      </c>
      <c r="B165" s="93"/>
      <c r="C165" s="65"/>
      <c r="D165" s="31" t="s">
        <v>201</v>
      </c>
      <c r="E165" s="11" t="s">
        <v>8908</v>
      </c>
      <c r="F165" s="427" t="s">
        <v>8909</v>
      </c>
      <c r="G165" s="31" t="s">
        <v>8910</v>
      </c>
      <c r="H165" s="31"/>
      <c r="I165" s="31"/>
      <c r="J165" s="31"/>
      <c r="K165" s="428"/>
      <c r="L165" s="321"/>
      <c r="M165" s="322"/>
      <c r="N165" s="323"/>
      <c r="O165" s="429"/>
      <c r="P165" s="322"/>
      <c r="Q165" s="323"/>
      <c r="R165" s="429"/>
      <c r="S165" s="322"/>
      <c r="T165" s="323"/>
      <c r="U165" s="324"/>
      <c r="V165" s="322"/>
      <c r="W165" s="323"/>
      <c r="X165" s="324" t="s">
        <v>22</v>
      </c>
      <c r="Y165" s="173" t="s">
        <v>8912</v>
      </c>
      <c r="Z165" s="322" t="s">
        <v>22</v>
      </c>
      <c r="AA165" s="104"/>
      <c r="AB165" s="319">
        <f>AA156</f>
        <v>0</v>
      </c>
      <c r="AC165" s="430"/>
      <c r="AD165" s="326" t="s">
        <v>22</v>
      </c>
      <c r="AE165" s="331"/>
      <c r="AF165" s="431"/>
      <c r="AG165" s="432"/>
      <c r="AH165" s="326"/>
      <c r="AI165" s="2"/>
      <c r="AJ165" s="59" t="str">
        <f t="shared" si="1"/>
        <v>нет з/ч</v>
      </c>
      <c r="AK165" s="61" t="str">
        <f t="shared" si="2"/>
        <v>нет з/ч</v>
      </c>
      <c r="AL165" s="61" t="str">
        <f t="shared" si="3"/>
        <v>нет з/ч</v>
      </c>
      <c r="AM165" s="304" t="str">
        <f t="shared" si="5"/>
        <v>нет з/ч</v>
      </c>
      <c r="AN165" s="2"/>
      <c r="AO165" s="289"/>
      <c r="AP165" s="296"/>
      <c r="AQ165" s="296"/>
      <c r="AR165" s="139"/>
      <c r="AS165" s="2"/>
      <c r="AT165" s="2"/>
      <c r="AU165" s="2"/>
      <c r="AV165" s="2"/>
      <c r="AW165" s="2"/>
      <c r="AX165" s="3" t="s">
        <v>9214</v>
      </c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>
      <c r="A166" s="315" t="s">
        <v>9215</v>
      </c>
      <c r="B166" s="93"/>
      <c r="C166" s="65"/>
      <c r="D166" s="31" t="s">
        <v>201</v>
      </c>
      <c r="E166" s="11" t="s">
        <v>8908</v>
      </c>
      <c r="F166" s="427" t="s">
        <v>8909</v>
      </c>
      <c r="G166" s="31" t="s">
        <v>8910</v>
      </c>
      <c r="H166" s="31"/>
      <c r="I166" s="31"/>
      <c r="J166" s="31"/>
      <c r="K166" s="428"/>
      <c r="L166" s="321"/>
      <c r="M166" s="322"/>
      <c r="N166" s="323"/>
      <c r="O166" s="429"/>
      <c r="P166" s="322"/>
      <c r="Q166" s="323"/>
      <c r="R166" s="429"/>
      <c r="S166" s="322"/>
      <c r="T166" s="323"/>
      <c r="U166" s="324"/>
      <c r="V166" s="322"/>
      <c r="W166" s="323"/>
      <c r="X166" s="324" t="s">
        <v>22</v>
      </c>
      <c r="Y166" s="173" t="s">
        <v>8912</v>
      </c>
      <c r="Z166" s="322" t="s">
        <v>22</v>
      </c>
      <c r="AA166" s="104"/>
      <c r="AB166" s="319">
        <f>AA156</f>
        <v>0</v>
      </c>
      <c r="AC166" s="430"/>
      <c r="AD166" s="326" t="s">
        <v>22</v>
      </c>
      <c r="AE166" s="331"/>
      <c r="AF166" s="431"/>
      <c r="AG166" s="432"/>
      <c r="AH166" s="326"/>
      <c r="AI166" s="2"/>
      <c r="AJ166" s="59" t="str">
        <f t="shared" si="1"/>
        <v>нет з/ч</v>
      </c>
      <c r="AK166" s="61" t="str">
        <f t="shared" si="2"/>
        <v>нет з/ч</v>
      </c>
      <c r="AL166" s="61" t="str">
        <f t="shared" si="3"/>
        <v>нет з/ч</v>
      </c>
      <c r="AM166" s="304" t="str">
        <f t="shared" si="5"/>
        <v>нет з/ч</v>
      </c>
      <c r="AN166" s="2"/>
      <c r="AO166" s="289"/>
      <c r="AP166" s="296"/>
      <c r="AQ166" s="296"/>
      <c r="AR166" s="139"/>
      <c r="AS166" s="2"/>
      <c r="AT166" s="2"/>
      <c r="AU166" s="2"/>
      <c r="AV166" s="2"/>
      <c r="AW166" s="2"/>
      <c r="AX166" s="3" t="s">
        <v>9215</v>
      </c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>
      <c r="A167" s="315" t="s">
        <v>9216</v>
      </c>
      <c r="B167" s="93"/>
      <c r="C167" s="65"/>
      <c r="D167" s="31" t="s">
        <v>201</v>
      </c>
      <c r="E167" s="11" t="s">
        <v>8908</v>
      </c>
      <c r="F167" s="427" t="s">
        <v>8909</v>
      </c>
      <c r="G167" s="31" t="s">
        <v>8910</v>
      </c>
      <c r="H167" s="31"/>
      <c r="I167" s="31"/>
      <c r="J167" s="31"/>
      <c r="K167" s="428"/>
      <c r="L167" s="321"/>
      <c r="M167" s="322"/>
      <c r="N167" s="323"/>
      <c r="O167" s="429"/>
      <c r="P167" s="322"/>
      <c r="Q167" s="323"/>
      <c r="R167" s="429"/>
      <c r="S167" s="322"/>
      <c r="T167" s="323"/>
      <c r="U167" s="324"/>
      <c r="V167" s="322"/>
      <c r="W167" s="323"/>
      <c r="X167" s="324" t="s">
        <v>22</v>
      </c>
      <c r="Y167" s="173" t="s">
        <v>8912</v>
      </c>
      <c r="Z167" s="322" t="s">
        <v>22</v>
      </c>
      <c r="AA167" s="67"/>
      <c r="AB167" s="319">
        <f>AA156</f>
        <v>0</v>
      </c>
      <c r="AC167" s="430"/>
      <c r="AD167" s="326" t="s">
        <v>22</v>
      </c>
      <c r="AE167" s="331"/>
      <c r="AF167" s="431"/>
      <c r="AG167" s="432"/>
      <c r="AH167" s="326"/>
      <c r="AI167" s="2"/>
      <c r="AJ167" s="59" t="str">
        <f t="shared" si="1"/>
        <v>нет з/ч</v>
      </c>
      <c r="AK167" s="61" t="str">
        <f t="shared" si="2"/>
        <v>нет з/ч</v>
      </c>
      <c r="AL167" s="61" t="str">
        <f t="shared" si="3"/>
        <v>нет з/ч</v>
      </c>
      <c r="AM167" s="304" t="str">
        <f t="shared" si="5"/>
        <v>нет з/ч</v>
      </c>
      <c r="AN167" s="2"/>
      <c r="AO167" s="289"/>
      <c r="AP167" s="296"/>
      <c r="AQ167" s="296"/>
      <c r="AR167" s="139"/>
      <c r="AS167" s="2"/>
      <c r="AT167" s="2"/>
      <c r="AU167" s="2"/>
      <c r="AV167" s="2"/>
      <c r="AW167" s="2"/>
      <c r="AX167" s="3" t="s">
        <v>9216</v>
      </c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</row>
    <row r="168">
      <c r="A168" s="315" t="s">
        <v>9217</v>
      </c>
      <c r="B168" s="93"/>
      <c r="C168" s="65"/>
      <c r="D168" s="31" t="s">
        <v>201</v>
      </c>
      <c r="E168" s="11" t="s">
        <v>8908</v>
      </c>
      <c r="F168" s="427" t="s">
        <v>8915</v>
      </c>
      <c r="G168" s="31" t="s">
        <v>8916</v>
      </c>
      <c r="H168" s="31"/>
      <c r="I168" s="31"/>
      <c r="J168" s="31"/>
      <c r="K168" s="428"/>
      <c r="L168" s="327" t="s">
        <v>9218</v>
      </c>
      <c r="M168" s="322"/>
      <c r="N168" s="328">
        <v>1400.0</v>
      </c>
      <c r="O168" s="429"/>
      <c r="P168" s="322"/>
      <c r="Q168" s="323"/>
      <c r="R168" s="429"/>
      <c r="S168" s="322"/>
      <c r="T168" s="323"/>
      <c r="U168" s="324"/>
      <c r="V168" s="322"/>
      <c r="W168" s="323"/>
      <c r="X168" s="324">
        <v>1400.0</v>
      </c>
      <c r="Y168" s="173" t="s">
        <v>8912</v>
      </c>
      <c r="Z168" s="322">
        <v>1600.0</v>
      </c>
      <c r="AA168" s="313">
        <f>MAX(Z168:Z173)</f>
        <v>1600</v>
      </c>
      <c r="AB168" s="319">
        <f>AA168</f>
        <v>1600</v>
      </c>
      <c r="AC168" s="430"/>
      <c r="AD168" s="326" t="s">
        <v>5839</v>
      </c>
      <c r="AE168" s="329" t="s">
        <v>9219</v>
      </c>
      <c r="AF168" s="431"/>
      <c r="AG168" s="432"/>
      <c r="AH168" s="330">
        <v>46080.71719473379</v>
      </c>
      <c r="AI168" s="2"/>
      <c r="AJ168" s="289">
        <f t="shared" si="1"/>
        <v>200</v>
      </c>
      <c r="AK168" s="61" t="str">
        <f t="shared" si="2"/>
        <v>нет з/ч</v>
      </c>
      <c r="AL168" s="61" t="str">
        <f t="shared" si="3"/>
        <v>нет з/ч</v>
      </c>
      <c r="AM168" s="304" t="str">
        <f t="shared" si="5"/>
        <v>нет з/ч</v>
      </c>
      <c r="AN168" s="2"/>
      <c r="AO168" s="289">
        <v>1400.0</v>
      </c>
      <c r="AP168" s="296"/>
      <c r="AQ168" s="296"/>
      <c r="AR168" s="139"/>
      <c r="AS168" s="2"/>
      <c r="AT168" s="2"/>
      <c r="AU168" s="2"/>
      <c r="AV168" s="2"/>
      <c r="AW168" s="2"/>
      <c r="AX168" s="3" t="s">
        <v>9217</v>
      </c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>
      <c r="A169" s="315" t="s">
        <v>9220</v>
      </c>
      <c r="B169" s="93"/>
      <c r="C169" s="65"/>
      <c r="D169" s="31" t="s">
        <v>201</v>
      </c>
      <c r="E169" s="11" t="s">
        <v>8908</v>
      </c>
      <c r="F169" s="427" t="s">
        <v>8915</v>
      </c>
      <c r="G169" s="31" t="s">
        <v>8916</v>
      </c>
      <c r="H169" s="31"/>
      <c r="I169" s="31"/>
      <c r="J169" s="31"/>
      <c r="K169" s="428"/>
      <c r="L169" s="327" t="s">
        <v>9221</v>
      </c>
      <c r="M169" s="322"/>
      <c r="N169" s="328">
        <v>1400.0</v>
      </c>
      <c r="O169" s="429"/>
      <c r="P169" s="322"/>
      <c r="Q169" s="323"/>
      <c r="R169" s="429"/>
      <c r="S169" s="322"/>
      <c r="T169" s="323"/>
      <c r="U169" s="324"/>
      <c r="V169" s="322"/>
      <c r="W169" s="323"/>
      <c r="X169" s="324">
        <v>1400.0</v>
      </c>
      <c r="Y169" s="173" t="s">
        <v>8912</v>
      </c>
      <c r="Z169" s="322">
        <v>1600.0</v>
      </c>
      <c r="AA169" s="104"/>
      <c r="AB169" s="319">
        <f>AA168</f>
        <v>1600</v>
      </c>
      <c r="AC169" s="430"/>
      <c r="AD169" s="326" t="s">
        <v>5839</v>
      </c>
      <c r="AE169" s="329" t="s">
        <v>9222</v>
      </c>
      <c r="AF169" s="431"/>
      <c r="AG169" s="432"/>
      <c r="AH169" s="330">
        <v>46080.71722016204</v>
      </c>
      <c r="AI169" s="2"/>
      <c r="AJ169" s="289">
        <f t="shared" si="1"/>
        <v>200</v>
      </c>
      <c r="AK169" s="61" t="str">
        <f t="shared" si="2"/>
        <v>нет з/ч</v>
      </c>
      <c r="AL169" s="61" t="str">
        <f t="shared" si="3"/>
        <v>нет з/ч</v>
      </c>
      <c r="AM169" s="304" t="str">
        <f t="shared" si="5"/>
        <v>нет з/ч</v>
      </c>
      <c r="AN169" s="2"/>
      <c r="AO169" s="289">
        <v>1400.0</v>
      </c>
      <c r="AP169" s="296"/>
      <c r="AQ169" s="296"/>
      <c r="AR169" s="139"/>
      <c r="AS169" s="2"/>
      <c r="AT169" s="2"/>
      <c r="AU169" s="2"/>
      <c r="AV169" s="2"/>
      <c r="AW169" s="2"/>
      <c r="AX169" s="3" t="s">
        <v>9220</v>
      </c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</row>
    <row r="170">
      <c r="A170" s="315" t="s">
        <v>9223</v>
      </c>
      <c r="B170" s="93"/>
      <c r="C170" s="65"/>
      <c r="D170" s="31" t="s">
        <v>201</v>
      </c>
      <c r="E170" s="11" t="s">
        <v>8908</v>
      </c>
      <c r="F170" s="427" t="s">
        <v>8915</v>
      </c>
      <c r="G170" s="31" t="s">
        <v>8916</v>
      </c>
      <c r="H170" s="31"/>
      <c r="I170" s="31"/>
      <c r="J170" s="31"/>
      <c r="K170" s="428"/>
      <c r="L170" s="327" t="s">
        <v>9224</v>
      </c>
      <c r="M170" s="322"/>
      <c r="N170" s="328">
        <v>1400.0</v>
      </c>
      <c r="O170" s="429"/>
      <c r="P170" s="322"/>
      <c r="Q170" s="323"/>
      <c r="R170" s="429"/>
      <c r="S170" s="322"/>
      <c r="T170" s="323"/>
      <c r="U170" s="324"/>
      <c r="V170" s="322"/>
      <c r="W170" s="323"/>
      <c r="X170" s="324">
        <v>1400.0</v>
      </c>
      <c r="Y170" s="173" t="s">
        <v>8912</v>
      </c>
      <c r="Z170" s="322">
        <v>1600.0</v>
      </c>
      <c r="AA170" s="104"/>
      <c r="AB170" s="319">
        <f>AA168</f>
        <v>1600</v>
      </c>
      <c r="AC170" s="430"/>
      <c r="AD170" s="326" t="s">
        <v>5839</v>
      </c>
      <c r="AE170" s="329" t="s">
        <v>9225</v>
      </c>
      <c r="AF170" s="431"/>
      <c r="AG170" s="432"/>
      <c r="AH170" s="330">
        <v>46080.71724628472</v>
      </c>
      <c r="AI170" s="2"/>
      <c r="AJ170" s="289">
        <f t="shared" si="1"/>
        <v>200</v>
      </c>
      <c r="AK170" s="61" t="str">
        <f t="shared" si="2"/>
        <v>нет з/ч</v>
      </c>
      <c r="AL170" s="61" t="str">
        <f t="shared" si="3"/>
        <v>нет з/ч</v>
      </c>
      <c r="AM170" s="304" t="str">
        <f t="shared" si="5"/>
        <v>нет з/ч</v>
      </c>
      <c r="AN170" s="2"/>
      <c r="AO170" s="289">
        <v>1400.0</v>
      </c>
      <c r="AP170" s="296"/>
      <c r="AQ170" s="296"/>
      <c r="AR170" s="139"/>
      <c r="AS170" s="2"/>
      <c r="AT170" s="2"/>
      <c r="AU170" s="2"/>
      <c r="AV170" s="2"/>
      <c r="AW170" s="2"/>
      <c r="AX170" s="3" t="s">
        <v>9223</v>
      </c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>
      <c r="A171" s="315" t="s">
        <v>9226</v>
      </c>
      <c r="B171" s="93"/>
      <c r="C171" s="65"/>
      <c r="D171" s="31" t="s">
        <v>201</v>
      </c>
      <c r="E171" s="11" t="s">
        <v>8908</v>
      </c>
      <c r="F171" s="427" t="s">
        <v>8915</v>
      </c>
      <c r="G171" s="31" t="s">
        <v>8916</v>
      </c>
      <c r="H171" s="31"/>
      <c r="I171" s="31"/>
      <c r="J171" s="31"/>
      <c r="K171" s="428"/>
      <c r="L171" s="327" t="s">
        <v>9227</v>
      </c>
      <c r="M171" s="322"/>
      <c r="N171" s="328">
        <v>1400.0</v>
      </c>
      <c r="O171" s="429"/>
      <c r="P171" s="322"/>
      <c r="Q171" s="323"/>
      <c r="R171" s="429"/>
      <c r="S171" s="322"/>
      <c r="T171" s="323"/>
      <c r="U171" s="324"/>
      <c r="V171" s="322"/>
      <c r="W171" s="323"/>
      <c r="X171" s="324">
        <v>1400.0</v>
      </c>
      <c r="Y171" s="173" t="s">
        <v>8912</v>
      </c>
      <c r="Z171" s="322">
        <v>1600.0</v>
      </c>
      <c r="AA171" s="104"/>
      <c r="AB171" s="319">
        <f>AA168</f>
        <v>1600</v>
      </c>
      <c r="AC171" s="430"/>
      <c r="AD171" s="326" t="s">
        <v>5839</v>
      </c>
      <c r="AE171" s="329" t="s">
        <v>9228</v>
      </c>
      <c r="AF171" s="431"/>
      <c r="AG171" s="432"/>
      <c r="AH171" s="330">
        <v>46080.71727165509</v>
      </c>
      <c r="AI171" s="2"/>
      <c r="AJ171" s="289">
        <f t="shared" si="1"/>
        <v>200</v>
      </c>
      <c r="AK171" s="61" t="str">
        <f t="shared" si="2"/>
        <v>нет з/ч</v>
      </c>
      <c r="AL171" s="61" t="str">
        <f t="shared" si="3"/>
        <v>нет з/ч</v>
      </c>
      <c r="AM171" s="304" t="str">
        <f t="shared" si="5"/>
        <v>нет з/ч</v>
      </c>
      <c r="AN171" s="2"/>
      <c r="AO171" s="289">
        <v>1400.0</v>
      </c>
      <c r="AP171" s="296"/>
      <c r="AQ171" s="296"/>
      <c r="AR171" s="139"/>
      <c r="AS171" s="2"/>
      <c r="AT171" s="2"/>
      <c r="AU171" s="2"/>
      <c r="AV171" s="2"/>
      <c r="AW171" s="2"/>
      <c r="AX171" s="3" t="s">
        <v>9226</v>
      </c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>
      <c r="A172" s="315" t="s">
        <v>9229</v>
      </c>
      <c r="B172" s="93"/>
      <c r="C172" s="65"/>
      <c r="D172" s="31" t="s">
        <v>201</v>
      </c>
      <c r="E172" s="11" t="s">
        <v>8908</v>
      </c>
      <c r="F172" s="427" t="s">
        <v>8915</v>
      </c>
      <c r="G172" s="31" t="s">
        <v>8916</v>
      </c>
      <c r="H172" s="31"/>
      <c r="I172" s="31"/>
      <c r="J172" s="31"/>
      <c r="K172" s="428"/>
      <c r="L172" s="327" t="s">
        <v>9230</v>
      </c>
      <c r="M172" s="322"/>
      <c r="N172" s="328">
        <v>1400.0</v>
      </c>
      <c r="O172" s="429"/>
      <c r="P172" s="322"/>
      <c r="Q172" s="323"/>
      <c r="R172" s="429"/>
      <c r="S172" s="322"/>
      <c r="T172" s="323"/>
      <c r="U172" s="324"/>
      <c r="V172" s="322"/>
      <c r="W172" s="323"/>
      <c r="X172" s="324">
        <v>1400.0</v>
      </c>
      <c r="Y172" s="173" t="s">
        <v>8912</v>
      </c>
      <c r="Z172" s="322">
        <v>1600.0</v>
      </c>
      <c r="AA172" s="104"/>
      <c r="AB172" s="319">
        <f>AA168</f>
        <v>1600</v>
      </c>
      <c r="AC172" s="430"/>
      <c r="AD172" s="326" t="s">
        <v>5839</v>
      </c>
      <c r="AE172" s="329" t="s">
        <v>9231</v>
      </c>
      <c r="AF172" s="431"/>
      <c r="AG172" s="432"/>
      <c r="AH172" s="330">
        <v>46080.717299791664</v>
      </c>
      <c r="AI172" s="2"/>
      <c r="AJ172" s="289">
        <f t="shared" si="1"/>
        <v>200</v>
      </c>
      <c r="AK172" s="61" t="str">
        <f t="shared" si="2"/>
        <v>нет з/ч</v>
      </c>
      <c r="AL172" s="61" t="str">
        <f t="shared" si="3"/>
        <v>нет з/ч</v>
      </c>
      <c r="AM172" s="304" t="str">
        <f t="shared" si="5"/>
        <v>нет з/ч</v>
      </c>
      <c r="AN172" s="2"/>
      <c r="AO172" s="289">
        <v>1400.0</v>
      </c>
      <c r="AP172" s="296"/>
      <c r="AQ172" s="296"/>
      <c r="AR172" s="139"/>
      <c r="AS172" s="2"/>
      <c r="AT172" s="2"/>
      <c r="AU172" s="2"/>
      <c r="AV172" s="2"/>
      <c r="AW172" s="2"/>
      <c r="AX172" s="3" t="s">
        <v>9229</v>
      </c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>
      <c r="A173" s="315" t="s">
        <v>9232</v>
      </c>
      <c r="B173" s="93"/>
      <c r="C173" s="65"/>
      <c r="D173" s="31" t="s">
        <v>201</v>
      </c>
      <c r="E173" s="11" t="s">
        <v>8908</v>
      </c>
      <c r="F173" s="427" t="s">
        <v>8915</v>
      </c>
      <c r="G173" s="31" t="s">
        <v>8916</v>
      </c>
      <c r="H173" s="31"/>
      <c r="I173" s="31"/>
      <c r="J173" s="31"/>
      <c r="K173" s="428"/>
      <c r="L173" s="327" t="s">
        <v>9233</v>
      </c>
      <c r="M173" s="322"/>
      <c r="N173" s="328">
        <v>1400.0</v>
      </c>
      <c r="O173" s="429"/>
      <c r="P173" s="322"/>
      <c r="Q173" s="323"/>
      <c r="R173" s="429"/>
      <c r="S173" s="322"/>
      <c r="T173" s="323"/>
      <c r="U173" s="324"/>
      <c r="V173" s="322"/>
      <c r="W173" s="323"/>
      <c r="X173" s="324">
        <v>1400.0</v>
      </c>
      <c r="Y173" s="173" t="s">
        <v>8912</v>
      </c>
      <c r="Z173" s="322">
        <v>1600.0</v>
      </c>
      <c r="AA173" s="67"/>
      <c r="AB173" s="319">
        <f>AA168</f>
        <v>1600</v>
      </c>
      <c r="AC173" s="430"/>
      <c r="AD173" s="326" t="s">
        <v>5839</v>
      </c>
      <c r="AE173" s="329" t="s">
        <v>9234</v>
      </c>
      <c r="AF173" s="431"/>
      <c r="AG173" s="432"/>
      <c r="AH173" s="330">
        <v>46080.71732498842</v>
      </c>
      <c r="AI173" s="2"/>
      <c r="AJ173" s="289">
        <f t="shared" si="1"/>
        <v>200</v>
      </c>
      <c r="AK173" s="61" t="str">
        <f t="shared" si="2"/>
        <v>нет з/ч</v>
      </c>
      <c r="AL173" s="61" t="str">
        <f t="shared" si="3"/>
        <v>нет з/ч</v>
      </c>
      <c r="AM173" s="304" t="str">
        <f t="shared" si="5"/>
        <v>нет з/ч</v>
      </c>
      <c r="AN173" s="2"/>
      <c r="AO173" s="289">
        <v>1400.0</v>
      </c>
      <c r="AP173" s="296"/>
      <c r="AQ173" s="296"/>
      <c r="AR173" s="139"/>
      <c r="AS173" s="2"/>
      <c r="AT173" s="2"/>
      <c r="AU173" s="2"/>
      <c r="AV173" s="2"/>
      <c r="AW173" s="2"/>
      <c r="AX173" s="3" t="s">
        <v>9232</v>
      </c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>
      <c r="A174" s="315" t="s">
        <v>9235</v>
      </c>
      <c r="B174" s="93"/>
      <c r="C174" s="65"/>
      <c r="D174" s="31" t="s">
        <v>212</v>
      </c>
      <c r="E174" s="11" t="s">
        <v>8908</v>
      </c>
      <c r="F174" s="427" t="s">
        <v>8909</v>
      </c>
      <c r="G174" s="31" t="s">
        <v>8910</v>
      </c>
      <c r="H174" s="31"/>
      <c r="I174" s="31"/>
      <c r="J174" s="31"/>
      <c r="K174" s="428"/>
      <c r="L174" s="321"/>
      <c r="M174" s="322"/>
      <c r="N174" s="323"/>
      <c r="O174" s="429"/>
      <c r="P174" s="322"/>
      <c r="Q174" s="323"/>
      <c r="R174" s="429"/>
      <c r="S174" s="322"/>
      <c r="T174" s="323"/>
      <c r="U174" s="324"/>
      <c r="V174" s="322"/>
      <c r="W174" s="323"/>
      <c r="X174" s="324" t="s">
        <v>22</v>
      </c>
      <c r="Y174" s="173" t="s">
        <v>8912</v>
      </c>
      <c r="Z174" s="322" t="s">
        <v>22</v>
      </c>
      <c r="AA174" s="313">
        <f>MAX(Z174:Z185)</f>
        <v>0</v>
      </c>
      <c r="AB174" s="319">
        <f>AA174</f>
        <v>0</v>
      </c>
      <c r="AC174" s="430"/>
      <c r="AD174" s="326" t="s">
        <v>22</v>
      </c>
      <c r="AE174" s="331"/>
      <c r="AF174" s="431"/>
      <c r="AG174" s="432"/>
      <c r="AH174" s="326"/>
      <c r="AI174" s="2"/>
      <c r="AJ174" s="59" t="str">
        <f t="shared" si="1"/>
        <v>нет з/ч</v>
      </c>
      <c r="AK174" s="61" t="str">
        <f t="shared" si="2"/>
        <v>нет з/ч</v>
      </c>
      <c r="AL174" s="61" t="str">
        <f t="shared" si="3"/>
        <v>нет з/ч</v>
      </c>
      <c r="AM174" s="304" t="str">
        <f t="shared" si="5"/>
        <v>нет з/ч</v>
      </c>
      <c r="AN174" s="2"/>
      <c r="AO174" s="289"/>
      <c r="AP174" s="296"/>
      <c r="AQ174" s="296"/>
      <c r="AR174" s="139"/>
      <c r="AS174" s="2"/>
      <c r="AT174" s="2"/>
      <c r="AU174" s="2"/>
      <c r="AV174" s="2"/>
      <c r="AW174" s="2"/>
      <c r="AX174" s="3" t="s">
        <v>9235</v>
      </c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>
      <c r="A175" s="315" t="s">
        <v>9236</v>
      </c>
      <c r="B175" s="93"/>
      <c r="C175" s="65"/>
      <c r="D175" s="31" t="s">
        <v>212</v>
      </c>
      <c r="E175" s="11" t="s">
        <v>8908</v>
      </c>
      <c r="F175" s="427" t="s">
        <v>8909</v>
      </c>
      <c r="G175" s="31" t="s">
        <v>8910</v>
      </c>
      <c r="H175" s="31"/>
      <c r="I175" s="31"/>
      <c r="J175" s="31"/>
      <c r="K175" s="428"/>
      <c r="L175" s="321"/>
      <c r="M175" s="322"/>
      <c r="N175" s="323"/>
      <c r="O175" s="429"/>
      <c r="P175" s="322"/>
      <c r="Q175" s="323"/>
      <c r="R175" s="429"/>
      <c r="S175" s="322"/>
      <c r="T175" s="323"/>
      <c r="U175" s="324"/>
      <c r="V175" s="322"/>
      <c r="W175" s="323"/>
      <c r="X175" s="324" t="s">
        <v>22</v>
      </c>
      <c r="Y175" s="173" t="s">
        <v>8912</v>
      </c>
      <c r="Z175" s="322" t="s">
        <v>22</v>
      </c>
      <c r="AA175" s="104"/>
      <c r="AB175" s="319">
        <f>AA174</f>
        <v>0</v>
      </c>
      <c r="AC175" s="430"/>
      <c r="AD175" s="326" t="s">
        <v>22</v>
      </c>
      <c r="AE175" s="331"/>
      <c r="AF175" s="431"/>
      <c r="AG175" s="432"/>
      <c r="AH175" s="326"/>
      <c r="AI175" s="2"/>
      <c r="AJ175" s="59" t="str">
        <f t="shared" si="1"/>
        <v>нет з/ч</v>
      </c>
      <c r="AK175" s="61" t="str">
        <f t="shared" si="2"/>
        <v>нет з/ч</v>
      </c>
      <c r="AL175" s="61" t="str">
        <f t="shared" si="3"/>
        <v>нет з/ч</v>
      </c>
      <c r="AM175" s="304" t="str">
        <f t="shared" si="5"/>
        <v>нет з/ч</v>
      </c>
      <c r="AN175" s="2"/>
      <c r="AO175" s="289"/>
      <c r="AP175" s="296"/>
      <c r="AQ175" s="296"/>
      <c r="AR175" s="139"/>
      <c r="AS175" s="2"/>
      <c r="AT175" s="2"/>
      <c r="AU175" s="2"/>
      <c r="AV175" s="2"/>
      <c r="AW175" s="2"/>
      <c r="AX175" s="3" t="s">
        <v>9236</v>
      </c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>
      <c r="A176" s="315" t="s">
        <v>9237</v>
      </c>
      <c r="B176" s="93"/>
      <c r="C176" s="65"/>
      <c r="D176" s="31" t="s">
        <v>212</v>
      </c>
      <c r="E176" s="11" t="s">
        <v>8908</v>
      </c>
      <c r="F176" s="427" t="s">
        <v>8909</v>
      </c>
      <c r="G176" s="31" t="s">
        <v>8910</v>
      </c>
      <c r="H176" s="31"/>
      <c r="I176" s="31"/>
      <c r="J176" s="31"/>
      <c r="K176" s="428"/>
      <c r="L176" s="321"/>
      <c r="M176" s="322"/>
      <c r="N176" s="323"/>
      <c r="O176" s="429"/>
      <c r="P176" s="322"/>
      <c r="Q176" s="323"/>
      <c r="R176" s="429"/>
      <c r="S176" s="322"/>
      <c r="T176" s="323"/>
      <c r="U176" s="324"/>
      <c r="V176" s="322"/>
      <c r="W176" s="323"/>
      <c r="X176" s="324" t="s">
        <v>22</v>
      </c>
      <c r="Y176" s="173" t="s">
        <v>8912</v>
      </c>
      <c r="Z176" s="322" t="s">
        <v>22</v>
      </c>
      <c r="AA176" s="104"/>
      <c r="AB176" s="319">
        <f>AA174</f>
        <v>0</v>
      </c>
      <c r="AC176" s="430"/>
      <c r="AD176" s="326" t="s">
        <v>22</v>
      </c>
      <c r="AE176" s="331"/>
      <c r="AF176" s="431"/>
      <c r="AG176" s="432"/>
      <c r="AH176" s="326"/>
      <c r="AI176" s="2"/>
      <c r="AJ176" s="59" t="str">
        <f t="shared" si="1"/>
        <v>нет з/ч</v>
      </c>
      <c r="AK176" s="61" t="str">
        <f t="shared" si="2"/>
        <v>нет з/ч</v>
      </c>
      <c r="AL176" s="61" t="str">
        <f t="shared" si="3"/>
        <v>нет з/ч</v>
      </c>
      <c r="AM176" s="304" t="str">
        <f t="shared" si="5"/>
        <v>нет з/ч</v>
      </c>
      <c r="AN176" s="2"/>
      <c r="AO176" s="289"/>
      <c r="AP176" s="296"/>
      <c r="AQ176" s="296"/>
      <c r="AR176" s="139"/>
      <c r="AS176" s="2"/>
      <c r="AT176" s="2"/>
      <c r="AU176" s="2"/>
      <c r="AV176" s="2"/>
      <c r="AW176" s="2"/>
      <c r="AX176" s="3" t="s">
        <v>9237</v>
      </c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>
      <c r="A177" s="315" t="s">
        <v>9238</v>
      </c>
      <c r="B177" s="93"/>
      <c r="C177" s="65"/>
      <c r="D177" s="31" t="s">
        <v>212</v>
      </c>
      <c r="E177" s="11" t="s">
        <v>8908</v>
      </c>
      <c r="F177" s="427" t="s">
        <v>8909</v>
      </c>
      <c r="G177" s="31" t="s">
        <v>8910</v>
      </c>
      <c r="H177" s="31"/>
      <c r="I177" s="31"/>
      <c r="J177" s="31"/>
      <c r="K177" s="428"/>
      <c r="L177" s="321"/>
      <c r="M177" s="322"/>
      <c r="N177" s="323"/>
      <c r="O177" s="429"/>
      <c r="P177" s="322"/>
      <c r="Q177" s="323"/>
      <c r="R177" s="429"/>
      <c r="S177" s="322"/>
      <c r="T177" s="323"/>
      <c r="U177" s="324"/>
      <c r="V177" s="322"/>
      <c r="W177" s="323"/>
      <c r="X177" s="324" t="s">
        <v>22</v>
      </c>
      <c r="Y177" s="173" t="s">
        <v>8912</v>
      </c>
      <c r="Z177" s="322" t="s">
        <v>22</v>
      </c>
      <c r="AA177" s="104"/>
      <c r="AB177" s="319">
        <f>AA174</f>
        <v>0</v>
      </c>
      <c r="AC177" s="430"/>
      <c r="AD177" s="326" t="s">
        <v>22</v>
      </c>
      <c r="AE177" s="331"/>
      <c r="AF177" s="431"/>
      <c r="AG177" s="432"/>
      <c r="AH177" s="326"/>
      <c r="AI177" s="2"/>
      <c r="AJ177" s="59" t="str">
        <f t="shared" si="1"/>
        <v>нет з/ч</v>
      </c>
      <c r="AK177" s="61" t="str">
        <f t="shared" si="2"/>
        <v>нет з/ч</v>
      </c>
      <c r="AL177" s="61" t="str">
        <f t="shared" si="3"/>
        <v>нет з/ч</v>
      </c>
      <c r="AM177" s="304" t="str">
        <f t="shared" si="5"/>
        <v>нет з/ч</v>
      </c>
      <c r="AN177" s="2"/>
      <c r="AO177" s="289"/>
      <c r="AP177" s="296"/>
      <c r="AQ177" s="296"/>
      <c r="AR177" s="139"/>
      <c r="AS177" s="2"/>
      <c r="AT177" s="2"/>
      <c r="AU177" s="2"/>
      <c r="AV177" s="2"/>
      <c r="AW177" s="2"/>
      <c r="AX177" s="3" t="s">
        <v>9238</v>
      </c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>
      <c r="A178" s="315" t="s">
        <v>9239</v>
      </c>
      <c r="B178" s="93"/>
      <c r="C178" s="65"/>
      <c r="D178" s="31" t="s">
        <v>212</v>
      </c>
      <c r="E178" s="11" t="s">
        <v>8908</v>
      </c>
      <c r="F178" s="427" t="s">
        <v>8909</v>
      </c>
      <c r="G178" s="31" t="s">
        <v>8910</v>
      </c>
      <c r="H178" s="31"/>
      <c r="I178" s="31"/>
      <c r="J178" s="31"/>
      <c r="K178" s="428"/>
      <c r="L178" s="321"/>
      <c r="M178" s="322"/>
      <c r="N178" s="323"/>
      <c r="O178" s="429"/>
      <c r="P178" s="322"/>
      <c r="Q178" s="323"/>
      <c r="R178" s="429"/>
      <c r="S178" s="322"/>
      <c r="T178" s="323"/>
      <c r="U178" s="324"/>
      <c r="V178" s="322"/>
      <c r="W178" s="323"/>
      <c r="X178" s="324" t="s">
        <v>22</v>
      </c>
      <c r="Y178" s="173" t="s">
        <v>8912</v>
      </c>
      <c r="Z178" s="322" t="s">
        <v>22</v>
      </c>
      <c r="AA178" s="104"/>
      <c r="AB178" s="319">
        <f>AA174</f>
        <v>0</v>
      </c>
      <c r="AC178" s="430"/>
      <c r="AD178" s="326" t="s">
        <v>22</v>
      </c>
      <c r="AE178" s="331"/>
      <c r="AF178" s="431"/>
      <c r="AG178" s="432"/>
      <c r="AH178" s="326"/>
      <c r="AI178" s="2"/>
      <c r="AJ178" s="59" t="str">
        <f t="shared" si="1"/>
        <v>нет з/ч</v>
      </c>
      <c r="AK178" s="61" t="str">
        <f t="shared" si="2"/>
        <v>нет з/ч</v>
      </c>
      <c r="AL178" s="61" t="str">
        <f t="shared" si="3"/>
        <v>нет з/ч</v>
      </c>
      <c r="AM178" s="304" t="str">
        <f t="shared" si="5"/>
        <v>нет з/ч</v>
      </c>
      <c r="AN178" s="2"/>
      <c r="AO178" s="289"/>
      <c r="AP178" s="296"/>
      <c r="AQ178" s="296"/>
      <c r="AR178" s="139"/>
      <c r="AS178" s="2"/>
      <c r="AT178" s="2"/>
      <c r="AU178" s="2"/>
      <c r="AV178" s="2"/>
      <c r="AW178" s="2"/>
      <c r="AX178" s="3" t="s">
        <v>9239</v>
      </c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>
      <c r="A179" s="315" t="s">
        <v>9240</v>
      </c>
      <c r="B179" s="93"/>
      <c r="C179" s="65"/>
      <c r="D179" s="31" t="s">
        <v>212</v>
      </c>
      <c r="E179" s="11" t="s">
        <v>8908</v>
      </c>
      <c r="F179" s="427" t="s">
        <v>8909</v>
      </c>
      <c r="G179" s="31" t="s">
        <v>8910</v>
      </c>
      <c r="H179" s="31"/>
      <c r="I179" s="31"/>
      <c r="J179" s="31"/>
      <c r="K179" s="428"/>
      <c r="L179" s="321"/>
      <c r="M179" s="322"/>
      <c r="N179" s="323"/>
      <c r="O179" s="429"/>
      <c r="P179" s="322"/>
      <c r="Q179" s="323"/>
      <c r="R179" s="429"/>
      <c r="S179" s="322"/>
      <c r="T179" s="323"/>
      <c r="U179" s="324"/>
      <c r="V179" s="322"/>
      <c r="W179" s="323"/>
      <c r="X179" s="324" t="s">
        <v>22</v>
      </c>
      <c r="Y179" s="173" t="s">
        <v>8912</v>
      </c>
      <c r="Z179" s="322" t="s">
        <v>22</v>
      </c>
      <c r="AA179" s="104"/>
      <c r="AB179" s="319">
        <f>AA174</f>
        <v>0</v>
      </c>
      <c r="AC179" s="430"/>
      <c r="AD179" s="326" t="s">
        <v>22</v>
      </c>
      <c r="AE179" s="331"/>
      <c r="AF179" s="431"/>
      <c r="AG179" s="432"/>
      <c r="AH179" s="326"/>
      <c r="AI179" s="2"/>
      <c r="AJ179" s="59" t="str">
        <f t="shared" si="1"/>
        <v>нет з/ч</v>
      </c>
      <c r="AK179" s="61" t="str">
        <f t="shared" si="2"/>
        <v>нет з/ч</v>
      </c>
      <c r="AL179" s="61" t="str">
        <f t="shared" si="3"/>
        <v>нет з/ч</v>
      </c>
      <c r="AM179" s="304" t="str">
        <f t="shared" si="5"/>
        <v>нет з/ч</v>
      </c>
      <c r="AN179" s="2"/>
      <c r="AO179" s="289"/>
      <c r="AP179" s="296"/>
      <c r="AQ179" s="296"/>
      <c r="AR179" s="139"/>
      <c r="AS179" s="2"/>
      <c r="AT179" s="2"/>
      <c r="AU179" s="2"/>
      <c r="AV179" s="2"/>
      <c r="AW179" s="2"/>
      <c r="AX179" s="3" t="s">
        <v>9240</v>
      </c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</row>
    <row r="180">
      <c r="A180" s="315" t="s">
        <v>9241</v>
      </c>
      <c r="B180" s="93"/>
      <c r="C180" s="65"/>
      <c r="D180" s="31" t="s">
        <v>212</v>
      </c>
      <c r="E180" s="11" t="s">
        <v>8908</v>
      </c>
      <c r="F180" s="427" t="s">
        <v>8909</v>
      </c>
      <c r="G180" s="31" t="s">
        <v>8910</v>
      </c>
      <c r="H180" s="31"/>
      <c r="I180" s="31"/>
      <c r="J180" s="31"/>
      <c r="K180" s="428"/>
      <c r="L180" s="321"/>
      <c r="M180" s="322"/>
      <c r="N180" s="323"/>
      <c r="O180" s="429"/>
      <c r="P180" s="322"/>
      <c r="Q180" s="323"/>
      <c r="R180" s="429"/>
      <c r="S180" s="322"/>
      <c r="T180" s="323"/>
      <c r="U180" s="324"/>
      <c r="V180" s="322"/>
      <c r="W180" s="323"/>
      <c r="X180" s="324" t="s">
        <v>22</v>
      </c>
      <c r="Y180" s="173" t="s">
        <v>8912</v>
      </c>
      <c r="Z180" s="322" t="s">
        <v>22</v>
      </c>
      <c r="AA180" s="104"/>
      <c r="AB180" s="319">
        <f>AA174</f>
        <v>0</v>
      </c>
      <c r="AC180" s="430"/>
      <c r="AD180" s="326" t="s">
        <v>22</v>
      </c>
      <c r="AE180" s="331"/>
      <c r="AF180" s="431"/>
      <c r="AG180" s="432"/>
      <c r="AH180" s="326"/>
      <c r="AI180" s="2"/>
      <c r="AJ180" s="59" t="str">
        <f t="shared" si="1"/>
        <v>нет з/ч</v>
      </c>
      <c r="AK180" s="61" t="str">
        <f t="shared" si="2"/>
        <v>нет з/ч</v>
      </c>
      <c r="AL180" s="61" t="str">
        <f t="shared" si="3"/>
        <v>нет з/ч</v>
      </c>
      <c r="AM180" s="304" t="str">
        <f t="shared" si="5"/>
        <v>нет з/ч</v>
      </c>
      <c r="AN180" s="2"/>
      <c r="AO180" s="289"/>
      <c r="AP180" s="296"/>
      <c r="AQ180" s="296"/>
      <c r="AR180" s="139"/>
      <c r="AS180" s="2"/>
      <c r="AT180" s="2"/>
      <c r="AU180" s="2"/>
      <c r="AV180" s="2"/>
      <c r="AW180" s="2"/>
      <c r="AX180" s="3" t="s">
        <v>9241</v>
      </c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>
      <c r="A181" s="315" t="s">
        <v>9242</v>
      </c>
      <c r="B181" s="93"/>
      <c r="C181" s="65"/>
      <c r="D181" s="31" t="s">
        <v>212</v>
      </c>
      <c r="E181" s="11" t="s">
        <v>8908</v>
      </c>
      <c r="F181" s="427" t="s">
        <v>8909</v>
      </c>
      <c r="G181" s="31" t="s">
        <v>8910</v>
      </c>
      <c r="H181" s="31"/>
      <c r="I181" s="31"/>
      <c r="J181" s="31"/>
      <c r="K181" s="428"/>
      <c r="L181" s="321"/>
      <c r="M181" s="322"/>
      <c r="N181" s="323"/>
      <c r="O181" s="429"/>
      <c r="P181" s="322"/>
      <c r="Q181" s="323"/>
      <c r="R181" s="429"/>
      <c r="S181" s="322"/>
      <c r="T181" s="323"/>
      <c r="U181" s="324"/>
      <c r="V181" s="322"/>
      <c r="W181" s="323"/>
      <c r="X181" s="324" t="s">
        <v>22</v>
      </c>
      <c r="Y181" s="173" t="s">
        <v>8912</v>
      </c>
      <c r="Z181" s="322" t="s">
        <v>22</v>
      </c>
      <c r="AA181" s="104"/>
      <c r="AB181" s="319">
        <f>AA174</f>
        <v>0</v>
      </c>
      <c r="AC181" s="430"/>
      <c r="AD181" s="326" t="s">
        <v>22</v>
      </c>
      <c r="AE181" s="331"/>
      <c r="AF181" s="431"/>
      <c r="AG181" s="432"/>
      <c r="AH181" s="326"/>
      <c r="AI181" s="2"/>
      <c r="AJ181" s="59" t="str">
        <f t="shared" si="1"/>
        <v>нет з/ч</v>
      </c>
      <c r="AK181" s="61" t="str">
        <f t="shared" si="2"/>
        <v>нет з/ч</v>
      </c>
      <c r="AL181" s="61" t="str">
        <f t="shared" si="3"/>
        <v>нет з/ч</v>
      </c>
      <c r="AM181" s="304" t="str">
        <f t="shared" si="5"/>
        <v>нет з/ч</v>
      </c>
      <c r="AN181" s="2"/>
      <c r="AO181" s="289"/>
      <c r="AP181" s="296"/>
      <c r="AQ181" s="296"/>
      <c r="AR181" s="139"/>
      <c r="AS181" s="2"/>
      <c r="AT181" s="2"/>
      <c r="AU181" s="2"/>
      <c r="AV181" s="2"/>
      <c r="AW181" s="2"/>
      <c r="AX181" s="3" t="s">
        <v>9242</v>
      </c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</row>
    <row r="182">
      <c r="A182" s="315" t="s">
        <v>9243</v>
      </c>
      <c r="B182" s="93"/>
      <c r="C182" s="65"/>
      <c r="D182" s="31" t="s">
        <v>212</v>
      </c>
      <c r="E182" s="11" t="s">
        <v>8908</v>
      </c>
      <c r="F182" s="427" t="s">
        <v>8909</v>
      </c>
      <c r="G182" s="31" t="s">
        <v>8910</v>
      </c>
      <c r="H182" s="31"/>
      <c r="I182" s="31"/>
      <c r="J182" s="31"/>
      <c r="K182" s="428"/>
      <c r="L182" s="321"/>
      <c r="M182" s="322"/>
      <c r="N182" s="323"/>
      <c r="O182" s="429"/>
      <c r="P182" s="322"/>
      <c r="Q182" s="323"/>
      <c r="R182" s="429"/>
      <c r="S182" s="322"/>
      <c r="T182" s="323"/>
      <c r="U182" s="324"/>
      <c r="V182" s="322"/>
      <c r="W182" s="323"/>
      <c r="X182" s="324" t="s">
        <v>22</v>
      </c>
      <c r="Y182" s="173" t="s">
        <v>8912</v>
      </c>
      <c r="Z182" s="322" t="s">
        <v>22</v>
      </c>
      <c r="AA182" s="104"/>
      <c r="AB182" s="319">
        <f>AA174</f>
        <v>0</v>
      </c>
      <c r="AC182" s="430"/>
      <c r="AD182" s="326" t="s">
        <v>22</v>
      </c>
      <c r="AE182" s="331"/>
      <c r="AF182" s="431"/>
      <c r="AG182" s="432"/>
      <c r="AH182" s="326"/>
      <c r="AI182" s="2"/>
      <c r="AJ182" s="59" t="str">
        <f t="shared" si="1"/>
        <v>нет з/ч</v>
      </c>
      <c r="AK182" s="61" t="str">
        <f t="shared" si="2"/>
        <v>нет з/ч</v>
      </c>
      <c r="AL182" s="61" t="str">
        <f t="shared" si="3"/>
        <v>нет з/ч</v>
      </c>
      <c r="AM182" s="304" t="str">
        <f t="shared" si="5"/>
        <v>нет з/ч</v>
      </c>
      <c r="AN182" s="2"/>
      <c r="AO182" s="289"/>
      <c r="AP182" s="296"/>
      <c r="AQ182" s="296"/>
      <c r="AR182" s="139"/>
      <c r="AS182" s="2"/>
      <c r="AT182" s="2"/>
      <c r="AU182" s="2"/>
      <c r="AV182" s="2"/>
      <c r="AW182" s="2"/>
      <c r="AX182" s="3" t="s">
        <v>9243</v>
      </c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>
      <c r="A183" s="315" t="s">
        <v>9244</v>
      </c>
      <c r="B183" s="93"/>
      <c r="C183" s="65"/>
      <c r="D183" s="31" t="s">
        <v>212</v>
      </c>
      <c r="E183" s="11" t="s">
        <v>8908</v>
      </c>
      <c r="F183" s="427" t="s">
        <v>8909</v>
      </c>
      <c r="G183" s="31" t="s">
        <v>8910</v>
      </c>
      <c r="H183" s="31"/>
      <c r="I183" s="31"/>
      <c r="J183" s="31"/>
      <c r="K183" s="428"/>
      <c r="L183" s="321"/>
      <c r="M183" s="322"/>
      <c r="N183" s="323"/>
      <c r="O183" s="429"/>
      <c r="P183" s="322"/>
      <c r="Q183" s="323"/>
      <c r="R183" s="429"/>
      <c r="S183" s="322"/>
      <c r="T183" s="323"/>
      <c r="U183" s="324"/>
      <c r="V183" s="322"/>
      <c r="W183" s="323"/>
      <c r="X183" s="324" t="s">
        <v>22</v>
      </c>
      <c r="Y183" s="173" t="s">
        <v>8912</v>
      </c>
      <c r="Z183" s="322" t="s">
        <v>22</v>
      </c>
      <c r="AA183" s="104"/>
      <c r="AB183" s="319">
        <f>AA174</f>
        <v>0</v>
      </c>
      <c r="AC183" s="430"/>
      <c r="AD183" s="326" t="s">
        <v>22</v>
      </c>
      <c r="AE183" s="331"/>
      <c r="AF183" s="431"/>
      <c r="AG183" s="432"/>
      <c r="AH183" s="326"/>
      <c r="AI183" s="2"/>
      <c r="AJ183" s="59" t="str">
        <f t="shared" si="1"/>
        <v>нет з/ч</v>
      </c>
      <c r="AK183" s="61" t="str">
        <f t="shared" si="2"/>
        <v>нет з/ч</v>
      </c>
      <c r="AL183" s="61" t="str">
        <f t="shared" si="3"/>
        <v>нет з/ч</v>
      </c>
      <c r="AM183" s="304" t="str">
        <f t="shared" si="5"/>
        <v>нет з/ч</v>
      </c>
      <c r="AN183" s="2"/>
      <c r="AO183" s="289"/>
      <c r="AP183" s="296"/>
      <c r="AQ183" s="296"/>
      <c r="AR183" s="139"/>
      <c r="AS183" s="2"/>
      <c r="AT183" s="2"/>
      <c r="AU183" s="2"/>
      <c r="AV183" s="2"/>
      <c r="AW183" s="2"/>
      <c r="AX183" s="3" t="s">
        <v>9244</v>
      </c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>
      <c r="A184" s="315" t="s">
        <v>9245</v>
      </c>
      <c r="B184" s="93"/>
      <c r="C184" s="65"/>
      <c r="D184" s="31" t="s">
        <v>212</v>
      </c>
      <c r="E184" s="11" t="s">
        <v>8908</v>
      </c>
      <c r="F184" s="427" t="s">
        <v>8909</v>
      </c>
      <c r="G184" s="31" t="s">
        <v>8910</v>
      </c>
      <c r="H184" s="31"/>
      <c r="I184" s="31"/>
      <c r="J184" s="31"/>
      <c r="K184" s="428"/>
      <c r="L184" s="321"/>
      <c r="M184" s="322"/>
      <c r="N184" s="323"/>
      <c r="O184" s="429"/>
      <c r="P184" s="322"/>
      <c r="Q184" s="323"/>
      <c r="R184" s="429"/>
      <c r="S184" s="322"/>
      <c r="T184" s="323"/>
      <c r="U184" s="324"/>
      <c r="V184" s="322"/>
      <c r="W184" s="323"/>
      <c r="X184" s="324" t="s">
        <v>22</v>
      </c>
      <c r="Y184" s="173" t="s">
        <v>8912</v>
      </c>
      <c r="Z184" s="322" t="s">
        <v>22</v>
      </c>
      <c r="AA184" s="104"/>
      <c r="AB184" s="319">
        <f>AA174</f>
        <v>0</v>
      </c>
      <c r="AC184" s="430"/>
      <c r="AD184" s="326" t="s">
        <v>22</v>
      </c>
      <c r="AE184" s="331"/>
      <c r="AF184" s="431"/>
      <c r="AG184" s="432"/>
      <c r="AH184" s="326"/>
      <c r="AI184" s="2"/>
      <c r="AJ184" s="59" t="str">
        <f t="shared" si="1"/>
        <v>нет з/ч</v>
      </c>
      <c r="AK184" s="61" t="str">
        <f t="shared" si="2"/>
        <v>нет з/ч</v>
      </c>
      <c r="AL184" s="61" t="str">
        <f t="shared" si="3"/>
        <v>нет з/ч</v>
      </c>
      <c r="AM184" s="304" t="str">
        <f t="shared" si="5"/>
        <v>нет з/ч</v>
      </c>
      <c r="AN184" s="2"/>
      <c r="AO184" s="289"/>
      <c r="AP184" s="296"/>
      <c r="AQ184" s="296"/>
      <c r="AR184" s="139"/>
      <c r="AS184" s="2"/>
      <c r="AT184" s="2"/>
      <c r="AU184" s="2"/>
      <c r="AV184" s="2"/>
      <c r="AW184" s="2"/>
      <c r="AX184" s="3" t="s">
        <v>9245</v>
      </c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>
      <c r="A185" s="315" t="s">
        <v>9246</v>
      </c>
      <c r="B185" s="93"/>
      <c r="C185" s="65"/>
      <c r="D185" s="31" t="s">
        <v>212</v>
      </c>
      <c r="E185" s="11" t="s">
        <v>8908</v>
      </c>
      <c r="F185" s="427" t="s">
        <v>8909</v>
      </c>
      <c r="G185" s="31" t="s">
        <v>8910</v>
      </c>
      <c r="H185" s="31"/>
      <c r="I185" s="31"/>
      <c r="J185" s="31"/>
      <c r="K185" s="428"/>
      <c r="L185" s="321"/>
      <c r="M185" s="322"/>
      <c r="N185" s="323"/>
      <c r="O185" s="429"/>
      <c r="P185" s="322"/>
      <c r="Q185" s="323"/>
      <c r="R185" s="429"/>
      <c r="S185" s="322"/>
      <c r="T185" s="323"/>
      <c r="U185" s="324"/>
      <c r="V185" s="322"/>
      <c r="W185" s="323"/>
      <c r="X185" s="324" t="s">
        <v>22</v>
      </c>
      <c r="Y185" s="173" t="s">
        <v>8912</v>
      </c>
      <c r="Z185" s="322" t="s">
        <v>22</v>
      </c>
      <c r="AA185" s="67"/>
      <c r="AB185" s="319">
        <f>AA174</f>
        <v>0</v>
      </c>
      <c r="AC185" s="430"/>
      <c r="AD185" s="326" t="s">
        <v>22</v>
      </c>
      <c r="AE185" s="331"/>
      <c r="AF185" s="431"/>
      <c r="AG185" s="432"/>
      <c r="AH185" s="326"/>
      <c r="AI185" s="2"/>
      <c r="AJ185" s="59" t="str">
        <f t="shared" si="1"/>
        <v>нет з/ч</v>
      </c>
      <c r="AK185" s="61" t="str">
        <f t="shared" si="2"/>
        <v>нет з/ч</v>
      </c>
      <c r="AL185" s="61" t="str">
        <f t="shared" si="3"/>
        <v>нет з/ч</v>
      </c>
      <c r="AM185" s="304" t="str">
        <f t="shared" si="5"/>
        <v>нет з/ч</v>
      </c>
      <c r="AN185" s="2"/>
      <c r="AO185" s="289"/>
      <c r="AP185" s="296"/>
      <c r="AQ185" s="296"/>
      <c r="AR185" s="139"/>
      <c r="AS185" s="2"/>
      <c r="AT185" s="2"/>
      <c r="AU185" s="2"/>
      <c r="AV185" s="2"/>
      <c r="AW185" s="2"/>
      <c r="AX185" s="3" t="s">
        <v>9246</v>
      </c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>
      <c r="A186" s="315" t="s">
        <v>9247</v>
      </c>
      <c r="B186" s="93"/>
      <c r="C186" s="65"/>
      <c r="D186" s="31" t="s">
        <v>212</v>
      </c>
      <c r="E186" s="11" t="s">
        <v>8908</v>
      </c>
      <c r="F186" s="427" t="s">
        <v>8915</v>
      </c>
      <c r="G186" s="31" t="s">
        <v>8916</v>
      </c>
      <c r="H186" s="31"/>
      <c r="I186" s="31"/>
      <c r="J186" s="31"/>
      <c r="K186" s="428"/>
      <c r="L186" s="327" t="s">
        <v>9248</v>
      </c>
      <c r="M186" s="322"/>
      <c r="N186" s="328">
        <v>1700.0</v>
      </c>
      <c r="O186" s="429"/>
      <c r="P186" s="322"/>
      <c r="Q186" s="323"/>
      <c r="R186" s="429"/>
      <c r="S186" s="322"/>
      <c r="T186" s="323"/>
      <c r="U186" s="324"/>
      <c r="V186" s="322"/>
      <c r="W186" s="323"/>
      <c r="X186" s="324">
        <v>1700.0</v>
      </c>
      <c r="Y186" s="173" t="s">
        <v>8912</v>
      </c>
      <c r="Z186" s="322">
        <v>1900.0</v>
      </c>
      <c r="AA186" s="313">
        <f>MAX(Z186:Z191)</f>
        <v>2200</v>
      </c>
      <c r="AB186" s="319">
        <f>AA186</f>
        <v>2200</v>
      </c>
      <c r="AC186" s="430"/>
      <c r="AD186" s="326" t="s">
        <v>5839</v>
      </c>
      <c r="AE186" s="329" t="s">
        <v>9249</v>
      </c>
      <c r="AF186" s="431"/>
      <c r="AG186" s="432"/>
      <c r="AH186" s="330">
        <v>46080.71735710648</v>
      </c>
      <c r="AI186" s="2"/>
      <c r="AJ186" s="289">
        <f t="shared" si="1"/>
        <v>500</v>
      </c>
      <c r="AK186" s="61" t="str">
        <f t="shared" si="2"/>
        <v>нет з/ч</v>
      </c>
      <c r="AL186" s="61" t="str">
        <f t="shared" si="3"/>
        <v>нет з/ч</v>
      </c>
      <c r="AM186" s="304" t="str">
        <f t="shared" si="5"/>
        <v>нет з/ч</v>
      </c>
      <c r="AN186" s="2"/>
      <c r="AO186" s="289">
        <v>1700.0</v>
      </c>
      <c r="AP186" s="296"/>
      <c r="AQ186" s="296"/>
      <c r="AR186" s="139"/>
      <c r="AS186" s="2"/>
      <c r="AT186" s="2"/>
      <c r="AU186" s="2"/>
      <c r="AV186" s="2"/>
      <c r="AW186" s="2"/>
      <c r="AX186" s="3" t="s">
        <v>9247</v>
      </c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>
      <c r="A187" s="315" t="s">
        <v>9250</v>
      </c>
      <c r="B187" s="93"/>
      <c r="C187" s="65"/>
      <c r="D187" s="31" t="s">
        <v>212</v>
      </c>
      <c r="E187" s="11" t="s">
        <v>8908</v>
      </c>
      <c r="F187" s="427" t="s">
        <v>8915</v>
      </c>
      <c r="G187" s="31" t="s">
        <v>8916</v>
      </c>
      <c r="H187" s="31"/>
      <c r="I187" s="31"/>
      <c r="J187" s="31"/>
      <c r="K187" s="428"/>
      <c r="L187" s="327" t="s">
        <v>9251</v>
      </c>
      <c r="M187" s="322"/>
      <c r="N187" s="328">
        <v>1700.0</v>
      </c>
      <c r="O187" s="429"/>
      <c r="P187" s="322"/>
      <c r="Q187" s="323"/>
      <c r="R187" s="429"/>
      <c r="S187" s="322"/>
      <c r="T187" s="323"/>
      <c r="U187" s="324"/>
      <c r="V187" s="322"/>
      <c r="W187" s="323"/>
      <c r="X187" s="324">
        <v>1700.0</v>
      </c>
      <c r="Y187" s="173" t="s">
        <v>8912</v>
      </c>
      <c r="Z187" s="322">
        <v>1900.0</v>
      </c>
      <c r="AA187" s="104"/>
      <c r="AB187" s="319">
        <f>AA186</f>
        <v>2200</v>
      </c>
      <c r="AC187" s="430"/>
      <c r="AD187" s="326" t="s">
        <v>5839</v>
      </c>
      <c r="AE187" s="329" t="s">
        <v>9252</v>
      </c>
      <c r="AF187" s="431"/>
      <c r="AG187" s="432"/>
      <c r="AH187" s="330">
        <v>46080.71738310185</v>
      </c>
      <c r="AI187" s="2"/>
      <c r="AJ187" s="289">
        <f t="shared" si="1"/>
        <v>500</v>
      </c>
      <c r="AK187" s="61" t="str">
        <f t="shared" si="2"/>
        <v>нет з/ч</v>
      </c>
      <c r="AL187" s="61" t="str">
        <f t="shared" si="3"/>
        <v>нет з/ч</v>
      </c>
      <c r="AM187" s="304" t="str">
        <f t="shared" si="5"/>
        <v>нет з/ч</v>
      </c>
      <c r="AN187" s="2"/>
      <c r="AO187" s="289">
        <v>1700.0</v>
      </c>
      <c r="AP187" s="296"/>
      <c r="AQ187" s="296"/>
      <c r="AR187" s="139"/>
      <c r="AS187" s="2"/>
      <c r="AT187" s="2"/>
      <c r="AU187" s="2"/>
      <c r="AV187" s="2"/>
      <c r="AW187" s="2"/>
      <c r="AX187" s="3" t="s">
        <v>9250</v>
      </c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>
      <c r="A188" s="315" t="s">
        <v>9253</v>
      </c>
      <c r="B188" s="93"/>
      <c r="C188" s="65"/>
      <c r="D188" s="31" t="s">
        <v>212</v>
      </c>
      <c r="E188" s="11" t="s">
        <v>8908</v>
      </c>
      <c r="F188" s="427" t="s">
        <v>8915</v>
      </c>
      <c r="G188" s="31" t="s">
        <v>8916</v>
      </c>
      <c r="H188" s="31"/>
      <c r="I188" s="31"/>
      <c r="J188" s="31"/>
      <c r="K188" s="428"/>
      <c r="L188" s="327" t="s">
        <v>9254</v>
      </c>
      <c r="M188" s="322"/>
      <c r="N188" s="328">
        <v>1700.0</v>
      </c>
      <c r="O188" s="429"/>
      <c r="P188" s="322"/>
      <c r="Q188" s="323"/>
      <c r="R188" s="429"/>
      <c r="S188" s="322"/>
      <c r="T188" s="323"/>
      <c r="U188" s="324"/>
      <c r="V188" s="322"/>
      <c r="W188" s="323"/>
      <c r="X188" s="324">
        <v>1700.0</v>
      </c>
      <c r="Y188" s="173" t="s">
        <v>8912</v>
      </c>
      <c r="Z188" s="322">
        <v>1900.0</v>
      </c>
      <c r="AA188" s="104"/>
      <c r="AB188" s="319">
        <f>AA186</f>
        <v>2200</v>
      </c>
      <c r="AC188" s="430"/>
      <c r="AD188" s="326" t="s">
        <v>5839</v>
      </c>
      <c r="AE188" s="329" t="s">
        <v>9255</v>
      </c>
      <c r="AF188" s="431"/>
      <c r="AG188" s="432"/>
      <c r="AH188" s="330">
        <v>46080.71741541667</v>
      </c>
      <c r="AI188" s="2"/>
      <c r="AJ188" s="289">
        <f t="shared" si="1"/>
        <v>500</v>
      </c>
      <c r="AK188" s="61" t="str">
        <f t="shared" si="2"/>
        <v>нет з/ч</v>
      </c>
      <c r="AL188" s="61" t="str">
        <f t="shared" si="3"/>
        <v>нет з/ч</v>
      </c>
      <c r="AM188" s="304" t="str">
        <f t="shared" si="5"/>
        <v>нет з/ч</v>
      </c>
      <c r="AN188" s="2"/>
      <c r="AO188" s="289">
        <v>1700.0</v>
      </c>
      <c r="AP188" s="296"/>
      <c r="AQ188" s="296"/>
      <c r="AR188" s="139"/>
      <c r="AS188" s="2"/>
      <c r="AT188" s="2"/>
      <c r="AU188" s="2"/>
      <c r="AV188" s="2"/>
      <c r="AW188" s="2"/>
      <c r="AX188" s="3" t="s">
        <v>9253</v>
      </c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>
      <c r="A189" s="315" t="s">
        <v>9256</v>
      </c>
      <c r="B189" s="93"/>
      <c r="C189" s="65"/>
      <c r="D189" s="31" t="s">
        <v>212</v>
      </c>
      <c r="E189" s="11" t="s">
        <v>8908</v>
      </c>
      <c r="F189" s="427" t="s">
        <v>8915</v>
      </c>
      <c r="G189" s="31" t="s">
        <v>8916</v>
      </c>
      <c r="H189" s="31"/>
      <c r="I189" s="31"/>
      <c r="J189" s="31"/>
      <c r="K189" s="428"/>
      <c r="L189" s="327" t="s">
        <v>9257</v>
      </c>
      <c r="M189" s="322"/>
      <c r="N189" s="328">
        <v>1700.0</v>
      </c>
      <c r="O189" s="429"/>
      <c r="P189" s="322"/>
      <c r="Q189" s="323"/>
      <c r="R189" s="429"/>
      <c r="S189" s="322"/>
      <c r="T189" s="323"/>
      <c r="U189" s="324"/>
      <c r="V189" s="322"/>
      <c r="W189" s="323"/>
      <c r="X189" s="324">
        <v>1700.0</v>
      </c>
      <c r="Y189" s="173" t="s">
        <v>8912</v>
      </c>
      <c r="Z189" s="322">
        <v>1900.0</v>
      </c>
      <c r="AA189" s="104"/>
      <c r="AB189" s="319">
        <f>AA186</f>
        <v>2200</v>
      </c>
      <c r="AC189" s="430"/>
      <c r="AD189" s="326" t="s">
        <v>5839</v>
      </c>
      <c r="AE189" s="329" t="s">
        <v>9258</v>
      </c>
      <c r="AF189" s="431"/>
      <c r="AG189" s="432"/>
      <c r="AH189" s="330">
        <v>46080.717440127315</v>
      </c>
      <c r="AI189" s="2"/>
      <c r="AJ189" s="289">
        <f t="shared" si="1"/>
        <v>500</v>
      </c>
      <c r="AK189" s="61" t="str">
        <f t="shared" si="2"/>
        <v>нет з/ч</v>
      </c>
      <c r="AL189" s="61" t="str">
        <f t="shared" si="3"/>
        <v>нет з/ч</v>
      </c>
      <c r="AM189" s="304" t="str">
        <f t="shared" si="5"/>
        <v>нет з/ч</v>
      </c>
      <c r="AN189" s="2"/>
      <c r="AO189" s="289">
        <v>1700.0</v>
      </c>
      <c r="AP189" s="296"/>
      <c r="AQ189" s="296"/>
      <c r="AR189" s="139"/>
      <c r="AS189" s="2"/>
      <c r="AT189" s="2"/>
      <c r="AU189" s="2"/>
      <c r="AV189" s="2"/>
      <c r="AW189" s="2"/>
      <c r="AX189" s="3" t="s">
        <v>9256</v>
      </c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</row>
    <row r="190">
      <c r="A190" s="315" t="s">
        <v>9259</v>
      </c>
      <c r="B190" s="93"/>
      <c r="C190" s="65"/>
      <c r="D190" s="31" t="s">
        <v>212</v>
      </c>
      <c r="E190" s="11" t="s">
        <v>8908</v>
      </c>
      <c r="F190" s="427" t="s">
        <v>8915</v>
      </c>
      <c r="G190" s="31" t="s">
        <v>8916</v>
      </c>
      <c r="H190" s="31"/>
      <c r="I190" s="31"/>
      <c r="J190" s="31"/>
      <c r="K190" s="428"/>
      <c r="L190" s="321"/>
      <c r="M190" s="322"/>
      <c r="N190" s="323"/>
      <c r="O190" s="429"/>
      <c r="P190" s="322"/>
      <c r="Q190" s="323"/>
      <c r="R190" s="429"/>
      <c r="S190" s="322"/>
      <c r="T190" s="323"/>
      <c r="U190" s="324"/>
      <c r="V190" s="322"/>
      <c r="W190" s="323"/>
      <c r="X190" s="324" t="s">
        <v>22</v>
      </c>
      <c r="Y190" s="173" t="s">
        <v>8912</v>
      </c>
      <c r="Z190" s="322" t="s">
        <v>22</v>
      </c>
      <c r="AA190" s="104"/>
      <c r="AB190" s="319">
        <f>AA186</f>
        <v>2200</v>
      </c>
      <c r="AC190" s="430"/>
      <c r="AD190" s="326" t="s">
        <v>22</v>
      </c>
      <c r="AE190" s="331"/>
      <c r="AF190" s="431"/>
      <c r="AG190" s="432"/>
      <c r="AH190" s="326"/>
      <c r="AI190" s="2"/>
      <c r="AJ190" s="59" t="str">
        <f t="shared" si="1"/>
        <v>нет з/ч</v>
      </c>
      <c r="AK190" s="61" t="str">
        <f t="shared" si="2"/>
        <v>нет з/ч</v>
      </c>
      <c r="AL190" s="61" t="str">
        <f t="shared" si="3"/>
        <v>нет з/ч</v>
      </c>
      <c r="AM190" s="304" t="str">
        <f t="shared" si="5"/>
        <v>нет з/ч</v>
      </c>
      <c r="AN190" s="2"/>
      <c r="AO190" s="289"/>
      <c r="AP190" s="296"/>
      <c r="AQ190" s="296"/>
      <c r="AR190" s="139"/>
      <c r="AS190" s="2"/>
      <c r="AT190" s="2"/>
      <c r="AU190" s="2"/>
      <c r="AV190" s="2"/>
      <c r="AW190" s="2"/>
      <c r="AX190" s="3" t="s">
        <v>9259</v>
      </c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>
      <c r="A191" s="315" t="s">
        <v>9260</v>
      </c>
      <c r="B191" s="93"/>
      <c r="C191" s="65"/>
      <c r="D191" s="31" t="s">
        <v>212</v>
      </c>
      <c r="E191" s="11" t="s">
        <v>8908</v>
      </c>
      <c r="F191" s="427" t="s">
        <v>8915</v>
      </c>
      <c r="G191" s="31" t="s">
        <v>8916</v>
      </c>
      <c r="H191" s="31"/>
      <c r="I191" s="31"/>
      <c r="J191" s="31"/>
      <c r="K191" s="428"/>
      <c r="L191" s="327" t="s">
        <v>9261</v>
      </c>
      <c r="M191" s="322"/>
      <c r="N191" s="328">
        <v>1900.0</v>
      </c>
      <c r="O191" s="429"/>
      <c r="P191" s="322"/>
      <c r="Q191" s="323"/>
      <c r="R191" s="429"/>
      <c r="S191" s="322"/>
      <c r="T191" s="323"/>
      <c r="U191" s="324"/>
      <c r="V191" s="322"/>
      <c r="W191" s="323"/>
      <c r="X191" s="324">
        <v>1900.0</v>
      </c>
      <c r="Y191" s="173" t="s">
        <v>8912</v>
      </c>
      <c r="Z191" s="322">
        <v>2200.0</v>
      </c>
      <c r="AA191" s="67"/>
      <c r="AB191" s="319">
        <f>AA186</f>
        <v>2200</v>
      </c>
      <c r="AC191" s="430"/>
      <c r="AD191" s="326" t="s">
        <v>5839</v>
      </c>
      <c r="AE191" s="329" t="s">
        <v>9262</v>
      </c>
      <c r="AF191" s="431"/>
      <c r="AG191" s="432"/>
      <c r="AH191" s="330">
        <v>46080.71746922453</v>
      </c>
      <c r="AI191" s="2"/>
      <c r="AJ191" s="289">
        <f t="shared" si="1"/>
        <v>300</v>
      </c>
      <c r="AK191" s="61" t="str">
        <f t="shared" si="2"/>
        <v>нет з/ч</v>
      </c>
      <c r="AL191" s="61" t="str">
        <f t="shared" si="3"/>
        <v>нет з/ч</v>
      </c>
      <c r="AM191" s="304" t="str">
        <f t="shared" si="5"/>
        <v>нет з/ч</v>
      </c>
      <c r="AN191" s="2"/>
      <c r="AO191" s="289">
        <v>1900.0</v>
      </c>
      <c r="AP191" s="296"/>
      <c r="AQ191" s="296"/>
      <c r="AR191" s="139"/>
      <c r="AS191" s="2"/>
      <c r="AT191" s="2"/>
      <c r="AU191" s="2"/>
      <c r="AV191" s="2"/>
      <c r="AW191" s="2"/>
      <c r="AX191" s="3" t="s">
        <v>9260</v>
      </c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>
      <c r="A192" s="315" t="s">
        <v>9263</v>
      </c>
      <c r="B192" s="93"/>
      <c r="C192" s="65"/>
      <c r="D192" s="31" t="s">
        <v>220</v>
      </c>
      <c r="E192" s="11" t="s">
        <v>8908</v>
      </c>
      <c r="F192" s="427" t="s">
        <v>8909</v>
      </c>
      <c r="G192" s="31" t="s">
        <v>8910</v>
      </c>
      <c r="H192" s="31"/>
      <c r="I192" s="31"/>
      <c r="J192" s="31"/>
      <c r="K192" s="428"/>
      <c r="L192" s="321"/>
      <c r="M192" s="322"/>
      <c r="N192" s="323"/>
      <c r="O192" s="429"/>
      <c r="P192" s="322"/>
      <c r="Q192" s="323"/>
      <c r="R192" s="429"/>
      <c r="S192" s="322"/>
      <c r="T192" s="323"/>
      <c r="U192" s="324"/>
      <c r="V192" s="322"/>
      <c r="W192" s="323"/>
      <c r="X192" s="324" t="s">
        <v>22</v>
      </c>
      <c r="Y192" s="173" t="s">
        <v>8912</v>
      </c>
      <c r="Z192" s="322" t="s">
        <v>22</v>
      </c>
      <c r="AA192" s="313">
        <f>MAX(Z192:Z199)</f>
        <v>0</v>
      </c>
      <c r="AB192" s="319">
        <f>AA192</f>
        <v>0</v>
      </c>
      <c r="AC192" s="430"/>
      <c r="AD192" s="326" t="s">
        <v>22</v>
      </c>
      <c r="AE192" s="331"/>
      <c r="AF192" s="431"/>
      <c r="AG192" s="432"/>
      <c r="AH192" s="326"/>
      <c r="AI192" s="2"/>
      <c r="AJ192" s="59" t="str">
        <f t="shared" si="1"/>
        <v>нет з/ч</v>
      </c>
      <c r="AK192" s="61" t="str">
        <f t="shared" si="2"/>
        <v>нет з/ч</v>
      </c>
      <c r="AL192" s="61" t="str">
        <f t="shared" si="3"/>
        <v>нет з/ч</v>
      </c>
      <c r="AM192" s="304" t="str">
        <f t="shared" si="5"/>
        <v>нет з/ч</v>
      </c>
      <c r="AN192" s="2"/>
      <c r="AO192" s="289"/>
      <c r="AP192" s="296"/>
      <c r="AQ192" s="296"/>
      <c r="AR192" s="139"/>
      <c r="AS192" s="2"/>
      <c r="AT192" s="2"/>
      <c r="AU192" s="2"/>
      <c r="AV192" s="2"/>
      <c r="AW192" s="2"/>
      <c r="AX192" s="3" t="s">
        <v>9263</v>
      </c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>
      <c r="A193" s="315" t="s">
        <v>9264</v>
      </c>
      <c r="B193" s="93"/>
      <c r="C193" s="65"/>
      <c r="D193" s="31" t="s">
        <v>220</v>
      </c>
      <c r="E193" s="11" t="s">
        <v>8908</v>
      </c>
      <c r="F193" s="427" t="s">
        <v>8909</v>
      </c>
      <c r="G193" s="31" t="s">
        <v>8910</v>
      </c>
      <c r="H193" s="31"/>
      <c r="I193" s="31"/>
      <c r="J193" s="31"/>
      <c r="K193" s="428"/>
      <c r="L193" s="321"/>
      <c r="M193" s="322"/>
      <c r="N193" s="323"/>
      <c r="O193" s="429"/>
      <c r="P193" s="322"/>
      <c r="Q193" s="323"/>
      <c r="R193" s="429"/>
      <c r="S193" s="322"/>
      <c r="T193" s="323"/>
      <c r="U193" s="324"/>
      <c r="V193" s="322"/>
      <c r="W193" s="323"/>
      <c r="X193" s="324" t="s">
        <v>22</v>
      </c>
      <c r="Y193" s="173" t="s">
        <v>8912</v>
      </c>
      <c r="Z193" s="322" t="s">
        <v>22</v>
      </c>
      <c r="AA193" s="104"/>
      <c r="AB193" s="319">
        <f>AA192</f>
        <v>0</v>
      </c>
      <c r="AC193" s="430"/>
      <c r="AD193" s="326" t="s">
        <v>22</v>
      </c>
      <c r="AE193" s="331"/>
      <c r="AF193" s="431"/>
      <c r="AG193" s="432"/>
      <c r="AH193" s="326"/>
      <c r="AI193" s="2"/>
      <c r="AJ193" s="59" t="str">
        <f t="shared" si="1"/>
        <v>нет з/ч</v>
      </c>
      <c r="AK193" s="61" t="str">
        <f t="shared" si="2"/>
        <v>нет з/ч</v>
      </c>
      <c r="AL193" s="61" t="str">
        <f t="shared" si="3"/>
        <v>нет з/ч</v>
      </c>
      <c r="AM193" s="304" t="str">
        <f t="shared" si="5"/>
        <v>нет з/ч</v>
      </c>
      <c r="AN193" s="2"/>
      <c r="AO193" s="289"/>
      <c r="AP193" s="296"/>
      <c r="AQ193" s="296"/>
      <c r="AR193" s="139"/>
      <c r="AS193" s="2"/>
      <c r="AT193" s="2"/>
      <c r="AU193" s="2"/>
      <c r="AV193" s="2"/>
      <c r="AW193" s="2"/>
      <c r="AX193" s="3" t="s">
        <v>9264</v>
      </c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>
      <c r="A194" s="315" t="s">
        <v>9265</v>
      </c>
      <c r="B194" s="93"/>
      <c r="C194" s="65"/>
      <c r="D194" s="31" t="s">
        <v>220</v>
      </c>
      <c r="E194" s="11" t="s">
        <v>8908</v>
      </c>
      <c r="F194" s="427" t="s">
        <v>8909</v>
      </c>
      <c r="G194" s="31" t="s">
        <v>8910</v>
      </c>
      <c r="H194" s="31"/>
      <c r="I194" s="31"/>
      <c r="J194" s="31"/>
      <c r="K194" s="428"/>
      <c r="L194" s="321"/>
      <c r="M194" s="322"/>
      <c r="N194" s="323"/>
      <c r="O194" s="429"/>
      <c r="P194" s="322"/>
      <c r="Q194" s="323"/>
      <c r="R194" s="429"/>
      <c r="S194" s="322"/>
      <c r="T194" s="323"/>
      <c r="U194" s="324"/>
      <c r="V194" s="322"/>
      <c r="W194" s="323"/>
      <c r="X194" s="324" t="s">
        <v>22</v>
      </c>
      <c r="Y194" s="173" t="s">
        <v>8912</v>
      </c>
      <c r="Z194" s="322" t="s">
        <v>22</v>
      </c>
      <c r="AA194" s="104"/>
      <c r="AB194" s="319">
        <f>AA192</f>
        <v>0</v>
      </c>
      <c r="AC194" s="430"/>
      <c r="AD194" s="326" t="s">
        <v>22</v>
      </c>
      <c r="AE194" s="331"/>
      <c r="AF194" s="431"/>
      <c r="AG194" s="432"/>
      <c r="AH194" s="326"/>
      <c r="AI194" s="2"/>
      <c r="AJ194" s="59" t="str">
        <f t="shared" si="1"/>
        <v>нет з/ч</v>
      </c>
      <c r="AK194" s="61" t="str">
        <f t="shared" si="2"/>
        <v>нет з/ч</v>
      </c>
      <c r="AL194" s="61" t="str">
        <f t="shared" si="3"/>
        <v>нет з/ч</v>
      </c>
      <c r="AM194" s="304" t="str">
        <f t="shared" si="5"/>
        <v>нет з/ч</v>
      </c>
      <c r="AN194" s="2"/>
      <c r="AO194" s="289"/>
      <c r="AP194" s="296"/>
      <c r="AQ194" s="296"/>
      <c r="AR194" s="139"/>
      <c r="AS194" s="2"/>
      <c r="AT194" s="2"/>
      <c r="AU194" s="2"/>
      <c r="AV194" s="2"/>
      <c r="AW194" s="2"/>
      <c r="AX194" s="3" t="s">
        <v>9265</v>
      </c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>
      <c r="A195" s="315" t="s">
        <v>9266</v>
      </c>
      <c r="B195" s="93"/>
      <c r="C195" s="65"/>
      <c r="D195" s="31" t="s">
        <v>220</v>
      </c>
      <c r="E195" s="11" t="s">
        <v>8908</v>
      </c>
      <c r="F195" s="427" t="s">
        <v>8909</v>
      </c>
      <c r="G195" s="31" t="s">
        <v>8910</v>
      </c>
      <c r="H195" s="31"/>
      <c r="I195" s="31"/>
      <c r="J195" s="31"/>
      <c r="K195" s="428"/>
      <c r="L195" s="321"/>
      <c r="M195" s="322"/>
      <c r="N195" s="323"/>
      <c r="O195" s="429"/>
      <c r="P195" s="322"/>
      <c r="Q195" s="323"/>
      <c r="R195" s="429"/>
      <c r="S195" s="322"/>
      <c r="T195" s="323"/>
      <c r="U195" s="324"/>
      <c r="V195" s="322"/>
      <c r="W195" s="323"/>
      <c r="X195" s="324" t="s">
        <v>22</v>
      </c>
      <c r="Y195" s="173" t="s">
        <v>8912</v>
      </c>
      <c r="Z195" s="322" t="s">
        <v>22</v>
      </c>
      <c r="AA195" s="104"/>
      <c r="AB195" s="319">
        <f>AA192</f>
        <v>0</v>
      </c>
      <c r="AC195" s="430"/>
      <c r="AD195" s="326" t="s">
        <v>22</v>
      </c>
      <c r="AE195" s="331"/>
      <c r="AF195" s="431"/>
      <c r="AG195" s="432"/>
      <c r="AH195" s="326"/>
      <c r="AI195" s="2"/>
      <c r="AJ195" s="59" t="str">
        <f t="shared" si="1"/>
        <v>нет з/ч</v>
      </c>
      <c r="AK195" s="61" t="str">
        <f t="shared" si="2"/>
        <v>нет з/ч</v>
      </c>
      <c r="AL195" s="61" t="str">
        <f t="shared" si="3"/>
        <v>нет з/ч</v>
      </c>
      <c r="AM195" s="304" t="str">
        <f t="shared" si="5"/>
        <v>нет з/ч</v>
      </c>
      <c r="AN195" s="2"/>
      <c r="AO195" s="289"/>
      <c r="AP195" s="296"/>
      <c r="AQ195" s="296"/>
      <c r="AR195" s="139"/>
      <c r="AS195" s="2"/>
      <c r="AT195" s="2"/>
      <c r="AU195" s="2"/>
      <c r="AV195" s="2"/>
      <c r="AW195" s="2"/>
      <c r="AX195" s="3" t="s">
        <v>9266</v>
      </c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>
      <c r="A196" s="315" t="s">
        <v>9267</v>
      </c>
      <c r="B196" s="93"/>
      <c r="C196" s="65"/>
      <c r="D196" s="31" t="s">
        <v>220</v>
      </c>
      <c r="E196" s="11" t="s">
        <v>8908</v>
      </c>
      <c r="F196" s="427" t="s">
        <v>8909</v>
      </c>
      <c r="G196" s="31" t="s">
        <v>8910</v>
      </c>
      <c r="H196" s="31"/>
      <c r="I196" s="31"/>
      <c r="J196" s="31"/>
      <c r="K196" s="428"/>
      <c r="L196" s="321"/>
      <c r="M196" s="322"/>
      <c r="N196" s="323"/>
      <c r="O196" s="429"/>
      <c r="P196" s="322"/>
      <c r="Q196" s="323"/>
      <c r="R196" s="429"/>
      <c r="S196" s="322"/>
      <c r="T196" s="323"/>
      <c r="U196" s="324"/>
      <c r="V196" s="322"/>
      <c r="W196" s="323"/>
      <c r="X196" s="324" t="s">
        <v>22</v>
      </c>
      <c r="Y196" s="173" t="s">
        <v>8912</v>
      </c>
      <c r="Z196" s="322" t="s">
        <v>22</v>
      </c>
      <c r="AA196" s="104"/>
      <c r="AB196" s="319">
        <f>AA192</f>
        <v>0</v>
      </c>
      <c r="AC196" s="430"/>
      <c r="AD196" s="326" t="s">
        <v>22</v>
      </c>
      <c r="AE196" s="331"/>
      <c r="AF196" s="431"/>
      <c r="AG196" s="432"/>
      <c r="AH196" s="326"/>
      <c r="AI196" s="2"/>
      <c r="AJ196" s="59" t="str">
        <f t="shared" si="1"/>
        <v>нет з/ч</v>
      </c>
      <c r="AK196" s="61" t="str">
        <f t="shared" si="2"/>
        <v>нет з/ч</v>
      </c>
      <c r="AL196" s="61" t="str">
        <f t="shared" si="3"/>
        <v>нет з/ч</v>
      </c>
      <c r="AM196" s="304" t="str">
        <f t="shared" si="5"/>
        <v>нет з/ч</v>
      </c>
      <c r="AN196" s="2"/>
      <c r="AO196" s="289"/>
      <c r="AP196" s="296"/>
      <c r="AQ196" s="296"/>
      <c r="AR196" s="139"/>
      <c r="AS196" s="2"/>
      <c r="AT196" s="2"/>
      <c r="AU196" s="2"/>
      <c r="AV196" s="2"/>
      <c r="AW196" s="2"/>
      <c r="AX196" s="3" t="s">
        <v>9267</v>
      </c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>
      <c r="A197" s="315" t="s">
        <v>9268</v>
      </c>
      <c r="B197" s="93"/>
      <c r="C197" s="65"/>
      <c r="D197" s="31" t="s">
        <v>220</v>
      </c>
      <c r="E197" s="11" t="s">
        <v>8908</v>
      </c>
      <c r="F197" s="427" t="s">
        <v>8909</v>
      </c>
      <c r="G197" s="31" t="s">
        <v>8910</v>
      </c>
      <c r="H197" s="31"/>
      <c r="I197" s="31"/>
      <c r="J197" s="31"/>
      <c r="K197" s="428"/>
      <c r="L197" s="321"/>
      <c r="M197" s="322"/>
      <c r="N197" s="323"/>
      <c r="O197" s="429"/>
      <c r="P197" s="322"/>
      <c r="Q197" s="323"/>
      <c r="R197" s="429"/>
      <c r="S197" s="322"/>
      <c r="T197" s="323"/>
      <c r="U197" s="324"/>
      <c r="V197" s="322"/>
      <c r="W197" s="323"/>
      <c r="X197" s="324" t="s">
        <v>22</v>
      </c>
      <c r="Y197" s="173" t="s">
        <v>8912</v>
      </c>
      <c r="Z197" s="322" t="s">
        <v>22</v>
      </c>
      <c r="AA197" s="104"/>
      <c r="AB197" s="319">
        <f>AA192</f>
        <v>0</v>
      </c>
      <c r="AC197" s="430"/>
      <c r="AD197" s="326" t="s">
        <v>22</v>
      </c>
      <c r="AE197" s="331"/>
      <c r="AF197" s="431"/>
      <c r="AG197" s="432"/>
      <c r="AH197" s="326"/>
      <c r="AI197" s="2"/>
      <c r="AJ197" s="59" t="str">
        <f t="shared" si="1"/>
        <v>нет з/ч</v>
      </c>
      <c r="AK197" s="61" t="str">
        <f t="shared" si="2"/>
        <v>нет з/ч</v>
      </c>
      <c r="AL197" s="61" t="str">
        <f t="shared" si="3"/>
        <v>нет з/ч</v>
      </c>
      <c r="AM197" s="304" t="str">
        <f t="shared" si="5"/>
        <v>нет з/ч</v>
      </c>
      <c r="AN197" s="2"/>
      <c r="AO197" s="289"/>
      <c r="AP197" s="296"/>
      <c r="AQ197" s="296"/>
      <c r="AR197" s="139"/>
      <c r="AS197" s="2"/>
      <c r="AT197" s="2"/>
      <c r="AU197" s="2"/>
      <c r="AV197" s="2"/>
      <c r="AW197" s="2"/>
      <c r="AX197" s="3" t="s">
        <v>9268</v>
      </c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>
      <c r="A198" s="315" t="s">
        <v>9269</v>
      </c>
      <c r="B198" s="93"/>
      <c r="C198" s="65"/>
      <c r="D198" s="31" t="s">
        <v>220</v>
      </c>
      <c r="E198" s="11" t="s">
        <v>8908</v>
      </c>
      <c r="F198" s="427" t="s">
        <v>8909</v>
      </c>
      <c r="G198" s="31" t="s">
        <v>8910</v>
      </c>
      <c r="H198" s="31"/>
      <c r="I198" s="31"/>
      <c r="J198" s="31"/>
      <c r="K198" s="428"/>
      <c r="L198" s="321"/>
      <c r="M198" s="322"/>
      <c r="N198" s="323"/>
      <c r="O198" s="429"/>
      <c r="P198" s="322"/>
      <c r="Q198" s="323"/>
      <c r="R198" s="429"/>
      <c r="S198" s="322"/>
      <c r="T198" s="323"/>
      <c r="U198" s="324"/>
      <c r="V198" s="322"/>
      <c r="W198" s="323"/>
      <c r="X198" s="324" t="s">
        <v>22</v>
      </c>
      <c r="Y198" s="173" t="s">
        <v>8912</v>
      </c>
      <c r="Z198" s="322" t="s">
        <v>22</v>
      </c>
      <c r="AA198" s="104"/>
      <c r="AB198" s="319">
        <f>AA192</f>
        <v>0</v>
      </c>
      <c r="AC198" s="430"/>
      <c r="AD198" s="326" t="s">
        <v>22</v>
      </c>
      <c r="AE198" s="331"/>
      <c r="AF198" s="431"/>
      <c r="AG198" s="432"/>
      <c r="AH198" s="326"/>
      <c r="AI198" s="2"/>
      <c r="AJ198" s="59" t="str">
        <f t="shared" si="1"/>
        <v>нет з/ч</v>
      </c>
      <c r="AK198" s="61" t="str">
        <f t="shared" si="2"/>
        <v>нет з/ч</v>
      </c>
      <c r="AL198" s="61" t="str">
        <f t="shared" si="3"/>
        <v>нет з/ч</v>
      </c>
      <c r="AM198" s="304" t="str">
        <f t="shared" si="5"/>
        <v>нет з/ч</v>
      </c>
      <c r="AN198" s="2"/>
      <c r="AO198" s="289"/>
      <c r="AP198" s="296"/>
      <c r="AQ198" s="296"/>
      <c r="AR198" s="139"/>
      <c r="AS198" s="2"/>
      <c r="AT198" s="2"/>
      <c r="AU198" s="2"/>
      <c r="AV198" s="2"/>
      <c r="AW198" s="2"/>
      <c r="AX198" s="3" t="s">
        <v>9269</v>
      </c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>
      <c r="A199" s="315" t="s">
        <v>9270</v>
      </c>
      <c r="B199" s="93"/>
      <c r="C199" s="65"/>
      <c r="D199" s="31" t="s">
        <v>220</v>
      </c>
      <c r="E199" s="11" t="s">
        <v>8908</v>
      </c>
      <c r="F199" s="427" t="s">
        <v>8909</v>
      </c>
      <c r="G199" s="31" t="s">
        <v>8910</v>
      </c>
      <c r="H199" s="31"/>
      <c r="I199" s="31"/>
      <c r="J199" s="31"/>
      <c r="K199" s="428"/>
      <c r="L199" s="321"/>
      <c r="M199" s="322"/>
      <c r="N199" s="323"/>
      <c r="O199" s="429"/>
      <c r="P199" s="322"/>
      <c r="Q199" s="323"/>
      <c r="R199" s="429"/>
      <c r="S199" s="322"/>
      <c r="T199" s="323"/>
      <c r="U199" s="324"/>
      <c r="V199" s="322"/>
      <c r="W199" s="323"/>
      <c r="X199" s="324" t="s">
        <v>22</v>
      </c>
      <c r="Y199" s="173" t="s">
        <v>8912</v>
      </c>
      <c r="Z199" s="322" t="s">
        <v>22</v>
      </c>
      <c r="AA199" s="67"/>
      <c r="AB199" s="319">
        <f>AA192</f>
        <v>0</v>
      </c>
      <c r="AC199" s="430"/>
      <c r="AD199" s="326" t="s">
        <v>22</v>
      </c>
      <c r="AE199" s="331"/>
      <c r="AF199" s="431"/>
      <c r="AG199" s="432"/>
      <c r="AH199" s="326"/>
      <c r="AI199" s="2"/>
      <c r="AJ199" s="59" t="str">
        <f t="shared" si="1"/>
        <v>нет з/ч</v>
      </c>
      <c r="AK199" s="61" t="str">
        <f t="shared" si="2"/>
        <v>нет з/ч</v>
      </c>
      <c r="AL199" s="61" t="str">
        <f t="shared" si="3"/>
        <v>нет з/ч</v>
      </c>
      <c r="AM199" s="304" t="str">
        <f t="shared" si="5"/>
        <v>нет з/ч</v>
      </c>
      <c r="AN199" s="2"/>
      <c r="AO199" s="289"/>
      <c r="AP199" s="296"/>
      <c r="AQ199" s="296"/>
      <c r="AR199" s="139"/>
      <c r="AS199" s="2"/>
      <c r="AT199" s="2"/>
      <c r="AU199" s="2"/>
      <c r="AV199" s="2"/>
      <c r="AW199" s="2"/>
      <c r="AX199" s="3" t="s">
        <v>9270</v>
      </c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>
      <c r="A200" s="315" t="s">
        <v>9271</v>
      </c>
      <c r="B200" s="93"/>
      <c r="C200" s="65"/>
      <c r="D200" s="31" t="s">
        <v>220</v>
      </c>
      <c r="E200" s="11" t="s">
        <v>8908</v>
      </c>
      <c r="F200" s="427" t="s">
        <v>8915</v>
      </c>
      <c r="G200" s="31" t="s">
        <v>8916</v>
      </c>
      <c r="H200" s="31"/>
      <c r="I200" s="31"/>
      <c r="J200" s="31"/>
      <c r="K200" s="428"/>
      <c r="L200" s="327" t="s">
        <v>9272</v>
      </c>
      <c r="M200" s="322"/>
      <c r="N200" s="328">
        <v>2700.0</v>
      </c>
      <c r="O200" s="429"/>
      <c r="P200" s="322"/>
      <c r="Q200" s="323"/>
      <c r="R200" s="429"/>
      <c r="S200" s="322"/>
      <c r="T200" s="323"/>
      <c r="U200" s="324"/>
      <c r="V200" s="322"/>
      <c r="W200" s="323"/>
      <c r="X200" s="324">
        <v>2700.0</v>
      </c>
      <c r="Y200" s="173" t="s">
        <v>8912</v>
      </c>
      <c r="Z200" s="322">
        <v>3100.0</v>
      </c>
      <c r="AA200" s="313">
        <f>MAX(Z200:Z203)</f>
        <v>3100</v>
      </c>
      <c r="AB200" s="319">
        <f>AA200</f>
        <v>3100</v>
      </c>
      <c r="AC200" s="430"/>
      <c r="AD200" s="326" t="s">
        <v>5839</v>
      </c>
      <c r="AE200" s="329" t="s">
        <v>9273</v>
      </c>
      <c r="AF200" s="431"/>
      <c r="AG200" s="432"/>
      <c r="AH200" s="330">
        <v>46080.71749587963</v>
      </c>
      <c r="AI200" s="2"/>
      <c r="AJ200" s="289">
        <f t="shared" si="1"/>
        <v>400</v>
      </c>
      <c r="AK200" s="61" t="str">
        <f t="shared" si="2"/>
        <v>нет з/ч</v>
      </c>
      <c r="AL200" s="61" t="str">
        <f t="shared" si="3"/>
        <v>нет з/ч</v>
      </c>
      <c r="AM200" s="304" t="str">
        <f t="shared" si="5"/>
        <v>нет з/ч</v>
      </c>
      <c r="AN200" s="2"/>
      <c r="AO200" s="289">
        <v>2700.0</v>
      </c>
      <c r="AP200" s="296"/>
      <c r="AQ200" s="296"/>
      <c r="AR200" s="139"/>
      <c r="AS200" s="2"/>
      <c r="AT200" s="2"/>
      <c r="AU200" s="2"/>
      <c r="AV200" s="2"/>
      <c r="AW200" s="2"/>
      <c r="AX200" s="3" t="s">
        <v>9271</v>
      </c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>
      <c r="A201" s="315" t="s">
        <v>9274</v>
      </c>
      <c r="B201" s="93"/>
      <c r="C201" s="65"/>
      <c r="D201" s="31" t="s">
        <v>220</v>
      </c>
      <c r="E201" s="11" t="s">
        <v>8908</v>
      </c>
      <c r="F201" s="427" t="s">
        <v>8915</v>
      </c>
      <c r="G201" s="31" t="s">
        <v>8916</v>
      </c>
      <c r="H201" s="31"/>
      <c r="I201" s="31"/>
      <c r="J201" s="31"/>
      <c r="K201" s="428"/>
      <c r="L201" s="327" t="s">
        <v>9275</v>
      </c>
      <c r="M201" s="322"/>
      <c r="N201" s="328">
        <v>2700.0</v>
      </c>
      <c r="O201" s="429"/>
      <c r="P201" s="322"/>
      <c r="Q201" s="323"/>
      <c r="R201" s="429"/>
      <c r="S201" s="322"/>
      <c r="T201" s="323"/>
      <c r="U201" s="324"/>
      <c r="V201" s="322"/>
      <c r="W201" s="323"/>
      <c r="X201" s="324">
        <v>2700.0</v>
      </c>
      <c r="Y201" s="173" t="s">
        <v>8912</v>
      </c>
      <c r="Z201" s="322">
        <v>3100.0</v>
      </c>
      <c r="AA201" s="104"/>
      <c r="AB201" s="319">
        <f>AA200</f>
        <v>3100</v>
      </c>
      <c r="AC201" s="430"/>
      <c r="AD201" s="326" t="s">
        <v>5839</v>
      </c>
      <c r="AE201" s="329" t="s">
        <v>9276</v>
      </c>
      <c r="AF201" s="431"/>
      <c r="AG201" s="432"/>
      <c r="AH201" s="330">
        <v>46080.71752042824</v>
      </c>
      <c r="AI201" s="2"/>
      <c r="AJ201" s="289">
        <f t="shared" si="1"/>
        <v>400</v>
      </c>
      <c r="AK201" s="61" t="str">
        <f t="shared" si="2"/>
        <v>нет з/ч</v>
      </c>
      <c r="AL201" s="61" t="str">
        <f t="shared" si="3"/>
        <v>нет з/ч</v>
      </c>
      <c r="AM201" s="304" t="str">
        <f t="shared" si="5"/>
        <v>нет з/ч</v>
      </c>
      <c r="AN201" s="2"/>
      <c r="AO201" s="289">
        <v>2700.0</v>
      </c>
      <c r="AP201" s="296"/>
      <c r="AQ201" s="296"/>
      <c r="AR201" s="139"/>
      <c r="AS201" s="2"/>
      <c r="AT201" s="2"/>
      <c r="AU201" s="2"/>
      <c r="AV201" s="2"/>
      <c r="AW201" s="2"/>
      <c r="AX201" s="3" t="s">
        <v>9274</v>
      </c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>
      <c r="A202" s="315" t="s">
        <v>9277</v>
      </c>
      <c r="B202" s="93"/>
      <c r="C202" s="65"/>
      <c r="D202" s="31" t="s">
        <v>220</v>
      </c>
      <c r="E202" s="11" t="s">
        <v>8908</v>
      </c>
      <c r="F202" s="427" t="s">
        <v>8915</v>
      </c>
      <c r="G202" s="31" t="s">
        <v>8916</v>
      </c>
      <c r="H202" s="31"/>
      <c r="I202" s="31"/>
      <c r="J202" s="31"/>
      <c r="K202" s="428"/>
      <c r="L202" s="327" t="s">
        <v>9278</v>
      </c>
      <c r="M202" s="322"/>
      <c r="N202" s="328">
        <v>2700.0</v>
      </c>
      <c r="O202" s="429"/>
      <c r="P202" s="322"/>
      <c r="Q202" s="323"/>
      <c r="R202" s="429"/>
      <c r="S202" s="322"/>
      <c r="T202" s="323"/>
      <c r="U202" s="324"/>
      <c r="V202" s="322"/>
      <c r="W202" s="323"/>
      <c r="X202" s="324">
        <v>2700.0</v>
      </c>
      <c r="Y202" s="173" t="s">
        <v>8912</v>
      </c>
      <c r="Z202" s="322">
        <v>3100.0</v>
      </c>
      <c r="AA202" s="104"/>
      <c r="AB202" s="319">
        <f>AA200</f>
        <v>3100</v>
      </c>
      <c r="AC202" s="430"/>
      <c r="AD202" s="326" t="s">
        <v>5839</v>
      </c>
      <c r="AE202" s="329" t="s">
        <v>9279</v>
      </c>
      <c r="AF202" s="431"/>
      <c r="AG202" s="432"/>
      <c r="AH202" s="330">
        <v>46080.71754550926</v>
      </c>
      <c r="AI202" s="2"/>
      <c r="AJ202" s="289">
        <f t="shared" si="1"/>
        <v>400</v>
      </c>
      <c r="AK202" s="61" t="str">
        <f t="shared" si="2"/>
        <v>нет з/ч</v>
      </c>
      <c r="AL202" s="61" t="str">
        <f t="shared" si="3"/>
        <v>нет з/ч</v>
      </c>
      <c r="AM202" s="304" t="str">
        <f t="shared" si="5"/>
        <v>нет з/ч</v>
      </c>
      <c r="AN202" s="2"/>
      <c r="AO202" s="289">
        <v>2700.0</v>
      </c>
      <c r="AP202" s="296"/>
      <c r="AQ202" s="296"/>
      <c r="AR202" s="139"/>
      <c r="AS202" s="2"/>
      <c r="AT202" s="2"/>
      <c r="AU202" s="2"/>
      <c r="AV202" s="2"/>
      <c r="AW202" s="2"/>
      <c r="AX202" s="3" t="s">
        <v>9277</v>
      </c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</row>
    <row r="203">
      <c r="A203" s="315" t="s">
        <v>9280</v>
      </c>
      <c r="B203" s="93"/>
      <c r="C203" s="65"/>
      <c r="D203" s="31" t="s">
        <v>220</v>
      </c>
      <c r="E203" s="11" t="s">
        <v>8908</v>
      </c>
      <c r="F203" s="427" t="s">
        <v>8915</v>
      </c>
      <c r="G203" s="31" t="s">
        <v>8916</v>
      </c>
      <c r="H203" s="31"/>
      <c r="I203" s="31"/>
      <c r="J203" s="31"/>
      <c r="K203" s="428"/>
      <c r="L203" s="327" t="s">
        <v>9281</v>
      </c>
      <c r="M203" s="322"/>
      <c r="N203" s="328">
        <v>2700.0</v>
      </c>
      <c r="O203" s="429"/>
      <c r="P203" s="322"/>
      <c r="Q203" s="323"/>
      <c r="R203" s="429"/>
      <c r="S203" s="322"/>
      <c r="T203" s="323"/>
      <c r="U203" s="324"/>
      <c r="V203" s="322"/>
      <c r="W203" s="323"/>
      <c r="X203" s="324">
        <v>2700.0</v>
      </c>
      <c r="Y203" s="173" t="s">
        <v>8912</v>
      </c>
      <c r="Z203" s="322">
        <v>3100.0</v>
      </c>
      <c r="AA203" s="67"/>
      <c r="AB203" s="319">
        <f>AA200</f>
        <v>3100</v>
      </c>
      <c r="AC203" s="430"/>
      <c r="AD203" s="326" t="s">
        <v>5839</v>
      </c>
      <c r="AE203" s="329" t="s">
        <v>9282</v>
      </c>
      <c r="AF203" s="431"/>
      <c r="AG203" s="432"/>
      <c r="AH203" s="330">
        <v>46080.71757202546</v>
      </c>
      <c r="AI203" s="2"/>
      <c r="AJ203" s="289">
        <f t="shared" si="1"/>
        <v>400</v>
      </c>
      <c r="AK203" s="61" t="str">
        <f t="shared" si="2"/>
        <v>нет з/ч</v>
      </c>
      <c r="AL203" s="61" t="str">
        <f t="shared" si="3"/>
        <v>нет з/ч</v>
      </c>
      <c r="AM203" s="304" t="str">
        <f t="shared" si="5"/>
        <v>нет з/ч</v>
      </c>
      <c r="AN203" s="2"/>
      <c r="AO203" s="289">
        <v>2700.0</v>
      </c>
      <c r="AP203" s="296"/>
      <c r="AQ203" s="296"/>
      <c r="AR203" s="139"/>
      <c r="AS203" s="2"/>
      <c r="AT203" s="2"/>
      <c r="AU203" s="2"/>
      <c r="AV203" s="2"/>
      <c r="AW203" s="2"/>
      <c r="AX203" s="3" t="s">
        <v>9280</v>
      </c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>
      <c r="A204" s="315" t="s">
        <v>9283</v>
      </c>
      <c r="B204" s="93"/>
      <c r="C204" s="65"/>
      <c r="D204" s="31" t="s">
        <v>228</v>
      </c>
      <c r="E204" s="11" t="s">
        <v>8908</v>
      </c>
      <c r="F204" s="427" t="s">
        <v>8909</v>
      </c>
      <c r="G204" s="31" t="s">
        <v>8910</v>
      </c>
      <c r="H204" s="31"/>
      <c r="I204" s="31"/>
      <c r="J204" s="31"/>
      <c r="K204" s="428"/>
      <c r="L204" s="321"/>
      <c r="M204" s="322"/>
      <c r="N204" s="323"/>
      <c r="O204" s="429"/>
      <c r="P204" s="322"/>
      <c r="Q204" s="323"/>
      <c r="R204" s="429"/>
      <c r="S204" s="322"/>
      <c r="T204" s="323"/>
      <c r="U204" s="324"/>
      <c r="V204" s="322"/>
      <c r="W204" s="323"/>
      <c r="X204" s="324" t="s">
        <v>22</v>
      </c>
      <c r="Y204" s="173" t="s">
        <v>8912</v>
      </c>
      <c r="Z204" s="322" t="s">
        <v>22</v>
      </c>
      <c r="AA204" s="313">
        <f>MAX(Z204:Z211)</f>
        <v>0</v>
      </c>
      <c r="AB204" s="319">
        <f>AA204</f>
        <v>0</v>
      </c>
      <c r="AC204" s="430"/>
      <c r="AD204" s="326" t="s">
        <v>22</v>
      </c>
      <c r="AE204" s="331"/>
      <c r="AF204" s="431"/>
      <c r="AG204" s="432"/>
      <c r="AH204" s="326"/>
      <c r="AI204" s="2"/>
      <c r="AJ204" s="59" t="str">
        <f t="shared" si="1"/>
        <v>нет з/ч</v>
      </c>
      <c r="AK204" s="61" t="str">
        <f t="shared" si="2"/>
        <v>нет з/ч</v>
      </c>
      <c r="AL204" s="61" t="str">
        <f t="shared" si="3"/>
        <v>нет з/ч</v>
      </c>
      <c r="AM204" s="304" t="str">
        <f t="shared" si="5"/>
        <v>нет з/ч</v>
      </c>
      <c r="AN204" s="2"/>
      <c r="AO204" s="289"/>
      <c r="AP204" s="296"/>
      <c r="AQ204" s="296"/>
      <c r="AR204" s="139"/>
      <c r="AS204" s="2"/>
      <c r="AT204" s="2"/>
      <c r="AU204" s="2"/>
      <c r="AV204" s="2"/>
      <c r="AW204" s="2"/>
      <c r="AX204" s="3" t="s">
        <v>9283</v>
      </c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>
      <c r="A205" s="315" t="s">
        <v>9284</v>
      </c>
      <c r="B205" s="93"/>
      <c r="C205" s="65"/>
      <c r="D205" s="31" t="s">
        <v>228</v>
      </c>
      <c r="E205" s="11" t="s">
        <v>8908</v>
      </c>
      <c r="F205" s="427" t="s">
        <v>8909</v>
      </c>
      <c r="G205" s="31" t="s">
        <v>8910</v>
      </c>
      <c r="H205" s="31"/>
      <c r="I205" s="31"/>
      <c r="J205" s="31"/>
      <c r="K205" s="428"/>
      <c r="L205" s="321"/>
      <c r="M205" s="322"/>
      <c r="N205" s="323"/>
      <c r="O205" s="429"/>
      <c r="P205" s="322"/>
      <c r="Q205" s="323"/>
      <c r="R205" s="429"/>
      <c r="S205" s="322"/>
      <c r="T205" s="323"/>
      <c r="U205" s="324"/>
      <c r="V205" s="322"/>
      <c r="W205" s="323"/>
      <c r="X205" s="324" t="s">
        <v>22</v>
      </c>
      <c r="Y205" s="173" t="s">
        <v>8912</v>
      </c>
      <c r="Z205" s="322" t="s">
        <v>22</v>
      </c>
      <c r="AA205" s="104"/>
      <c r="AB205" s="319">
        <f>AA204</f>
        <v>0</v>
      </c>
      <c r="AC205" s="430"/>
      <c r="AD205" s="326" t="s">
        <v>22</v>
      </c>
      <c r="AE205" s="331"/>
      <c r="AF205" s="431"/>
      <c r="AG205" s="432"/>
      <c r="AH205" s="326"/>
      <c r="AI205" s="2"/>
      <c r="AJ205" s="59" t="str">
        <f t="shared" si="1"/>
        <v>нет з/ч</v>
      </c>
      <c r="AK205" s="61" t="str">
        <f t="shared" si="2"/>
        <v>нет з/ч</v>
      </c>
      <c r="AL205" s="61" t="str">
        <f t="shared" si="3"/>
        <v>нет з/ч</v>
      </c>
      <c r="AM205" s="304" t="str">
        <f t="shared" si="5"/>
        <v>нет з/ч</v>
      </c>
      <c r="AN205" s="2"/>
      <c r="AO205" s="289"/>
      <c r="AP205" s="296"/>
      <c r="AQ205" s="296"/>
      <c r="AR205" s="139"/>
      <c r="AS205" s="2"/>
      <c r="AT205" s="2"/>
      <c r="AU205" s="2"/>
      <c r="AV205" s="2"/>
      <c r="AW205" s="2"/>
      <c r="AX205" s="3" t="s">
        <v>9284</v>
      </c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>
      <c r="A206" s="315" t="s">
        <v>9285</v>
      </c>
      <c r="B206" s="93"/>
      <c r="C206" s="65"/>
      <c r="D206" s="31" t="s">
        <v>228</v>
      </c>
      <c r="E206" s="11" t="s">
        <v>8908</v>
      </c>
      <c r="F206" s="427" t="s">
        <v>8909</v>
      </c>
      <c r="G206" s="31" t="s">
        <v>8910</v>
      </c>
      <c r="H206" s="31"/>
      <c r="I206" s="31"/>
      <c r="J206" s="31"/>
      <c r="K206" s="428"/>
      <c r="L206" s="321"/>
      <c r="M206" s="322"/>
      <c r="N206" s="323"/>
      <c r="O206" s="429"/>
      <c r="P206" s="322"/>
      <c r="Q206" s="323"/>
      <c r="R206" s="429"/>
      <c r="S206" s="322"/>
      <c r="T206" s="323"/>
      <c r="U206" s="324"/>
      <c r="V206" s="322"/>
      <c r="W206" s="323"/>
      <c r="X206" s="324" t="s">
        <v>22</v>
      </c>
      <c r="Y206" s="173" t="s">
        <v>8912</v>
      </c>
      <c r="Z206" s="322" t="s">
        <v>22</v>
      </c>
      <c r="AA206" s="104"/>
      <c r="AB206" s="319">
        <f>AA204</f>
        <v>0</v>
      </c>
      <c r="AC206" s="430"/>
      <c r="AD206" s="326" t="s">
        <v>22</v>
      </c>
      <c r="AE206" s="331"/>
      <c r="AF206" s="431"/>
      <c r="AG206" s="432"/>
      <c r="AH206" s="326"/>
      <c r="AI206" s="2"/>
      <c r="AJ206" s="59" t="str">
        <f t="shared" si="1"/>
        <v>нет з/ч</v>
      </c>
      <c r="AK206" s="61" t="str">
        <f t="shared" si="2"/>
        <v>нет з/ч</v>
      </c>
      <c r="AL206" s="61" t="str">
        <f t="shared" si="3"/>
        <v>нет з/ч</v>
      </c>
      <c r="AM206" s="304" t="str">
        <f t="shared" si="5"/>
        <v>нет з/ч</v>
      </c>
      <c r="AN206" s="2"/>
      <c r="AO206" s="289"/>
      <c r="AP206" s="296"/>
      <c r="AQ206" s="296"/>
      <c r="AR206" s="139"/>
      <c r="AS206" s="2"/>
      <c r="AT206" s="2"/>
      <c r="AU206" s="2"/>
      <c r="AV206" s="2"/>
      <c r="AW206" s="2"/>
      <c r="AX206" s="3" t="s">
        <v>9285</v>
      </c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>
      <c r="A207" s="315" t="s">
        <v>9286</v>
      </c>
      <c r="B207" s="93"/>
      <c r="C207" s="65"/>
      <c r="D207" s="31" t="s">
        <v>228</v>
      </c>
      <c r="E207" s="11" t="s">
        <v>8908</v>
      </c>
      <c r="F207" s="427" t="s">
        <v>8909</v>
      </c>
      <c r="G207" s="31" t="s">
        <v>8910</v>
      </c>
      <c r="H207" s="31"/>
      <c r="I207" s="31"/>
      <c r="J207" s="31"/>
      <c r="K207" s="428"/>
      <c r="L207" s="321"/>
      <c r="M207" s="322"/>
      <c r="N207" s="323"/>
      <c r="O207" s="429"/>
      <c r="P207" s="322"/>
      <c r="Q207" s="323"/>
      <c r="R207" s="429"/>
      <c r="S207" s="322"/>
      <c r="T207" s="323"/>
      <c r="U207" s="324"/>
      <c r="V207" s="322"/>
      <c r="W207" s="323"/>
      <c r="X207" s="324" t="s">
        <v>22</v>
      </c>
      <c r="Y207" s="173" t="s">
        <v>8912</v>
      </c>
      <c r="Z207" s="322" t="s">
        <v>22</v>
      </c>
      <c r="AA207" s="104"/>
      <c r="AB207" s="319">
        <f>AA204</f>
        <v>0</v>
      </c>
      <c r="AC207" s="430"/>
      <c r="AD207" s="326" t="s">
        <v>22</v>
      </c>
      <c r="AE207" s="331"/>
      <c r="AF207" s="431"/>
      <c r="AG207" s="432"/>
      <c r="AH207" s="326"/>
      <c r="AI207" s="2"/>
      <c r="AJ207" s="59" t="str">
        <f t="shared" si="1"/>
        <v>нет з/ч</v>
      </c>
      <c r="AK207" s="61" t="str">
        <f t="shared" si="2"/>
        <v>нет з/ч</v>
      </c>
      <c r="AL207" s="61" t="str">
        <f t="shared" si="3"/>
        <v>нет з/ч</v>
      </c>
      <c r="AM207" s="304" t="str">
        <f t="shared" si="5"/>
        <v>нет з/ч</v>
      </c>
      <c r="AN207" s="2"/>
      <c r="AO207" s="289"/>
      <c r="AP207" s="296"/>
      <c r="AQ207" s="296"/>
      <c r="AR207" s="139"/>
      <c r="AS207" s="2"/>
      <c r="AT207" s="2"/>
      <c r="AU207" s="2"/>
      <c r="AV207" s="2"/>
      <c r="AW207" s="2"/>
      <c r="AX207" s="3" t="s">
        <v>9286</v>
      </c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>
      <c r="A208" s="315" t="s">
        <v>9287</v>
      </c>
      <c r="B208" s="93"/>
      <c r="C208" s="65"/>
      <c r="D208" s="31" t="s">
        <v>228</v>
      </c>
      <c r="E208" s="11" t="s">
        <v>8908</v>
      </c>
      <c r="F208" s="427" t="s">
        <v>8909</v>
      </c>
      <c r="G208" s="31" t="s">
        <v>8910</v>
      </c>
      <c r="H208" s="31"/>
      <c r="I208" s="31"/>
      <c r="J208" s="31"/>
      <c r="K208" s="428"/>
      <c r="L208" s="321"/>
      <c r="M208" s="322"/>
      <c r="N208" s="323"/>
      <c r="O208" s="429"/>
      <c r="P208" s="322"/>
      <c r="Q208" s="323"/>
      <c r="R208" s="429"/>
      <c r="S208" s="322"/>
      <c r="T208" s="323"/>
      <c r="U208" s="324"/>
      <c r="V208" s="322"/>
      <c r="W208" s="323"/>
      <c r="X208" s="324" t="s">
        <v>22</v>
      </c>
      <c r="Y208" s="173" t="s">
        <v>8912</v>
      </c>
      <c r="Z208" s="322" t="s">
        <v>22</v>
      </c>
      <c r="AA208" s="104"/>
      <c r="AB208" s="319">
        <f>AA204</f>
        <v>0</v>
      </c>
      <c r="AC208" s="430"/>
      <c r="AD208" s="326" t="s">
        <v>22</v>
      </c>
      <c r="AE208" s="331"/>
      <c r="AF208" s="431"/>
      <c r="AG208" s="432"/>
      <c r="AH208" s="326"/>
      <c r="AI208" s="2"/>
      <c r="AJ208" s="59" t="str">
        <f t="shared" si="1"/>
        <v>нет з/ч</v>
      </c>
      <c r="AK208" s="61" t="str">
        <f t="shared" si="2"/>
        <v>нет з/ч</v>
      </c>
      <c r="AL208" s="61" t="str">
        <f t="shared" si="3"/>
        <v>нет з/ч</v>
      </c>
      <c r="AM208" s="304" t="str">
        <f t="shared" si="5"/>
        <v>нет з/ч</v>
      </c>
      <c r="AN208" s="2"/>
      <c r="AO208" s="289"/>
      <c r="AP208" s="296"/>
      <c r="AQ208" s="296"/>
      <c r="AR208" s="139"/>
      <c r="AS208" s="2"/>
      <c r="AT208" s="2"/>
      <c r="AU208" s="2"/>
      <c r="AV208" s="2"/>
      <c r="AW208" s="2"/>
      <c r="AX208" s="3" t="s">
        <v>9287</v>
      </c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>
      <c r="A209" s="315" t="s">
        <v>9288</v>
      </c>
      <c r="B209" s="93"/>
      <c r="C209" s="65"/>
      <c r="D209" s="31" t="s">
        <v>228</v>
      </c>
      <c r="E209" s="11" t="s">
        <v>8908</v>
      </c>
      <c r="F209" s="427" t="s">
        <v>8909</v>
      </c>
      <c r="G209" s="31" t="s">
        <v>8910</v>
      </c>
      <c r="H209" s="31"/>
      <c r="I209" s="31"/>
      <c r="J209" s="31"/>
      <c r="K209" s="428"/>
      <c r="L209" s="321"/>
      <c r="M209" s="322"/>
      <c r="N209" s="323"/>
      <c r="O209" s="429"/>
      <c r="P209" s="322"/>
      <c r="Q209" s="323"/>
      <c r="R209" s="429"/>
      <c r="S209" s="322"/>
      <c r="T209" s="323"/>
      <c r="U209" s="324"/>
      <c r="V209" s="322"/>
      <c r="W209" s="323"/>
      <c r="X209" s="324" t="s">
        <v>22</v>
      </c>
      <c r="Y209" s="173" t="s">
        <v>8912</v>
      </c>
      <c r="Z209" s="322" t="s">
        <v>22</v>
      </c>
      <c r="AA209" s="104"/>
      <c r="AB209" s="319">
        <f>AA204</f>
        <v>0</v>
      </c>
      <c r="AC209" s="430"/>
      <c r="AD209" s="326" t="s">
        <v>22</v>
      </c>
      <c r="AE209" s="331"/>
      <c r="AF209" s="431"/>
      <c r="AG209" s="432"/>
      <c r="AH209" s="326"/>
      <c r="AI209" s="2"/>
      <c r="AJ209" s="59" t="str">
        <f t="shared" si="1"/>
        <v>нет з/ч</v>
      </c>
      <c r="AK209" s="61" t="str">
        <f t="shared" si="2"/>
        <v>нет з/ч</v>
      </c>
      <c r="AL209" s="61" t="str">
        <f t="shared" si="3"/>
        <v>нет з/ч</v>
      </c>
      <c r="AM209" s="304" t="str">
        <f t="shared" si="5"/>
        <v>нет з/ч</v>
      </c>
      <c r="AN209" s="2"/>
      <c r="AO209" s="289"/>
      <c r="AP209" s="296"/>
      <c r="AQ209" s="296"/>
      <c r="AR209" s="139"/>
      <c r="AS209" s="2"/>
      <c r="AT209" s="2"/>
      <c r="AU209" s="2"/>
      <c r="AV209" s="2"/>
      <c r="AW209" s="2"/>
      <c r="AX209" s="3" t="s">
        <v>9288</v>
      </c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>
      <c r="A210" s="315" t="s">
        <v>9289</v>
      </c>
      <c r="B210" s="93"/>
      <c r="C210" s="65"/>
      <c r="D210" s="31" t="s">
        <v>228</v>
      </c>
      <c r="E210" s="11" t="s">
        <v>8908</v>
      </c>
      <c r="F210" s="427" t="s">
        <v>8909</v>
      </c>
      <c r="G210" s="31" t="s">
        <v>8910</v>
      </c>
      <c r="H210" s="31"/>
      <c r="I210" s="31"/>
      <c r="J210" s="31"/>
      <c r="K210" s="428"/>
      <c r="L210" s="321"/>
      <c r="M210" s="322"/>
      <c r="N210" s="323"/>
      <c r="O210" s="429"/>
      <c r="P210" s="322"/>
      <c r="Q210" s="323"/>
      <c r="R210" s="429"/>
      <c r="S210" s="322"/>
      <c r="T210" s="323"/>
      <c r="U210" s="324"/>
      <c r="V210" s="322"/>
      <c r="W210" s="323"/>
      <c r="X210" s="324" t="s">
        <v>22</v>
      </c>
      <c r="Y210" s="173" t="s">
        <v>8912</v>
      </c>
      <c r="Z210" s="322" t="s">
        <v>22</v>
      </c>
      <c r="AA210" s="104"/>
      <c r="AB210" s="319">
        <f>AA204</f>
        <v>0</v>
      </c>
      <c r="AC210" s="430"/>
      <c r="AD210" s="326" t="s">
        <v>22</v>
      </c>
      <c r="AE210" s="331"/>
      <c r="AF210" s="431"/>
      <c r="AG210" s="432"/>
      <c r="AH210" s="326"/>
      <c r="AI210" s="2"/>
      <c r="AJ210" s="59" t="str">
        <f t="shared" si="1"/>
        <v>нет з/ч</v>
      </c>
      <c r="AK210" s="61" t="str">
        <f t="shared" si="2"/>
        <v>нет з/ч</v>
      </c>
      <c r="AL210" s="61" t="str">
        <f t="shared" si="3"/>
        <v>нет з/ч</v>
      </c>
      <c r="AM210" s="304" t="str">
        <f t="shared" si="5"/>
        <v>нет з/ч</v>
      </c>
      <c r="AN210" s="2"/>
      <c r="AO210" s="289"/>
      <c r="AP210" s="296"/>
      <c r="AQ210" s="296"/>
      <c r="AR210" s="139"/>
      <c r="AS210" s="2"/>
      <c r="AT210" s="2"/>
      <c r="AU210" s="2"/>
      <c r="AV210" s="2"/>
      <c r="AW210" s="2"/>
      <c r="AX210" s="3" t="s">
        <v>9289</v>
      </c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>
      <c r="A211" s="315" t="s">
        <v>9290</v>
      </c>
      <c r="B211" s="93"/>
      <c r="C211" s="65"/>
      <c r="D211" s="31" t="s">
        <v>228</v>
      </c>
      <c r="E211" s="11" t="s">
        <v>8908</v>
      </c>
      <c r="F211" s="427" t="s">
        <v>8909</v>
      </c>
      <c r="G211" s="31" t="s">
        <v>8910</v>
      </c>
      <c r="H211" s="31"/>
      <c r="I211" s="31"/>
      <c r="J211" s="31"/>
      <c r="K211" s="428"/>
      <c r="L211" s="321"/>
      <c r="M211" s="322"/>
      <c r="N211" s="323"/>
      <c r="O211" s="429"/>
      <c r="P211" s="322"/>
      <c r="Q211" s="323"/>
      <c r="R211" s="429"/>
      <c r="S211" s="322"/>
      <c r="T211" s="323"/>
      <c r="U211" s="324"/>
      <c r="V211" s="322"/>
      <c r="W211" s="323"/>
      <c r="X211" s="324" t="s">
        <v>22</v>
      </c>
      <c r="Y211" s="173" t="s">
        <v>8912</v>
      </c>
      <c r="Z211" s="322" t="s">
        <v>22</v>
      </c>
      <c r="AA211" s="67"/>
      <c r="AB211" s="319">
        <f>AA204</f>
        <v>0</v>
      </c>
      <c r="AC211" s="430"/>
      <c r="AD211" s="326" t="s">
        <v>22</v>
      </c>
      <c r="AE211" s="331"/>
      <c r="AF211" s="431"/>
      <c r="AG211" s="432"/>
      <c r="AH211" s="326"/>
      <c r="AI211" s="2"/>
      <c r="AJ211" s="59" t="str">
        <f t="shared" si="1"/>
        <v>нет з/ч</v>
      </c>
      <c r="AK211" s="61" t="str">
        <f t="shared" si="2"/>
        <v>нет з/ч</v>
      </c>
      <c r="AL211" s="61" t="str">
        <f t="shared" si="3"/>
        <v>нет з/ч</v>
      </c>
      <c r="AM211" s="304" t="str">
        <f t="shared" si="5"/>
        <v>нет з/ч</v>
      </c>
      <c r="AN211" s="2"/>
      <c r="AO211" s="289"/>
      <c r="AP211" s="296"/>
      <c r="AQ211" s="296"/>
      <c r="AR211" s="139"/>
      <c r="AS211" s="2"/>
      <c r="AT211" s="2"/>
      <c r="AU211" s="2"/>
      <c r="AV211" s="2"/>
      <c r="AW211" s="2"/>
      <c r="AX211" s="3" t="s">
        <v>9290</v>
      </c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>
      <c r="A212" s="315" t="s">
        <v>9291</v>
      </c>
      <c r="B212" s="93"/>
      <c r="C212" s="65"/>
      <c r="D212" s="31" t="s">
        <v>228</v>
      </c>
      <c r="E212" s="11" t="s">
        <v>8908</v>
      </c>
      <c r="F212" s="427" t="s">
        <v>8915</v>
      </c>
      <c r="G212" s="31" t="s">
        <v>8916</v>
      </c>
      <c r="H212" s="31"/>
      <c r="I212" s="31"/>
      <c r="J212" s="31"/>
      <c r="K212" s="428"/>
      <c r="L212" s="327" t="s">
        <v>9292</v>
      </c>
      <c r="M212" s="322"/>
      <c r="N212" s="328">
        <v>2700.0</v>
      </c>
      <c r="O212" s="429"/>
      <c r="P212" s="322"/>
      <c r="Q212" s="323"/>
      <c r="R212" s="429"/>
      <c r="S212" s="322"/>
      <c r="T212" s="323"/>
      <c r="U212" s="324"/>
      <c r="V212" s="322"/>
      <c r="W212" s="323"/>
      <c r="X212" s="324">
        <v>2700.0</v>
      </c>
      <c r="Y212" s="173" t="s">
        <v>8912</v>
      </c>
      <c r="Z212" s="322">
        <v>3100.0</v>
      </c>
      <c r="AA212" s="313">
        <f>MAX(Z212:Z215)</f>
        <v>3100</v>
      </c>
      <c r="AB212" s="319">
        <f>AA212</f>
        <v>3100</v>
      </c>
      <c r="AC212" s="430"/>
      <c r="AD212" s="326" t="s">
        <v>5839</v>
      </c>
      <c r="AE212" s="329" t="s">
        <v>9293</v>
      </c>
      <c r="AF212" s="431"/>
      <c r="AG212" s="432"/>
      <c r="AH212" s="330">
        <v>46080.718221041665</v>
      </c>
      <c r="AI212" s="2"/>
      <c r="AJ212" s="289">
        <f t="shared" si="1"/>
        <v>400</v>
      </c>
      <c r="AK212" s="61" t="str">
        <f t="shared" si="2"/>
        <v>нет з/ч</v>
      </c>
      <c r="AL212" s="61" t="str">
        <f t="shared" si="3"/>
        <v>нет з/ч</v>
      </c>
      <c r="AM212" s="304" t="str">
        <f t="shared" si="5"/>
        <v>нет з/ч</v>
      </c>
      <c r="AN212" s="2"/>
      <c r="AO212" s="289">
        <v>2700.0</v>
      </c>
      <c r="AP212" s="296"/>
      <c r="AQ212" s="296"/>
      <c r="AR212" s="139"/>
      <c r="AS212" s="2"/>
      <c r="AT212" s="2"/>
      <c r="AU212" s="2"/>
      <c r="AV212" s="2"/>
      <c r="AW212" s="2"/>
      <c r="AX212" s="3" t="s">
        <v>9291</v>
      </c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>
      <c r="A213" s="315" t="s">
        <v>9294</v>
      </c>
      <c r="B213" s="93"/>
      <c r="C213" s="65"/>
      <c r="D213" s="31" t="s">
        <v>228</v>
      </c>
      <c r="E213" s="11" t="s">
        <v>8908</v>
      </c>
      <c r="F213" s="427" t="s">
        <v>8915</v>
      </c>
      <c r="G213" s="31" t="s">
        <v>8916</v>
      </c>
      <c r="H213" s="31"/>
      <c r="I213" s="31"/>
      <c r="J213" s="31"/>
      <c r="K213" s="428"/>
      <c r="L213" s="327" t="s">
        <v>9295</v>
      </c>
      <c r="M213" s="322"/>
      <c r="N213" s="328">
        <v>2700.0</v>
      </c>
      <c r="O213" s="429"/>
      <c r="P213" s="322"/>
      <c r="Q213" s="323"/>
      <c r="R213" s="429"/>
      <c r="S213" s="322"/>
      <c r="T213" s="323"/>
      <c r="U213" s="324"/>
      <c r="V213" s="322"/>
      <c r="W213" s="323"/>
      <c r="X213" s="324">
        <v>2700.0</v>
      </c>
      <c r="Y213" s="173" t="s">
        <v>8912</v>
      </c>
      <c r="Z213" s="322">
        <v>3100.0</v>
      </c>
      <c r="AA213" s="104"/>
      <c r="AB213" s="319">
        <f>AA212</f>
        <v>3100</v>
      </c>
      <c r="AC213" s="430"/>
      <c r="AD213" s="326" t="s">
        <v>5839</v>
      </c>
      <c r="AE213" s="329" t="s">
        <v>9296</v>
      </c>
      <c r="AF213" s="431"/>
      <c r="AG213" s="432"/>
      <c r="AH213" s="330">
        <v>46080.718251377315</v>
      </c>
      <c r="AI213" s="2"/>
      <c r="AJ213" s="289">
        <f t="shared" si="1"/>
        <v>400</v>
      </c>
      <c r="AK213" s="61" t="str">
        <f t="shared" si="2"/>
        <v>нет з/ч</v>
      </c>
      <c r="AL213" s="61" t="str">
        <f t="shared" si="3"/>
        <v>нет з/ч</v>
      </c>
      <c r="AM213" s="304" t="str">
        <f t="shared" si="5"/>
        <v>нет з/ч</v>
      </c>
      <c r="AN213" s="2"/>
      <c r="AO213" s="289">
        <v>2700.0</v>
      </c>
      <c r="AP213" s="296"/>
      <c r="AQ213" s="296"/>
      <c r="AR213" s="139"/>
      <c r="AS213" s="2"/>
      <c r="AT213" s="2"/>
      <c r="AU213" s="2"/>
      <c r="AV213" s="2"/>
      <c r="AW213" s="2"/>
      <c r="AX213" s="3" t="s">
        <v>9294</v>
      </c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>
      <c r="A214" s="315" t="s">
        <v>9297</v>
      </c>
      <c r="B214" s="93"/>
      <c r="C214" s="65"/>
      <c r="D214" s="31" t="s">
        <v>228</v>
      </c>
      <c r="E214" s="11" t="s">
        <v>8908</v>
      </c>
      <c r="F214" s="427" t="s">
        <v>8915</v>
      </c>
      <c r="G214" s="31" t="s">
        <v>8916</v>
      </c>
      <c r="H214" s="31"/>
      <c r="I214" s="31"/>
      <c r="J214" s="31"/>
      <c r="K214" s="428"/>
      <c r="L214" s="327" t="s">
        <v>9298</v>
      </c>
      <c r="M214" s="322"/>
      <c r="N214" s="328">
        <v>2700.0</v>
      </c>
      <c r="O214" s="429"/>
      <c r="P214" s="322"/>
      <c r="Q214" s="323"/>
      <c r="R214" s="429"/>
      <c r="S214" s="322"/>
      <c r="T214" s="323"/>
      <c r="U214" s="324"/>
      <c r="V214" s="322"/>
      <c r="W214" s="323"/>
      <c r="X214" s="324">
        <v>2700.0</v>
      </c>
      <c r="Y214" s="173" t="s">
        <v>8912</v>
      </c>
      <c r="Z214" s="322">
        <v>3100.0</v>
      </c>
      <c r="AA214" s="104"/>
      <c r="AB214" s="319">
        <f>AA212</f>
        <v>3100</v>
      </c>
      <c r="AC214" s="430"/>
      <c r="AD214" s="326" t="s">
        <v>5839</v>
      </c>
      <c r="AE214" s="329" t="s">
        <v>9299</v>
      </c>
      <c r="AF214" s="431"/>
      <c r="AG214" s="432"/>
      <c r="AH214" s="330">
        <v>46080.718284953706</v>
      </c>
      <c r="AI214" s="2"/>
      <c r="AJ214" s="289">
        <f t="shared" si="1"/>
        <v>400</v>
      </c>
      <c r="AK214" s="61" t="str">
        <f t="shared" si="2"/>
        <v>нет з/ч</v>
      </c>
      <c r="AL214" s="61" t="str">
        <f t="shared" si="3"/>
        <v>нет з/ч</v>
      </c>
      <c r="AM214" s="304" t="str">
        <f t="shared" si="5"/>
        <v>нет з/ч</v>
      </c>
      <c r="AN214" s="2"/>
      <c r="AO214" s="289">
        <v>2700.0</v>
      </c>
      <c r="AP214" s="296"/>
      <c r="AQ214" s="296"/>
      <c r="AR214" s="139"/>
      <c r="AS214" s="2"/>
      <c r="AT214" s="2"/>
      <c r="AU214" s="2"/>
      <c r="AV214" s="2"/>
      <c r="AW214" s="2"/>
      <c r="AX214" s="3" t="s">
        <v>9297</v>
      </c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>
      <c r="A215" s="315" t="s">
        <v>9300</v>
      </c>
      <c r="B215" s="93"/>
      <c r="C215" s="65"/>
      <c r="D215" s="31" t="s">
        <v>228</v>
      </c>
      <c r="E215" s="11" t="s">
        <v>8908</v>
      </c>
      <c r="F215" s="427" t="s">
        <v>8915</v>
      </c>
      <c r="G215" s="31" t="s">
        <v>8916</v>
      </c>
      <c r="H215" s="31"/>
      <c r="I215" s="31"/>
      <c r="J215" s="31"/>
      <c r="K215" s="428"/>
      <c r="L215" s="327" t="s">
        <v>9301</v>
      </c>
      <c r="M215" s="322"/>
      <c r="N215" s="328">
        <v>2700.0</v>
      </c>
      <c r="O215" s="429"/>
      <c r="P215" s="322"/>
      <c r="Q215" s="323"/>
      <c r="R215" s="429"/>
      <c r="S215" s="322"/>
      <c r="T215" s="323"/>
      <c r="U215" s="324"/>
      <c r="V215" s="322"/>
      <c r="W215" s="323"/>
      <c r="X215" s="324">
        <v>2700.0</v>
      </c>
      <c r="Y215" s="173" t="s">
        <v>8912</v>
      </c>
      <c r="Z215" s="322">
        <v>3100.0</v>
      </c>
      <c r="AA215" s="67"/>
      <c r="AB215" s="319">
        <f>AA212</f>
        <v>3100</v>
      </c>
      <c r="AC215" s="430"/>
      <c r="AD215" s="326" t="s">
        <v>5839</v>
      </c>
      <c r="AE215" s="329" t="s">
        <v>9302</v>
      </c>
      <c r="AF215" s="431"/>
      <c r="AG215" s="432"/>
      <c r="AH215" s="330">
        <v>46080.71831568287</v>
      </c>
      <c r="AI215" s="2"/>
      <c r="AJ215" s="289">
        <f t="shared" si="1"/>
        <v>400</v>
      </c>
      <c r="AK215" s="61" t="str">
        <f t="shared" si="2"/>
        <v>нет з/ч</v>
      </c>
      <c r="AL215" s="61" t="str">
        <f t="shared" si="3"/>
        <v>нет з/ч</v>
      </c>
      <c r="AM215" s="304" t="str">
        <f t="shared" si="5"/>
        <v>нет з/ч</v>
      </c>
      <c r="AN215" s="2"/>
      <c r="AO215" s="289">
        <v>2700.0</v>
      </c>
      <c r="AP215" s="296"/>
      <c r="AQ215" s="296"/>
      <c r="AR215" s="139"/>
      <c r="AS215" s="2"/>
      <c r="AT215" s="2"/>
      <c r="AU215" s="2"/>
      <c r="AV215" s="2"/>
      <c r="AW215" s="2"/>
      <c r="AX215" s="3" t="s">
        <v>9300</v>
      </c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>
      <c r="A216" s="315" t="s">
        <v>9303</v>
      </c>
      <c r="B216" s="93"/>
      <c r="C216" s="65"/>
      <c r="D216" s="31" t="s">
        <v>236</v>
      </c>
      <c r="E216" s="11" t="s">
        <v>8908</v>
      </c>
      <c r="F216" s="427" t="s">
        <v>8909</v>
      </c>
      <c r="G216" s="31" t="s">
        <v>8910</v>
      </c>
      <c r="H216" s="31"/>
      <c r="I216" s="31"/>
      <c r="J216" s="31"/>
      <c r="K216" s="428"/>
      <c r="L216" s="321"/>
      <c r="M216" s="322"/>
      <c r="N216" s="323"/>
      <c r="O216" s="429"/>
      <c r="P216" s="322"/>
      <c r="Q216" s="323"/>
      <c r="R216" s="429"/>
      <c r="S216" s="322"/>
      <c r="T216" s="323"/>
      <c r="U216" s="324"/>
      <c r="V216" s="322"/>
      <c r="W216" s="323"/>
      <c r="X216" s="324" t="s">
        <v>22</v>
      </c>
      <c r="Y216" s="173" t="s">
        <v>8912</v>
      </c>
      <c r="Z216" s="322" t="s">
        <v>22</v>
      </c>
      <c r="AA216" s="313">
        <f>MAX(Z216:Z227)</f>
        <v>0</v>
      </c>
      <c r="AB216" s="319">
        <f>AA216</f>
        <v>0</v>
      </c>
      <c r="AC216" s="430"/>
      <c r="AD216" s="326" t="s">
        <v>22</v>
      </c>
      <c r="AE216" s="331"/>
      <c r="AF216" s="431"/>
      <c r="AG216" s="432"/>
      <c r="AH216" s="326"/>
      <c r="AI216" s="2"/>
      <c r="AJ216" s="59" t="str">
        <f t="shared" si="1"/>
        <v>нет з/ч</v>
      </c>
      <c r="AK216" s="61" t="str">
        <f t="shared" si="2"/>
        <v>нет з/ч</v>
      </c>
      <c r="AL216" s="61" t="str">
        <f t="shared" si="3"/>
        <v>нет з/ч</v>
      </c>
      <c r="AM216" s="304" t="str">
        <f t="shared" si="5"/>
        <v>нет з/ч</v>
      </c>
      <c r="AN216" s="2"/>
      <c r="AO216" s="289"/>
      <c r="AP216" s="296"/>
      <c r="AQ216" s="296"/>
      <c r="AR216" s="139"/>
      <c r="AS216" s="2"/>
      <c r="AT216" s="2"/>
      <c r="AU216" s="2"/>
      <c r="AV216" s="2"/>
      <c r="AW216" s="2"/>
      <c r="AX216" s="3" t="s">
        <v>9303</v>
      </c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>
      <c r="A217" s="315" t="s">
        <v>9304</v>
      </c>
      <c r="B217" s="93"/>
      <c r="C217" s="65"/>
      <c r="D217" s="31" t="s">
        <v>236</v>
      </c>
      <c r="E217" s="11" t="s">
        <v>8908</v>
      </c>
      <c r="F217" s="427" t="s">
        <v>8909</v>
      </c>
      <c r="G217" s="31" t="s">
        <v>8910</v>
      </c>
      <c r="H217" s="31"/>
      <c r="I217" s="31"/>
      <c r="J217" s="31"/>
      <c r="K217" s="428"/>
      <c r="L217" s="321"/>
      <c r="M217" s="322"/>
      <c r="N217" s="323"/>
      <c r="O217" s="429"/>
      <c r="P217" s="322"/>
      <c r="Q217" s="323"/>
      <c r="R217" s="429"/>
      <c r="S217" s="322"/>
      <c r="T217" s="323"/>
      <c r="U217" s="324"/>
      <c r="V217" s="322"/>
      <c r="W217" s="323"/>
      <c r="X217" s="324" t="s">
        <v>22</v>
      </c>
      <c r="Y217" s="173" t="s">
        <v>8912</v>
      </c>
      <c r="Z217" s="322" t="s">
        <v>22</v>
      </c>
      <c r="AA217" s="104"/>
      <c r="AB217" s="319">
        <f>AA216</f>
        <v>0</v>
      </c>
      <c r="AC217" s="430"/>
      <c r="AD217" s="326" t="s">
        <v>22</v>
      </c>
      <c r="AE217" s="331"/>
      <c r="AF217" s="431"/>
      <c r="AG217" s="432"/>
      <c r="AH217" s="326"/>
      <c r="AI217" s="2"/>
      <c r="AJ217" s="59" t="str">
        <f t="shared" si="1"/>
        <v>нет з/ч</v>
      </c>
      <c r="AK217" s="61" t="str">
        <f t="shared" si="2"/>
        <v>нет з/ч</v>
      </c>
      <c r="AL217" s="61" t="str">
        <f t="shared" si="3"/>
        <v>нет з/ч</v>
      </c>
      <c r="AM217" s="304" t="str">
        <f t="shared" si="5"/>
        <v>нет з/ч</v>
      </c>
      <c r="AN217" s="2"/>
      <c r="AO217" s="289"/>
      <c r="AP217" s="296"/>
      <c r="AQ217" s="296"/>
      <c r="AR217" s="139"/>
      <c r="AS217" s="2"/>
      <c r="AT217" s="2"/>
      <c r="AU217" s="2"/>
      <c r="AV217" s="2"/>
      <c r="AW217" s="2"/>
      <c r="AX217" s="3" t="s">
        <v>9304</v>
      </c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>
      <c r="A218" s="315" t="s">
        <v>9305</v>
      </c>
      <c r="B218" s="93"/>
      <c r="C218" s="65"/>
      <c r="D218" s="31" t="s">
        <v>236</v>
      </c>
      <c r="E218" s="11" t="s">
        <v>8908</v>
      </c>
      <c r="F218" s="427" t="s">
        <v>8909</v>
      </c>
      <c r="G218" s="31" t="s">
        <v>8910</v>
      </c>
      <c r="H218" s="31"/>
      <c r="I218" s="31"/>
      <c r="J218" s="31"/>
      <c r="K218" s="428"/>
      <c r="L218" s="321"/>
      <c r="M218" s="322"/>
      <c r="N218" s="323"/>
      <c r="O218" s="429"/>
      <c r="P218" s="322"/>
      <c r="Q218" s="323"/>
      <c r="R218" s="429"/>
      <c r="S218" s="322"/>
      <c r="T218" s="323"/>
      <c r="U218" s="324"/>
      <c r="V218" s="322"/>
      <c r="W218" s="323"/>
      <c r="X218" s="324" t="s">
        <v>22</v>
      </c>
      <c r="Y218" s="173" t="s">
        <v>8912</v>
      </c>
      <c r="Z218" s="322" t="s">
        <v>22</v>
      </c>
      <c r="AA218" s="104"/>
      <c r="AB218" s="319">
        <f>AA216</f>
        <v>0</v>
      </c>
      <c r="AC218" s="430"/>
      <c r="AD218" s="326" t="s">
        <v>22</v>
      </c>
      <c r="AE218" s="331"/>
      <c r="AF218" s="431"/>
      <c r="AG218" s="432"/>
      <c r="AH218" s="326"/>
      <c r="AI218" s="2"/>
      <c r="AJ218" s="59" t="str">
        <f t="shared" si="1"/>
        <v>нет з/ч</v>
      </c>
      <c r="AK218" s="61" t="str">
        <f t="shared" si="2"/>
        <v>нет з/ч</v>
      </c>
      <c r="AL218" s="61" t="str">
        <f t="shared" si="3"/>
        <v>нет з/ч</v>
      </c>
      <c r="AM218" s="304" t="str">
        <f t="shared" si="5"/>
        <v>нет з/ч</v>
      </c>
      <c r="AN218" s="2"/>
      <c r="AO218" s="289"/>
      <c r="AP218" s="296"/>
      <c r="AQ218" s="296"/>
      <c r="AR218" s="139"/>
      <c r="AS218" s="2"/>
      <c r="AT218" s="2"/>
      <c r="AU218" s="2"/>
      <c r="AV218" s="2"/>
      <c r="AW218" s="2"/>
      <c r="AX218" s="3" t="s">
        <v>9305</v>
      </c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>
      <c r="A219" s="315" t="s">
        <v>9306</v>
      </c>
      <c r="B219" s="93"/>
      <c r="C219" s="65"/>
      <c r="D219" s="31" t="s">
        <v>236</v>
      </c>
      <c r="E219" s="11" t="s">
        <v>8908</v>
      </c>
      <c r="F219" s="427" t="s">
        <v>8909</v>
      </c>
      <c r="G219" s="31" t="s">
        <v>8910</v>
      </c>
      <c r="H219" s="31"/>
      <c r="I219" s="31"/>
      <c r="J219" s="31"/>
      <c r="K219" s="428"/>
      <c r="L219" s="321"/>
      <c r="M219" s="322"/>
      <c r="N219" s="323"/>
      <c r="O219" s="429"/>
      <c r="P219" s="322"/>
      <c r="Q219" s="323"/>
      <c r="R219" s="429"/>
      <c r="S219" s="322"/>
      <c r="T219" s="323"/>
      <c r="U219" s="324"/>
      <c r="V219" s="322"/>
      <c r="W219" s="323"/>
      <c r="X219" s="324" t="s">
        <v>22</v>
      </c>
      <c r="Y219" s="173" t="s">
        <v>8912</v>
      </c>
      <c r="Z219" s="322" t="s">
        <v>22</v>
      </c>
      <c r="AA219" s="104"/>
      <c r="AB219" s="319">
        <f>AA216</f>
        <v>0</v>
      </c>
      <c r="AC219" s="430"/>
      <c r="AD219" s="326" t="s">
        <v>22</v>
      </c>
      <c r="AE219" s="331"/>
      <c r="AF219" s="431"/>
      <c r="AG219" s="432"/>
      <c r="AH219" s="326"/>
      <c r="AI219" s="2"/>
      <c r="AJ219" s="59" t="str">
        <f t="shared" si="1"/>
        <v>нет з/ч</v>
      </c>
      <c r="AK219" s="61" t="str">
        <f t="shared" si="2"/>
        <v>нет з/ч</v>
      </c>
      <c r="AL219" s="61" t="str">
        <f t="shared" si="3"/>
        <v>нет з/ч</v>
      </c>
      <c r="AM219" s="304" t="str">
        <f t="shared" si="5"/>
        <v>нет з/ч</v>
      </c>
      <c r="AN219" s="2"/>
      <c r="AO219" s="289"/>
      <c r="AP219" s="296"/>
      <c r="AQ219" s="296"/>
      <c r="AR219" s="139"/>
      <c r="AS219" s="2"/>
      <c r="AT219" s="2"/>
      <c r="AU219" s="2"/>
      <c r="AV219" s="2"/>
      <c r="AW219" s="2"/>
      <c r="AX219" s="3" t="s">
        <v>9306</v>
      </c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>
      <c r="A220" s="315" t="s">
        <v>9307</v>
      </c>
      <c r="B220" s="93"/>
      <c r="C220" s="65"/>
      <c r="D220" s="31" t="s">
        <v>236</v>
      </c>
      <c r="E220" s="11" t="s">
        <v>8908</v>
      </c>
      <c r="F220" s="427" t="s">
        <v>8909</v>
      </c>
      <c r="G220" s="31" t="s">
        <v>8910</v>
      </c>
      <c r="H220" s="31"/>
      <c r="I220" s="31"/>
      <c r="J220" s="31"/>
      <c r="K220" s="428"/>
      <c r="L220" s="321"/>
      <c r="M220" s="322"/>
      <c r="N220" s="323"/>
      <c r="O220" s="429"/>
      <c r="P220" s="322"/>
      <c r="Q220" s="323"/>
      <c r="R220" s="429"/>
      <c r="S220" s="322"/>
      <c r="T220" s="323"/>
      <c r="U220" s="324"/>
      <c r="V220" s="322"/>
      <c r="W220" s="323"/>
      <c r="X220" s="324" t="s">
        <v>22</v>
      </c>
      <c r="Y220" s="173" t="s">
        <v>8912</v>
      </c>
      <c r="Z220" s="322" t="s">
        <v>22</v>
      </c>
      <c r="AA220" s="104"/>
      <c r="AB220" s="319">
        <f>AA216</f>
        <v>0</v>
      </c>
      <c r="AC220" s="430"/>
      <c r="AD220" s="326" t="s">
        <v>22</v>
      </c>
      <c r="AE220" s="331"/>
      <c r="AF220" s="431"/>
      <c r="AG220" s="432"/>
      <c r="AH220" s="326"/>
      <c r="AI220" s="2"/>
      <c r="AJ220" s="59" t="str">
        <f t="shared" si="1"/>
        <v>нет з/ч</v>
      </c>
      <c r="AK220" s="61" t="str">
        <f t="shared" si="2"/>
        <v>нет з/ч</v>
      </c>
      <c r="AL220" s="61" t="str">
        <f t="shared" si="3"/>
        <v>нет з/ч</v>
      </c>
      <c r="AM220" s="304" t="str">
        <f t="shared" si="5"/>
        <v>нет з/ч</v>
      </c>
      <c r="AN220" s="2"/>
      <c r="AO220" s="289"/>
      <c r="AP220" s="296"/>
      <c r="AQ220" s="296"/>
      <c r="AR220" s="139"/>
      <c r="AS220" s="2"/>
      <c r="AT220" s="2"/>
      <c r="AU220" s="2"/>
      <c r="AV220" s="2"/>
      <c r="AW220" s="2"/>
      <c r="AX220" s="3" t="s">
        <v>9307</v>
      </c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>
      <c r="A221" s="315" t="s">
        <v>9308</v>
      </c>
      <c r="B221" s="93"/>
      <c r="C221" s="65"/>
      <c r="D221" s="31" t="s">
        <v>236</v>
      </c>
      <c r="E221" s="11" t="s">
        <v>8908</v>
      </c>
      <c r="F221" s="427" t="s">
        <v>8909</v>
      </c>
      <c r="G221" s="31" t="s">
        <v>8910</v>
      </c>
      <c r="H221" s="31"/>
      <c r="I221" s="31"/>
      <c r="J221" s="31"/>
      <c r="K221" s="428"/>
      <c r="L221" s="321"/>
      <c r="M221" s="322"/>
      <c r="N221" s="323"/>
      <c r="O221" s="429"/>
      <c r="P221" s="322"/>
      <c r="Q221" s="323"/>
      <c r="R221" s="429"/>
      <c r="S221" s="322"/>
      <c r="T221" s="323"/>
      <c r="U221" s="324"/>
      <c r="V221" s="322"/>
      <c r="W221" s="323"/>
      <c r="X221" s="324" t="s">
        <v>22</v>
      </c>
      <c r="Y221" s="173" t="s">
        <v>8912</v>
      </c>
      <c r="Z221" s="322" t="s">
        <v>22</v>
      </c>
      <c r="AA221" s="104"/>
      <c r="AB221" s="319">
        <f>AA216</f>
        <v>0</v>
      </c>
      <c r="AC221" s="430"/>
      <c r="AD221" s="326" t="s">
        <v>22</v>
      </c>
      <c r="AE221" s="331"/>
      <c r="AF221" s="431"/>
      <c r="AG221" s="432"/>
      <c r="AH221" s="326"/>
      <c r="AI221" s="2"/>
      <c r="AJ221" s="59" t="str">
        <f t="shared" si="1"/>
        <v>нет з/ч</v>
      </c>
      <c r="AK221" s="61" t="str">
        <f t="shared" si="2"/>
        <v>нет з/ч</v>
      </c>
      <c r="AL221" s="61" t="str">
        <f t="shared" si="3"/>
        <v>нет з/ч</v>
      </c>
      <c r="AM221" s="304" t="str">
        <f t="shared" si="5"/>
        <v>нет з/ч</v>
      </c>
      <c r="AN221" s="2"/>
      <c r="AO221" s="289"/>
      <c r="AP221" s="296"/>
      <c r="AQ221" s="296"/>
      <c r="AR221" s="139"/>
      <c r="AS221" s="2"/>
      <c r="AT221" s="2"/>
      <c r="AU221" s="2"/>
      <c r="AV221" s="2"/>
      <c r="AW221" s="2"/>
      <c r="AX221" s="3" t="s">
        <v>9308</v>
      </c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</row>
    <row r="222">
      <c r="A222" s="315" t="s">
        <v>9309</v>
      </c>
      <c r="B222" s="93"/>
      <c r="C222" s="65"/>
      <c r="D222" s="31" t="s">
        <v>236</v>
      </c>
      <c r="E222" s="11" t="s">
        <v>8908</v>
      </c>
      <c r="F222" s="427" t="s">
        <v>8909</v>
      </c>
      <c r="G222" s="31" t="s">
        <v>8910</v>
      </c>
      <c r="H222" s="31"/>
      <c r="I222" s="31"/>
      <c r="J222" s="31"/>
      <c r="K222" s="428"/>
      <c r="L222" s="321"/>
      <c r="M222" s="322"/>
      <c r="N222" s="323"/>
      <c r="O222" s="429"/>
      <c r="P222" s="322"/>
      <c r="Q222" s="323"/>
      <c r="R222" s="429"/>
      <c r="S222" s="322"/>
      <c r="T222" s="323"/>
      <c r="U222" s="324"/>
      <c r="V222" s="322"/>
      <c r="W222" s="323"/>
      <c r="X222" s="324" t="s">
        <v>22</v>
      </c>
      <c r="Y222" s="173" t="s">
        <v>8912</v>
      </c>
      <c r="Z222" s="322" t="s">
        <v>22</v>
      </c>
      <c r="AA222" s="104"/>
      <c r="AB222" s="319">
        <f>AA216</f>
        <v>0</v>
      </c>
      <c r="AC222" s="430"/>
      <c r="AD222" s="326" t="s">
        <v>22</v>
      </c>
      <c r="AE222" s="331"/>
      <c r="AF222" s="431"/>
      <c r="AG222" s="432"/>
      <c r="AH222" s="326"/>
      <c r="AI222" s="2"/>
      <c r="AJ222" s="59" t="str">
        <f t="shared" si="1"/>
        <v>нет з/ч</v>
      </c>
      <c r="AK222" s="61" t="str">
        <f t="shared" si="2"/>
        <v>нет з/ч</v>
      </c>
      <c r="AL222" s="61" t="str">
        <f t="shared" si="3"/>
        <v>нет з/ч</v>
      </c>
      <c r="AM222" s="304" t="str">
        <f t="shared" si="5"/>
        <v>нет з/ч</v>
      </c>
      <c r="AN222" s="2"/>
      <c r="AO222" s="289"/>
      <c r="AP222" s="296"/>
      <c r="AQ222" s="296"/>
      <c r="AR222" s="139"/>
      <c r="AS222" s="2"/>
      <c r="AT222" s="2"/>
      <c r="AU222" s="2"/>
      <c r="AV222" s="2"/>
      <c r="AW222" s="2"/>
      <c r="AX222" s="3" t="s">
        <v>9309</v>
      </c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>
      <c r="A223" s="315" t="s">
        <v>9310</v>
      </c>
      <c r="B223" s="93"/>
      <c r="C223" s="65"/>
      <c r="D223" s="31" t="s">
        <v>236</v>
      </c>
      <c r="E223" s="11" t="s">
        <v>8908</v>
      </c>
      <c r="F223" s="427" t="s">
        <v>8909</v>
      </c>
      <c r="G223" s="31" t="s">
        <v>8910</v>
      </c>
      <c r="H223" s="31"/>
      <c r="I223" s="31"/>
      <c r="J223" s="31"/>
      <c r="K223" s="428"/>
      <c r="L223" s="321"/>
      <c r="M223" s="322"/>
      <c r="N223" s="323"/>
      <c r="O223" s="429"/>
      <c r="P223" s="322"/>
      <c r="Q223" s="323"/>
      <c r="R223" s="429"/>
      <c r="S223" s="322"/>
      <c r="T223" s="323"/>
      <c r="U223" s="324"/>
      <c r="V223" s="322"/>
      <c r="W223" s="323"/>
      <c r="X223" s="324" t="s">
        <v>22</v>
      </c>
      <c r="Y223" s="173" t="s">
        <v>8912</v>
      </c>
      <c r="Z223" s="322" t="s">
        <v>22</v>
      </c>
      <c r="AA223" s="104"/>
      <c r="AB223" s="319">
        <f>AA216</f>
        <v>0</v>
      </c>
      <c r="AC223" s="430"/>
      <c r="AD223" s="326" t="s">
        <v>22</v>
      </c>
      <c r="AE223" s="331"/>
      <c r="AF223" s="431"/>
      <c r="AG223" s="432"/>
      <c r="AH223" s="326"/>
      <c r="AI223" s="2"/>
      <c r="AJ223" s="59" t="str">
        <f t="shared" si="1"/>
        <v>нет з/ч</v>
      </c>
      <c r="AK223" s="61" t="str">
        <f t="shared" si="2"/>
        <v>нет з/ч</v>
      </c>
      <c r="AL223" s="61" t="str">
        <f t="shared" si="3"/>
        <v>нет з/ч</v>
      </c>
      <c r="AM223" s="304" t="str">
        <f t="shared" si="5"/>
        <v>нет з/ч</v>
      </c>
      <c r="AN223" s="2"/>
      <c r="AO223" s="289"/>
      <c r="AP223" s="296"/>
      <c r="AQ223" s="296"/>
      <c r="AR223" s="139"/>
      <c r="AS223" s="2"/>
      <c r="AT223" s="2"/>
      <c r="AU223" s="2"/>
      <c r="AV223" s="2"/>
      <c r="AW223" s="2"/>
      <c r="AX223" s="3" t="s">
        <v>9310</v>
      </c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>
      <c r="A224" s="315" t="s">
        <v>9311</v>
      </c>
      <c r="B224" s="93"/>
      <c r="C224" s="65"/>
      <c r="D224" s="31" t="s">
        <v>236</v>
      </c>
      <c r="E224" s="11" t="s">
        <v>8908</v>
      </c>
      <c r="F224" s="427" t="s">
        <v>8909</v>
      </c>
      <c r="G224" s="31" t="s">
        <v>8910</v>
      </c>
      <c r="H224" s="31"/>
      <c r="I224" s="31"/>
      <c r="J224" s="31"/>
      <c r="K224" s="428"/>
      <c r="L224" s="321"/>
      <c r="M224" s="322"/>
      <c r="N224" s="323"/>
      <c r="O224" s="429"/>
      <c r="P224" s="322"/>
      <c r="Q224" s="323"/>
      <c r="R224" s="429"/>
      <c r="S224" s="322"/>
      <c r="T224" s="323"/>
      <c r="U224" s="324"/>
      <c r="V224" s="322"/>
      <c r="W224" s="323"/>
      <c r="X224" s="324" t="s">
        <v>22</v>
      </c>
      <c r="Y224" s="173" t="s">
        <v>8912</v>
      </c>
      <c r="Z224" s="322" t="s">
        <v>22</v>
      </c>
      <c r="AA224" s="104"/>
      <c r="AB224" s="319">
        <f>AA216</f>
        <v>0</v>
      </c>
      <c r="AC224" s="430"/>
      <c r="AD224" s="326" t="s">
        <v>22</v>
      </c>
      <c r="AE224" s="331"/>
      <c r="AF224" s="431"/>
      <c r="AG224" s="432"/>
      <c r="AH224" s="326"/>
      <c r="AI224" s="2"/>
      <c r="AJ224" s="59" t="str">
        <f t="shared" si="1"/>
        <v>нет з/ч</v>
      </c>
      <c r="AK224" s="61" t="str">
        <f t="shared" si="2"/>
        <v>нет з/ч</v>
      </c>
      <c r="AL224" s="61" t="str">
        <f t="shared" si="3"/>
        <v>нет з/ч</v>
      </c>
      <c r="AM224" s="304" t="str">
        <f t="shared" si="5"/>
        <v>нет з/ч</v>
      </c>
      <c r="AN224" s="2"/>
      <c r="AO224" s="289"/>
      <c r="AP224" s="296"/>
      <c r="AQ224" s="296"/>
      <c r="AR224" s="139"/>
      <c r="AS224" s="2"/>
      <c r="AT224" s="2"/>
      <c r="AU224" s="2"/>
      <c r="AV224" s="2"/>
      <c r="AW224" s="2"/>
      <c r="AX224" s="3" t="s">
        <v>9311</v>
      </c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>
      <c r="A225" s="315" t="s">
        <v>9312</v>
      </c>
      <c r="B225" s="93"/>
      <c r="C225" s="65"/>
      <c r="D225" s="31" t="s">
        <v>236</v>
      </c>
      <c r="E225" s="11" t="s">
        <v>8908</v>
      </c>
      <c r="F225" s="427" t="s">
        <v>8909</v>
      </c>
      <c r="G225" s="31" t="s">
        <v>8910</v>
      </c>
      <c r="H225" s="31"/>
      <c r="I225" s="31"/>
      <c r="J225" s="31"/>
      <c r="K225" s="428"/>
      <c r="L225" s="321"/>
      <c r="M225" s="322"/>
      <c r="N225" s="323"/>
      <c r="O225" s="429"/>
      <c r="P225" s="322"/>
      <c r="Q225" s="323"/>
      <c r="R225" s="429"/>
      <c r="S225" s="322"/>
      <c r="T225" s="323"/>
      <c r="U225" s="324"/>
      <c r="V225" s="322"/>
      <c r="W225" s="323"/>
      <c r="X225" s="324" t="s">
        <v>22</v>
      </c>
      <c r="Y225" s="173" t="s">
        <v>8912</v>
      </c>
      <c r="Z225" s="322" t="s">
        <v>22</v>
      </c>
      <c r="AA225" s="104"/>
      <c r="AB225" s="319">
        <f>AA216</f>
        <v>0</v>
      </c>
      <c r="AC225" s="430"/>
      <c r="AD225" s="326" t="s">
        <v>22</v>
      </c>
      <c r="AE225" s="331"/>
      <c r="AF225" s="431"/>
      <c r="AG225" s="432"/>
      <c r="AH225" s="326"/>
      <c r="AI225" s="2"/>
      <c r="AJ225" s="59" t="str">
        <f t="shared" si="1"/>
        <v>нет з/ч</v>
      </c>
      <c r="AK225" s="61" t="str">
        <f t="shared" si="2"/>
        <v>нет з/ч</v>
      </c>
      <c r="AL225" s="61" t="str">
        <f t="shared" si="3"/>
        <v>нет з/ч</v>
      </c>
      <c r="AM225" s="304" t="str">
        <f t="shared" si="5"/>
        <v>нет з/ч</v>
      </c>
      <c r="AN225" s="2"/>
      <c r="AO225" s="289"/>
      <c r="AP225" s="296"/>
      <c r="AQ225" s="296"/>
      <c r="AR225" s="139"/>
      <c r="AS225" s="2"/>
      <c r="AT225" s="2"/>
      <c r="AU225" s="2"/>
      <c r="AV225" s="2"/>
      <c r="AW225" s="2"/>
      <c r="AX225" s="3" t="s">
        <v>9312</v>
      </c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>
      <c r="A226" s="315" t="s">
        <v>9313</v>
      </c>
      <c r="B226" s="93"/>
      <c r="C226" s="65"/>
      <c r="D226" s="31" t="s">
        <v>236</v>
      </c>
      <c r="E226" s="11" t="s">
        <v>8908</v>
      </c>
      <c r="F226" s="427" t="s">
        <v>8909</v>
      </c>
      <c r="G226" s="31" t="s">
        <v>8910</v>
      </c>
      <c r="H226" s="31"/>
      <c r="I226" s="31"/>
      <c r="J226" s="31"/>
      <c r="K226" s="428"/>
      <c r="L226" s="321"/>
      <c r="M226" s="322"/>
      <c r="N226" s="323"/>
      <c r="O226" s="429"/>
      <c r="P226" s="322"/>
      <c r="Q226" s="323"/>
      <c r="R226" s="429"/>
      <c r="S226" s="322"/>
      <c r="T226" s="323"/>
      <c r="U226" s="324"/>
      <c r="V226" s="322"/>
      <c r="W226" s="323"/>
      <c r="X226" s="324" t="s">
        <v>22</v>
      </c>
      <c r="Y226" s="173" t="s">
        <v>8912</v>
      </c>
      <c r="Z226" s="322" t="s">
        <v>22</v>
      </c>
      <c r="AA226" s="104"/>
      <c r="AB226" s="319">
        <f>AA216</f>
        <v>0</v>
      </c>
      <c r="AC226" s="430"/>
      <c r="AD226" s="326" t="s">
        <v>22</v>
      </c>
      <c r="AE226" s="331"/>
      <c r="AF226" s="431"/>
      <c r="AG226" s="432"/>
      <c r="AH226" s="326"/>
      <c r="AI226" s="2"/>
      <c r="AJ226" s="59" t="str">
        <f t="shared" si="1"/>
        <v>нет з/ч</v>
      </c>
      <c r="AK226" s="61" t="str">
        <f t="shared" si="2"/>
        <v>нет з/ч</v>
      </c>
      <c r="AL226" s="61" t="str">
        <f t="shared" si="3"/>
        <v>нет з/ч</v>
      </c>
      <c r="AM226" s="304" t="str">
        <f t="shared" si="5"/>
        <v>нет з/ч</v>
      </c>
      <c r="AN226" s="2"/>
      <c r="AO226" s="289"/>
      <c r="AP226" s="296"/>
      <c r="AQ226" s="296"/>
      <c r="AR226" s="139"/>
      <c r="AS226" s="2"/>
      <c r="AT226" s="2"/>
      <c r="AU226" s="2"/>
      <c r="AV226" s="2"/>
      <c r="AW226" s="2"/>
      <c r="AX226" s="3" t="s">
        <v>9313</v>
      </c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</row>
    <row r="227">
      <c r="A227" s="315" t="s">
        <v>9314</v>
      </c>
      <c r="B227" s="93"/>
      <c r="C227" s="65"/>
      <c r="D227" s="31" t="s">
        <v>236</v>
      </c>
      <c r="E227" s="11" t="s">
        <v>8908</v>
      </c>
      <c r="F227" s="427" t="s">
        <v>8909</v>
      </c>
      <c r="G227" s="31" t="s">
        <v>8910</v>
      </c>
      <c r="H227" s="31"/>
      <c r="I227" s="31"/>
      <c r="J227" s="31"/>
      <c r="K227" s="428"/>
      <c r="L227" s="321"/>
      <c r="M227" s="322"/>
      <c r="N227" s="323"/>
      <c r="O227" s="429"/>
      <c r="P227" s="322"/>
      <c r="Q227" s="323"/>
      <c r="R227" s="429"/>
      <c r="S227" s="322"/>
      <c r="T227" s="323"/>
      <c r="U227" s="324"/>
      <c r="V227" s="322"/>
      <c r="W227" s="323"/>
      <c r="X227" s="324" t="s">
        <v>22</v>
      </c>
      <c r="Y227" s="173" t="s">
        <v>8912</v>
      </c>
      <c r="Z227" s="322" t="s">
        <v>22</v>
      </c>
      <c r="AA227" s="67"/>
      <c r="AB227" s="319">
        <f>AA216</f>
        <v>0</v>
      </c>
      <c r="AC227" s="430"/>
      <c r="AD227" s="326" t="s">
        <v>22</v>
      </c>
      <c r="AE227" s="331"/>
      <c r="AF227" s="431"/>
      <c r="AG227" s="432"/>
      <c r="AH227" s="326"/>
      <c r="AI227" s="2"/>
      <c r="AJ227" s="59" t="str">
        <f t="shared" si="1"/>
        <v>нет з/ч</v>
      </c>
      <c r="AK227" s="61" t="str">
        <f t="shared" si="2"/>
        <v>нет з/ч</v>
      </c>
      <c r="AL227" s="61" t="str">
        <f t="shared" si="3"/>
        <v>нет з/ч</v>
      </c>
      <c r="AM227" s="304" t="str">
        <f t="shared" si="5"/>
        <v>нет з/ч</v>
      </c>
      <c r="AN227" s="2"/>
      <c r="AO227" s="289"/>
      <c r="AP227" s="296"/>
      <c r="AQ227" s="296"/>
      <c r="AR227" s="139"/>
      <c r="AS227" s="2"/>
      <c r="AT227" s="2"/>
      <c r="AU227" s="2"/>
      <c r="AV227" s="2"/>
      <c r="AW227" s="2"/>
      <c r="AX227" s="3" t="s">
        <v>9314</v>
      </c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</row>
    <row r="228">
      <c r="A228" s="315" t="s">
        <v>9315</v>
      </c>
      <c r="B228" s="93"/>
      <c r="C228" s="65"/>
      <c r="D228" s="31" t="s">
        <v>236</v>
      </c>
      <c r="E228" s="11" t="s">
        <v>8908</v>
      </c>
      <c r="F228" s="427" t="s">
        <v>8915</v>
      </c>
      <c r="G228" s="31" t="s">
        <v>8916</v>
      </c>
      <c r="H228" s="31"/>
      <c r="I228" s="31"/>
      <c r="J228" s="31"/>
      <c r="K228" s="428"/>
      <c r="L228" s="327" t="s">
        <v>9316</v>
      </c>
      <c r="M228" s="322"/>
      <c r="N228" s="328">
        <v>1500.0</v>
      </c>
      <c r="O228" s="429"/>
      <c r="P228" s="322"/>
      <c r="Q228" s="323"/>
      <c r="R228" s="429"/>
      <c r="S228" s="322"/>
      <c r="T228" s="323"/>
      <c r="U228" s="324"/>
      <c r="V228" s="322"/>
      <c r="W228" s="323"/>
      <c r="X228" s="324">
        <v>1500.0</v>
      </c>
      <c r="Y228" s="173" t="s">
        <v>8912</v>
      </c>
      <c r="Z228" s="322">
        <v>1700.0</v>
      </c>
      <c r="AA228" s="313">
        <f>MAX(Z228:Z233)</f>
        <v>1700</v>
      </c>
      <c r="AB228" s="319">
        <f>AA228</f>
        <v>1700</v>
      </c>
      <c r="AC228" s="430"/>
      <c r="AD228" s="326" t="s">
        <v>5839</v>
      </c>
      <c r="AE228" s="329" t="s">
        <v>9317</v>
      </c>
      <c r="AF228" s="431"/>
      <c r="AG228" s="432"/>
      <c r="AH228" s="330">
        <v>46080.71834636574</v>
      </c>
      <c r="AI228" s="2"/>
      <c r="AJ228" s="289">
        <f t="shared" si="1"/>
        <v>200</v>
      </c>
      <c r="AK228" s="61" t="str">
        <f t="shared" si="2"/>
        <v>нет з/ч</v>
      </c>
      <c r="AL228" s="61" t="str">
        <f t="shared" si="3"/>
        <v>нет з/ч</v>
      </c>
      <c r="AM228" s="304" t="str">
        <f t="shared" si="5"/>
        <v>нет з/ч</v>
      </c>
      <c r="AN228" s="2"/>
      <c r="AO228" s="289">
        <v>1500.0</v>
      </c>
      <c r="AP228" s="296"/>
      <c r="AQ228" s="296"/>
      <c r="AR228" s="139"/>
      <c r="AS228" s="2"/>
      <c r="AT228" s="2"/>
      <c r="AU228" s="2"/>
      <c r="AV228" s="2"/>
      <c r="AW228" s="2"/>
      <c r="AX228" s="3" t="s">
        <v>9315</v>
      </c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</row>
    <row r="229">
      <c r="A229" s="315" t="s">
        <v>9318</v>
      </c>
      <c r="B229" s="93"/>
      <c r="C229" s="65"/>
      <c r="D229" s="31" t="s">
        <v>236</v>
      </c>
      <c r="E229" s="11" t="s">
        <v>8908</v>
      </c>
      <c r="F229" s="427" t="s">
        <v>8915</v>
      </c>
      <c r="G229" s="31" t="s">
        <v>8916</v>
      </c>
      <c r="H229" s="31"/>
      <c r="I229" s="31"/>
      <c r="J229" s="31"/>
      <c r="K229" s="428"/>
      <c r="L229" s="327" t="s">
        <v>9319</v>
      </c>
      <c r="M229" s="322"/>
      <c r="N229" s="328">
        <v>1500.0</v>
      </c>
      <c r="O229" s="429"/>
      <c r="P229" s="322"/>
      <c r="Q229" s="323"/>
      <c r="R229" s="429"/>
      <c r="S229" s="322"/>
      <c r="T229" s="323"/>
      <c r="U229" s="324"/>
      <c r="V229" s="322"/>
      <c r="W229" s="323"/>
      <c r="X229" s="324">
        <v>1500.0</v>
      </c>
      <c r="Y229" s="173" t="s">
        <v>8912</v>
      </c>
      <c r="Z229" s="322">
        <v>1700.0</v>
      </c>
      <c r="AA229" s="104"/>
      <c r="AB229" s="319">
        <f>AA228</f>
        <v>1700</v>
      </c>
      <c r="AC229" s="430"/>
      <c r="AD229" s="326" t="s">
        <v>5839</v>
      </c>
      <c r="AE229" s="329" t="s">
        <v>9320</v>
      </c>
      <c r="AF229" s="431"/>
      <c r="AG229" s="432"/>
      <c r="AH229" s="330">
        <v>46080.71838244213</v>
      </c>
      <c r="AI229" s="2"/>
      <c r="AJ229" s="289">
        <f t="shared" si="1"/>
        <v>200</v>
      </c>
      <c r="AK229" s="61" t="str">
        <f t="shared" si="2"/>
        <v>нет з/ч</v>
      </c>
      <c r="AL229" s="61" t="str">
        <f t="shared" si="3"/>
        <v>нет з/ч</v>
      </c>
      <c r="AM229" s="304" t="str">
        <f t="shared" si="5"/>
        <v>нет з/ч</v>
      </c>
      <c r="AN229" s="2"/>
      <c r="AO229" s="289">
        <v>1500.0</v>
      </c>
      <c r="AP229" s="296"/>
      <c r="AQ229" s="296"/>
      <c r="AR229" s="139"/>
      <c r="AS229" s="2"/>
      <c r="AT229" s="2"/>
      <c r="AU229" s="2"/>
      <c r="AV229" s="2"/>
      <c r="AW229" s="2"/>
      <c r="AX229" s="3" t="s">
        <v>9318</v>
      </c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</row>
    <row r="230">
      <c r="A230" s="315" t="s">
        <v>9321</v>
      </c>
      <c r="B230" s="93"/>
      <c r="C230" s="65"/>
      <c r="D230" s="31" t="s">
        <v>236</v>
      </c>
      <c r="E230" s="11" t="s">
        <v>8908</v>
      </c>
      <c r="F230" s="427" t="s">
        <v>8915</v>
      </c>
      <c r="G230" s="31" t="s">
        <v>8916</v>
      </c>
      <c r="H230" s="31"/>
      <c r="I230" s="31"/>
      <c r="J230" s="31"/>
      <c r="K230" s="428"/>
      <c r="L230" s="327" t="s">
        <v>9322</v>
      </c>
      <c r="M230" s="322"/>
      <c r="N230" s="328">
        <v>1500.0</v>
      </c>
      <c r="O230" s="429"/>
      <c r="P230" s="322"/>
      <c r="Q230" s="323"/>
      <c r="R230" s="429"/>
      <c r="S230" s="322"/>
      <c r="T230" s="323"/>
      <c r="U230" s="324"/>
      <c r="V230" s="322"/>
      <c r="W230" s="323"/>
      <c r="X230" s="324">
        <v>1500.0</v>
      </c>
      <c r="Y230" s="173" t="s">
        <v>8912</v>
      </c>
      <c r="Z230" s="322">
        <v>1700.0</v>
      </c>
      <c r="AA230" s="104"/>
      <c r="AB230" s="319">
        <f>AA228</f>
        <v>1700</v>
      </c>
      <c r="AC230" s="430"/>
      <c r="AD230" s="326" t="s">
        <v>5839</v>
      </c>
      <c r="AE230" s="329" t="s">
        <v>9323</v>
      </c>
      <c r="AF230" s="431"/>
      <c r="AG230" s="432"/>
      <c r="AH230" s="330">
        <v>46080.718416828706</v>
      </c>
      <c r="AI230" s="2"/>
      <c r="AJ230" s="289">
        <f t="shared" si="1"/>
        <v>200</v>
      </c>
      <c r="AK230" s="61" t="str">
        <f t="shared" si="2"/>
        <v>нет з/ч</v>
      </c>
      <c r="AL230" s="61" t="str">
        <f t="shared" si="3"/>
        <v>нет з/ч</v>
      </c>
      <c r="AM230" s="304" t="str">
        <f t="shared" si="5"/>
        <v>нет з/ч</v>
      </c>
      <c r="AN230" s="2"/>
      <c r="AO230" s="289">
        <v>1500.0</v>
      </c>
      <c r="AP230" s="296"/>
      <c r="AQ230" s="296"/>
      <c r="AR230" s="139"/>
      <c r="AS230" s="2"/>
      <c r="AT230" s="2"/>
      <c r="AU230" s="2"/>
      <c r="AV230" s="2"/>
      <c r="AW230" s="2"/>
      <c r="AX230" s="3" t="s">
        <v>9321</v>
      </c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</row>
    <row r="231">
      <c r="A231" s="315" t="s">
        <v>9324</v>
      </c>
      <c r="B231" s="93"/>
      <c r="C231" s="65"/>
      <c r="D231" s="31" t="s">
        <v>236</v>
      </c>
      <c r="E231" s="11" t="s">
        <v>8908</v>
      </c>
      <c r="F231" s="427" t="s">
        <v>8915</v>
      </c>
      <c r="G231" s="31" t="s">
        <v>8916</v>
      </c>
      <c r="H231" s="31"/>
      <c r="I231" s="31"/>
      <c r="J231" s="31"/>
      <c r="K231" s="428"/>
      <c r="L231" s="327" t="s">
        <v>9325</v>
      </c>
      <c r="M231" s="322"/>
      <c r="N231" s="328">
        <v>1500.0</v>
      </c>
      <c r="O231" s="429"/>
      <c r="P231" s="322"/>
      <c r="Q231" s="323"/>
      <c r="R231" s="429"/>
      <c r="S231" s="322"/>
      <c r="T231" s="323"/>
      <c r="U231" s="324"/>
      <c r="V231" s="322"/>
      <c r="W231" s="323"/>
      <c r="X231" s="324">
        <v>1500.0</v>
      </c>
      <c r="Y231" s="173" t="s">
        <v>8912</v>
      </c>
      <c r="Z231" s="322">
        <v>1700.0</v>
      </c>
      <c r="AA231" s="104"/>
      <c r="AB231" s="319">
        <f>AA228</f>
        <v>1700</v>
      </c>
      <c r="AC231" s="430"/>
      <c r="AD231" s="326" t="s">
        <v>5839</v>
      </c>
      <c r="AE231" s="329" t="s">
        <v>9326</v>
      </c>
      <c r="AF231" s="431"/>
      <c r="AG231" s="432"/>
      <c r="AH231" s="330">
        <v>46080.71844302083</v>
      </c>
      <c r="AI231" s="2"/>
      <c r="AJ231" s="289">
        <f t="shared" si="1"/>
        <v>200</v>
      </c>
      <c r="AK231" s="61" t="str">
        <f t="shared" si="2"/>
        <v>нет з/ч</v>
      </c>
      <c r="AL231" s="61" t="str">
        <f t="shared" si="3"/>
        <v>нет з/ч</v>
      </c>
      <c r="AM231" s="304" t="str">
        <f t="shared" si="5"/>
        <v>нет з/ч</v>
      </c>
      <c r="AN231" s="2"/>
      <c r="AO231" s="289">
        <v>1500.0</v>
      </c>
      <c r="AP231" s="296"/>
      <c r="AQ231" s="296"/>
      <c r="AR231" s="139"/>
      <c r="AS231" s="2"/>
      <c r="AT231" s="2"/>
      <c r="AU231" s="2"/>
      <c r="AV231" s="2"/>
      <c r="AW231" s="2"/>
      <c r="AX231" s="3" t="s">
        <v>9324</v>
      </c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</row>
    <row r="232">
      <c r="A232" s="315" t="s">
        <v>9327</v>
      </c>
      <c r="B232" s="93"/>
      <c r="C232" s="65"/>
      <c r="D232" s="31" t="s">
        <v>236</v>
      </c>
      <c r="E232" s="11" t="s">
        <v>8908</v>
      </c>
      <c r="F232" s="427" t="s">
        <v>8915</v>
      </c>
      <c r="G232" s="31" t="s">
        <v>8916</v>
      </c>
      <c r="H232" s="31"/>
      <c r="I232" s="31"/>
      <c r="J232" s="31"/>
      <c r="K232" s="428"/>
      <c r="L232" s="327" t="s">
        <v>9328</v>
      </c>
      <c r="M232" s="322"/>
      <c r="N232" s="328">
        <v>1500.0</v>
      </c>
      <c r="O232" s="429"/>
      <c r="P232" s="322"/>
      <c r="Q232" s="323"/>
      <c r="R232" s="429"/>
      <c r="S232" s="322"/>
      <c r="T232" s="323"/>
      <c r="U232" s="324"/>
      <c r="V232" s="322"/>
      <c r="W232" s="323"/>
      <c r="X232" s="324">
        <v>1500.0</v>
      </c>
      <c r="Y232" s="173" t="s">
        <v>8912</v>
      </c>
      <c r="Z232" s="322">
        <v>1700.0</v>
      </c>
      <c r="AA232" s="104"/>
      <c r="AB232" s="319">
        <f>AA228</f>
        <v>1700</v>
      </c>
      <c r="AC232" s="430"/>
      <c r="AD232" s="326" t="s">
        <v>5839</v>
      </c>
      <c r="AE232" s="329" t="s">
        <v>9329</v>
      </c>
      <c r="AF232" s="431"/>
      <c r="AG232" s="432"/>
      <c r="AH232" s="330">
        <v>46080.71847125</v>
      </c>
      <c r="AI232" s="2"/>
      <c r="AJ232" s="289">
        <f t="shared" si="1"/>
        <v>200</v>
      </c>
      <c r="AK232" s="61" t="str">
        <f t="shared" si="2"/>
        <v>нет з/ч</v>
      </c>
      <c r="AL232" s="61" t="str">
        <f t="shared" si="3"/>
        <v>нет з/ч</v>
      </c>
      <c r="AM232" s="304" t="str">
        <f t="shared" si="5"/>
        <v>нет з/ч</v>
      </c>
      <c r="AN232" s="2"/>
      <c r="AO232" s="289">
        <v>1500.0</v>
      </c>
      <c r="AP232" s="296"/>
      <c r="AQ232" s="296"/>
      <c r="AR232" s="139"/>
      <c r="AS232" s="2"/>
      <c r="AT232" s="2"/>
      <c r="AU232" s="2"/>
      <c r="AV232" s="2"/>
      <c r="AW232" s="2"/>
      <c r="AX232" s="3" t="s">
        <v>9327</v>
      </c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>
      <c r="A233" s="315" t="s">
        <v>9330</v>
      </c>
      <c r="B233" s="93"/>
      <c r="C233" s="65"/>
      <c r="D233" s="31" t="s">
        <v>236</v>
      </c>
      <c r="E233" s="11" t="s">
        <v>8908</v>
      </c>
      <c r="F233" s="427" t="s">
        <v>8915</v>
      </c>
      <c r="G233" s="31" t="s">
        <v>8916</v>
      </c>
      <c r="H233" s="31"/>
      <c r="I233" s="31"/>
      <c r="J233" s="31"/>
      <c r="K233" s="428"/>
      <c r="L233" s="327" t="s">
        <v>9331</v>
      </c>
      <c r="M233" s="322"/>
      <c r="N233" s="328">
        <v>1500.0</v>
      </c>
      <c r="O233" s="429"/>
      <c r="P233" s="322"/>
      <c r="Q233" s="323"/>
      <c r="R233" s="429"/>
      <c r="S233" s="322"/>
      <c r="T233" s="323"/>
      <c r="U233" s="324"/>
      <c r="V233" s="322"/>
      <c r="W233" s="323"/>
      <c r="X233" s="324">
        <v>1500.0</v>
      </c>
      <c r="Y233" s="173" t="s">
        <v>8912</v>
      </c>
      <c r="Z233" s="322">
        <v>1700.0</v>
      </c>
      <c r="AA233" s="67"/>
      <c r="AB233" s="319">
        <f>AA228</f>
        <v>1700</v>
      </c>
      <c r="AC233" s="430"/>
      <c r="AD233" s="326" t="s">
        <v>5839</v>
      </c>
      <c r="AE233" s="329" t="s">
        <v>9332</v>
      </c>
      <c r="AF233" s="431"/>
      <c r="AG233" s="432"/>
      <c r="AH233" s="330">
        <v>46080.71849584491</v>
      </c>
      <c r="AI233" s="2"/>
      <c r="AJ233" s="289">
        <f t="shared" si="1"/>
        <v>200</v>
      </c>
      <c r="AK233" s="61" t="str">
        <f t="shared" si="2"/>
        <v>нет з/ч</v>
      </c>
      <c r="AL233" s="61" t="str">
        <f t="shared" si="3"/>
        <v>нет з/ч</v>
      </c>
      <c r="AM233" s="304" t="str">
        <f t="shared" si="5"/>
        <v>нет з/ч</v>
      </c>
      <c r="AN233" s="2"/>
      <c r="AO233" s="289">
        <v>1500.0</v>
      </c>
      <c r="AP233" s="296"/>
      <c r="AQ233" s="296"/>
      <c r="AR233" s="139"/>
      <c r="AS233" s="2"/>
      <c r="AT233" s="2"/>
      <c r="AU233" s="2"/>
      <c r="AV233" s="2"/>
      <c r="AW233" s="2"/>
      <c r="AX233" s="3" t="s">
        <v>9330</v>
      </c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</row>
    <row r="234">
      <c r="A234" s="315" t="s">
        <v>9333</v>
      </c>
      <c r="B234" s="93"/>
      <c r="C234" s="65"/>
      <c r="D234" s="31" t="s">
        <v>238</v>
      </c>
      <c r="E234" s="11" t="s">
        <v>8908</v>
      </c>
      <c r="F234" s="427" t="s">
        <v>8909</v>
      </c>
      <c r="G234" s="31" t="s">
        <v>8910</v>
      </c>
      <c r="H234" s="31"/>
      <c r="I234" s="31"/>
      <c r="J234" s="31"/>
      <c r="K234" s="428"/>
      <c r="L234" s="321"/>
      <c r="M234" s="322"/>
      <c r="N234" s="323"/>
      <c r="O234" s="429"/>
      <c r="P234" s="322"/>
      <c r="Q234" s="323"/>
      <c r="R234" s="429"/>
      <c r="S234" s="322"/>
      <c r="T234" s="323"/>
      <c r="U234" s="324"/>
      <c r="V234" s="322"/>
      <c r="W234" s="323"/>
      <c r="X234" s="324" t="s">
        <v>22</v>
      </c>
      <c r="Y234" s="173" t="s">
        <v>8912</v>
      </c>
      <c r="Z234" s="322" t="s">
        <v>22</v>
      </c>
      <c r="AA234" s="313">
        <f>MAX(Z234:Z245)</f>
        <v>0</v>
      </c>
      <c r="AB234" s="319">
        <f>AA234</f>
        <v>0</v>
      </c>
      <c r="AC234" s="430"/>
      <c r="AD234" s="326" t="s">
        <v>22</v>
      </c>
      <c r="AE234" s="331"/>
      <c r="AF234" s="431"/>
      <c r="AG234" s="432"/>
      <c r="AH234" s="326"/>
      <c r="AI234" s="2"/>
      <c r="AJ234" s="59" t="str">
        <f t="shared" si="1"/>
        <v>нет з/ч</v>
      </c>
      <c r="AK234" s="61" t="str">
        <f t="shared" si="2"/>
        <v>нет з/ч</v>
      </c>
      <c r="AL234" s="61" t="str">
        <f t="shared" si="3"/>
        <v>нет з/ч</v>
      </c>
      <c r="AM234" s="304" t="str">
        <f t="shared" si="5"/>
        <v>нет з/ч</v>
      </c>
      <c r="AN234" s="2"/>
      <c r="AO234" s="289"/>
      <c r="AP234" s="296"/>
      <c r="AQ234" s="296"/>
      <c r="AR234" s="139"/>
      <c r="AS234" s="2"/>
      <c r="AT234" s="2"/>
      <c r="AU234" s="2"/>
      <c r="AV234" s="2"/>
      <c r="AW234" s="2"/>
      <c r="AX234" s="3" t="s">
        <v>9333</v>
      </c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</row>
    <row r="235">
      <c r="A235" s="315" t="s">
        <v>9334</v>
      </c>
      <c r="B235" s="93"/>
      <c r="C235" s="65"/>
      <c r="D235" s="31" t="s">
        <v>238</v>
      </c>
      <c r="E235" s="11" t="s">
        <v>8908</v>
      </c>
      <c r="F235" s="427" t="s">
        <v>8909</v>
      </c>
      <c r="G235" s="31" t="s">
        <v>8910</v>
      </c>
      <c r="H235" s="31"/>
      <c r="I235" s="31"/>
      <c r="J235" s="31"/>
      <c r="K235" s="428"/>
      <c r="L235" s="321"/>
      <c r="M235" s="322"/>
      <c r="N235" s="323"/>
      <c r="O235" s="429"/>
      <c r="P235" s="322"/>
      <c r="Q235" s="323"/>
      <c r="R235" s="429"/>
      <c r="S235" s="322"/>
      <c r="T235" s="323"/>
      <c r="U235" s="324"/>
      <c r="V235" s="322"/>
      <c r="W235" s="323"/>
      <c r="X235" s="324" t="s">
        <v>22</v>
      </c>
      <c r="Y235" s="173" t="s">
        <v>8912</v>
      </c>
      <c r="Z235" s="322" t="s">
        <v>22</v>
      </c>
      <c r="AA235" s="104"/>
      <c r="AB235" s="319">
        <f>AA234</f>
        <v>0</v>
      </c>
      <c r="AC235" s="430"/>
      <c r="AD235" s="326" t="s">
        <v>22</v>
      </c>
      <c r="AE235" s="331"/>
      <c r="AF235" s="431"/>
      <c r="AG235" s="432"/>
      <c r="AH235" s="326"/>
      <c r="AI235" s="2"/>
      <c r="AJ235" s="59" t="str">
        <f t="shared" si="1"/>
        <v>нет з/ч</v>
      </c>
      <c r="AK235" s="61" t="str">
        <f t="shared" si="2"/>
        <v>нет з/ч</v>
      </c>
      <c r="AL235" s="61" t="str">
        <f t="shared" si="3"/>
        <v>нет з/ч</v>
      </c>
      <c r="AM235" s="304" t="str">
        <f t="shared" si="5"/>
        <v>нет з/ч</v>
      </c>
      <c r="AN235" s="2"/>
      <c r="AO235" s="289"/>
      <c r="AP235" s="296"/>
      <c r="AQ235" s="296"/>
      <c r="AR235" s="139"/>
      <c r="AS235" s="2"/>
      <c r="AT235" s="2"/>
      <c r="AU235" s="2"/>
      <c r="AV235" s="2"/>
      <c r="AW235" s="2"/>
      <c r="AX235" s="3" t="s">
        <v>9334</v>
      </c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>
      <c r="A236" s="315" t="s">
        <v>9335</v>
      </c>
      <c r="B236" s="93"/>
      <c r="C236" s="65"/>
      <c r="D236" s="31" t="s">
        <v>238</v>
      </c>
      <c r="E236" s="11" t="s">
        <v>8908</v>
      </c>
      <c r="F236" s="427" t="s">
        <v>8909</v>
      </c>
      <c r="G236" s="31" t="s">
        <v>8910</v>
      </c>
      <c r="H236" s="31"/>
      <c r="I236" s="31"/>
      <c r="J236" s="31"/>
      <c r="K236" s="428"/>
      <c r="L236" s="321"/>
      <c r="M236" s="322"/>
      <c r="N236" s="323"/>
      <c r="O236" s="429"/>
      <c r="P236" s="322"/>
      <c r="Q236" s="323"/>
      <c r="R236" s="429"/>
      <c r="S236" s="322"/>
      <c r="T236" s="323"/>
      <c r="U236" s="324"/>
      <c r="V236" s="322"/>
      <c r="W236" s="323"/>
      <c r="X236" s="324" t="s">
        <v>22</v>
      </c>
      <c r="Y236" s="173" t="s">
        <v>8912</v>
      </c>
      <c r="Z236" s="322" t="s">
        <v>22</v>
      </c>
      <c r="AA236" s="104"/>
      <c r="AB236" s="319">
        <f>AA234</f>
        <v>0</v>
      </c>
      <c r="AC236" s="430"/>
      <c r="AD236" s="326" t="s">
        <v>22</v>
      </c>
      <c r="AE236" s="331"/>
      <c r="AF236" s="431"/>
      <c r="AG236" s="432"/>
      <c r="AH236" s="326"/>
      <c r="AI236" s="2"/>
      <c r="AJ236" s="59" t="str">
        <f t="shared" si="1"/>
        <v>нет з/ч</v>
      </c>
      <c r="AK236" s="61" t="str">
        <f t="shared" si="2"/>
        <v>нет з/ч</v>
      </c>
      <c r="AL236" s="61" t="str">
        <f t="shared" si="3"/>
        <v>нет з/ч</v>
      </c>
      <c r="AM236" s="304" t="str">
        <f t="shared" si="5"/>
        <v>нет з/ч</v>
      </c>
      <c r="AN236" s="2"/>
      <c r="AO236" s="289"/>
      <c r="AP236" s="296"/>
      <c r="AQ236" s="296"/>
      <c r="AR236" s="139"/>
      <c r="AS236" s="2"/>
      <c r="AT236" s="2"/>
      <c r="AU236" s="2"/>
      <c r="AV236" s="2"/>
      <c r="AW236" s="2"/>
      <c r="AX236" s="3" t="s">
        <v>9335</v>
      </c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>
      <c r="A237" s="315" t="s">
        <v>9336</v>
      </c>
      <c r="B237" s="93"/>
      <c r="C237" s="65"/>
      <c r="D237" s="31" t="s">
        <v>238</v>
      </c>
      <c r="E237" s="11" t="s">
        <v>8908</v>
      </c>
      <c r="F237" s="427" t="s">
        <v>8909</v>
      </c>
      <c r="G237" s="31" t="s">
        <v>8910</v>
      </c>
      <c r="H237" s="31"/>
      <c r="I237" s="31"/>
      <c r="J237" s="31"/>
      <c r="K237" s="428"/>
      <c r="L237" s="321"/>
      <c r="M237" s="322"/>
      <c r="N237" s="323"/>
      <c r="O237" s="429"/>
      <c r="P237" s="322"/>
      <c r="Q237" s="323"/>
      <c r="R237" s="429"/>
      <c r="S237" s="322"/>
      <c r="T237" s="323"/>
      <c r="U237" s="324"/>
      <c r="V237" s="322"/>
      <c r="W237" s="323"/>
      <c r="X237" s="324" t="s">
        <v>22</v>
      </c>
      <c r="Y237" s="173" t="s">
        <v>8912</v>
      </c>
      <c r="Z237" s="322" t="s">
        <v>22</v>
      </c>
      <c r="AA237" s="104"/>
      <c r="AB237" s="319">
        <f>AA234</f>
        <v>0</v>
      </c>
      <c r="AC237" s="430"/>
      <c r="AD237" s="326" t="s">
        <v>22</v>
      </c>
      <c r="AE237" s="331"/>
      <c r="AF237" s="431"/>
      <c r="AG237" s="432"/>
      <c r="AH237" s="326"/>
      <c r="AI237" s="2"/>
      <c r="AJ237" s="59" t="str">
        <f t="shared" si="1"/>
        <v>нет з/ч</v>
      </c>
      <c r="AK237" s="61" t="str">
        <f t="shared" si="2"/>
        <v>нет з/ч</v>
      </c>
      <c r="AL237" s="61" t="str">
        <f t="shared" si="3"/>
        <v>нет з/ч</v>
      </c>
      <c r="AM237" s="304" t="str">
        <f t="shared" si="5"/>
        <v>нет з/ч</v>
      </c>
      <c r="AN237" s="2"/>
      <c r="AO237" s="289"/>
      <c r="AP237" s="296"/>
      <c r="AQ237" s="296"/>
      <c r="AR237" s="139"/>
      <c r="AS237" s="2"/>
      <c r="AT237" s="2"/>
      <c r="AU237" s="2"/>
      <c r="AV237" s="2"/>
      <c r="AW237" s="2"/>
      <c r="AX237" s="3" t="s">
        <v>9336</v>
      </c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>
      <c r="A238" s="315" t="s">
        <v>9337</v>
      </c>
      <c r="B238" s="93"/>
      <c r="C238" s="65"/>
      <c r="D238" s="31" t="s">
        <v>238</v>
      </c>
      <c r="E238" s="11" t="s">
        <v>8908</v>
      </c>
      <c r="F238" s="427" t="s">
        <v>8909</v>
      </c>
      <c r="G238" s="31" t="s">
        <v>8910</v>
      </c>
      <c r="H238" s="31"/>
      <c r="I238" s="31"/>
      <c r="J238" s="31"/>
      <c r="K238" s="428"/>
      <c r="L238" s="321"/>
      <c r="M238" s="322"/>
      <c r="N238" s="323"/>
      <c r="O238" s="429"/>
      <c r="P238" s="322"/>
      <c r="Q238" s="323"/>
      <c r="R238" s="429"/>
      <c r="S238" s="322"/>
      <c r="T238" s="323"/>
      <c r="U238" s="324"/>
      <c r="V238" s="322"/>
      <c r="W238" s="323"/>
      <c r="X238" s="324" t="s">
        <v>22</v>
      </c>
      <c r="Y238" s="173" t="s">
        <v>8912</v>
      </c>
      <c r="Z238" s="322" t="s">
        <v>22</v>
      </c>
      <c r="AA238" s="104"/>
      <c r="AB238" s="319">
        <f>AA234</f>
        <v>0</v>
      </c>
      <c r="AC238" s="430"/>
      <c r="AD238" s="326" t="s">
        <v>22</v>
      </c>
      <c r="AE238" s="331"/>
      <c r="AF238" s="431"/>
      <c r="AG238" s="432"/>
      <c r="AH238" s="326"/>
      <c r="AI238" s="2"/>
      <c r="AJ238" s="59" t="str">
        <f t="shared" si="1"/>
        <v>нет з/ч</v>
      </c>
      <c r="AK238" s="61" t="str">
        <f t="shared" si="2"/>
        <v>нет з/ч</v>
      </c>
      <c r="AL238" s="61" t="str">
        <f t="shared" si="3"/>
        <v>нет з/ч</v>
      </c>
      <c r="AM238" s="304" t="str">
        <f t="shared" si="5"/>
        <v>нет з/ч</v>
      </c>
      <c r="AN238" s="2"/>
      <c r="AO238" s="289"/>
      <c r="AP238" s="296"/>
      <c r="AQ238" s="296"/>
      <c r="AR238" s="139"/>
      <c r="AS238" s="2"/>
      <c r="AT238" s="2"/>
      <c r="AU238" s="2"/>
      <c r="AV238" s="2"/>
      <c r="AW238" s="2"/>
      <c r="AX238" s="3" t="s">
        <v>9337</v>
      </c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>
      <c r="A239" s="315" t="s">
        <v>9338</v>
      </c>
      <c r="B239" s="93"/>
      <c r="C239" s="65"/>
      <c r="D239" s="31" t="s">
        <v>238</v>
      </c>
      <c r="E239" s="11" t="s">
        <v>8908</v>
      </c>
      <c r="F239" s="427" t="s">
        <v>8909</v>
      </c>
      <c r="G239" s="31" t="s">
        <v>8910</v>
      </c>
      <c r="H239" s="31"/>
      <c r="I239" s="31"/>
      <c r="J239" s="31"/>
      <c r="K239" s="428"/>
      <c r="L239" s="321"/>
      <c r="M239" s="322"/>
      <c r="N239" s="323"/>
      <c r="O239" s="429"/>
      <c r="P239" s="322"/>
      <c r="Q239" s="323"/>
      <c r="R239" s="429"/>
      <c r="S239" s="322"/>
      <c r="T239" s="323"/>
      <c r="U239" s="324"/>
      <c r="V239" s="322"/>
      <c r="W239" s="323"/>
      <c r="X239" s="324" t="s">
        <v>22</v>
      </c>
      <c r="Y239" s="173" t="s">
        <v>8912</v>
      </c>
      <c r="Z239" s="322" t="s">
        <v>22</v>
      </c>
      <c r="AA239" s="104"/>
      <c r="AB239" s="319">
        <f>AA234</f>
        <v>0</v>
      </c>
      <c r="AC239" s="430"/>
      <c r="AD239" s="326" t="s">
        <v>22</v>
      </c>
      <c r="AE239" s="331"/>
      <c r="AF239" s="431"/>
      <c r="AG239" s="432"/>
      <c r="AH239" s="326"/>
      <c r="AI239" s="2"/>
      <c r="AJ239" s="59" t="str">
        <f t="shared" si="1"/>
        <v>нет з/ч</v>
      </c>
      <c r="AK239" s="61" t="str">
        <f t="shared" si="2"/>
        <v>нет з/ч</v>
      </c>
      <c r="AL239" s="61" t="str">
        <f t="shared" si="3"/>
        <v>нет з/ч</v>
      </c>
      <c r="AM239" s="304" t="str">
        <f t="shared" si="5"/>
        <v>нет з/ч</v>
      </c>
      <c r="AN239" s="2"/>
      <c r="AO239" s="289"/>
      <c r="AP239" s="296"/>
      <c r="AQ239" s="296"/>
      <c r="AR239" s="139"/>
      <c r="AS239" s="2"/>
      <c r="AT239" s="2"/>
      <c r="AU239" s="2"/>
      <c r="AV239" s="2"/>
      <c r="AW239" s="2"/>
      <c r="AX239" s="3" t="s">
        <v>9338</v>
      </c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>
      <c r="A240" s="315" t="s">
        <v>9339</v>
      </c>
      <c r="B240" s="93"/>
      <c r="C240" s="65"/>
      <c r="D240" s="31" t="s">
        <v>238</v>
      </c>
      <c r="E240" s="11" t="s">
        <v>8908</v>
      </c>
      <c r="F240" s="427" t="s">
        <v>8909</v>
      </c>
      <c r="G240" s="31" t="s">
        <v>8910</v>
      </c>
      <c r="H240" s="31"/>
      <c r="I240" s="31"/>
      <c r="J240" s="31"/>
      <c r="K240" s="428"/>
      <c r="L240" s="321"/>
      <c r="M240" s="322"/>
      <c r="N240" s="323"/>
      <c r="O240" s="429"/>
      <c r="P240" s="322"/>
      <c r="Q240" s="323"/>
      <c r="R240" s="429"/>
      <c r="S240" s="322"/>
      <c r="T240" s="323"/>
      <c r="U240" s="324"/>
      <c r="V240" s="322"/>
      <c r="W240" s="323"/>
      <c r="X240" s="324" t="s">
        <v>22</v>
      </c>
      <c r="Y240" s="173" t="s">
        <v>8912</v>
      </c>
      <c r="Z240" s="322" t="s">
        <v>22</v>
      </c>
      <c r="AA240" s="104"/>
      <c r="AB240" s="319">
        <f>AA234</f>
        <v>0</v>
      </c>
      <c r="AC240" s="430"/>
      <c r="AD240" s="326" t="s">
        <v>22</v>
      </c>
      <c r="AE240" s="331"/>
      <c r="AF240" s="431"/>
      <c r="AG240" s="432"/>
      <c r="AH240" s="326"/>
      <c r="AI240" s="2"/>
      <c r="AJ240" s="59" t="str">
        <f t="shared" si="1"/>
        <v>нет з/ч</v>
      </c>
      <c r="AK240" s="61" t="str">
        <f t="shared" si="2"/>
        <v>нет з/ч</v>
      </c>
      <c r="AL240" s="61" t="str">
        <f t="shared" si="3"/>
        <v>нет з/ч</v>
      </c>
      <c r="AM240" s="304" t="str">
        <f t="shared" si="5"/>
        <v>нет з/ч</v>
      </c>
      <c r="AN240" s="2"/>
      <c r="AO240" s="289"/>
      <c r="AP240" s="296"/>
      <c r="AQ240" s="296"/>
      <c r="AR240" s="139"/>
      <c r="AS240" s="2"/>
      <c r="AT240" s="2"/>
      <c r="AU240" s="2"/>
      <c r="AV240" s="2"/>
      <c r="AW240" s="2"/>
      <c r="AX240" s="3" t="s">
        <v>9339</v>
      </c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>
      <c r="A241" s="315" t="s">
        <v>9340</v>
      </c>
      <c r="B241" s="93"/>
      <c r="C241" s="65"/>
      <c r="D241" s="31" t="s">
        <v>238</v>
      </c>
      <c r="E241" s="11" t="s">
        <v>8908</v>
      </c>
      <c r="F241" s="427" t="s">
        <v>8909</v>
      </c>
      <c r="G241" s="31" t="s">
        <v>8910</v>
      </c>
      <c r="H241" s="31"/>
      <c r="I241" s="31"/>
      <c r="J241" s="31"/>
      <c r="K241" s="428"/>
      <c r="L241" s="321"/>
      <c r="M241" s="322"/>
      <c r="N241" s="323"/>
      <c r="O241" s="429"/>
      <c r="P241" s="322"/>
      <c r="Q241" s="323"/>
      <c r="R241" s="429"/>
      <c r="S241" s="322"/>
      <c r="T241" s="323"/>
      <c r="U241" s="324"/>
      <c r="V241" s="322"/>
      <c r="W241" s="323"/>
      <c r="X241" s="324" t="s">
        <v>22</v>
      </c>
      <c r="Y241" s="173" t="s">
        <v>8912</v>
      </c>
      <c r="Z241" s="322" t="s">
        <v>22</v>
      </c>
      <c r="AA241" s="104"/>
      <c r="AB241" s="319">
        <f>AA234</f>
        <v>0</v>
      </c>
      <c r="AC241" s="430"/>
      <c r="AD241" s="326" t="s">
        <v>22</v>
      </c>
      <c r="AE241" s="331"/>
      <c r="AF241" s="431"/>
      <c r="AG241" s="432"/>
      <c r="AH241" s="326"/>
      <c r="AI241" s="2"/>
      <c r="AJ241" s="59" t="str">
        <f t="shared" si="1"/>
        <v>нет з/ч</v>
      </c>
      <c r="AK241" s="61" t="str">
        <f t="shared" si="2"/>
        <v>нет з/ч</v>
      </c>
      <c r="AL241" s="61" t="str">
        <f t="shared" si="3"/>
        <v>нет з/ч</v>
      </c>
      <c r="AM241" s="304" t="str">
        <f t="shared" si="5"/>
        <v>нет з/ч</v>
      </c>
      <c r="AN241" s="2"/>
      <c r="AO241" s="289"/>
      <c r="AP241" s="296"/>
      <c r="AQ241" s="296"/>
      <c r="AR241" s="139"/>
      <c r="AS241" s="2"/>
      <c r="AT241" s="2"/>
      <c r="AU241" s="2"/>
      <c r="AV241" s="2"/>
      <c r="AW241" s="2"/>
      <c r="AX241" s="3" t="s">
        <v>9340</v>
      </c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>
      <c r="A242" s="315" t="s">
        <v>9341</v>
      </c>
      <c r="B242" s="93"/>
      <c r="C242" s="65"/>
      <c r="D242" s="31" t="s">
        <v>238</v>
      </c>
      <c r="E242" s="11" t="s">
        <v>8908</v>
      </c>
      <c r="F242" s="427" t="s">
        <v>8909</v>
      </c>
      <c r="G242" s="31" t="s">
        <v>8910</v>
      </c>
      <c r="H242" s="31"/>
      <c r="I242" s="31"/>
      <c r="J242" s="31"/>
      <c r="K242" s="428"/>
      <c r="L242" s="321"/>
      <c r="M242" s="322"/>
      <c r="N242" s="323"/>
      <c r="O242" s="429"/>
      <c r="P242" s="322"/>
      <c r="Q242" s="323"/>
      <c r="R242" s="429"/>
      <c r="S242" s="322"/>
      <c r="T242" s="323"/>
      <c r="U242" s="324"/>
      <c r="V242" s="322"/>
      <c r="W242" s="323"/>
      <c r="X242" s="324" t="s">
        <v>22</v>
      </c>
      <c r="Y242" s="173" t="s">
        <v>8912</v>
      </c>
      <c r="Z242" s="322" t="s">
        <v>22</v>
      </c>
      <c r="AA242" s="104"/>
      <c r="AB242" s="319">
        <f>AA234</f>
        <v>0</v>
      </c>
      <c r="AC242" s="430"/>
      <c r="AD242" s="326" t="s">
        <v>22</v>
      </c>
      <c r="AE242" s="331"/>
      <c r="AF242" s="431"/>
      <c r="AG242" s="432"/>
      <c r="AH242" s="326"/>
      <c r="AI242" s="2"/>
      <c r="AJ242" s="59" t="str">
        <f t="shared" si="1"/>
        <v>нет з/ч</v>
      </c>
      <c r="AK242" s="61" t="str">
        <f t="shared" si="2"/>
        <v>нет з/ч</v>
      </c>
      <c r="AL242" s="61" t="str">
        <f t="shared" si="3"/>
        <v>нет з/ч</v>
      </c>
      <c r="AM242" s="304" t="str">
        <f t="shared" si="5"/>
        <v>нет з/ч</v>
      </c>
      <c r="AN242" s="2"/>
      <c r="AO242" s="289"/>
      <c r="AP242" s="296"/>
      <c r="AQ242" s="296"/>
      <c r="AR242" s="139"/>
      <c r="AS242" s="2"/>
      <c r="AT242" s="2"/>
      <c r="AU242" s="2"/>
      <c r="AV242" s="2"/>
      <c r="AW242" s="2"/>
      <c r="AX242" s="3" t="s">
        <v>9341</v>
      </c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>
      <c r="A243" s="315" t="s">
        <v>9342</v>
      </c>
      <c r="B243" s="93"/>
      <c r="C243" s="65"/>
      <c r="D243" s="31" t="s">
        <v>238</v>
      </c>
      <c r="E243" s="11" t="s">
        <v>8908</v>
      </c>
      <c r="F243" s="427" t="s">
        <v>8909</v>
      </c>
      <c r="G243" s="31" t="s">
        <v>8910</v>
      </c>
      <c r="H243" s="31"/>
      <c r="I243" s="31"/>
      <c r="J243" s="31"/>
      <c r="K243" s="428"/>
      <c r="L243" s="321"/>
      <c r="M243" s="322"/>
      <c r="N243" s="323"/>
      <c r="O243" s="429"/>
      <c r="P243" s="322"/>
      <c r="Q243" s="323"/>
      <c r="R243" s="429"/>
      <c r="S243" s="322"/>
      <c r="T243" s="323"/>
      <c r="U243" s="324"/>
      <c r="V243" s="322"/>
      <c r="W243" s="323"/>
      <c r="X243" s="324" t="s">
        <v>22</v>
      </c>
      <c r="Y243" s="173" t="s">
        <v>8912</v>
      </c>
      <c r="Z243" s="322" t="s">
        <v>22</v>
      </c>
      <c r="AA243" s="104"/>
      <c r="AB243" s="319">
        <f>AA234</f>
        <v>0</v>
      </c>
      <c r="AC243" s="430"/>
      <c r="AD243" s="326" t="s">
        <v>22</v>
      </c>
      <c r="AE243" s="331"/>
      <c r="AF243" s="431"/>
      <c r="AG243" s="432"/>
      <c r="AH243" s="326"/>
      <c r="AI243" s="2"/>
      <c r="AJ243" s="59" t="str">
        <f t="shared" si="1"/>
        <v>нет з/ч</v>
      </c>
      <c r="AK243" s="61" t="str">
        <f t="shared" si="2"/>
        <v>нет з/ч</v>
      </c>
      <c r="AL243" s="61" t="str">
        <f t="shared" si="3"/>
        <v>нет з/ч</v>
      </c>
      <c r="AM243" s="304" t="str">
        <f t="shared" si="5"/>
        <v>нет з/ч</v>
      </c>
      <c r="AN243" s="2"/>
      <c r="AO243" s="289"/>
      <c r="AP243" s="296"/>
      <c r="AQ243" s="296"/>
      <c r="AR243" s="139"/>
      <c r="AS243" s="2"/>
      <c r="AT243" s="2"/>
      <c r="AU243" s="2"/>
      <c r="AV243" s="2"/>
      <c r="AW243" s="2"/>
      <c r="AX243" s="3" t="s">
        <v>9342</v>
      </c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</row>
    <row r="244">
      <c r="A244" s="315" t="s">
        <v>9343</v>
      </c>
      <c r="B244" s="93"/>
      <c r="C244" s="65"/>
      <c r="D244" s="31" t="s">
        <v>238</v>
      </c>
      <c r="E244" s="11" t="s">
        <v>8908</v>
      </c>
      <c r="F244" s="427" t="s">
        <v>8909</v>
      </c>
      <c r="G244" s="31" t="s">
        <v>8910</v>
      </c>
      <c r="H244" s="31"/>
      <c r="I244" s="31"/>
      <c r="J244" s="31"/>
      <c r="K244" s="428"/>
      <c r="L244" s="321"/>
      <c r="M244" s="322"/>
      <c r="N244" s="323"/>
      <c r="O244" s="429"/>
      <c r="P244" s="322"/>
      <c r="Q244" s="323"/>
      <c r="R244" s="429"/>
      <c r="S244" s="322"/>
      <c r="T244" s="323"/>
      <c r="U244" s="324"/>
      <c r="V244" s="322"/>
      <c r="W244" s="323"/>
      <c r="X244" s="324" t="s">
        <v>22</v>
      </c>
      <c r="Y244" s="173" t="s">
        <v>8912</v>
      </c>
      <c r="Z244" s="322" t="s">
        <v>22</v>
      </c>
      <c r="AA244" s="104"/>
      <c r="AB244" s="319">
        <f>AA234</f>
        <v>0</v>
      </c>
      <c r="AC244" s="430"/>
      <c r="AD244" s="326" t="s">
        <v>22</v>
      </c>
      <c r="AE244" s="331"/>
      <c r="AF244" s="431"/>
      <c r="AG244" s="432"/>
      <c r="AH244" s="326"/>
      <c r="AI244" s="2"/>
      <c r="AJ244" s="59" t="str">
        <f t="shared" si="1"/>
        <v>нет з/ч</v>
      </c>
      <c r="AK244" s="61" t="str">
        <f t="shared" si="2"/>
        <v>нет з/ч</v>
      </c>
      <c r="AL244" s="61" t="str">
        <f t="shared" si="3"/>
        <v>нет з/ч</v>
      </c>
      <c r="AM244" s="304" t="str">
        <f t="shared" si="5"/>
        <v>нет з/ч</v>
      </c>
      <c r="AN244" s="2"/>
      <c r="AO244" s="289"/>
      <c r="AP244" s="296"/>
      <c r="AQ244" s="296"/>
      <c r="AR244" s="139"/>
      <c r="AS244" s="2"/>
      <c r="AT244" s="2"/>
      <c r="AU244" s="2"/>
      <c r="AV244" s="2"/>
      <c r="AW244" s="2"/>
      <c r="AX244" s="3" t="s">
        <v>9343</v>
      </c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>
      <c r="A245" s="315" t="s">
        <v>9344</v>
      </c>
      <c r="B245" s="93"/>
      <c r="C245" s="65"/>
      <c r="D245" s="31" t="s">
        <v>238</v>
      </c>
      <c r="E245" s="11" t="s">
        <v>8908</v>
      </c>
      <c r="F245" s="427" t="s">
        <v>8909</v>
      </c>
      <c r="G245" s="31" t="s">
        <v>8910</v>
      </c>
      <c r="H245" s="31"/>
      <c r="I245" s="31"/>
      <c r="J245" s="31"/>
      <c r="K245" s="428"/>
      <c r="L245" s="321"/>
      <c r="M245" s="322"/>
      <c r="N245" s="323"/>
      <c r="O245" s="429"/>
      <c r="P245" s="322"/>
      <c r="Q245" s="323"/>
      <c r="R245" s="429"/>
      <c r="S245" s="322"/>
      <c r="T245" s="323"/>
      <c r="U245" s="324"/>
      <c r="V245" s="322"/>
      <c r="W245" s="323"/>
      <c r="X245" s="324" t="s">
        <v>22</v>
      </c>
      <c r="Y245" s="173" t="s">
        <v>8912</v>
      </c>
      <c r="Z245" s="322" t="s">
        <v>22</v>
      </c>
      <c r="AA245" s="67"/>
      <c r="AB245" s="319">
        <f>AA234</f>
        <v>0</v>
      </c>
      <c r="AC245" s="430"/>
      <c r="AD245" s="326" t="s">
        <v>22</v>
      </c>
      <c r="AE245" s="331"/>
      <c r="AF245" s="431"/>
      <c r="AG245" s="432"/>
      <c r="AH245" s="326"/>
      <c r="AI245" s="2"/>
      <c r="AJ245" s="59" t="str">
        <f t="shared" si="1"/>
        <v>нет з/ч</v>
      </c>
      <c r="AK245" s="61" t="str">
        <f t="shared" si="2"/>
        <v>нет з/ч</v>
      </c>
      <c r="AL245" s="61" t="str">
        <f t="shared" si="3"/>
        <v>нет з/ч</v>
      </c>
      <c r="AM245" s="304" t="str">
        <f t="shared" si="5"/>
        <v>нет з/ч</v>
      </c>
      <c r="AN245" s="2"/>
      <c r="AO245" s="289"/>
      <c r="AP245" s="296"/>
      <c r="AQ245" s="296"/>
      <c r="AR245" s="139"/>
      <c r="AS245" s="2"/>
      <c r="AT245" s="2"/>
      <c r="AU245" s="2"/>
      <c r="AV245" s="2"/>
      <c r="AW245" s="2"/>
      <c r="AX245" s="3" t="s">
        <v>9344</v>
      </c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>
      <c r="A246" s="315" t="s">
        <v>9345</v>
      </c>
      <c r="B246" s="93"/>
      <c r="C246" s="65"/>
      <c r="D246" s="31" t="s">
        <v>238</v>
      </c>
      <c r="E246" s="11" t="s">
        <v>8908</v>
      </c>
      <c r="F246" s="427" t="s">
        <v>8915</v>
      </c>
      <c r="G246" s="31" t="s">
        <v>8916</v>
      </c>
      <c r="H246" s="31"/>
      <c r="I246" s="31"/>
      <c r="J246" s="31"/>
      <c r="K246" s="428"/>
      <c r="L246" s="321"/>
      <c r="M246" s="322"/>
      <c r="N246" s="323"/>
      <c r="O246" s="429"/>
      <c r="P246" s="322"/>
      <c r="Q246" s="323"/>
      <c r="R246" s="429"/>
      <c r="S246" s="322"/>
      <c r="T246" s="323"/>
      <c r="U246" s="324"/>
      <c r="V246" s="322"/>
      <c r="W246" s="323"/>
      <c r="X246" s="324" t="s">
        <v>22</v>
      </c>
      <c r="Y246" s="173" t="s">
        <v>8912</v>
      </c>
      <c r="Z246" s="322" t="s">
        <v>22</v>
      </c>
      <c r="AA246" s="313">
        <f>MAX(Z246:Z251)</f>
        <v>0</v>
      </c>
      <c r="AB246" s="319">
        <f>AA246</f>
        <v>0</v>
      </c>
      <c r="AC246" s="430"/>
      <c r="AD246" s="326" t="s">
        <v>22</v>
      </c>
      <c r="AE246" s="331"/>
      <c r="AF246" s="431"/>
      <c r="AG246" s="432"/>
      <c r="AH246" s="326"/>
      <c r="AI246" s="2"/>
      <c r="AJ246" s="59" t="str">
        <f t="shared" si="1"/>
        <v>нет з/ч</v>
      </c>
      <c r="AK246" s="61" t="str">
        <f t="shared" si="2"/>
        <v>нет з/ч</v>
      </c>
      <c r="AL246" s="61" t="str">
        <f t="shared" si="3"/>
        <v>нет з/ч</v>
      </c>
      <c r="AM246" s="304" t="str">
        <f t="shared" si="5"/>
        <v>нет з/ч</v>
      </c>
      <c r="AN246" s="2"/>
      <c r="AO246" s="289"/>
      <c r="AP246" s="296"/>
      <c r="AQ246" s="296"/>
      <c r="AR246" s="139"/>
      <c r="AS246" s="2"/>
      <c r="AT246" s="2"/>
      <c r="AU246" s="2"/>
      <c r="AV246" s="2"/>
      <c r="AW246" s="2"/>
      <c r="AX246" s="3" t="s">
        <v>9345</v>
      </c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>
      <c r="A247" s="315" t="s">
        <v>9346</v>
      </c>
      <c r="B247" s="93"/>
      <c r="C247" s="65"/>
      <c r="D247" s="31" t="s">
        <v>238</v>
      </c>
      <c r="E247" s="11" t="s">
        <v>8908</v>
      </c>
      <c r="F247" s="427" t="s">
        <v>8915</v>
      </c>
      <c r="G247" s="31" t="s">
        <v>8916</v>
      </c>
      <c r="H247" s="31"/>
      <c r="I247" s="31"/>
      <c r="J247" s="31"/>
      <c r="K247" s="428"/>
      <c r="L247" s="321"/>
      <c r="M247" s="322"/>
      <c r="N247" s="323"/>
      <c r="O247" s="429"/>
      <c r="P247" s="322"/>
      <c r="Q247" s="323"/>
      <c r="R247" s="429"/>
      <c r="S247" s="322"/>
      <c r="T247" s="323"/>
      <c r="U247" s="324"/>
      <c r="V247" s="322"/>
      <c r="W247" s="323"/>
      <c r="X247" s="324" t="s">
        <v>22</v>
      </c>
      <c r="Y247" s="173" t="s">
        <v>8912</v>
      </c>
      <c r="Z247" s="322" t="s">
        <v>22</v>
      </c>
      <c r="AA247" s="104"/>
      <c r="AB247" s="319">
        <f>AA246</f>
        <v>0</v>
      </c>
      <c r="AC247" s="430"/>
      <c r="AD247" s="326" t="s">
        <v>22</v>
      </c>
      <c r="AE247" s="331"/>
      <c r="AF247" s="431"/>
      <c r="AG247" s="432"/>
      <c r="AH247" s="326"/>
      <c r="AI247" s="2"/>
      <c r="AJ247" s="59" t="str">
        <f t="shared" si="1"/>
        <v>нет з/ч</v>
      </c>
      <c r="AK247" s="61" t="str">
        <f t="shared" si="2"/>
        <v>нет з/ч</v>
      </c>
      <c r="AL247" s="61" t="str">
        <f t="shared" si="3"/>
        <v>нет з/ч</v>
      </c>
      <c r="AM247" s="304" t="str">
        <f t="shared" si="5"/>
        <v>нет з/ч</v>
      </c>
      <c r="AN247" s="2"/>
      <c r="AO247" s="289"/>
      <c r="AP247" s="296"/>
      <c r="AQ247" s="296"/>
      <c r="AR247" s="139"/>
      <c r="AS247" s="2"/>
      <c r="AT247" s="2"/>
      <c r="AU247" s="2"/>
      <c r="AV247" s="2"/>
      <c r="AW247" s="2"/>
      <c r="AX247" s="3" t="s">
        <v>9346</v>
      </c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</row>
    <row r="248">
      <c r="A248" s="315" t="s">
        <v>9347</v>
      </c>
      <c r="B248" s="93"/>
      <c r="C248" s="65"/>
      <c r="D248" s="31" t="s">
        <v>238</v>
      </c>
      <c r="E248" s="11" t="s">
        <v>8908</v>
      </c>
      <c r="F248" s="427" t="s">
        <v>8915</v>
      </c>
      <c r="G248" s="31" t="s">
        <v>8916</v>
      </c>
      <c r="H248" s="31"/>
      <c r="I248" s="31"/>
      <c r="J248" s="31"/>
      <c r="K248" s="428"/>
      <c r="L248" s="321"/>
      <c r="M248" s="322"/>
      <c r="N248" s="323"/>
      <c r="O248" s="429"/>
      <c r="P248" s="322"/>
      <c r="Q248" s="323"/>
      <c r="R248" s="429"/>
      <c r="S248" s="322"/>
      <c r="T248" s="323"/>
      <c r="U248" s="324"/>
      <c r="V248" s="322"/>
      <c r="W248" s="323"/>
      <c r="X248" s="324" t="s">
        <v>22</v>
      </c>
      <c r="Y248" s="173" t="s">
        <v>8912</v>
      </c>
      <c r="Z248" s="322" t="s">
        <v>22</v>
      </c>
      <c r="AA248" s="104"/>
      <c r="AB248" s="319">
        <f>AA246</f>
        <v>0</v>
      </c>
      <c r="AC248" s="430"/>
      <c r="AD248" s="326" t="s">
        <v>22</v>
      </c>
      <c r="AE248" s="331"/>
      <c r="AF248" s="431"/>
      <c r="AG248" s="432"/>
      <c r="AH248" s="326"/>
      <c r="AI248" s="2"/>
      <c r="AJ248" s="59" t="str">
        <f t="shared" si="1"/>
        <v>нет з/ч</v>
      </c>
      <c r="AK248" s="61" t="str">
        <f t="shared" si="2"/>
        <v>нет з/ч</v>
      </c>
      <c r="AL248" s="61" t="str">
        <f t="shared" si="3"/>
        <v>нет з/ч</v>
      </c>
      <c r="AM248" s="304" t="str">
        <f t="shared" si="5"/>
        <v>нет з/ч</v>
      </c>
      <c r="AN248" s="2"/>
      <c r="AO248" s="289"/>
      <c r="AP248" s="296"/>
      <c r="AQ248" s="296"/>
      <c r="AR248" s="139"/>
      <c r="AS248" s="2"/>
      <c r="AT248" s="2"/>
      <c r="AU248" s="2"/>
      <c r="AV248" s="2"/>
      <c r="AW248" s="2"/>
      <c r="AX248" s="3" t="s">
        <v>9347</v>
      </c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>
      <c r="A249" s="315" t="s">
        <v>9348</v>
      </c>
      <c r="B249" s="93"/>
      <c r="C249" s="65"/>
      <c r="D249" s="31" t="s">
        <v>238</v>
      </c>
      <c r="E249" s="11" t="s">
        <v>8908</v>
      </c>
      <c r="F249" s="427" t="s">
        <v>8915</v>
      </c>
      <c r="G249" s="31" t="s">
        <v>8916</v>
      </c>
      <c r="H249" s="31"/>
      <c r="I249" s="31"/>
      <c r="J249" s="31"/>
      <c r="K249" s="428"/>
      <c r="L249" s="321"/>
      <c r="M249" s="322"/>
      <c r="N249" s="323"/>
      <c r="O249" s="429"/>
      <c r="P249" s="322"/>
      <c r="Q249" s="323"/>
      <c r="R249" s="429"/>
      <c r="S249" s="322"/>
      <c r="T249" s="323"/>
      <c r="U249" s="324"/>
      <c r="V249" s="322"/>
      <c r="W249" s="323"/>
      <c r="X249" s="324" t="s">
        <v>22</v>
      </c>
      <c r="Y249" s="173" t="s">
        <v>8912</v>
      </c>
      <c r="Z249" s="322" t="s">
        <v>22</v>
      </c>
      <c r="AA249" s="104"/>
      <c r="AB249" s="319">
        <f>AA246</f>
        <v>0</v>
      </c>
      <c r="AC249" s="430"/>
      <c r="AD249" s="326" t="s">
        <v>22</v>
      </c>
      <c r="AE249" s="331"/>
      <c r="AF249" s="431"/>
      <c r="AG249" s="432"/>
      <c r="AH249" s="326"/>
      <c r="AI249" s="2"/>
      <c r="AJ249" s="59" t="str">
        <f t="shared" si="1"/>
        <v>нет з/ч</v>
      </c>
      <c r="AK249" s="61" t="str">
        <f t="shared" si="2"/>
        <v>нет з/ч</v>
      </c>
      <c r="AL249" s="61" t="str">
        <f t="shared" si="3"/>
        <v>нет з/ч</v>
      </c>
      <c r="AM249" s="304" t="str">
        <f t="shared" si="5"/>
        <v>нет з/ч</v>
      </c>
      <c r="AN249" s="2"/>
      <c r="AO249" s="289"/>
      <c r="AP249" s="296"/>
      <c r="AQ249" s="296"/>
      <c r="AR249" s="139"/>
      <c r="AS249" s="2"/>
      <c r="AT249" s="2"/>
      <c r="AU249" s="2"/>
      <c r="AV249" s="2"/>
      <c r="AW249" s="2"/>
      <c r="AX249" s="3" t="s">
        <v>9348</v>
      </c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>
      <c r="A250" s="315" t="s">
        <v>9349</v>
      </c>
      <c r="B250" s="93"/>
      <c r="C250" s="65"/>
      <c r="D250" s="31" t="s">
        <v>238</v>
      </c>
      <c r="E250" s="11" t="s">
        <v>8908</v>
      </c>
      <c r="F250" s="427" t="s">
        <v>8915</v>
      </c>
      <c r="G250" s="31" t="s">
        <v>8916</v>
      </c>
      <c r="H250" s="31"/>
      <c r="I250" s="31"/>
      <c r="J250" s="31"/>
      <c r="K250" s="428"/>
      <c r="L250" s="321"/>
      <c r="M250" s="322"/>
      <c r="N250" s="323"/>
      <c r="O250" s="429"/>
      <c r="P250" s="322"/>
      <c r="Q250" s="323"/>
      <c r="R250" s="429"/>
      <c r="S250" s="322"/>
      <c r="T250" s="323"/>
      <c r="U250" s="324"/>
      <c r="V250" s="322"/>
      <c r="W250" s="323"/>
      <c r="X250" s="324" t="s">
        <v>22</v>
      </c>
      <c r="Y250" s="173" t="s">
        <v>8912</v>
      </c>
      <c r="Z250" s="322" t="s">
        <v>22</v>
      </c>
      <c r="AA250" s="104"/>
      <c r="AB250" s="319">
        <f>AA246</f>
        <v>0</v>
      </c>
      <c r="AC250" s="430"/>
      <c r="AD250" s="326" t="s">
        <v>22</v>
      </c>
      <c r="AE250" s="331"/>
      <c r="AF250" s="431"/>
      <c r="AG250" s="432"/>
      <c r="AH250" s="326"/>
      <c r="AI250" s="2"/>
      <c r="AJ250" s="59" t="str">
        <f t="shared" si="1"/>
        <v>нет з/ч</v>
      </c>
      <c r="AK250" s="61" t="str">
        <f t="shared" si="2"/>
        <v>нет з/ч</v>
      </c>
      <c r="AL250" s="61" t="str">
        <f t="shared" si="3"/>
        <v>нет з/ч</v>
      </c>
      <c r="AM250" s="304" t="str">
        <f t="shared" si="5"/>
        <v>нет з/ч</v>
      </c>
      <c r="AN250" s="2"/>
      <c r="AO250" s="289"/>
      <c r="AP250" s="296"/>
      <c r="AQ250" s="296"/>
      <c r="AR250" s="139"/>
      <c r="AS250" s="2"/>
      <c r="AT250" s="2"/>
      <c r="AU250" s="2"/>
      <c r="AV250" s="2"/>
      <c r="AW250" s="2"/>
      <c r="AX250" s="3" t="s">
        <v>9349</v>
      </c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>
      <c r="A251" s="315" t="s">
        <v>9350</v>
      </c>
      <c r="B251" s="93"/>
      <c r="C251" s="65"/>
      <c r="D251" s="31" t="s">
        <v>238</v>
      </c>
      <c r="E251" s="11" t="s">
        <v>8908</v>
      </c>
      <c r="F251" s="427" t="s">
        <v>8915</v>
      </c>
      <c r="G251" s="31" t="s">
        <v>8916</v>
      </c>
      <c r="H251" s="31"/>
      <c r="I251" s="31"/>
      <c r="J251" s="31"/>
      <c r="K251" s="428"/>
      <c r="L251" s="321"/>
      <c r="M251" s="322"/>
      <c r="N251" s="323"/>
      <c r="O251" s="429"/>
      <c r="P251" s="322"/>
      <c r="Q251" s="323"/>
      <c r="R251" s="429"/>
      <c r="S251" s="322"/>
      <c r="T251" s="323"/>
      <c r="U251" s="324"/>
      <c r="V251" s="322"/>
      <c r="W251" s="323"/>
      <c r="X251" s="324" t="s">
        <v>22</v>
      </c>
      <c r="Y251" s="173" t="s">
        <v>8912</v>
      </c>
      <c r="Z251" s="322" t="s">
        <v>22</v>
      </c>
      <c r="AA251" s="67"/>
      <c r="AB251" s="319">
        <f>AA246</f>
        <v>0</v>
      </c>
      <c r="AC251" s="430"/>
      <c r="AD251" s="326" t="s">
        <v>22</v>
      </c>
      <c r="AE251" s="331"/>
      <c r="AF251" s="431"/>
      <c r="AG251" s="432"/>
      <c r="AH251" s="326"/>
      <c r="AI251" s="2"/>
      <c r="AJ251" s="59" t="str">
        <f t="shared" si="1"/>
        <v>нет з/ч</v>
      </c>
      <c r="AK251" s="61" t="str">
        <f t="shared" si="2"/>
        <v>нет з/ч</v>
      </c>
      <c r="AL251" s="61" t="str">
        <f t="shared" si="3"/>
        <v>нет з/ч</v>
      </c>
      <c r="AM251" s="304" t="str">
        <f t="shared" si="5"/>
        <v>нет з/ч</v>
      </c>
      <c r="AN251" s="2"/>
      <c r="AO251" s="289"/>
      <c r="AP251" s="296"/>
      <c r="AQ251" s="296"/>
      <c r="AR251" s="139"/>
      <c r="AS251" s="2"/>
      <c r="AT251" s="2"/>
      <c r="AU251" s="2"/>
      <c r="AV251" s="2"/>
      <c r="AW251" s="2"/>
      <c r="AX251" s="3" t="s">
        <v>9350</v>
      </c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>
      <c r="A252" s="315" t="s">
        <v>9351</v>
      </c>
      <c r="B252" s="93"/>
      <c r="C252" s="65"/>
      <c r="D252" s="31" t="s">
        <v>246</v>
      </c>
      <c r="E252" s="11" t="s">
        <v>8908</v>
      </c>
      <c r="F252" s="427" t="s">
        <v>8909</v>
      </c>
      <c r="G252" s="31" t="s">
        <v>8910</v>
      </c>
      <c r="H252" s="31"/>
      <c r="I252" s="31"/>
      <c r="J252" s="31"/>
      <c r="K252" s="428"/>
      <c r="L252" s="321"/>
      <c r="M252" s="322"/>
      <c r="N252" s="323"/>
      <c r="O252" s="429"/>
      <c r="P252" s="322"/>
      <c r="Q252" s="323"/>
      <c r="R252" s="429"/>
      <c r="S252" s="322"/>
      <c r="T252" s="323"/>
      <c r="U252" s="324"/>
      <c r="V252" s="322"/>
      <c r="W252" s="323"/>
      <c r="X252" s="324" t="s">
        <v>22</v>
      </c>
      <c r="Y252" s="173" t="s">
        <v>8912</v>
      </c>
      <c r="Z252" s="322" t="s">
        <v>22</v>
      </c>
      <c r="AA252" s="313">
        <f>MAX(Z252:Z261)</f>
        <v>0</v>
      </c>
      <c r="AB252" s="319">
        <f>AA252</f>
        <v>0</v>
      </c>
      <c r="AC252" s="430"/>
      <c r="AD252" s="326" t="s">
        <v>22</v>
      </c>
      <c r="AE252" s="331"/>
      <c r="AF252" s="431"/>
      <c r="AG252" s="432"/>
      <c r="AH252" s="326"/>
      <c r="AI252" s="2"/>
      <c r="AJ252" s="59" t="str">
        <f t="shared" si="1"/>
        <v>нет з/ч</v>
      </c>
      <c r="AK252" s="61" t="str">
        <f t="shared" si="2"/>
        <v>нет з/ч</v>
      </c>
      <c r="AL252" s="61" t="str">
        <f t="shared" si="3"/>
        <v>нет з/ч</v>
      </c>
      <c r="AM252" s="304" t="str">
        <f t="shared" si="5"/>
        <v>нет з/ч</v>
      </c>
      <c r="AN252" s="2"/>
      <c r="AO252" s="289"/>
      <c r="AP252" s="296"/>
      <c r="AQ252" s="296"/>
      <c r="AR252" s="139"/>
      <c r="AS252" s="2"/>
      <c r="AT252" s="2"/>
      <c r="AU252" s="2"/>
      <c r="AV252" s="2"/>
      <c r="AW252" s="2"/>
      <c r="AX252" s="3" t="s">
        <v>9351</v>
      </c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>
      <c r="A253" s="315" t="s">
        <v>9352</v>
      </c>
      <c r="B253" s="93"/>
      <c r="C253" s="65"/>
      <c r="D253" s="31" t="s">
        <v>246</v>
      </c>
      <c r="E253" s="11" t="s">
        <v>8908</v>
      </c>
      <c r="F253" s="427" t="s">
        <v>8909</v>
      </c>
      <c r="G253" s="31" t="s">
        <v>8910</v>
      </c>
      <c r="H253" s="31"/>
      <c r="I253" s="31"/>
      <c r="J253" s="31"/>
      <c r="K253" s="428"/>
      <c r="L253" s="321"/>
      <c r="M253" s="322"/>
      <c r="N253" s="323"/>
      <c r="O253" s="429"/>
      <c r="P253" s="322"/>
      <c r="Q253" s="323"/>
      <c r="R253" s="429"/>
      <c r="S253" s="322"/>
      <c r="T253" s="323"/>
      <c r="U253" s="324"/>
      <c r="V253" s="322"/>
      <c r="W253" s="323"/>
      <c r="X253" s="324" t="s">
        <v>22</v>
      </c>
      <c r="Y253" s="173" t="s">
        <v>8912</v>
      </c>
      <c r="Z253" s="322" t="s">
        <v>22</v>
      </c>
      <c r="AA253" s="104"/>
      <c r="AB253" s="319">
        <f>AA252</f>
        <v>0</v>
      </c>
      <c r="AC253" s="430"/>
      <c r="AD253" s="326" t="s">
        <v>22</v>
      </c>
      <c r="AE253" s="331"/>
      <c r="AF253" s="431"/>
      <c r="AG253" s="432"/>
      <c r="AH253" s="326"/>
      <c r="AI253" s="2"/>
      <c r="AJ253" s="59" t="str">
        <f t="shared" si="1"/>
        <v>нет з/ч</v>
      </c>
      <c r="AK253" s="61" t="str">
        <f t="shared" si="2"/>
        <v>нет з/ч</v>
      </c>
      <c r="AL253" s="61" t="str">
        <f t="shared" si="3"/>
        <v>нет з/ч</v>
      </c>
      <c r="AM253" s="304" t="str">
        <f t="shared" si="5"/>
        <v>нет з/ч</v>
      </c>
      <c r="AN253" s="2"/>
      <c r="AO253" s="289"/>
      <c r="AP253" s="296"/>
      <c r="AQ253" s="296"/>
      <c r="AR253" s="139"/>
      <c r="AS253" s="2"/>
      <c r="AT253" s="2"/>
      <c r="AU253" s="2"/>
      <c r="AV253" s="2"/>
      <c r="AW253" s="2"/>
      <c r="AX253" s="3" t="s">
        <v>9352</v>
      </c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>
      <c r="A254" s="315" t="s">
        <v>9353</v>
      </c>
      <c r="B254" s="93"/>
      <c r="C254" s="65"/>
      <c r="D254" s="31" t="s">
        <v>246</v>
      </c>
      <c r="E254" s="11" t="s">
        <v>8908</v>
      </c>
      <c r="F254" s="427" t="s">
        <v>8909</v>
      </c>
      <c r="G254" s="31" t="s">
        <v>8910</v>
      </c>
      <c r="H254" s="31"/>
      <c r="I254" s="31"/>
      <c r="J254" s="31"/>
      <c r="K254" s="428"/>
      <c r="L254" s="321"/>
      <c r="M254" s="322"/>
      <c r="N254" s="323"/>
      <c r="O254" s="429"/>
      <c r="P254" s="322"/>
      <c r="Q254" s="323"/>
      <c r="R254" s="429"/>
      <c r="S254" s="322"/>
      <c r="T254" s="323"/>
      <c r="U254" s="324"/>
      <c r="V254" s="322"/>
      <c r="W254" s="323"/>
      <c r="X254" s="324" t="s">
        <v>22</v>
      </c>
      <c r="Y254" s="173" t="s">
        <v>8912</v>
      </c>
      <c r="Z254" s="322" t="s">
        <v>22</v>
      </c>
      <c r="AA254" s="104"/>
      <c r="AB254" s="319">
        <f>AA252</f>
        <v>0</v>
      </c>
      <c r="AC254" s="430"/>
      <c r="AD254" s="326" t="s">
        <v>22</v>
      </c>
      <c r="AE254" s="331"/>
      <c r="AF254" s="431"/>
      <c r="AG254" s="432"/>
      <c r="AH254" s="326"/>
      <c r="AI254" s="2"/>
      <c r="AJ254" s="59" t="str">
        <f t="shared" si="1"/>
        <v>нет з/ч</v>
      </c>
      <c r="AK254" s="61" t="str">
        <f t="shared" si="2"/>
        <v>нет з/ч</v>
      </c>
      <c r="AL254" s="61" t="str">
        <f t="shared" si="3"/>
        <v>нет з/ч</v>
      </c>
      <c r="AM254" s="304" t="str">
        <f t="shared" si="5"/>
        <v>нет з/ч</v>
      </c>
      <c r="AN254" s="2"/>
      <c r="AO254" s="289"/>
      <c r="AP254" s="296"/>
      <c r="AQ254" s="296"/>
      <c r="AR254" s="139"/>
      <c r="AS254" s="2"/>
      <c r="AT254" s="2"/>
      <c r="AU254" s="2"/>
      <c r="AV254" s="2"/>
      <c r="AW254" s="2"/>
      <c r="AX254" s="3" t="s">
        <v>9353</v>
      </c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>
      <c r="A255" s="315" t="s">
        <v>9354</v>
      </c>
      <c r="B255" s="93"/>
      <c r="C255" s="65"/>
      <c r="D255" s="31" t="s">
        <v>246</v>
      </c>
      <c r="E255" s="11" t="s">
        <v>8908</v>
      </c>
      <c r="F255" s="427" t="s">
        <v>8909</v>
      </c>
      <c r="G255" s="31" t="s">
        <v>8910</v>
      </c>
      <c r="H255" s="31"/>
      <c r="I255" s="31"/>
      <c r="J255" s="31"/>
      <c r="K255" s="428"/>
      <c r="L255" s="321"/>
      <c r="M255" s="322"/>
      <c r="N255" s="323"/>
      <c r="O255" s="429"/>
      <c r="P255" s="322"/>
      <c r="Q255" s="323"/>
      <c r="R255" s="429"/>
      <c r="S255" s="322"/>
      <c r="T255" s="323"/>
      <c r="U255" s="324"/>
      <c r="V255" s="322"/>
      <c r="W255" s="323"/>
      <c r="X255" s="324" t="s">
        <v>22</v>
      </c>
      <c r="Y255" s="173" t="s">
        <v>8912</v>
      </c>
      <c r="Z255" s="322" t="s">
        <v>22</v>
      </c>
      <c r="AA255" s="104"/>
      <c r="AB255" s="319">
        <f>AA252</f>
        <v>0</v>
      </c>
      <c r="AC255" s="430"/>
      <c r="AD255" s="326" t="s">
        <v>22</v>
      </c>
      <c r="AE255" s="331"/>
      <c r="AF255" s="431"/>
      <c r="AG255" s="432"/>
      <c r="AH255" s="326"/>
      <c r="AI255" s="2"/>
      <c r="AJ255" s="59" t="str">
        <f t="shared" si="1"/>
        <v>нет з/ч</v>
      </c>
      <c r="AK255" s="61" t="str">
        <f t="shared" si="2"/>
        <v>нет з/ч</v>
      </c>
      <c r="AL255" s="61" t="str">
        <f t="shared" si="3"/>
        <v>нет з/ч</v>
      </c>
      <c r="AM255" s="304" t="str">
        <f t="shared" si="5"/>
        <v>нет з/ч</v>
      </c>
      <c r="AN255" s="2"/>
      <c r="AO255" s="289"/>
      <c r="AP255" s="296"/>
      <c r="AQ255" s="296"/>
      <c r="AR255" s="139"/>
      <c r="AS255" s="2"/>
      <c r="AT255" s="2"/>
      <c r="AU255" s="2"/>
      <c r="AV255" s="2"/>
      <c r="AW255" s="2"/>
      <c r="AX255" s="3" t="s">
        <v>9354</v>
      </c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>
      <c r="A256" s="315" t="s">
        <v>9355</v>
      </c>
      <c r="B256" s="93"/>
      <c r="C256" s="65"/>
      <c r="D256" s="31" t="s">
        <v>246</v>
      </c>
      <c r="E256" s="11" t="s">
        <v>8908</v>
      </c>
      <c r="F256" s="427" t="s">
        <v>8909</v>
      </c>
      <c r="G256" s="31" t="s">
        <v>8910</v>
      </c>
      <c r="H256" s="31"/>
      <c r="I256" s="31"/>
      <c r="J256" s="31"/>
      <c r="K256" s="428"/>
      <c r="L256" s="321"/>
      <c r="M256" s="322"/>
      <c r="N256" s="323"/>
      <c r="O256" s="429"/>
      <c r="P256" s="322"/>
      <c r="Q256" s="323"/>
      <c r="R256" s="429"/>
      <c r="S256" s="322"/>
      <c r="T256" s="323"/>
      <c r="U256" s="324"/>
      <c r="V256" s="322"/>
      <c r="W256" s="323"/>
      <c r="X256" s="324" t="s">
        <v>22</v>
      </c>
      <c r="Y256" s="173" t="s">
        <v>8912</v>
      </c>
      <c r="Z256" s="322" t="s">
        <v>22</v>
      </c>
      <c r="AA256" s="104"/>
      <c r="AB256" s="319">
        <f>AA252</f>
        <v>0</v>
      </c>
      <c r="AC256" s="430"/>
      <c r="AD256" s="326" t="s">
        <v>22</v>
      </c>
      <c r="AE256" s="331"/>
      <c r="AF256" s="431"/>
      <c r="AG256" s="432"/>
      <c r="AH256" s="326"/>
      <c r="AI256" s="2"/>
      <c r="AJ256" s="59" t="str">
        <f t="shared" si="1"/>
        <v>нет з/ч</v>
      </c>
      <c r="AK256" s="61" t="str">
        <f t="shared" si="2"/>
        <v>нет з/ч</v>
      </c>
      <c r="AL256" s="61" t="str">
        <f t="shared" si="3"/>
        <v>нет з/ч</v>
      </c>
      <c r="AM256" s="304" t="str">
        <f t="shared" si="5"/>
        <v>нет з/ч</v>
      </c>
      <c r="AN256" s="2"/>
      <c r="AO256" s="289"/>
      <c r="AP256" s="296"/>
      <c r="AQ256" s="296"/>
      <c r="AR256" s="139"/>
      <c r="AS256" s="2"/>
      <c r="AT256" s="2"/>
      <c r="AU256" s="2"/>
      <c r="AV256" s="2"/>
      <c r="AW256" s="2"/>
      <c r="AX256" s="3" t="s">
        <v>9355</v>
      </c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>
      <c r="A257" s="315" t="s">
        <v>9356</v>
      </c>
      <c r="B257" s="93"/>
      <c r="C257" s="65"/>
      <c r="D257" s="31" t="s">
        <v>246</v>
      </c>
      <c r="E257" s="11" t="s">
        <v>8908</v>
      </c>
      <c r="F257" s="427" t="s">
        <v>8909</v>
      </c>
      <c r="G257" s="31" t="s">
        <v>8910</v>
      </c>
      <c r="H257" s="31"/>
      <c r="I257" s="31"/>
      <c r="J257" s="31"/>
      <c r="K257" s="428"/>
      <c r="L257" s="321"/>
      <c r="M257" s="322"/>
      <c r="N257" s="323"/>
      <c r="O257" s="429"/>
      <c r="P257" s="322"/>
      <c r="Q257" s="323"/>
      <c r="R257" s="429"/>
      <c r="S257" s="322"/>
      <c r="T257" s="323"/>
      <c r="U257" s="324"/>
      <c r="V257" s="322"/>
      <c r="W257" s="323"/>
      <c r="X257" s="324" t="s">
        <v>22</v>
      </c>
      <c r="Y257" s="173" t="s">
        <v>8912</v>
      </c>
      <c r="Z257" s="322" t="s">
        <v>22</v>
      </c>
      <c r="AA257" s="104"/>
      <c r="AB257" s="319">
        <f>AA252</f>
        <v>0</v>
      </c>
      <c r="AC257" s="430"/>
      <c r="AD257" s="326" t="s">
        <v>22</v>
      </c>
      <c r="AE257" s="331"/>
      <c r="AF257" s="431"/>
      <c r="AG257" s="432"/>
      <c r="AH257" s="326"/>
      <c r="AI257" s="2"/>
      <c r="AJ257" s="59" t="str">
        <f t="shared" si="1"/>
        <v>нет з/ч</v>
      </c>
      <c r="AK257" s="61" t="str">
        <f t="shared" si="2"/>
        <v>нет з/ч</v>
      </c>
      <c r="AL257" s="61" t="str">
        <f t="shared" si="3"/>
        <v>нет з/ч</v>
      </c>
      <c r="AM257" s="304" t="str">
        <f t="shared" si="5"/>
        <v>нет з/ч</v>
      </c>
      <c r="AN257" s="2"/>
      <c r="AO257" s="289"/>
      <c r="AP257" s="296"/>
      <c r="AQ257" s="296"/>
      <c r="AR257" s="139"/>
      <c r="AS257" s="2"/>
      <c r="AT257" s="2"/>
      <c r="AU257" s="2"/>
      <c r="AV257" s="2"/>
      <c r="AW257" s="2"/>
      <c r="AX257" s="3" t="s">
        <v>9356</v>
      </c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>
      <c r="A258" s="315" t="s">
        <v>9357</v>
      </c>
      <c r="B258" s="93"/>
      <c r="C258" s="65"/>
      <c r="D258" s="31" t="s">
        <v>246</v>
      </c>
      <c r="E258" s="11" t="s">
        <v>8908</v>
      </c>
      <c r="F258" s="427" t="s">
        <v>8909</v>
      </c>
      <c r="G258" s="31" t="s">
        <v>8910</v>
      </c>
      <c r="H258" s="31"/>
      <c r="I258" s="31"/>
      <c r="J258" s="31"/>
      <c r="K258" s="428"/>
      <c r="L258" s="321"/>
      <c r="M258" s="322"/>
      <c r="N258" s="323"/>
      <c r="O258" s="429"/>
      <c r="P258" s="322"/>
      <c r="Q258" s="323"/>
      <c r="R258" s="429"/>
      <c r="S258" s="322"/>
      <c r="T258" s="323"/>
      <c r="U258" s="324"/>
      <c r="V258" s="322"/>
      <c r="W258" s="323"/>
      <c r="X258" s="324" t="s">
        <v>22</v>
      </c>
      <c r="Y258" s="173" t="s">
        <v>8912</v>
      </c>
      <c r="Z258" s="322" t="s">
        <v>22</v>
      </c>
      <c r="AA258" s="104"/>
      <c r="AB258" s="319">
        <f>AA252</f>
        <v>0</v>
      </c>
      <c r="AC258" s="430"/>
      <c r="AD258" s="326" t="s">
        <v>22</v>
      </c>
      <c r="AE258" s="331"/>
      <c r="AF258" s="431"/>
      <c r="AG258" s="432"/>
      <c r="AH258" s="326"/>
      <c r="AI258" s="2"/>
      <c r="AJ258" s="59" t="str">
        <f t="shared" si="1"/>
        <v>нет з/ч</v>
      </c>
      <c r="AK258" s="61" t="str">
        <f t="shared" si="2"/>
        <v>нет з/ч</v>
      </c>
      <c r="AL258" s="61" t="str">
        <f t="shared" si="3"/>
        <v>нет з/ч</v>
      </c>
      <c r="AM258" s="304" t="str">
        <f t="shared" si="5"/>
        <v>нет з/ч</v>
      </c>
      <c r="AN258" s="2"/>
      <c r="AO258" s="289"/>
      <c r="AP258" s="296"/>
      <c r="AQ258" s="296"/>
      <c r="AR258" s="139"/>
      <c r="AS258" s="2"/>
      <c r="AT258" s="2"/>
      <c r="AU258" s="2"/>
      <c r="AV258" s="2"/>
      <c r="AW258" s="2"/>
      <c r="AX258" s="3" t="s">
        <v>9357</v>
      </c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>
      <c r="A259" s="315" t="s">
        <v>9358</v>
      </c>
      <c r="B259" s="93"/>
      <c r="C259" s="65"/>
      <c r="D259" s="31" t="s">
        <v>246</v>
      </c>
      <c r="E259" s="11" t="s">
        <v>8908</v>
      </c>
      <c r="F259" s="427" t="s">
        <v>8909</v>
      </c>
      <c r="G259" s="31" t="s">
        <v>8910</v>
      </c>
      <c r="H259" s="31"/>
      <c r="I259" s="31"/>
      <c r="J259" s="31"/>
      <c r="K259" s="428"/>
      <c r="L259" s="321"/>
      <c r="M259" s="322"/>
      <c r="N259" s="323"/>
      <c r="O259" s="429"/>
      <c r="P259" s="322"/>
      <c r="Q259" s="323"/>
      <c r="R259" s="429"/>
      <c r="S259" s="322"/>
      <c r="T259" s="323"/>
      <c r="U259" s="324"/>
      <c r="V259" s="322"/>
      <c r="W259" s="323"/>
      <c r="X259" s="324" t="s">
        <v>22</v>
      </c>
      <c r="Y259" s="173" t="s">
        <v>8912</v>
      </c>
      <c r="Z259" s="322" t="s">
        <v>22</v>
      </c>
      <c r="AA259" s="104"/>
      <c r="AB259" s="319">
        <f>AA252</f>
        <v>0</v>
      </c>
      <c r="AC259" s="430"/>
      <c r="AD259" s="326" t="s">
        <v>22</v>
      </c>
      <c r="AE259" s="331"/>
      <c r="AF259" s="431"/>
      <c r="AG259" s="432"/>
      <c r="AH259" s="326"/>
      <c r="AI259" s="2"/>
      <c r="AJ259" s="59" t="str">
        <f t="shared" si="1"/>
        <v>нет з/ч</v>
      </c>
      <c r="AK259" s="61" t="str">
        <f t="shared" si="2"/>
        <v>нет з/ч</v>
      </c>
      <c r="AL259" s="61" t="str">
        <f t="shared" si="3"/>
        <v>нет з/ч</v>
      </c>
      <c r="AM259" s="304" t="str">
        <f t="shared" si="5"/>
        <v>нет з/ч</v>
      </c>
      <c r="AN259" s="2"/>
      <c r="AO259" s="289"/>
      <c r="AP259" s="296"/>
      <c r="AQ259" s="296"/>
      <c r="AR259" s="139"/>
      <c r="AS259" s="2"/>
      <c r="AT259" s="2"/>
      <c r="AU259" s="2"/>
      <c r="AV259" s="2"/>
      <c r="AW259" s="2"/>
      <c r="AX259" s="3" t="s">
        <v>9358</v>
      </c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>
      <c r="A260" s="315" t="s">
        <v>9359</v>
      </c>
      <c r="B260" s="93"/>
      <c r="C260" s="65"/>
      <c r="D260" s="31" t="s">
        <v>246</v>
      </c>
      <c r="E260" s="11" t="s">
        <v>8908</v>
      </c>
      <c r="F260" s="427" t="s">
        <v>8909</v>
      </c>
      <c r="G260" s="31" t="s">
        <v>8910</v>
      </c>
      <c r="H260" s="31"/>
      <c r="I260" s="31"/>
      <c r="J260" s="31"/>
      <c r="K260" s="428"/>
      <c r="L260" s="321"/>
      <c r="M260" s="322"/>
      <c r="N260" s="323"/>
      <c r="O260" s="429"/>
      <c r="P260" s="322"/>
      <c r="Q260" s="323"/>
      <c r="R260" s="429"/>
      <c r="S260" s="322"/>
      <c r="T260" s="323"/>
      <c r="U260" s="324"/>
      <c r="V260" s="322"/>
      <c r="W260" s="323"/>
      <c r="X260" s="324" t="s">
        <v>22</v>
      </c>
      <c r="Y260" s="173" t="s">
        <v>8912</v>
      </c>
      <c r="Z260" s="322" t="s">
        <v>22</v>
      </c>
      <c r="AA260" s="104"/>
      <c r="AB260" s="319">
        <f>AA252</f>
        <v>0</v>
      </c>
      <c r="AC260" s="430"/>
      <c r="AD260" s="326" t="s">
        <v>22</v>
      </c>
      <c r="AE260" s="331"/>
      <c r="AF260" s="431"/>
      <c r="AG260" s="432"/>
      <c r="AH260" s="326"/>
      <c r="AI260" s="2"/>
      <c r="AJ260" s="59" t="str">
        <f t="shared" si="1"/>
        <v>нет з/ч</v>
      </c>
      <c r="AK260" s="61" t="str">
        <f t="shared" si="2"/>
        <v>нет з/ч</v>
      </c>
      <c r="AL260" s="61" t="str">
        <f t="shared" si="3"/>
        <v>нет з/ч</v>
      </c>
      <c r="AM260" s="304" t="str">
        <f t="shared" si="5"/>
        <v>нет з/ч</v>
      </c>
      <c r="AN260" s="2"/>
      <c r="AO260" s="289"/>
      <c r="AP260" s="296"/>
      <c r="AQ260" s="296"/>
      <c r="AR260" s="139"/>
      <c r="AS260" s="2"/>
      <c r="AT260" s="2"/>
      <c r="AU260" s="2"/>
      <c r="AV260" s="2"/>
      <c r="AW260" s="2"/>
      <c r="AX260" s="3" t="s">
        <v>9359</v>
      </c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>
      <c r="A261" s="315" t="s">
        <v>9360</v>
      </c>
      <c r="B261" s="93"/>
      <c r="C261" s="65"/>
      <c r="D261" s="31" t="s">
        <v>246</v>
      </c>
      <c r="E261" s="11" t="s">
        <v>8908</v>
      </c>
      <c r="F261" s="427" t="s">
        <v>8909</v>
      </c>
      <c r="G261" s="31" t="s">
        <v>8910</v>
      </c>
      <c r="H261" s="31"/>
      <c r="I261" s="31"/>
      <c r="J261" s="31"/>
      <c r="K261" s="428"/>
      <c r="L261" s="321"/>
      <c r="M261" s="322"/>
      <c r="N261" s="323"/>
      <c r="O261" s="429"/>
      <c r="P261" s="322"/>
      <c r="Q261" s="323"/>
      <c r="R261" s="429"/>
      <c r="S261" s="322"/>
      <c r="T261" s="323"/>
      <c r="U261" s="324"/>
      <c r="V261" s="322"/>
      <c r="W261" s="323"/>
      <c r="X261" s="324" t="s">
        <v>22</v>
      </c>
      <c r="Y261" s="173" t="s">
        <v>8912</v>
      </c>
      <c r="Z261" s="322" t="s">
        <v>22</v>
      </c>
      <c r="AA261" s="67"/>
      <c r="AB261" s="319">
        <f>AA252</f>
        <v>0</v>
      </c>
      <c r="AC261" s="430"/>
      <c r="AD261" s="326" t="s">
        <v>22</v>
      </c>
      <c r="AE261" s="331"/>
      <c r="AF261" s="431"/>
      <c r="AG261" s="432"/>
      <c r="AH261" s="326"/>
      <c r="AI261" s="2"/>
      <c r="AJ261" s="59" t="str">
        <f t="shared" si="1"/>
        <v>нет з/ч</v>
      </c>
      <c r="AK261" s="61" t="str">
        <f t="shared" si="2"/>
        <v>нет з/ч</v>
      </c>
      <c r="AL261" s="61" t="str">
        <f t="shared" si="3"/>
        <v>нет з/ч</v>
      </c>
      <c r="AM261" s="304" t="str">
        <f t="shared" si="5"/>
        <v>нет з/ч</v>
      </c>
      <c r="AN261" s="2"/>
      <c r="AO261" s="289"/>
      <c r="AP261" s="296"/>
      <c r="AQ261" s="296"/>
      <c r="AR261" s="139"/>
      <c r="AS261" s="2"/>
      <c r="AT261" s="2"/>
      <c r="AU261" s="2"/>
      <c r="AV261" s="2"/>
      <c r="AW261" s="2"/>
      <c r="AX261" s="3" t="s">
        <v>9360</v>
      </c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>
      <c r="A262" s="315" t="s">
        <v>9361</v>
      </c>
      <c r="B262" s="93"/>
      <c r="C262" s="65"/>
      <c r="D262" s="31" t="s">
        <v>246</v>
      </c>
      <c r="E262" s="11" t="s">
        <v>8908</v>
      </c>
      <c r="F262" s="427" t="s">
        <v>8915</v>
      </c>
      <c r="G262" s="31" t="s">
        <v>8916</v>
      </c>
      <c r="H262" s="31"/>
      <c r="I262" s="31"/>
      <c r="J262" s="31"/>
      <c r="K262" s="428"/>
      <c r="L262" s="327" t="s">
        <v>9362</v>
      </c>
      <c r="M262" s="322"/>
      <c r="N262" s="328">
        <v>2950.0</v>
      </c>
      <c r="O262" s="429"/>
      <c r="P262" s="322"/>
      <c r="Q262" s="323"/>
      <c r="R262" s="429"/>
      <c r="S262" s="322"/>
      <c r="T262" s="323"/>
      <c r="U262" s="324"/>
      <c r="V262" s="322"/>
      <c r="W262" s="323"/>
      <c r="X262" s="324">
        <v>2950.0</v>
      </c>
      <c r="Y262" s="173" t="s">
        <v>8912</v>
      </c>
      <c r="Z262" s="322">
        <v>3300.0</v>
      </c>
      <c r="AA262" s="313">
        <f>MAX(Z262:Z266)</f>
        <v>3300</v>
      </c>
      <c r="AB262" s="319">
        <f>AA262</f>
        <v>3300</v>
      </c>
      <c r="AC262" s="430"/>
      <c r="AD262" s="326" t="s">
        <v>5839</v>
      </c>
      <c r="AE262" s="329" t="s">
        <v>9363</v>
      </c>
      <c r="AF262" s="431"/>
      <c r="AG262" s="432"/>
      <c r="AH262" s="330">
        <v>46080.718524525466</v>
      </c>
      <c r="AI262" s="2"/>
      <c r="AJ262" s="289">
        <f t="shared" si="1"/>
        <v>350</v>
      </c>
      <c r="AK262" s="61" t="str">
        <f t="shared" si="2"/>
        <v>нет з/ч</v>
      </c>
      <c r="AL262" s="61" t="str">
        <f t="shared" si="3"/>
        <v>нет з/ч</v>
      </c>
      <c r="AM262" s="304" t="str">
        <f t="shared" si="5"/>
        <v>нет з/ч</v>
      </c>
      <c r="AN262" s="2"/>
      <c r="AO262" s="289">
        <v>2950.0</v>
      </c>
      <c r="AP262" s="296"/>
      <c r="AQ262" s="296"/>
      <c r="AR262" s="139"/>
      <c r="AS262" s="2"/>
      <c r="AT262" s="2"/>
      <c r="AU262" s="2"/>
      <c r="AV262" s="2"/>
      <c r="AW262" s="2"/>
      <c r="AX262" s="3" t="s">
        <v>9361</v>
      </c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>
      <c r="A263" s="315" t="s">
        <v>9364</v>
      </c>
      <c r="B263" s="93"/>
      <c r="C263" s="65"/>
      <c r="D263" s="31" t="s">
        <v>246</v>
      </c>
      <c r="E263" s="11" t="s">
        <v>8908</v>
      </c>
      <c r="F263" s="427" t="s">
        <v>8915</v>
      </c>
      <c r="G263" s="31" t="s">
        <v>8916</v>
      </c>
      <c r="H263" s="31"/>
      <c r="I263" s="31"/>
      <c r="J263" s="31"/>
      <c r="K263" s="428"/>
      <c r="L263" s="327" t="s">
        <v>9365</v>
      </c>
      <c r="M263" s="322"/>
      <c r="N263" s="328">
        <v>2950.0</v>
      </c>
      <c r="O263" s="429"/>
      <c r="P263" s="322"/>
      <c r="Q263" s="323"/>
      <c r="R263" s="429"/>
      <c r="S263" s="322"/>
      <c r="T263" s="323"/>
      <c r="U263" s="324"/>
      <c r="V263" s="322"/>
      <c r="W263" s="323"/>
      <c r="X263" s="324">
        <v>2950.0</v>
      </c>
      <c r="Y263" s="173" t="s">
        <v>8912</v>
      </c>
      <c r="Z263" s="322">
        <v>3300.0</v>
      </c>
      <c r="AA263" s="104"/>
      <c r="AB263" s="319">
        <f>AA262</f>
        <v>3300</v>
      </c>
      <c r="AC263" s="430"/>
      <c r="AD263" s="326" t="s">
        <v>5839</v>
      </c>
      <c r="AE263" s="329" t="s">
        <v>9366</v>
      </c>
      <c r="AF263" s="431"/>
      <c r="AG263" s="432"/>
      <c r="AH263" s="330">
        <v>46080.718555949075</v>
      </c>
      <c r="AI263" s="2"/>
      <c r="AJ263" s="289">
        <f t="shared" si="1"/>
        <v>350</v>
      </c>
      <c r="AK263" s="61" t="str">
        <f t="shared" si="2"/>
        <v>нет з/ч</v>
      </c>
      <c r="AL263" s="61" t="str">
        <f t="shared" si="3"/>
        <v>нет з/ч</v>
      </c>
      <c r="AM263" s="304" t="str">
        <f t="shared" si="5"/>
        <v>нет з/ч</v>
      </c>
      <c r="AN263" s="2"/>
      <c r="AO263" s="289">
        <v>2950.0</v>
      </c>
      <c r="AP263" s="296"/>
      <c r="AQ263" s="296"/>
      <c r="AR263" s="139"/>
      <c r="AS263" s="2"/>
      <c r="AT263" s="2"/>
      <c r="AU263" s="2"/>
      <c r="AV263" s="2"/>
      <c r="AW263" s="2"/>
      <c r="AX263" s="3" t="s">
        <v>9364</v>
      </c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>
      <c r="A264" s="315" t="s">
        <v>9367</v>
      </c>
      <c r="B264" s="93"/>
      <c r="C264" s="65"/>
      <c r="D264" s="31" t="s">
        <v>246</v>
      </c>
      <c r="E264" s="11" t="s">
        <v>8908</v>
      </c>
      <c r="F264" s="427" t="s">
        <v>8915</v>
      </c>
      <c r="G264" s="31" t="s">
        <v>8916</v>
      </c>
      <c r="H264" s="31"/>
      <c r="I264" s="31"/>
      <c r="J264" s="31"/>
      <c r="K264" s="428"/>
      <c r="L264" s="327" t="s">
        <v>9368</v>
      </c>
      <c r="M264" s="322"/>
      <c r="N264" s="328">
        <v>2950.0</v>
      </c>
      <c r="O264" s="429"/>
      <c r="P264" s="322"/>
      <c r="Q264" s="323"/>
      <c r="R264" s="429"/>
      <c r="S264" s="322"/>
      <c r="T264" s="323"/>
      <c r="U264" s="324"/>
      <c r="V264" s="322"/>
      <c r="W264" s="323"/>
      <c r="X264" s="324">
        <v>2950.0</v>
      </c>
      <c r="Y264" s="173" t="s">
        <v>8912</v>
      </c>
      <c r="Z264" s="322">
        <v>3300.0</v>
      </c>
      <c r="AA264" s="104"/>
      <c r="AB264" s="319">
        <f>AA262</f>
        <v>3300</v>
      </c>
      <c r="AC264" s="430"/>
      <c r="AD264" s="326" t="s">
        <v>5839</v>
      </c>
      <c r="AE264" s="329" t="s">
        <v>9369</v>
      </c>
      <c r="AF264" s="431"/>
      <c r="AG264" s="432"/>
      <c r="AH264" s="330">
        <v>46080.71858699074</v>
      </c>
      <c r="AI264" s="2"/>
      <c r="AJ264" s="289">
        <f t="shared" si="1"/>
        <v>350</v>
      </c>
      <c r="AK264" s="61" t="str">
        <f t="shared" si="2"/>
        <v>нет з/ч</v>
      </c>
      <c r="AL264" s="61" t="str">
        <f t="shared" si="3"/>
        <v>нет з/ч</v>
      </c>
      <c r="AM264" s="304" t="str">
        <f t="shared" si="5"/>
        <v>нет з/ч</v>
      </c>
      <c r="AN264" s="2"/>
      <c r="AO264" s="289">
        <v>2950.0</v>
      </c>
      <c r="AP264" s="296"/>
      <c r="AQ264" s="296"/>
      <c r="AR264" s="139"/>
      <c r="AS264" s="2"/>
      <c r="AT264" s="2"/>
      <c r="AU264" s="2"/>
      <c r="AV264" s="2"/>
      <c r="AW264" s="2"/>
      <c r="AX264" s="3" t="s">
        <v>9367</v>
      </c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>
      <c r="A265" s="315" t="s">
        <v>9370</v>
      </c>
      <c r="B265" s="93"/>
      <c r="C265" s="65"/>
      <c r="D265" s="31" t="s">
        <v>246</v>
      </c>
      <c r="E265" s="11" t="s">
        <v>8908</v>
      </c>
      <c r="F265" s="427" t="s">
        <v>8915</v>
      </c>
      <c r="G265" s="31" t="s">
        <v>8916</v>
      </c>
      <c r="H265" s="31"/>
      <c r="I265" s="31"/>
      <c r="J265" s="31"/>
      <c r="K265" s="428"/>
      <c r="L265" s="327" t="s">
        <v>9371</v>
      </c>
      <c r="M265" s="322"/>
      <c r="N265" s="328">
        <v>2950.0</v>
      </c>
      <c r="O265" s="429"/>
      <c r="P265" s="322"/>
      <c r="Q265" s="323"/>
      <c r="R265" s="429"/>
      <c r="S265" s="322"/>
      <c r="T265" s="323"/>
      <c r="U265" s="324"/>
      <c r="V265" s="322"/>
      <c r="W265" s="323"/>
      <c r="X265" s="324">
        <v>2950.0</v>
      </c>
      <c r="Y265" s="173" t="s">
        <v>8912</v>
      </c>
      <c r="Z265" s="322">
        <v>3300.0</v>
      </c>
      <c r="AA265" s="104"/>
      <c r="AB265" s="319">
        <f>AA262</f>
        <v>3300</v>
      </c>
      <c r="AC265" s="430"/>
      <c r="AD265" s="326" t="s">
        <v>5839</v>
      </c>
      <c r="AE265" s="329" t="s">
        <v>9372</v>
      </c>
      <c r="AF265" s="431"/>
      <c r="AG265" s="432"/>
      <c r="AH265" s="330">
        <v>46080.71861099537</v>
      </c>
      <c r="AI265" s="2"/>
      <c r="AJ265" s="289">
        <f t="shared" si="1"/>
        <v>350</v>
      </c>
      <c r="AK265" s="61" t="str">
        <f t="shared" si="2"/>
        <v>нет з/ч</v>
      </c>
      <c r="AL265" s="61" t="str">
        <f t="shared" si="3"/>
        <v>нет з/ч</v>
      </c>
      <c r="AM265" s="304" t="str">
        <f t="shared" si="5"/>
        <v>нет з/ч</v>
      </c>
      <c r="AN265" s="2"/>
      <c r="AO265" s="289">
        <v>2950.0</v>
      </c>
      <c r="AP265" s="296"/>
      <c r="AQ265" s="296"/>
      <c r="AR265" s="139"/>
      <c r="AS265" s="2"/>
      <c r="AT265" s="2"/>
      <c r="AU265" s="2"/>
      <c r="AV265" s="2"/>
      <c r="AW265" s="2"/>
      <c r="AX265" s="3" t="s">
        <v>9370</v>
      </c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>
      <c r="A266" s="315" t="s">
        <v>9373</v>
      </c>
      <c r="B266" s="93"/>
      <c r="C266" s="65"/>
      <c r="D266" s="31" t="s">
        <v>246</v>
      </c>
      <c r="E266" s="11" t="s">
        <v>8908</v>
      </c>
      <c r="F266" s="427" t="s">
        <v>8915</v>
      </c>
      <c r="G266" s="31" t="s">
        <v>8916</v>
      </c>
      <c r="H266" s="31"/>
      <c r="I266" s="31"/>
      <c r="J266" s="31"/>
      <c r="K266" s="428"/>
      <c r="L266" s="327" t="s">
        <v>9374</v>
      </c>
      <c r="M266" s="322"/>
      <c r="N266" s="328">
        <v>2950.0</v>
      </c>
      <c r="O266" s="429"/>
      <c r="P266" s="322"/>
      <c r="Q266" s="323"/>
      <c r="R266" s="429"/>
      <c r="S266" s="322"/>
      <c r="T266" s="323"/>
      <c r="U266" s="324"/>
      <c r="V266" s="322"/>
      <c r="W266" s="323"/>
      <c r="X266" s="324">
        <v>2950.0</v>
      </c>
      <c r="Y266" s="173" t="s">
        <v>8912</v>
      </c>
      <c r="Z266" s="322">
        <v>3300.0</v>
      </c>
      <c r="AA266" s="67"/>
      <c r="AB266" s="319">
        <f>AA262</f>
        <v>3300</v>
      </c>
      <c r="AC266" s="430"/>
      <c r="AD266" s="326" t="s">
        <v>5839</v>
      </c>
      <c r="AE266" s="329" t="s">
        <v>9375</v>
      </c>
      <c r="AF266" s="431"/>
      <c r="AG266" s="432"/>
      <c r="AH266" s="330">
        <v>46080.71863614583</v>
      </c>
      <c r="AI266" s="2"/>
      <c r="AJ266" s="289">
        <f t="shared" si="1"/>
        <v>350</v>
      </c>
      <c r="AK266" s="61" t="str">
        <f t="shared" si="2"/>
        <v>нет з/ч</v>
      </c>
      <c r="AL266" s="61" t="str">
        <f t="shared" si="3"/>
        <v>нет з/ч</v>
      </c>
      <c r="AM266" s="304" t="str">
        <f t="shared" si="5"/>
        <v>нет з/ч</v>
      </c>
      <c r="AN266" s="2"/>
      <c r="AO266" s="289">
        <v>2950.0</v>
      </c>
      <c r="AP266" s="296"/>
      <c r="AQ266" s="296"/>
      <c r="AR266" s="139"/>
      <c r="AS266" s="2"/>
      <c r="AT266" s="2"/>
      <c r="AU266" s="2"/>
      <c r="AV266" s="2"/>
      <c r="AW266" s="2"/>
      <c r="AX266" s="3" t="s">
        <v>9373</v>
      </c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>
      <c r="A267" s="315" t="s">
        <v>9376</v>
      </c>
      <c r="B267" s="93"/>
      <c r="C267" s="65"/>
      <c r="D267" s="31" t="s">
        <v>254</v>
      </c>
      <c r="E267" s="11" t="s">
        <v>8908</v>
      </c>
      <c r="F267" s="427" t="s">
        <v>8909</v>
      </c>
      <c r="G267" s="31" t="s">
        <v>8910</v>
      </c>
      <c r="H267" s="31"/>
      <c r="I267" s="31"/>
      <c r="J267" s="31"/>
      <c r="K267" s="428"/>
      <c r="L267" s="321"/>
      <c r="M267" s="322"/>
      <c r="N267" s="323"/>
      <c r="O267" s="429"/>
      <c r="P267" s="322"/>
      <c r="Q267" s="323"/>
      <c r="R267" s="429"/>
      <c r="S267" s="322"/>
      <c r="T267" s="323"/>
      <c r="U267" s="324"/>
      <c r="V267" s="322"/>
      <c r="W267" s="323"/>
      <c r="X267" s="324" t="s">
        <v>22</v>
      </c>
      <c r="Y267" s="173" t="s">
        <v>8912</v>
      </c>
      <c r="Z267" s="322" t="s">
        <v>22</v>
      </c>
      <c r="AA267" s="313">
        <f>MAX(Z267:Z276)</f>
        <v>0</v>
      </c>
      <c r="AB267" s="319">
        <f>AA267</f>
        <v>0</v>
      </c>
      <c r="AC267" s="430"/>
      <c r="AD267" s="326" t="s">
        <v>22</v>
      </c>
      <c r="AE267" s="331"/>
      <c r="AF267" s="431"/>
      <c r="AG267" s="432"/>
      <c r="AH267" s="326"/>
      <c r="AI267" s="2"/>
      <c r="AJ267" s="59" t="str">
        <f t="shared" si="1"/>
        <v>нет з/ч</v>
      </c>
      <c r="AK267" s="61" t="str">
        <f t="shared" si="2"/>
        <v>нет з/ч</v>
      </c>
      <c r="AL267" s="61" t="str">
        <f t="shared" si="3"/>
        <v>нет з/ч</v>
      </c>
      <c r="AM267" s="304" t="str">
        <f t="shared" si="5"/>
        <v>нет з/ч</v>
      </c>
      <c r="AN267" s="2"/>
      <c r="AO267" s="289"/>
      <c r="AP267" s="296"/>
      <c r="AQ267" s="296"/>
      <c r="AR267" s="139"/>
      <c r="AS267" s="2"/>
      <c r="AT267" s="2"/>
      <c r="AU267" s="2"/>
      <c r="AV267" s="2"/>
      <c r="AW267" s="2"/>
      <c r="AX267" s="3" t="s">
        <v>9376</v>
      </c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>
      <c r="A268" s="315" t="s">
        <v>9377</v>
      </c>
      <c r="B268" s="93"/>
      <c r="C268" s="65"/>
      <c r="D268" s="31" t="s">
        <v>254</v>
      </c>
      <c r="E268" s="11" t="s">
        <v>8908</v>
      </c>
      <c r="F268" s="427" t="s">
        <v>8909</v>
      </c>
      <c r="G268" s="31" t="s">
        <v>8910</v>
      </c>
      <c r="H268" s="31"/>
      <c r="I268" s="31"/>
      <c r="J268" s="31"/>
      <c r="K268" s="428"/>
      <c r="L268" s="321"/>
      <c r="M268" s="322"/>
      <c r="N268" s="323"/>
      <c r="O268" s="429"/>
      <c r="P268" s="322"/>
      <c r="Q268" s="323"/>
      <c r="R268" s="429"/>
      <c r="S268" s="322"/>
      <c r="T268" s="323"/>
      <c r="U268" s="324"/>
      <c r="V268" s="322"/>
      <c r="W268" s="323"/>
      <c r="X268" s="324" t="s">
        <v>22</v>
      </c>
      <c r="Y268" s="173" t="s">
        <v>8912</v>
      </c>
      <c r="Z268" s="322" t="s">
        <v>22</v>
      </c>
      <c r="AA268" s="104"/>
      <c r="AB268" s="319">
        <f>AA267</f>
        <v>0</v>
      </c>
      <c r="AC268" s="430"/>
      <c r="AD268" s="326" t="s">
        <v>22</v>
      </c>
      <c r="AE268" s="331"/>
      <c r="AF268" s="431"/>
      <c r="AG268" s="432"/>
      <c r="AH268" s="326"/>
      <c r="AI268" s="2"/>
      <c r="AJ268" s="59" t="str">
        <f t="shared" si="1"/>
        <v>нет з/ч</v>
      </c>
      <c r="AK268" s="61" t="str">
        <f t="shared" si="2"/>
        <v>нет з/ч</v>
      </c>
      <c r="AL268" s="61" t="str">
        <f t="shared" si="3"/>
        <v>нет з/ч</v>
      </c>
      <c r="AM268" s="304" t="str">
        <f t="shared" si="5"/>
        <v>нет з/ч</v>
      </c>
      <c r="AN268" s="2"/>
      <c r="AO268" s="289"/>
      <c r="AP268" s="296"/>
      <c r="AQ268" s="296"/>
      <c r="AR268" s="139"/>
      <c r="AS268" s="2"/>
      <c r="AT268" s="2"/>
      <c r="AU268" s="2"/>
      <c r="AV268" s="2"/>
      <c r="AW268" s="2"/>
      <c r="AX268" s="3" t="s">
        <v>9377</v>
      </c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>
      <c r="A269" s="315" t="s">
        <v>9378</v>
      </c>
      <c r="B269" s="93"/>
      <c r="C269" s="65"/>
      <c r="D269" s="31" t="s">
        <v>254</v>
      </c>
      <c r="E269" s="11" t="s">
        <v>8908</v>
      </c>
      <c r="F269" s="427" t="s">
        <v>8909</v>
      </c>
      <c r="G269" s="31" t="s">
        <v>8910</v>
      </c>
      <c r="H269" s="31"/>
      <c r="I269" s="31"/>
      <c r="J269" s="31"/>
      <c r="K269" s="428"/>
      <c r="L269" s="321"/>
      <c r="M269" s="322"/>
      <c r="N269" s="323"/>
      <c r="O269" s="429"/>
      <c r="P269" s="322"/>
      <c r="Q269" s="323"/>
      <c r="R269" s="429"/>
      <c r="S269" s="322"/>
      <c r="T269" s="323"/>
      <c r="U269" s="324"/>
      <c r="V269" s="322"/>
      <c r="W269" s="323"/>
      <c r="X269" s="324" t="s">
        <v>22</v>
      </c>
      <c r="Y269" s="173" t="s">
        <v>8912</v>
      </c>
      <c r="Z269" s="322" t="s">
        <v>22</v>
      </c>
      <c r="AA269" s="104"/>
      <c r="AB269" s="319">
        <f>AA267</f>
        <v>0</v>
      </c>
      <c r="AC269" s="430"/>
      <c r="AD269" s="326" t="s">
        <v>22</v>
      </c>
      <c r="AE269" s="331"/>
      <c r="AF269" s="431"/>
      <c r="AG269" s="432"/>
      <c r="AH269" s="326"/>
      <c r="AI269" s="2"/>
      <c r="AJ269" s="59" t="str">
        <f t="shared" si="1"/>
        <v>нет з/ч</v>
      </c>
      <c r="AK269" s="61" t="str">
        <f t="shared" si="2"/>
        <v>нет з/ч</v>
      </c>
      <c r="AL269" s="61" t="str">
        <f t="shared" si="3"/>
        <v>нет з/ч</v>
      </c>
      <c r="AM269" s="304" t="str">
        <f t="shared" si="5"/>
        <v>нет з/ч</v>
      </c>
      <c r="AN269" s="2"/>
      <c r="AO269" s="289"/>
      <c r="AP269" s="296"/>
      <c r="AQ269" s="296"/>
      <c r="AR269" s="139"/>
      <c r="AS269" s="2"/>
      <c r="AT269" s="2"/>
      <c r="AU269" s="2"/>
      <c r="AV269" s="2"/>
      <c r="AW269" s="2"/>
      <c r="AX269" s="3" t="s">
        <v>9378</v>
      </c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>
      <c r="A270" s="315" t="s">
        <v>9379</v>
      </c>
      <c r="B270" s="93"/>
      <c r="C270" s="65"/>
      <c r="D270" s="31" t="s">
        <v>254</v>
      </c>
      <c r="E270" s="11" t="s">
        <v>8908</v>
      </c>
      <c r="F270" s="427" t="s">
        <v>8909</v>
      </c>
      <c r="G270" s="31" t="s">
        <v>8910</v>
      </c>
      <c r="H270" s="31"/>
      <c r="I270" s="31"/>
      <c r="J270" s="31"/>
      <c r="K270" s="428"/>
      <c r="L270" s="321"/>
      <c r="M270" s="322"/>
      <c r="N270" s="323"/>
      <c r="O270" s="429"/>
      <c r="P270" s="322"/>
      <c r="Q270" s="323"/>
      <c r="R270" s="429"/>
      <c r="S270" s="322"/>
      <c r="T270" s="323"/>
      <c r="U270" s="324"/>
      <c r="V270" s="322"/>
      <c r="W270" s="323"/>
      <c r="X270" s="324" t="s">
        <v>22</v>
      </c>
      <c r="Y270" s="173" t="s">
        <v>8912</v>
      </c>
      <c r="Z270" s="322" t="s">
        <v>22</v>
      </c>
      <c r="AA270" s="104"/>
      <c r="AB270" s="319">
        <f>AA267</f>
        <v>0</v>
      </c>
      <c r="AC270" s="430"/>
      <c r="AD270" s="326" t="s">
        <v>22</v>
      </c>
      <c r="AE270" s="331"/>
      <c r="AF270" s="431"/>
      <c r="AG270" s="432"/>
      <c r="AH270" s="326"/>
      <c r="AI270" s="2"/>
      <c r="AJ270" s="59" t="str">
        <f t="shared" si="1"/>
        <v>нет з/ч</v>
      </c>
      <c r="AK270" s="61" t="str">
        <f t="shared" si="2"/>
        <v>нет з/ч</v>
      </c>
      <c r="AL270" s="61" t="str">
        <f t="shared" si="3"/>
        <v>нет з/ч</v>
      </c>
      <c r="AM270" s="304" t="str">
        <f t="shared" si="5"/>
        <v>нет з/ч</v>
      </c>
      <c r="AN270" s="2"/>
      <c r="AO270" s="289"/>
      <c r="AP270" s="296"/>
      <c r="AQ270" s="296"/>
      <c r="AR270" s="139"/>
      <c r="AS270" s="2"/>
      <c r="AT270" s="2"/>
      <c r="AU270" s="2"/>
      <c r="AV270" s="2"/>
      <c r="AW270" s="2"/>
      <c r="AX270" s="3" t="s">
        <v>9379</v>
      </c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>
      <c r="A271" s="315" t="s">
        <v>9380</v>
      </c>
      <c r="B271" s="93"/>
      <c r="C271" s="65"/>
      <c r="D271" s="31" t="s">
        <v>254</v>
      </c>
      <c r="E271" s="11" t="s">
        <v>8908</v>
      </c>
      <c r="F271" s="427" t="s">
        <v>8909</v>
      </c>
      <c r="G271" s="31" t="s">
        <v>8910</v>
      </c>
      <c r="H271" s="31"/>
      <c r="I271" s="31"/>
      <c r="J271" s="31"/>
      <c r="K271" s="428"/>
      <c r="L271" s="321"/>
      <c r="M271" s="322"/>
      <c r="N271" s="323"/>
      <c r="O271" s="429"/>
      <c r="P271" s="322"/>
      <c r="Q271" s="323"/>
      <c r="R271" s="429"/>
      <c r="S271" s="322"/>
      <c r="T271" s="323"/>
      <c r="U271" s="324"/>
      <c r="V271" s="322"/>
      <c r="W271" s="323"/>
      <c r="X271" s="324" t="s">
        <v>22</v>
      </c>
      <c r="Y271" s="173" t="s">
        <v>8912</v>
      </c>
      <c r="Z271" s="322" t="s">
        <v>22</v>
      </c>
      <c r="AA271" s="104"/>
      <c r="AB271" s="319">
        <f>AA267</f>
        <v>0</v>
      </c>
      <c r="AC271" s="430"/>
      <c r="AD271" s="326" t="s">
        <v>22</v>
      </c>
      <c r="AE271" s="331"/>
      <c r="AF271" s="431"/>
      <c r="AG271" s="432"/>
      <c r="AH271" s="326"/>
      <c r="AI271" s="2"/>
      <c r="AJ271" s="59" t="str">
        <f t="shared" si="1"/>
        <v>нет з/ч</v>
      </c>
      <c r="AK271" s="61" t="str">
        <f t="shared" si="2"/>
        <v>нет з/ч</v>
      </c>
      <c r="AL271" s="61" t="str">
        <f t="shared" si="3"/>
        <v>нет з/ч</v>
      </c>
      <c r="AM271" s="304" t="str">
        <f t="shared" si="5"/>
        <v>нет з/ч</v>
      </c>
      <c r="AN271" s="2"/>
      <c r="AO271" s="289"/>
      <c r="AP271" s="296"/>
      <c r="AQ271" s="296"/>
      <c r="AR271" s="139"/>
      <c r="AS271" s="2"/>
      <c r="AT271" s="2"/>
      <c r="AU271" s="2"/>
      <c r="AV271" s="2"/>
      <c r="AW271" s="2"/>
      <c r="AX271" s="3" t="s">
        <v>9380</v>
      </c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>
      <c r="A272" s="315" t="s">
        <v>9381</v>
      </c>
      <c r="B272" s="93"/>
      <c r="C272" s="65"/>
      <c r="D272" s="31" t="s">
        <v>254</v>
      </c>
      <c r="E272" s="11" t="s">
        <v>8908</v>
      </c>
      <c r="F272" s="427" t="s">
        <v>8909</v>
      </c>
      <c r="G272" s="31" t="s">
        <v>8910</v>
      </c>
      <c r="H272" s="31"/>
      <c r="I272" s="31"/>
      <c r="J272" s="31"/>
      <c r="K272" s="428"/>
      <c r="L272" s="321"/>
      <c r="M272" s="322"/>
      <c r="N272" s="323"/>
      <c r="O272" s="429"/>
      <c r="P272" s="322"/>
      <c r="Q272" s="323"/>
      <c r="R272" s="429"/>
      <c r="S272" s="322"/>
      <c r="T272" s="323"/>
      <c r="U272" s="324"/>
      <c r="V272" s="322"/>
      <c r="W272" s="323"/>
      <c r="X272" s="324" t="s">
        <v>22</v>
      </c>
      <c r="Y272" s="173" t="s">
        <v>8912</v>
      </c>
      <c r="Z272" s="322" t="s">
        <v>22</v>
      </c>
      <c r="AA272" s="104"/>
      <c r="AB272" s="319">
        <f>AA267</f>
        <v>0</v>
      </c>
      <c r="AC272" s="430"/>
      <c r="AD272" s="326" t="s">
        <v>22</v>
      </c>
      <c r="AE272" s="331"/>
      <c r="AF272" s="431"/>
      <c r="AG272" s="432"/>
      <c r="AH272" s="326"/>
      <c r="AI272" s="2"/>
      <c r="AJ272" s="59" t="str">
        <f t="shared" si="1"/>
        <v>нет з/ч</v>
      </c>
      <c r="AK272" s="61" t="str">
        <f t="shared" si="2"/>
        <v>нет з/ч</v>
      </c>
      <c r="AL272" s="61" t="str">
        <f t="shared" si="3"/>
        <v>нет з/ч</v>
      </c>
      <c r="AM272" s="304" t="str">
        <f t="shared" si="5"/>
        <v>нет з/ч</v>
      </c>
      <c r="AN272" s="2"/>
      <c r="AO272" s="289"/>
      <c r="AP272" s="296"/>
      <c r="AQ272" s="296"/>
      <c r="AR272" s="139"/>
      <c r="AS272" s="2"/>
      <c r="AT272" s="2"/>
      <c r="AU272" s="2"/>
      <c r="AV272" s="2"/>
      <c r="AW272" s="2"/>
      <c r="AX272" s="3" t="s">
        <v>9381</v>
      </c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>
      <c r="A273" s="315" t="s">
        <v>9382</v>
      </c>
      <c r="B273" s="93"/>
      <c r="C273" s="65"/>
      <c r="D273" s="31" t="s">
        <v>254</v>
      </c>
      <c r="E273" s="11" t="s">
        <v>8908</v>
      </c>
      <c r="F273" s="427" t="s">
        <v>8909</v>
      </c>
      <c r="G273" s="31" t="s">
        <v>8910</v>
      </c>
      <c r="H273" s="31"/>
      <c r="I273" s="31"/>
      <c r="J273" s="31"/>
      <c r="K273" s="428"/>
      <c r="L273" s="321"/>
      <c r="M273" s="322"/>
      <c r="N273" s="323"/>
      <c r="O273" s="429"/>
      <c r="P273" s="322"/>
      <c r="Q273" s="323"/>
      <c r="R273" s="429"/>
      <c r="S273" s="322"/>
      <c r="T273" s="323"/>
      <c r="U273" s="324"/>
      <c r="V273" s="322"/>
      <c r="W273" s="323"/>
      <c r="X273" s="324" t="s">
        <v>22</v>
      </c>
      <c r="Y273" s="173" t="s">
        <v>8912</v>
      </c>
      <c r="Z273" s="322" t="s">
        <v>22</v>
      </c>
      <c r="AA273" s="104"/>
      <c r="AB273" s="319">
        <f>AA267</f>
        <v>0</v>
      </c>
      <c r="AC273" s="430"/>
      <c r="AD273" s="326" t="s">
        <v>22</v>
      </c>
      <c r="AE273" s="331"/>
      <c r="AF273" s="431"/>
      <c r="AG273" s="432"/>
      <c r="AH273" s="326"/>
      <c r="AI273" s="2"/>
      <c r="AJ273" s="59" t="str">
        <f t="shared" si="1"/>
        <v>нет з/ч</v>
      </c>
      <c r="AK273" s="61" t="str">
        <f t="shared" si="2"/>
        <v>нет з/ч</v>
      </c>
      <c r="AL273" s="61" t="str">
        <f t="shared" si="3"/>
        <v>нет з/ч</v>
      </c>
      <c r="AM273" s="304" t="str">
        <f t="shared" si="5"/>
        <v>нет з/ч</v>
      </c>
      <c r="AN273" s="2"/>
      <c r="AO273" s="289"/>
      <c r="AP273" s="296"/>
      <c r="AQ273" s="296"/>
      <c r="AR273" s="139"/>
      <c r="AS273" s="2"/>
      <c r="AT273" s="2"/>
      <c r="AU273" s="2"/>
      <c r="AV273" s="2"/>
      <c r="AW273" s="2"/>
      <c r="AX273" s="3" t="s">
        <v>9382</v>
      </c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>
      <c r="A274" s="315" t="s">
        <v>9383</v>
      </c>
      <c r="B274" s="93"/>
      <c r="C274" s="65"/>
      <c r="D274" s="31" t="s">
        <v>254</v>
      </c>
      <c r="E274" s="11" t="s">
        <v>8908</v>
      </c>
      <c r="F274" s="427" t="s">
        <v>8909</v>
      </c>
      <c r="G274" s="31" t="s">
        <v>8910</v>
      </c>
      <c r="H274" s="31"/>
      <c r="I274" s="31"/>
      <c r="J274" s="31"/>
      <c r="K274" s="428"/>
      <c r="L274" s="321"/>
      <c r="M274" s="322"/>
      <c r="N274" s="323"/>
      <c r="O274" s="429"/>
      <c r="P274" s="322"/>
      <c r="Q274" s="323"/>
      <c r="R274" s="429"/>
      <c r="S274" s="322"/>
      <c r="T274" s="323"/>
      <c r="U274" s="324"/>
      <c r="V274" s="322"/>
      <c r="W274" s="323"/>
      <c r="X274" s="324" t="s">
        <v>22</v>
      </c>
      <c r="Y274" s="173" t="s">
        <v>8912</v>
      </c>
      <c r="Z274" s="322" t="s">
        <v>22</v>
      </c>
      <c r="AA274" s="104"/>
      <c r="AB274" s="319">
        <f>AA267</f>
        <v>0</v>
      </c>
      <c r="AC274" s="430"/>
      <c r="AD274" s="326" t="s">
        <v>22</v>
      </c>
      <c r="AE274" s="331"/>
      <c r="AF274" s="431"/>
      <c r="AG274" s="432"/>
      <c r="AH274" s="326"/>
      <c r="AI274" s="2"/>
      <c r="AJ274" s="59" t="str">
        <f t="shared" si="1"/>
        <v>нет з/ч</v>
      </c>
      <c r="AK274" s="61" t="str">
        <f t="shared" si="2"/>
        <v>нет з/ч</v>
      </c>
      <c r="AL274" s="61" t="str">
        <f t="shared" si="3"/>
        <v>нет з/ч</v>
      </c>
      <c r="AM274" s="304" t="str">
        <f t="shared" si="5"/>
        <v>нет з/ч</v>
      </c>
      <c r="AN274" s="2"/>
      <c r="AO274" s="289"/>
      <c r="AP274" s="296"/>
      <c r="AQ274" s="296"/>
      <c r="AR274" s="139"/>
      <c r="AS274" s="2"/>
      <c r="AT274" s="2"/>
      <c r="AU274" s="2"/>
      <c r="AV274" s="2"/>
      <c r="AW274" s="2"/>
      <c r="AX274" s="3" t="s">
        <v>9383</v>
      </c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>
      <c r="A275" s="315" t="s">
        <v>9384</v>
      </c>
      <c r="B275" s="93"/>
      <c r="C275" s="65"/>
      <c r="D275" s="31" t="s">
        <v>254</v>
      </c>
      <c r="E275" s="11" t="s">
        <v>8908</v>
      </c>
      <c r="F275" s="427" t="s">
        <v>8909</v>
      </c>
      <c r="G275" s="31" t="s">
        <v>8910</v>
      </c>
      <c r="H275" s="31"/>
      <c r="I275" s="31"/>
      <c r="J275" s="31"/>
      <c r="K275" s="428"/>
      <c r="L275" s="321"/>
      <c r="M275" s="322"/>
      <c r="N275" s="323"/>
      <c r="O275" s="429"/>
      <c r="P275" s="322"/>
      <c r="Q275" s="323"/>
      <c r="R275" s="429"/>
      <c r="S275" s="322"/>
      <c r="T275" s="323"/>
      <c r="U275" s="324"/>
      <c r="V275" s="322"/>
      <c r="W275" s="323"/>
      <c r="X275" s="324" t="s">
        <v>22</v>
      </c>
      <c r="Y275" s="173" t="s">
        <v>8912</v>
      </c>
      <c r="Z275" s="322" t="s">
        <v>22</v>
      </c>
      <c r="AA275" s="104"/>
      <c r="AB275" s="319">
        <f>AA267</f>
        <v>0</v>
      </c>
      <c r="AC275" s="430"/>
      <c r="AD275" s="326" t="s">
        <v>22</v>
      </c>
      <c r="AE275" s="331"/>
      <c r="AF275" s="431"/>
      <c r="AG275" s="432"/>
      <c r="AH275" s="326"/>
      <c r="AI275" s="2"/>
      <c r="AJ275" s="59" t="str">
        <f t="shared" si="1"/>
        <v>нет з/ч</v>
      </c>
      <c r="AK275" s="61" t="str">
        <f t="shared" si="2"/>
        <v>нет з/ч</v>
      </c>
      <c r="AL275" s="61" t="str">
        <f t="shared" si="3"/>
        <v>нет з/ч</v>
      </c>
      <c r="AM275" s="304" t="str">
        <f t="shared" si="5"/>
        <v>нет з/ч</v>
      </c>
      <c r="AN275" s="2"/>
      <c r="AO275" s="289"/>
      <c r="AP275" s="296"/>
      <c r="AQ275" s="296"/>
      <c r="AR275" s="139"/>
      <c r="AS275" s="2"/>
      <c r="AT275" s="2"/>
      <c r="AU275" s="2"/>
      <c r="AV275" s="2"/>
      <c r="AW275" s="2"/>
      <c r="AX275" s="3" t="s">
        <v>9384</v>
      </c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</row>
    <row r="276">
      <c r="A276" s="315" t="s">
        <v>9385</v>
      </c>
      <c r="B276" s="93"/>
      <c r="C276" s="65"/>
      <c r="D276" s="31" t="s">
        <v>254</v>
      </c>
      <c r="E276" s="11" t="s">
        <v>8908</v>
      </c>
      <c r="F276" s="427" t="s">
        <v>8909</v>
      </c>
      <c r="G276" s="31" t="s">
        <v>8910</v>
      </c>
      <c r="H276" s="31"/>
      <c r="I276" s="31"/>
      <c r="J276" s="31"/>
      <c r="K276" s="428"/>
      <c r="L276" s="321"/>
      <c r="M276" s="322"/>
      <c r="N276" s="323"/>
      <c r="O276" s="429"/>
      <c r="P276" s="322"/>
      <c r="Q276" s="323"/>
      <c r="R276" s="429"/>
      <c r="S276" s="322"/>
      <c r="T276" s="323"/>
      <c r="U276" s="324"/>
      <c r="V276" s="322"/>
      <c r="W276" s="323"/>
      <c r="X276" s="324" t="s">
        <v>22</v>
      </c>
      <c r="Y276" s="173" t="s">
        <v>8912</v>
      </c>
      <c r="Z276" s="322" t="s">
        <v>22</v>
      </c>
      <c r="AA276" s="67"/>
      <c r="AB276" s="319">
        <f>AA267</f>
        <v>0</v>
      </c>
      <c r="AC276" s="430"/>
      <c r="AD276" s="326" t="s">
        <v>22</v>
      </c>
      <c r="AE276" s="331"/>
      <c r="AF276" s="431"/>
      <c r="AG276" s="432"/>
      <c r="AH276" s="326"/>
      <c r="AI276" s="2"/>
      <c r="AJ276" s="59" t="str">
        <f t="shared" si="1"/>
        <v>нет з/ч</v>
      </c>
      <c r="AK276" s="61" t="str">
        <f t="shared" si="2"/>
        <v>нет з/ч</v>
      </c>
      <c r="AL276" s="61" t="str">
        <f t="shared" si="3"/>
        <v>нет з/ч</v>
      </c>
      <c r="AM276" s="304" t="str">
        <f t="shared" si="5"/>
        <v>нет з/ч</v>
      </c>
      <c r="AN276" s="2"/>
      <c r="AO276" s="289"/>
      <c r="AP276" s="296"/>
      <c r="AQ276" s="296"/>
      <c r="AR276" s="139"/>
      <c r="AS276" s="2"/>
      <c r="AT276" s="2"/>
      <c r="AU276" s="2"/>
      <c r="AV276" s="2"/>
      <c r="AW276" s="2"/>
      <c r="AX276" s="3" t="s">
        <v>9385</v>
      </c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</row>
    <row r="277">
      <c r="A277" s="315" t="s">
        <v>9386</v>
      </c>
      <c r="B277" s="93"/>
      <c r="C277" s="65"/>
      <c r="D277" s="31" t="s">
        <v>254</v>
      </c>
      <c r="E277" s="11" t="s">
        <v>8908</v>
      </c>
      <c r="F277" s="427" t="s">
        <v>8915</v>
      </c>
      <c r="G277" s="31" t="s">
        <v>8916</v>
      </c>
      <c r="H277" s="31"/>
      <c r="I277" s="31"/>
      <c r="J277" s="31"/>
      <c r="K277" s="428"/>
      <c r="L277" s="327" t="s">
        <v>9387</v>
      </c>
      <c r="M277" s="322"/>
      <c r="N277" s="328">
        <v>3000.0</v>
      </c>
      <c r="O277" s="429"/>
      <c r="P277" s="322"/>
      <c r="Q277" s="323"/>
      <c r="R277" s="429"/>
      <c r="S277" s="322"/>
      <c r="T277" s="323"/>
      <c r="U277" s="324"/>
      <c r="V277" s="322"/>
      <c r="W277" s="323"/>
      <c r="X277" s="324">
        <v>3000.0</v>
      </c>
      <c r="Y277" s="173" t="s">
        <v>8912</v>
      </c>
      <c r="Z277" s="322">
        <v>3400.0</v>
      </c>
      <c r="AA277" s="313">
        <f>MAX(Z277:Z281)</f>
        <v>3400</v>
      </c>
      <c r="AB277" s="319">
        <f>AA277</f>
        <v>3400</v>
      </c>
      <c r="AC277" s="430"/>
      <c r="AD277" s="326" t="s">
        <v>5839</v>
      </c>
      <c r="AE277" s="329" t="s">
        <v>9388</v>
      </c>
      <c r="AF277" s="431"/>
      <c r="AG277" s="432"/>
      <c r="AH277" s="330">
        <v>46080.71866326389</v>
      </c>
      <c r="AI277" s="2"/>
      <c r="AJ277" s="289">
        <f t="shared" si="1"/>
        <v>400</v>
      </c>
      <c r="AK277" s="61" t="str">
        <f t="shared" si="2"/>
        <v>нет з/ч</v>
      </c>
      <c r="AL277" s="61" t="str">
        <f t="shared" si="3"/>
        <v>нет з/ч</v>
      </c>
      <c r="AM277" s="304" t="str">
        <f t="shared" si="5"/>
        <v>нет з/ч</v>
      </c>
      <c r="AN277" s="2"/>
      <c r="AO277" s="289">
        <v>3000.0</v>
      </c>
      <c r="AP277" s="296"/>
      <c r="AQ277" s="296"/>
      <c r="AR277" s="139"/>
      <c r="AS277" s="2"/>
      <c r="AT277" s="2"/>
      <c r="AU277" s="2"/>
      <c r="AV277" s="2"/>
      <c r="AW277" s="2"/>
      <c r="AX277" s="3" t="s">
        <v>9386</v>
      </c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</row>
    <row r="278">
      <c r="A278" s="315" t="s">
        <v>9389</v>
      </c>
      <c r="B278" s="93"/>
      <c r="C278" s="65"/>
      <c r="D278" s="31" t="s">
        <v>254</v>
      </c>
      <c r="E278" s="11" t="s">
        <v>8908</v>
      </c>
      <c r="F278" s="427" t="s">
        <v>8915</v>
      </c>
      <c r="G278" s="31" t="s">
        <v>8916</v>
      </c>
      <c r="H278" s="31"/>
      <c r="I278" s="31"/>
      <c r="J278" s="31"/>
      <c r="K278" s="428"/>
      <c r="L278" s="327" t="s">
        <v>9390</v>
      </c>
      <c r="M278" s="322"/>
      <c r="N278" s="328">
        <v>3000.0</v>
      </c>
      <c r="O278" s="429"/>
      <c r="P278" s="322"/>
      <c r="Q278" s="323"/>
      <c r="R278" s="429"/>
      <c r="S278" s="322"/>
      <c r="T278" s="323"/>
      <c r="U278" s="324"/>
      <c r="V278" s="322"/>
      <c r="W278" s="323"/>
      <c r="X278" s="324">
        <v>3000.0</v>
      </c>
      <c r="Y278" s="173" t="s">
        <v>8912</v>
      </c>
      <c r="Z278" s="322">
        <v>3400.0</v>
      </c>
      <c r="AA278" s="104"/>
      <c r="AB278" s="319">
        <f>AA277</f>
        <v>3400</v>
      </c>
      <c r="AC278" s="430"/>
      <c r="AD278" s="326" t="s">
        <v>5839</v>
      </c>
      <c r="AE278" s="329" t="s">
        <v>9391</v>
      </c>
      <c r="AF278" s="431"/>
      <c r="AG278" s="432"/>
      <c r="AH278" s="330">
        <v>46080.71868851852</v>
      </c>
      <c r="AI278" s="2"/>
      <c r="AJ278" s="289">
        <f t="shared" si="1"/>
        <v>400</v>
      </c>
      <c r="AK278" s="61" t="str">
        <f t="shared" si="2"/>
        <v>нет з/ч</v>
      </c>
      <c r="AL278" s="61" t="str">
        <f t="shared" si="3"/>
        <v>нет з/ч</v>
      </c>
      <c r="AM278" s="304" t="str">
        <f t="shared" si="5"/>
        <v>нет з/ч</v>
      </c>
      <c r="AN278" s="2"/>
      <c r="AO278" s="289">
        <v>3000.0</v>
      </c>
      <c r="AP278" s="296"/>
      <c r="AQ278" s="296"/>
      <c r="AR278" s="139"/>
      <c r="AS278" s="2"/>
      <c r="AT278" s="2"/>
      <c r="AU278" s="2"/>
      <c r="AV278" s="2"/>
      <c r="AW278" s="2"/>
      <c r="AX278" s="3" t="s">
        <v>9389</v>
      </c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</row>
    <row r="279">
      <c r="A279" s="315" t="s">
        <v>9392</v>
      </c>
      <c r="B279" s="93"/>
      <c r="C279" s="65"/>
      <c r="D279" s="31" t="s">
        <v>254</v>
      </c>
      <c r="E279" s="11" t="s">
        <v>8908</v>
      </c>
      <c r="F279" s="427" t="s">
        <v>8915</v>
      </c>
      <c r="G279" s="31" t="s">
        <v>8916</v>
      </c>
      <c r="H279" s="31"/>
      <c r="I279" s="31"/>
      <c r="J279" s="31"/>
      <c r="K279" s="428"/>
      <c r="L279" s="327" t="s">
        <v>9393</v>
      </c>
      <c r="M279" s="322"/>
      <c r="N279" s="328">
        <v>3000.0</v>
      </c>
      <c r="O279" s="429"/>
      <c r="P279" s="322"/>
      <c r="Q279" s="323"/>
      <c r="R279" s="429"/>
      <c r="S279" s="322"/>
      <c r="T279" s="323"/>
      <c r="U279" s="324"/>
      <c r="V279" s="322"/>
      <c r="W279" s="323"/>
      <c r="X279" s="324">
        <v>3000.0</v>
      </c>
      <c r="Y279" s="173" t="s">
        <v>8912</v>
      </c>
      <c r="Z279" s="322">
        <v>3400.0</v>
      </c>
      <c r="AA279" s="104"/>
      <c r="AB279" s="319">
        <f>AA277</f>
        <v>3400</v>
      </c>
      <c r="AC279" s="430"/>
      <c r="AD279" s="326" t="s">
        <v>5839</v>
      </c>
      <c r="AE279" s="329" t="s">
        <v>9394</v>
      </c>
      <c r="AF279" s="431"/>
      <c r="AG279" s="432"/>
      <c r="AH279" s="330">
        <v>46080.7187128125</v>
      </c>
      <c r="AI279" s="2"/>
      <c r="AJ279" s="289">
        <f t="shared" si="1"/>
        <v>400</v>
      </c>
      <c r="AK279" s="61" t="str">
        <f t="shared" si="2"/>
        <v>нет з/ч</v>
      </c>
      <c r="AL279" s="61" t="str">
        <f t="shared" si="3"/>
        <v>нет з/ч</v>
      </c>
      <c r="AM279" s="304" t="str">
        <f t="shared" si="5"/>
        <v>нет з/ч</v>
      </c>
      <c r="AN279" s="2"/>
      <c r="AO279" s="289">
        <v>3000.0</v>
      </c>
      <c r="AP279" s="296"/>
      <c r="AQ279" s="296"/>
      <c r="AR279" s="139"/>
      <c r="AS279" s="2"/>
      <c r="AT279" s="2"/>
      <c r="AU279" s="2"/>
      <c r="AV279" s="2"/>
      <c r="AW279" s="2"/>
      <c r="AX279" s="3" t="s">
        <v>9392</v>
      </c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>
      <c r="A280" s="315" t="s">
        <v>9395</v>
      </c>
      <c r="B280" s="93"/>
      <c r="C280" s="65"/>
      <c r="D280" s="31" t="s">
        <v>254</v>
      </c>
      <c r="E280" s="11" t="s">
        <v>8908</v>
      </c>
      <c r="F280" s="427" t="s">
        <v>8915</v>
      </c>
      <c r="G280" s="31" t="s">
        <v>8916</v>
      </c>
      <c r="H280" s="31"/>
      <c r="I280" s="31"/>
      <c r="J280" s="31"/>
      <c r="K280" s="428"/>
      <c r="L280" s="327" t="s">
        <v>9396</v>
      </c>
      <c r="M280" s="322"/>
      <c r="N280" s="328">
        <v>3000.0</v>
      </c>
      <c r="O280" s="429"/>
      <c r="P280" s="322"/>
      <c r="Q280" s="323"/>
      <c r="R280" s="429"/>
      <c r="S280" s="322"/>
      <c r="T280" s="323"/>
      <c r="U280" s="324"/>
      <c r="V280" s="322"/>
      <c r="W280" s="323"/>
      <c r="X280" s="324">
        <v>3000.0</v>
      </c>
      <c r="Y280" s="173" t="s">
        <v>8912</v>
      </c>
      <c r="Z280" s="322">
        <v>3400.0</v>
      </c>
      <c r="AA280" s="104"/>
      <c r="AB280" s="319">
        <f>AA277</f>
        <v>3400</v>
      </c>
      <c r="AC280" s="430"/>
      <c r="AD280" s="326" t="s">
        <v>5839</v>
      </c>
      <c r="AE280" s="329" t="s">
        <v>9397</v>
      </c>
      <c r="AF280" s="431"/>
      <c r="AG280" s="432"/>
      <c r="AH280" s="330">
        <v>46080.71873684028</v>
      </c>
      <c r="AI280" s="2"/>
      <c r="AJ280" s="289">
        <f t="shared" si="1"/>
        <v>400</v>
      </c>
      <c r="AK280" s="61" t="str">
        <f t="shared" si="2"/>
        <v>нет з/ч</v>
      </c>
      <c r="AL280" s="61" t="str">
        <f t="shared" si="3"/>
        <v>нет з/ч</v>
      </c>
      <c r="AM280" s="304" t="str">
        <f t="shared" si="5"/>
        <v>нет з/ч</v>
      </c>
      <c r="AN280" s="2"/>
      <c r="AO280" s="289">
        <v>3000.0</v>
      </c>
      <c r="AP280" s="296"/>
      <c r="AQ280" s="296"/>
      <c r="AR280" s="139"/>
      <c r="AS280" s="2"/>
      <c r="AT280" s="2"/>
      <c r="AU280" s="2"/>
      <c r="AV280" s="2"/>
      <c r="AW280" s="2"/>
      <c r="AX280" s="3" t="s">
        <v>9395</v>
      </c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>
      <c r="A281" s="315" t="s">
        <v>9398</v>
      </c>
      <c r="B281" s="93"/>
      <c r="C281" s="65"/>
      <c r="D281" s="31" t="s">
        <v>254</v>
      </c>
      <c r="E281" s="11" t="s">
        <v>8908</v>
      </c>
      <c r="F281" s="427" t="s">
        <v>8915</v>
      </c>
      <c r="G281" s="31" t="s">
        <v>8916</v>
      </c>
      <c r="H281" s="31"/>
      <c r="I281" s="31"/>
      <c r="J281" s="31"/>
      <c r="K281" s="428"/>
      <c r="L281" s="327" t="s">
        <v>9399</v>
      </c>
      <c r="M281" s="322"/>
      <c r="N281" s="328">
        <v>3000.0</v>
      </c>
      <c r="O281" s="429"/>
      <c r="P281" s="322"/>
      <c r="Q281" s="323"/>
      <c r="R281" s="429"/>
      <c r="S281" s="322"/>
      <c r="T281" s="323"/>
      <c r="U281" s="324"/>
      <c r="V281" s="322"/>
      <c r="W281" s="323"/>
      <c r="X281" s="324">
        <v>3000.0</v>
      </c>
      <c r="Y281" s="173" t="s">
        <v>8912</v>
      </c>
      <c r="Z281" s="322">
        <v>3400.0</v>
      </c>
      <c r="AA281" s="67"/>
      <c r="AB281" s="319">
        <f>AA277</f>
        <v>3400</v>
      </c>
      <c r="AC281" s="430"/>
      <c r="AD281" s="326" t="s">
        <v>5839</v>
      </c>
      <c r="AE281" s="329" t="s">
        <v>9400</v>
      </c>
      <c r="AF281" s="431"/>
      <c r="AG281" s="432"/>
      <c r="AH281" s="330">
        <v>46080.71876590278</v>
      </c>
      <c r="AI281" s="2"/>
      <c r="AJ281" s="289">
        <f t="shared" si="1"/>
        <v>400</v>
      </c>
      <c r="AK281" s="61" t="str">
        <f t="shared" si="2"/>
        <v>нет з/ч</v>
      </c>
      <c r="AL281" s="61" t="str">
        <f t="shared" si="3"/>
        <v>нет з/ч</v>
      </c>
      <c r="AM281" s="304" t="str">
        <f t="shared" si="5"/>
        <v>нет з/ч</v>
      </c>
      <c r="AN281" s="2"/>
      <c r="AO281" s="289">
        <v>3000.0</v>
      </c>
      <c r="AP281" s="296"/>
      <c r="AQ281" s="296"/>
      <c r="AR281" s="139"/>
      <c r="AS281" s="2"/>
      <c r="AT281" s="2"/>
      <c r="AU281" s="2"/>
      <c r="AV281" s="2"/>
      <c r="AW281" s="2"/>
      <c r="AX281" s="3" t="s">
        <v>9398</v>
      </c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>
      <c r="A282" s="315" t="s">
        <v>9401</v>
      </c>
      <c r="B282" s="93"/>
      <c r="C282" s="65"/>
      <c r="D282" s="31" t="s">
        <v>262</v>
      </c>
      <c r="E282" s="11" t="s">
        <v>8908</v>
      </c>
      <c r="F282" s="427" t="s">
        <v>8909</v>
      </c>
      <c r="G282" s="31" t="s">
        <v>8910</v>
      </c>
      <c r="H282" s="31"/>
      <c r="I282" s="31"/>
      <c r="J282" s="31"/>
      <c r="K282" s="428"/>
      <c r="L282" s="321"/>
      <c r="M282" s="322"/>
      <c r="N282" s="323"/>
      <c r="O282" s="429"/>
      <c r="P282" s="322"/>
      <c r="Q282" s="323"/>
      <c r="R282" s="429"/>
      <c r="S282" s="322"/>
      <c r="T282" s="323"/>
      <c r="U282" s="324"/>
      <c r="V282" s="322"/>
      <c r="W282" s="323"/>
      <c r="X282" s="324" t="s">
        <v>22</v>
      </c>
      <c r="Y282" s="173" t="s">
        <v>8912</v>
      </c>
      <c r="Z282" s="322" t="s">
        <v>22</v>
      </c>
      <c r="AA282" s="313">
        <f>MAX(Z282:Z293)</f>
        <v>0</v>
      </c>
      <c r="AB282" s="319">
        <f>AA282</f>
        <v>0</v>
      </c>
      <c r="AC282" s="430"/>
      <c r="AD282" s="326" t="s">
        <v>22</v>
      </c>
      <c r="AE282" s="331"/>
      <c r="AF282" s="431"/>
      <c r="AG282" s="432"/>
      <c r="AH282" s="326"/>
      <c r="AI282" s="2"/>
      <c r="AJ282" s="59" t="str">
        <f t="shared" si="1"/>
        <v>нет з/ч</v>
      </c>
      <c r="AK282" s="61" t="str">
        <f t="shared" si="2"/>
        <v>нет з/ч</v>
      </c>
      <c r="AL282" s="61" t="str">
        <f t="shared" si="3"/>
        <v>нет з/ч</v>
      </c>
      <c r="AM282" s="304" t="str">
        <f t="shared" si="5"/>
        <v>нет з/ч</v>
      </c>
      <c r="AN282" s="2"/>
      <c r="AO282" s="289"/>
      <c r="AP282" s="296"/>
      <c r="AQ282" s="296"/>
      <c r="AR282" s="139"/>
      <c r="AS282" s="2"/>
      <c r="AT282" s="2"/>
      <c r="AU282" s="2"/>
      <c r="AV282" s="2"/>
      <c r="AW282" s="2"/>
      <c r="AX282" s="3" t="s">
        <v>9401</v>
      </c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</row>
    <row r="283">
      <c r="A283" s="315" t="s">
        <v>9402</v>
      </c>
      <c r="B283" s="93"/>
      <c r="C283" s="65"/>
      <c r="D283" s="31" t="s">
        <v>262</v>
      </c>
      <c r="E283" s="11" t="s">
        <v>8908</v>
      </c>
      <c r="F283" s="427" t="s">
        <v>8909</v>
      </c>
      <c r="G283" s="31" t="s">
        <v>8910</v>
      </c>
      <c r="H283" s="31"/>
      <c r="I283" s="31"/>
      <c r="J283" s="31"/>
      <c r="K283" s="428"/>
      <c r="L283" s="321"/>
      <c r="M283" s="322"/>
      <c r="N283" s="323"/>
      <c r="O283" s="429"/>
      <c r="P283" s="322"/>
      <c r="Q283" s="323"/>
      <c r="R283" s="429"/>
      <c r="S283" s="322"/>
      <c r="T283" s="323"/>
      <c r="U283" s="324"/>
      <c r="V283" s="322"/>
      <c r="W283" s="323"/>
      <c r="X283" s="324" t="s">
        <v>22</v>
      </c>
      <c r="Y283" s="173" t="s">
        <v>8912</v>
      </c>
      <c r="Z283" s="322" t="s">
        <v>22</v>
      </c>
      <c r="AA283" s="104"/>
      <c r="AB283" s="319">
        <f>AA282</f>
        <v>0</v>
      </c>
      <c r="AC283" s="430"/>
      <c r="AD283" s="326" t="s">
        <v>22</v>
      </c>
      <c r="AE283" s="331"/>
      <c r="AF283" s="431"/>
      <c r="AG283" s="432"/>
      <c r="AH283" s="326"/>
      <c r="AI283" s="2"/>
      <c r="AJ283" s="59" t="str">
        <f t="shared" si="1"/>
        <v>нет з/ч</v>
      </c>
      <c r="AK283" s="61" t="str">
        <f t="shared" si="2"/>
        <v>нет з/ч</v>
      </c>
      <c r="AL283" s="61" t="str">
        <f t="shared" si="3"/>
        <v>нет з/ч</v>
      </c>
      <c r="AM283" s="304" t="str">
        <f t="shared" si="5"/>
        <v>нет з/ч</v>
      </c>
      <c r="AN283" s="2"/>
      <c r="AO283" s="289"/>
      <c r="AP283" s="296"/>
      <c r="AQ283" s="296"/>
      <c r="AR283" s="139"/>
      <c r="AS283" s="2"/>
      <c r="AT283" s="2"/>
      <c r="AU283" s="2"/>
      <c r="AV283" s="2"/>
      <c r="AW283" s="2"/>
      <c r="AX283" s="3" t="s">
        <v>9402</v>
      </c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</row>
    <row r="284">
      <c r="A284" s="315" t="s">
        <v>9403</v>
      </c>
      <c r="B284" s="93"/>
      <c r="C284" s="65"/>
      <c r="D284" s="31" t="s">
        <v>262</v>
      </c>
      <c r="E284" s="11" t="s">
        <v>8908</v>
      </c>
      <c r="F284" s="427" t="s">
        <v>8909</v>
      </c>
      <c r="G284" s="31" t="s">
        <v>8910</v>
      </c>
      <c r="H284" s="31"/>
      <c r="I284" s="31"/>
      <c r="J284" s="31"/>
      <c r="K284" s="428"/>
      <c r="L284" s="321"/>
      <c r="M284" s="322"/>
      <c r="N284" s="323"/>
      <c r="O284" s="429"/>
      <c r="P284" s="322"/>
      <c r="Q284" s="323"/>
      <c r="R284" s="429"/>
      <c r="S284" s="322"/>
      <c r="T284" s="323"/>
      <c r="U284" s="324"/>
      <c r="V284" s="322"/>
      <c r="W284" s="323"/>
      <c r="X284" s="324" t="s">
        <v>22</v>
      </c>
      <c r="Y284" s="173" t="s">
        <v>8912</v>
      </c>
      <c r="Z284" s="322" t="s">
        <v>22</v>
      </c>
      <c r="AA284" s="104"/>
      <c r="AB284" s="319">
        <f>AA282</f>
        <v>0</v>
      </c>
      <c r="AC284" s="430"/>
      <c r="AD284" s="326" t="s">
        <v>22</v>
      </c>
      <c r="AE284" s="331"/>
      <c r="AF284" s="431"/>
      <c r="AG284" s="432"/>
      <c r="AH284" s="326"/>
      <c r="AI284" s="2"/>
      <c r="AJ284" s="59" t="str">
        <f t="shared" si="1"/>
        <v>нет з/ч</v>
      </c>
      <c r="AK284" s="61" t="str">
        <f t="shared" si="2"/>
        <v>нет з/ч</v>
      </c>
      <c r="AL284" s="61" t="str">
        <f t="shared" si="3"/>
        <v>нет з/ч</v>
      </c>
      <c r="AM284" s="304" t="str">
        <f t="shared" si="5"/>
        <v>нет з/ч</v>
      </c>
      <c r="AN284" s="2"/>
      <c r="AO284" s="289"/>
      <c r="AP284" s="296"/>
      <c r="AQ284" s="296"/>
      <c r="AR284" s="139"/>
      <c r="AS284" s="2"/>
      <c r="AT284" s="2"/>
      <c r="AU284" s="2"/>
      <c r="AV284" s="2"/>
      <c r="AW284" s="2"/>
      <c r="AX284" s="3" t="s">
        <v>9403</v>
      </c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>
      <c r="A285" s="315" t="s">
        <v>9404</v>
      </c>
      <c r="B285" s="93"/>
      <c r="C285" s="65"/>
      <c r="D285" s="31" t="s">
        <v>262</v>
      </c>
      <c r="E285" s="11" t="s">
        <v>8908</v>
      </c>
      <c r="F285" s="427" t="s">
        <v>8909</v>
      </c>
      <c r="G285" s="31" t="s">
        <v>8910</v>
      </c>
      <c r="H285" s="31"/>
      <c r="I285" s="31"/>
      <c r="J285" s="31"/>
      <c r="K285" s="428"/>
      <c r="L285" s="321"/>
      <c r="M285" s="322"/>
      <c r="N285" s="323"/>
      <c r="O285" s="429"/>
      <c r="P285" s="322"/>
      <c r="Q285" s="323"/>
      <c r="R285" s="429"/>
      <c r="S285" s="322"/>
      <c r="T285" s="323"/>
      <c r="U285" s="324"/>
      <c r="V285" s="322"/>
      <c r="W285" s="323"/>
      <c r="X285" s="324" t="s">
        <v>22</v>
      </c>
      <c r="Y285" s="173" t="s">
        <v>8912</v>
      </c>
      <c r="Z285" s="322" t="s">
        <v>22</v>
      </c>
      <c r="AA285" s="104"/>
      <c r="AB285" s="319">
        <f>AA282</f>
        <v>0</v>
      </c>
      <c r="AC285" s="430"/>
      <c r="AD285" s="326" t="s">
        <v>22</v>
      </c>
      <c r="AE285" s="331"/>
      <c r="AF285" s="431"/>
      <c r="AG285" s="432"/>
      <c r="AH285" s="326"/>
      <c r="AI285" s="2"/>
      <c r="AJ285" s="59" t="str">
        <f t="shared" si="1"/>
        <v>нет з/ч</v>
      </c>
      <c r="AK285" s="61" t="str">
        <f t="shared" si="2"/>
        <v>нет з/ч</v>
      </c>
      <c r="AL285" s="61" t="str">
        <f t="shared" si="3"/>
        <v>нет з/ч</v>
      </c>
      <c r="AM285" s="304" t="str">
        <f t="shared" si="5"/>
        <v>нет з/ч</v>
      </c>
      <c r="AN285" s="2"/>
      <c r="AO285" s="289"/>
      <c r="AP285" s="296"/>
      <c r="AQ285" s="296"/>
      <c r="AR285" s="139"/>
      <c r="AS285" s="2"/>
      <c r="AT285" s="2"/>
      <c r="AU285" s="2"/>
      <c r="AV285" s="2"/>
      <c r="AW285" s="2"/>
      <c r="AX285" s="3" t="s">
        <v>9404</v>
      </c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</row>
    <row r="286">
      <c r="A286" s="315" t="s">
        <v>9405</v>
      </c>
      <c r="B286" s="93"/>
      <c r="C286" s="65"/>
      <c r="D286" s="31" t="s">
        <v>262</v>
      </c>
      <c r="E286" s="11" t="s">
        <v>8908</v>
      </c>
      <c r="F286" s="427" t="s">
        <v>8909</v>
      </c>
      <c r="G286" s="31" t="s">
        <v>8910</v>
      </c>
      <c r="H286" s="31"/>
      <c r="I286" s="31"/>
      <c r="J286" s="31"/>
      <c r="K286" s="428"/>
      <c r="L286" s="321"/>
      <c r="M286" s="322"/>
      <c r="N286" s="323"/>
      <c r="O286" s="429"/>
      <c r="P286" s="322"/>
      <c r="Q286" s="323"/>
      <c r="R286" s="429"/>
      <c r="S286" s="322"/>
      <c r="T286" s="323"/>
      <c r="U286" s="324"/>
      <c r="V286" s="322"/>
      <c r="W286" s="323"/>
      <c r="X286" s="324" t="s">
        <v>22</v>
      </c>
      <c r="Y286" s="173" t="s">
        <v>8912</v>
      </c>
      <c r="Z286" s="322" t="s">
        <v>22</v>
      </c>
      <c r="AA286" s="104"/>
      <c r="AB286" s="319">
        <f>AA282</f>
        <v>0</v>
      </c>
      <c r="AC286" s="430"/>
      <c r="AD286" s="326" t="s">
        <v>22</v>
      </c>
      <c r="AE286" s="331"/>
      <c r="AF286" s="431"/>
      <c r="AG286" s="432"/>
      <c r="AH286" s="326"/>
      <c r="AI286" s="2"/>
      <c r="AJ286" s="59" t="str">
        <f t="shared" si="1"/>
        <v>нет з/ч</v>
      </c>
      <c r="AK286" s="61" t="str">
        <f t="shared" si="2"/>
        <v>нет з/ч</v>
      </c>
      <c r="AL286" s="61" t="str">
        <f t="shared" si="3"/>
        <v>нет з/ч</v>
      </c>
      <c r="AM286" s="304" t="str">
        <f t="shared" si="5"/>
        <v>нет з/ч</v>
      </c>
      <c r="AN286" s="2"/>
      <c r="AO286" s="289"/>
      <c r="AP286" s="296"/>
      <c r="AQ286" s="296"/>
      <c r="AR286" s="139"/>
      <c r="AS286" s="2"/>
      <c r="AT286" s="2"/>
      <c r="AU286" s="2"/>
      <c r="AV286" s="2"/>
      <c r="AW286" s="2"/>
      <c r="AX286" s="3" t="s">
        <v>9405</v>
      </c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</row>
    <row r="287">
      <c r="A287" s="315" t="s">
        <v>9406</v>
      </c>
      <c r="B287" s="93"/>
      <c r="C287" s="65"/>
      <c r="D287" s="31" t="s">
        <v>262</v>
      </c>
      <c r="E287" s="11" t="s">
        <v>8908</v>
      </c>
      <c r="F287" s="427" t="s">
        <v>8909</v>
      </c>
      <c r="G287" s="31" t="s">
        <v>8910</v>
      </c>
      <c r="H287" s="31"/>
      <c r="I287" s="31"/>
      <c r="J287" s="31"/>
      <c r="K287" s="428"/>
      <c r="L287" s="321"/>
      <c r="M287" s="322"/>
      <c r="N287" s="323"/>
      <c r="O287" s="429"/>
      <c r="P287" s="322"/>
      <c r="Q287" s="323"/>
      <c r="R287" s="429"/>
      <c r="S287" s="322"/>
      <c r="T287" s="323"/>
      <c r="U287" s="324"/>
      <c r="V287" s="322"/>
      <c r="W287" s="323"/>
      <c r="X287" s="324" t="s">
        <v>22</v>
      </c>
      <c r="Y287" s="173" t="s">
        <v>8912</v>
      </c>
      <c r="Z287" s="322" t="s">
        <v>22</v>
      </c>
      <c r="AA287" s="104"/>
      <c r="AB287" s="319">
        <f>AA282</f>
        <v>0</v>
      </c>
      <c r="AC287" s="430"/>
      <c r="AD287" s="326" t="s">
        <v>22</v>
      </c>
      <c r="AE287" s="331"/>
      <c r="AF287" s="431"/>
      <c r="AG287" s="432"/>
      <c r="AH287" s="326"/>
      <c r="AI287" s="2"/>
      <c r="AJ287" s="59" t="str">
        <f t="shared" si="1"/>
        <v>нет з/ч</v>
      </c>
      <c r="AK287" s="61" t="str">
        <f t="shared" si="2"/>
        <v>нет з/ч</v>
      </c>
      <c r="AL287" s="61" t="str">
        <f t="shared" si="3"/>
        <v>нет з/ч</v>
      </c>
      <c r="AM287" s="304" t="str">
        <f t="shared" si="5"/>
        <v>нет з/ч</v>
      </c>
      <c r="AN287" s="2"/>
      <c r="AO287" s="289"/>
      <c r="AP287" s="296"/>
      <c r="AQ287" s="296"/>
      <c r="AR287" s="139"/>
      <c r="AS287" s="2"/>
      <c r="AT287" s="2"/>
      <c r="AU287" s="2"/>
      <c r="AV287" s="2"/>
      <c r="AW287" s="2"/>
      <c r="AX287" s="3" t="s">
        <v>9406</v>
      </c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</row>
    <row r="288">
      <c r="A288" s="315" t="s">
        <v>9407</v>
      </c>
      <c r="B288" s="93"/>
      <c r="C288" s="65"/>
      <c r="D288" s="31" t="s">
        <v>262</v>
      </c>
      <c r="E288" s="11" t="s">
        <v>8908</v>
      </c>
      <c r="F288" s="427" t="s">
        <v>8909</v>
      </c>
      <c r="G288" s="31" t="s">
        <v>8910</v>
      </c>
      <c r="H288" s="31"/>
      <c r="I288" s="31"/>
      <c r="J288" s="31"/>
      <c r="K288" s="428"/>
      <c r="L288" s="321"/>
      <c r="M288" s="322"/>
      <c r="N288" s="323"/>
      <c r="O288" s="429"/>
      <c r="P288" s="322"/>
      <c r="Q288" s="323"/>
      <c r="R288" s="429"/>
      <c r="S288" s="322"/>
      <c r="T288" s="323"/>
      <c r="U288" s="324"/>
      <c r="V288" s="322"/>
      <c r="W288" s="323"/>
      <c r="X288" s="324" t="s">
        <v>22</v>
      </c>
      <c r="Y288" s="173" t="s">
        <v>8912</v>
      </c>
      <c r="Z288" s="322" t="s">
        <v>22</v>
      </c>
      <c r="AA288" s="104"/>
      <c r="AB288" s="319">
        <f>AA282</f>
        <v>0</v>
      </c>
      <c r="AC288" s="430"/>
      <c r="AD288" s="326" t="s">
        <v>22</v>
      </c>
      <c r="AE288" s="331"/>
      <c r="AF288" s="431"/>
      <c r="AG288" s="432"/>
      <c r="AH288" s="326"/>
      <c r="AI288" s="2"/>
      <c r="AJ288" s="59" t="str">
        <f t="shared" si="1"/>
        <v>нет з/ч</v>
      </c>
      <c r="AK288" s="61" t="str">
        <f t="shared" si="2"/>
        <v>нет з/ч</v>
      </c>
      <c r="AL288" s="61" t="str">
        <f t="shared" si="3"/>
        <v>нет з/ч</v>
      </c>
      <c r="AM288" s="304" t="str">
        <f t="shared" si="5"/>
        <v>нет з/ч</v>
      </c>
      <c r="AN288" s="2"/>
      <c r="AO288" s="289"/>
      <c r="AP288" s="296"/>
      <c r="AQ288" s="296"/>
      <c r="AR288" s="139"/>
      <c r="AS288" s="2"/>
      <c r="AT288" s="2"/>
      <c r="AU288" s="2"/>
      <c r="AV288" s="2"/>
      <c r="AW288" s="2"/>
      <c r="AX288" s="3" t="s">
        <v>9407</v>
      </c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</row>
    <row r="289">
      <c r="A289" s="315" t="s">
        <v>9408</v>
      </c>
      <c r="B289" s="93"/>
      <c r="C289" s="65"/>
      <c r="D289" s="31" t="s">
        <v>262</v>
      </c>
      <c r="E289" s="11" t="s">
        <v>8908</v>
      </c>
      <c r="F289" s="427" t="s">
        <v>8909</v>
      </c>
      <c r="G289" s="31" t="s">
        <v>8910</v>
      </c>
      <c r="H289" s="31"/>
      <c r="I289" s="31"/>
      <c r="J289" s="31"/>
      <c r="K289" s="428"/>
      <c r="L289" s="321"/>
      <c r="M289" s="322"/>
      <c r="N289" s="323"/>
      <c r="O289" s="429"/>
      <c r="P289" s="322"/>
      <c r="Q289" s="323"/>
      <c r="R289" s="429"/>
      <c r="S289" s="322"/>
      <c r="T289" s="323"/>
      <c r="U289" s="324"/>
      <c r="V289" s="322"/>
      <c r="W289" s="323"/>
      <c r="X289" s="324" t="s">
        <v>22</v>
      </c>
      <c r="Y289" s="173" t="s">
        <v>8912</v>
      </c>
      <c r="Z289" s="322" t="s">
        <v>22</v>
      </c>
      <c r="AA289" s="104"/>
      <c r="AB289" s="319">
        <f>AA282</f>
        <v>0</v>
      </c>
      <c r="AC289" s="430"/>
      <c r="AD289" s="326" t="s">
        <v>22</v>
      </c>
      <c r="AE289" s="331"/>
      <c r="AF289" s="431"/>
      <c r="AG289" s="432"/>
      <c r="AH289" s="326"/>
      <c r="AI289" s="2"/>
      <c r="AJ289" s="59" t="str">
        <f t="shared" si="1"/>
        <v>нет з/ч</v>
      </c>
      <c r="AK289" s="61" t="str">
        <f t="shared" si="2"/>
        <v>нет з/ч</v>
      </c>
      <c r="AL289" s="61" t="str">
        <f t="shared" si="3"/>
        <v>нет з/ч</v>
      </c>
      <c r="AM289" s="304" t="str">
        <f t="shared" si="5"/>
        <v>нет з/ч</v>
      </c>
      <c r="AN289" s="2"/>
      <c r="AO289" s="289"/>
      <c r="AP289" s="296"/>
      <c r="AQ289" s="296"/>
      <c r="AR289" s="139"/>
      <c r="AS289" s="2"/>
      <c r="AT289" s="2"/>
      <c r="AU289" s="2"/>
      <c r="AV289" s="2"/>
      <c r="AW289" s="2"/>
      <c r="AX289" s="3" t="s">
        <v>9408</v>
      </c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>
      <c r="A290" s="315" t="s">
        <v>9409</v>
      </c>
      <c r="B290" s="93"/>
      <c r="C290" s="65"/>
      <c r="D290" s="31" t="s">
        <v>262</v>
      </c>
      <c r="E290" s="11" t="s">
        <v>8908</v>
      </c>
      <c r="F290" s="427" t="s">
        <v>8909</v>
      </c>
      <c r="G290" s="31" t="s">
        <v>8910</v>
      </c>
      <c r="H290" s="31"/>
      <c r="I290" s="31"/>
      <c r="J290" s="31"/>
      <c r="K290" s="428"/>
      <c r="L290" s="321"/>
      <c r="M290" s="322"/>
      <c r="N290" s="323"/>
      <c r="O290" s="429"/>
      <c r="P290" s="322"/>
      <c r="Q290" s="323"/>
      <c r="R290" s="429"/>
      <c r="S290" s="322"/>
      <c r="T290" s="323"/>
      <c r="U290" s="324"/>
      <c r="V290" s="322"/>
      <c r="W290" s="323"/>
      <c r="X290" s="324" t="s">
        <v>22</v>
      </c>
      <c r="Y290" s="173" t="s">
        <v>8912</v>
      </c>
      <c r="Z290" s="322" t="s">
        <v>22</v>
      </c>
      <c r="AA290" s="104"/>
      <c r="AB290" s="319">
        <f>AA282</f>
        <v>0</v>
      </c>
      <c r="AC290" s="430"/>
      <c r="AD290" s="326" t="s">
        <v>22</v>
      </c>
      <c r="AE290" s="331"/>
      <c r="AF290" s="431"/>
      <c r="AG290" s="432"/>
      <c r="AH290" s="326"/>
      <c r="AI290" s="2"/>
      <c r="AJ290" s="59" t="str">
        <f t="shared" si="1"/>
        <v>нет з/ч</v>
      </c>
      <c r="AK290" s="61" t="str">
        <f t="shared" si="2"/>
        <v>нет з/ч</v>
      </c>
      <c r="AL290" s="61" t="str">
        <f t="shared" si="3"/>
        <v>нет з/ч</v>
      </c>
      <c r="AM290" s="304" t="str">
        <f t="shared" si="5"/>
        <v>нет з/ч</v>
      </c>
      <c r="AN290" s="2"/>
      <c r="AO290" s="289"/>
      <c r="AP290" s="296"/>
      <c r="AQ290" s="296"/>
      <c r="AR290" s="139"/>
      <c r="AS290" s="2"/>
      <c r="AT290" s="2"/>
      <c r="AU290" s="2"/>
      <c r="AV290" s="2"/>
      <c r="AW290" s="2"/>
      <c r="AX290" s="3" t="s">
        <v>9409</v>
      </c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>
      <c r="A291" s="315" t="s">
        <v>9410</v>
      </c>
      <c r="B291" s="93"/>
      <c r="C291" s="65"/>
      <c r="D291" s="31" t="s">
        <v>262</v>
      </c>
      <c r="E291" s="11" t="s">
        <v>8908</v>
      </c>
      <c r="F291" s="427" t="s">
        <v>8909</v>
      </c>
      <c r="G291" s="31" t="s">
        <v>8910</v>
      </c>
      <c r="H291" s="31"/>
      <c r="I291" s="31"/>
      <c r="J291" s="31"/>
      <c r="K291" s="428"/>
      <c r="L291" s="321"/>
      <c r="M291" s="322"/>
      <c r="N291" s="323"/>
      <c r="O291" s="429"/>
      <c r="P291" s="322"/>
      <c r="Q291" s="323"/>
      <c r="R291" s="429"/>
      <c r="S291" s="322"/>
      <c r="T291" s="323"/>
      <c r="U291" s="324"/>
      <c r="V291" s="322"/>
      <c r="W291" s="323"/>
      <c r="X291" s="324" t="s">
        <v>22</v>
      </c>
      <c r="Y291" s="173" t="s">
        <v>8912</v>
      </c>
      <c r="Z291" s="322" t="s">
        <v>22</v>
      </c>
      <c r="AA291" s="104"/>
      <c r="AB291" s="319">
        <f>AA282</f>
        <v>0</v>
      </c>
      <c r="AC291" s="430"/>
      <c r="AD291" s="326" t="s">
        <v>22</v>
      </c>
      <c r="AE291" s="331"/>
      <c r="AF291" s="431"/>
      <c r="AG291" s="432"/>
      <c r="AH291" s="326"/>
      <c r="AI291" s="2"/>
      <c r="AJ291" s="59" t="str">
        <f t="shared" si="1"/>
        <v>нет з/ч</v>
      </c>
      <c r="AK291" s="61" t="str">
        <f t="shared" si="2"/>
        <v>нет з/ч</v>
      </c>
      <c r="AL291" s="61" t="str">
        <f t="shared" si="3"/>
        <v>нет з/ч</v>
      </c>
      <c r="AM291" s="304" t="str">
        <f t="shared" si="5"/>
        <v>нет з/ч</v>
      </c>
      <c r="AN291" s="2"/>
      <c r="AO291" s="289"/>
      <c r="AP291" s="296"/>
      <c r="AQ291" s="296"/>
      <c r="AR291" s="139"/>
      <c r="AS291" s="2"/>
      <c r="AT291" s="2"/>
      <c r="AU291" s="2"/>
      <c r="AV291" s="2"/>
      <c r="AW291" s="2"/>
      <c r="AX291" s="3" t="s">
        <v>9410</v>
      </c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>
      <c r="A292" s="315" t="s">
        <v>9411</v>
      </c>
      <c r="B292" s="93"/>
      <c r="C292" s="65"/>
      <c r="D292" s="31" t="s">
        <v>262</v>
      </c>
      <c r="E292" s="11" t="s">
        <v>8908</v>
      </c>
      <c r="F292" s="427" t="s">
        <v>8909</v>
      </c>
      <c r="G292" s="31" t="s">
        <v>8910</v>
      </c>
      <c r="H292" s="31"/>
      <c r="I292" s="31"/>
      <c r="J292" s="31"/>
      <c r="K292" s="428"/>
      <c r="L292" s="321"/>
      <c r="M292" s="322"/>
      <c r="N292" s="323"/>
      <c r="O292" s="429"/>
      <c r="P292" s="322"/>
      <c r="Q292" s="323"/>
      <c r="R292" s="429"/>
      <c r="S292" s="322"/>
      <c r="T292" s="323"/>
      <c r="U292" s="324"/>
      <c r="V292" s="322"/>
      <c r="W292" s="323"/>
      <c r="X292" s="324" t="s">
        <v>22</v>
      </c>
      <c r="Y292" s="173" t="s">
        <v>8912</v>
      </c>
      <c r="Z292" s="322" t="s">
        <v>22</v>
      </c>
      <c r="AA292" s="104"/>
      <c r="AB292" s="319">
        <f>AA282</f>
        <v>0</v>
      </c>
      <c r="AC292" s="430"/>
      <c r="AD292" s="326" t="s">
        <v>22</v>
      </c>
      <c r="AE292" s="331"/>
      <c r="AF292" s="431"/>
      <c r="AG292" s="432"/>
      <c r="AH292" s="326"/>
      <c r="AI292" s="2"/>
      <c r="AJ292" s="59" t="str">
        <f t="shared" si="1"/>
        <v>нет з/ч</v>
      </c>
      <c r="AK292" s="61" t="str">
        <f t="shared" si="2"/>
        <v>нет з/ч</v>
      </c>
      <c r="AL292" s="61" t="str">
        <f t="shared" si="3"/>
        <v>нет з/ч</v>
      </c>
      <c r="AM292" s="304" t="str">
        <f t="shared" si="5"/>
        <v>нет з/ч</v>
      </c>
      <c r="AN292" s="2"/>
      <c r="AO292" s="289"/>
      <c r="AP292" s="296"/>
      <c r="AQ292" s="296"/>
      <c r="AR292" s="139"/>
      <c r="AS292" s="2"/>
      <c r="AT292" s="2"/>
      <c r="AU292" s="2"/>
      <c r="AV292" s="2"/>
      <c r="AW292" s="2"/>
      <c r="AX292" s="3" t="s">
        <v>9411</v>
      </c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</row>
    <row r="293">
      <c r="A293" s="315" t="s">
        <v>9412</v>
      </c>
      <c r="B293" s="93"/>
      <c r="C293" s="65"/>
      <c r="D293" s="31" t="s">
        <v>262</v>
      </c>
      <c r="E293" s="11" t="s">
        <v>8908</v>
      </c>
      <c r="F293" s="427" t="s">
        <v>8909</v>
      </c>
      <c r="G293" s="31" t="s">
        <v>8910</v>
      </c>
      <c r="H293" s="31"/>
      <c r="I293" s="31"/>
      <c r="J293" s="31"/>
      <c r="K293" s="428"/>
      <c r="L293" s="321"/>
      <c r="M293" s="322"/>
      <c r="N293" s="323"/>
      <c r="O293" s="429"/>
      <c r="P293" s="322"/>
      <c r="Q293" s="323"/>
      <c r="R293" s="429"/>
      <c r="S293" s="322"/>
      <c r="T293" s="323"/>
      <c r="U293" s="324"/>
      <c r="V293" s="322"/>
      <c r="W293" s="323"/>
      <c r="X293" s="324" t="s">
        <v>22</v>
      </c>
      <c r="Y293" s="173" t="s">
        <v>8912</v>
      </c>
      <c r="Z293" s="322" t="s">
        <v>22</v>
      </c>
      <c r="AA293" s="67"/>
      <c r="AB293" s="319">
        <f>AA282</f>
        <v>0</v>
      </c>
      <c r="AC293" s="430"/>
      <c r="AD293" s="326" t="s">
        <v>22</v>
      </c>
      <c r="AE293" s="331"/>
      <c r="AF293" s="431"/>
      <c r="AG293" s="432"/>
      <c r="AH293" s="326"/>
      <c r="AI293" s="2"/>
      <c r="AJ293" s="59" t="str">
        <f t="shared" si="1"/>
        <v>нет з/ч</v>
      </c>
      <c r="AK293" s="61" t="str">
        <f t="shared" si="2"/>
        <v>нет з/ч</v>
      </c>
      <c r="AL293" s="61" t="str">
        <f t="shared" si="3"/>
        <v>нет з/ч</v>
      </c>
      <c r="AM293" s="304" t="str">
        <f t="shared" si="5"/>
        <v>нет з/ч</v>
      </c>
      <c r="AN293" s="2"/>
      <c r="AO293" s="289"/>
      <c r="AP293" s="296"/>
      <c r="AQ293" s="296"/>
      <c r="AR293" s="139"/>
      <c r="AS293" s="2"/>
      <c r="AT293" s="2"/>
      <c r="AU293" s="2"/>
      <c r="AV293" s="2"/>
      <c r="AW293" s="2"/>
      <c r="AX293" s="3" t="s">
        <v>9412</v>
      </c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>
      <c r="A294" s="315" t="s">
        <v>9413</v>
      </c>
      <c r="B294" s="93"/>
      <c r="C294" s="65"/>
      <c r="D294" s="31" t="s">
        <v>262</v>
      </c>
      <c r="E294" s="11" t="s">
        <v>8908</v>
      </c>
      <c r="F294" s="427" t="s">
        <v>8915</v>
      </c>
      <c r="G294" s="31" t="s">
        <v>8916</v>
      </c>
      <c r="H294" s="31"/>
      <c r="I294" s="31"/>
      <c r="J294" s="31"/>
      <c r="K294" s="428"/>
      <c r="L294" s="327" t="s">
        <v>9414</v>
      </c>
      <c r="M294" s="322"/>
      <c r="N294" s="328">
        <v>1300.0</v>
      </c>
      <c r="O294" s="429"/>
      <c r="P294" s="322"/>
      <c r="Q294" s="323"/>
      <c r="R294" s="429"/>
      <c r="S294" s="322"/>
      <c r="T294" s="323"/>
      <c r="U294" s="324"/>
      <c r="V294" s="322"/>
      <c r="W294" s="323"/>
      <c r="X294" s="324">
        <v>1300.0</v>
      </c>
      <c r="Y294" s="173" t="s">
        <v>8912</v>
      </c>
      <c r="Z294" s="322">
        <v>1500.0</v>
      </c>
      <c r="AA294" s="313">
        <f>MAX(Z294:Z299)</f>
        <v>1500</v>
      </c>
      <c r="AB294" s="319">
        <f>AA294</f>
        <v>1500</v>
      </c>
      <c r="AC294" s="430"/>
      <c r="AD294" s="326" t="s">
        <v>5839</v>
      </c>
      <c r="AE294" s="329" t="s">
        <v>9415</v>
      </c>
      <c r="AF294" s="431"/>
      <c r="AG294" s="432"/>
      <c r="AH294" s="330">
        <v>46080.71879909722</v>
      </c>
      <c r="AI294" s="2"/>
      <c r="AJ294" s="289">
        <f t="shared" si="1"/>
        <v>200</v>
      </c>
      <c r="AK294" s="61" t="str">
        <f t="shared" si="2"/>
        <v>нет з/ч</v>
      </c>
      <c r="AL294" s="61" t="str">
        <f t="shared" si="3"/>
        <v>нет з/ч</v>
      </c>
      <c r="AM294" s="304" t="str">
        <f t="shared" si="5"/>
        <v>нет з/ч</v>
      </c>
      <c r="AN294" s="2"/>
      <c r="AO294" s="289">
        <v>1300.0</v>
      </c>
      <c r="AP294" s="296"/>
      <c r="AQ294" s="296"/>
      <c r="AR294" s="139"/>
      <c r="AS294" s="2"/>
      <c r="AT294" s="2"/>
      <c r="AU294" s="2"/>
      <c r="AV294" s="2"/>
      <c r="AW294" s="2"/>
      <c r="AX294" s="3" t="s">
        <v>9413</v>
      </c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>
      <c r="A295" s="315" t="s">
        <v>9416</v>
      </c>
      <c r="B295" s="93"/>
      <c r="C295" s="65"/>
      <c r="D295" s="31" t="s">
        <v>262</v>
      </c>
      <c r="E295" s="11" t="s">
        <v>8908</v>
      </c>
      <c r="F295" s="427" t="s">
        <v>8915</v>
      </c>
      <c r="G295" s="31" t="s">
        <v>8916</v>
      </c>
      <c r="H295" s="31"/>
      <c r="I295" s="31"/>
      <c r="J295" s="31"/>
      <c r="K295" s="428"/>
      <c r="L295" s="327" t="s">
        <v>9417</v>
      </c>
      <c r="M295" s="322"/>
      <c r="N295" s="328">
        <v>1300.0</v>
      </c>
      <c r="O295" s="429"/>
      <c r="P295" s="322"/>
      <c r="Q295" s="323"/>
      <c r="R295" s="429"/>
      <c r="S295" s="322"/>
      <c r="T295" s="323"/>
      <c r="U295" s="324"/>
      <c r="V295" s="322"/>
      <c r="W295" s="323"/>
      <c r="X295" s="324">
        <v>1300.0</v>
      </c>
      <c r="Y295" s="173" t="s">
        <v>8912</v>
      </c>
      <c r="Z295" s="322">
        <v>1500.0</v>
      </c>
      <c r="AA295" s="104"/>
      <c r="AB295" s="319">
        <f>AA294</f>
        <v>1500</v>
      </c>
      <c r="AC295" s="430"/>
      <c r="AD295" s="326" t="s">
        <v>5839</v>
      </c>
      <c r="AE295" s="329" t="s">
        <v>9418</v>
      </c>
      <c r="AF295" s="431"/>
      <c r="AG295" s="432"/>
      <c r="AH295" s="330">
        <v>46080.71882582176</v>
      </c>
      <c r="AI295" s="2"/>
      <c r="AJ295" s="289">
        <f t="shared" si="1"/>
        <v>200</v>
      </c>
      <c r="AK295" s="61" t="str">
        <f t="shared" si="2"/>
        <v>нет з/ч</v>
      </c>
      <c r="AL295" s="61" t="str">
        <f t="shared" si="3"/>
        <v>нет з/ч</v>
      </c>
      <c r="AM295" s="304" t="str">
        <f t="shared" si="5"/>
        <v>нет з/ч</v>
      </c>
      <c r="AN295" s="2"/>
      <c r="AO295" s="289">
        <v>1300.0</v>
      </c>
      <c r="AP295" s="296"/>
      <c r="AQ295" s="296"/>
      <c r="AR295" s="139"/>
      <c r="AS295" s="2"/>
      <c r="AT295" s="2"/>
      <c r="AU295" s="2"/>
      <c r="AV295" s="2"/>
      <c r="AW295" s="2"/>
      <c r="AX295" s="3" t="s">
        <v>9416</v>
      </c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>
      <c r="A296" s="315" t="s">
        <v>9419</v>
      </c>
      <c r="B296" s="93"/>
      <c r="C296" s="65"/>
      <c r="D296" s="31" t="s">
        <v>262</v>
      </c>
      <c r="E296" s="11" t="s">
        <v>8908</v>
      </c>
      <c r="F296" s="427" t="s">
        <v>8915</v>
      </c>
      <c r="G296" s="31" t="s">
        <v>8916</v>
      </c>
      <c r="H296" s="31"/>
      <c r="I296" s="31"/>
      <c r="J296" s="31"/>
      <c r="K296" s="428"/>
      <c r="L296" s="327" t="s">
        <v>9420</v>
      </c>
      <c r="M296" s="322"/>
      <c r="N296" s="328">
        <v>1300.0</v>
      </c>
      <c r="O296" s="429"/>
      <c r="P296" s="322"/>
      <c r="Q296" s="323"/>
      <c r="R296" s="429"/>
      <c r="S296" s="322"/>
      <c r="T296" s="323"/>
      <c r="U296" s="324"/>
      <c r="V296" s="322"/>
      <c r="W296" s="323"/>
      <c r="X296" s="324">
        <v>1300.0</v>
      </c>
      <c r="Y296" s="173" t="s">
        <v>8912</v>
      </c>
      <c r="Z296" s="322">
        <v>1500.0</v>
      </c>
      <c r="AA296" s="104"/>
      <c r="AB296" s="319">
        <f>AA294</f>
        <v>1500</v>
      </c>
      <c r="AC296" s="430"/>
      <c r="AD296" s="326" t="s">
        <v>5839</v>
      </c>
      <c r="AE296" s="329" t="s">
        <v>9421</v>
      </c>
      <c r="AF296" s="431"/>
      <c r="AG296" s="432"/>
      <c r="AH296" s="330">
        <v>46080.71885733797</v>
      </c>
      <c r="AI296" s="2"/>
      <c r="AJ296" s="289">
        <f t="shared" si="1"/>
        <v>200</v>
      </c>
      <c r="AK296" s="61" t="str">
        <f t="shared" si="2"/>
        <v>нет з/ч</v>
      </c>
      <c r="AL296" s="61" t="str">
        <f t="shared" si="3"/>
        <v>нет з/ч</v>
      </c>
      <c r="AM296" s="304" t="str">
        <f t="shared" si="5"/>
        <v>нет з/ч</v>
      </c>
      <c r="AN296" s="2"/>
      <c r="AO296" s="289">
        <v>1300.0</v>
      </c>
      <c r="AP296" s="296"/>
      <c r="AQ296" s="296"/>
      <c r="AR296" s="139"/>
      <c r="AS296" s="2"/>
      <c r="AT296" s="2"/>
      <c r="AU296" s="2"/>
      <c r="AV296" s="2"/>
      <c r="AW296" s="2"/>
      <c r="AX296" s="3" t="s">
        <v>9419</v>
      </c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>
      <c r="A297" s="315" t="s">
        <v>9422</v>
      </c>
      <c r="B297" s="93"/>
      <c r="C297" s="65"/>
      <c r="D297" s="31" t="s">
        <v>262</v>
      </c>
      <c r="E297" s="11" t="s">
        <v>8908</v>
      </c>
      <c r="F297" s="427" t="s">
        <v>8915</v>
      </c>
      <c r="G297" s="31" t="s">
        <v>8916</v>
      </c>
      <c r="H297" s="31"/>
      <c r="I297" s="31"/>
      <c r="J297" s="31"/>
      <c r="K297" s="428"/>
      <c r="L297" s="327" t="s">
        <v>9423</v>
      </c>
      <c r="M297" s="322"/>
      <c r="N297" s="328">
        <v>1300.0</v>
      </c>
      <c r="O297" s="429"/>
      <c r="P297" s="322"/>
      <c r="Q297" s="323"/>
      <c r="R297" s="429"/>
      <c r="S297" s="322"/>
      <c r="T297" s="323"/>
      <c r="U297" s="324"/>
      <c r="V297" s="322"/>
      <c r="W297" s="323"/>
      <c r="X297" s="324">
        <v>1300.0</v>
      </c>
      <c r="Y297" s="173" t="s">
        <v>8912</v>
      </c>
      <c r="Z297" s="322">
        <v>1500.0</v>
      </c>
      <c r="AA297" s="104"/>
      <c r="AB297" s="319">
        <f>AA294</f>
        <v>1500</v>
      </c>
      <c r="AC297" s="430"/>
      <c r="AD297" s="326" t="s">
        <v>5839</v>
      </c>
      <c r="AE297" s="329" t="s">
        <v>9424</v>
      </c>
      <c r="AF297" s="431"/>
      <c r="AG297" s="432"/>
      <c r="AH297" s="330">
        <v>46080.718885254624</v>
      </c>
      <c r="AI297" s="2"/>
      <c r="AJ297" s="289">
        <f t="shared" si="1"/>
        <v>200</v>
      </c>
      <c r="AK297" s="61" t="str">
        <f t="shared" si="2"/>
        <v>нет з/ч</v>
      </c>
      <c r="AL297" s="61" t="str">
        <f t="shared" si="3"/>
        <v>нет з/ч</v>
      </c>
      <c r="AM297" s="304" t="str">
        <f t="shared" si="5"/>
        <v>нет з/ч</v>
      </c>
      <c r="AN297" s="2"/>
      <c r="AO297" s="289">
        <v>1300.0</v>
      </c>
      <c r="AP297" s="296"/>
      <c r="AQ297" s="296"/>
      <c r="AR297" s="139"/>
      <c r="AS297" s="2"/>
      <c r="AT297" s="2"/>
      <c r="AU297" s="2"/>
      <c r="AV297" s="2"/>
      <c r="AW297" s="2"/>
      <c r="AX297" s="3" t="s">
        <v>9422</v>
      </c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>
      <c r="A298" s="315" t="s">
        <v>9425</v>
      </c>
      <c r="B298" s="93"/>
      <c r="C298" s="65"/>
      <c r="D298" s="31" t="s">
        <v>262</v>
      </c>
      <c r="E298" s="11" t="s">
        <v>8908</v>
      </c>
      <c r="F298" s="427" t="s">
        <v>8915</v>
      </c>
      <c r="G298" s="31" t="s">
        <v>8916</v>
      </c>
      <c r="H298" s="31"/>
      <c r="I298" s="31"/>
      <c r="J298" s="31"/>
      <c r="K298" s="428"/>
      <c r="L298" s="327" t="s">
        <v>9426</v>
      </c>
      <c r="M298" s="322"/>
      <c r="N298" s="328">
        <v>1300.0</v>
      </c>
      <c r="O298" s="429"/>
      <c r="P298" s="322"/>
      <c r="Q298" s="323"/>
      <c r="R298" s="429"/>
      <c r="S298" s="322"/>
      <c r="T298" s="323"/>
      <c r="U298" s="324"/>
      <c r="V298" s="322"/>
      <c r="W298" s="323"/>
      <c r="X298" s="324">
        <v>1300.0</v>
      </c>
      <c r="Y298" s="173" t="s">
        <v>8912</v>
      </c>
      <c r="Z298" s="322">
        <v>1500.0</v>
      </c>
      <c r="AA298" s="104"/>
      <c r="AB298" s="319">
        <f>AA294</f>
        <v>1500</v>
      </c>
      <c r="AC298" s="430"/>
      <c r="AD298" s="326" t="s">
        <v>5839</v>
      </c>
      <c r="AE298" s="329" t="s">
        <v>9427</v>
      </c>
      <c r="AF298" s="431"/>
      <c r="AG298" s="432"/>
      <c r="AH298" s="330">
        <v>46080.71891074074</v>
      </c>
      <c r="AI298" s="2"/>
      <c r="AJ298" s="289">
        <f t="shared" si="1"/>
        <v>200</v>
      </c>
      <c r="AK298" s="61" t="str">
        <f t="shared" si="2"/>
        <v>нет з/ч</v>
      </c>
      <c r="AL298" s="61" t="str">
        <f t="shared" si="3"/>
        <v>нет з/ч</v>
      </c>
      <c r="AM298" s="304" t="str">
        <f t="shared" si="5"/>
        <v>нет з/ч</v>
      </c>
      <c r="AN298" s="2"/>
      <c r="AO298" s="289">
        <v>1300.0</v>
      </c>
      <c r="AP298" s="296"/>
      <c r="AQ298" s="296"/>
      <c r="AR298" s="139"/>
      <c r="AS298" s="2"/>
      <c r="AT298" s="2"/>
      <c r="AU298" s="2"/>
      <c r="AV298" s="2"/>
      <c r="AW298" s="2"/>
      <c r="AX298" s="3" t="s">
        <v>9425</v>
      </c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>
      <c r="A299" s="315" t="s">
        <v>9428</v>
      </c>
      <c r="B299" s="93"/>
      <c r="C299" s="65"/>
      <c r="D299" s="31" t="s">
        <v>262</v>
      </c>
      <c r="E299" s="11" t="s">
        <v>8908</v>
      </c>
      <c r="F299" s="427" t="s">
        <v>8915</v>
      </c>
      <c r="G299" s="31" t="s">
        <v>8916</v>
      </c>
      <c r="H299" s="31"/>
      <c r="I299" s="31"/>
      <c r="J299" s="31"/>
      <c r="K299" s="428"/>
      <c r="L299" s="321"/>
      <c r="M299" s="322"/>
      <c r="N299" s="323"/>
      <c r="O299" s="429"/>
      <c r="P299" s="322"/>
      <c r="Q299" s="323"/>
      <c r="R299" s="429"/>
      <c r="S299" s="322"/>
      <c r="T299" s="323"/>
      <c r="U299" s="324"/>
      <c r="V299" s="322"/>
      <c r="W299" s="323"/>
      <c r="X299" s="324" t="s">
        <v>22</v>
      </c>
      <c r="Y299" s="173" t="s">
        <v>8912</v>
      </c>
      <c r="Z299" s="322" t="s">
        <v>22</v>
      </c>
      <c r="AA299" s="67"/>
      <c r="AB299" s="319">
        <f>AA294</f>
        <v>1500</v>
      </c>
      <c r="AC299" s="430"/>
      <c r="AD299" s="326" t="s">
        <v>22</v>
      </c>
      <c r="AE299" s="331"/>
      <c r="AF299" s="431"/>
      <c r="AG299" s="432"/>
      <c r="AH299" s="326"/>
      <c r="AI299" s="2"/>
      <c r="AJ299" s="59" t="str">
        <f t="shared" si="1"/>
        <v>нет з/ч</v>
      </c>
      <c r="AK299" s="61" t="str">
        <f t="shared" si="2"/>
        <v>нет з/ч</v>
      </c>
      <c r="AL299" s="61" t="str">
        <f t="shared" si="3"/>
        <v>нет з/ч</v>
      </c>
      <c r="AM299" s="304" t="str">
        <f t="shared" si="5"/>
        <v>нет з/ч</v>
      </c>
      <c r="AN299" s="2"/>
      <c r="AO299" s="289"/>
      <c r="AP299" s="296"/>
      <c r="AQ299" s="296"/>
      <c r="AR299" s="139"/>
      <c r="AS299" s="2"/>
      <c r="AT299" s="2"/>
      <c r="AU299" s="2"/>
      <c r="AV299" s="2"/>
      <c r="AW299" s="2"/>
      <c r="AX299" s="3" t="s">
        <v>9428</v>
      </c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>
      <c r="A300" s="315" t="s">
        <v>9429</v>
      </c>
      <c r="B300" s="93"/>
      <c r="C300" s="65"/>
      <c r="D300" s="31" t="s">
        <v>269</v>
      </c>
      <c r="E300" s="11" t="s">
        <v>8908</v>
      </c>
      <c r="F300" s="427" t="s">
        <v>8909</v>
      </c>
      <c r="G300" s="31" t="s">
        <v>8910</v>
      </c>
      <c r="H300" s="31"/>
      <c r="I300" s="31"/>
      <c r="J300" s="31"/>
      <c r="K300" s="428"/>
      <c r="L300" s="321"/>
      <c r="M300" s="322"/>
      <c r="N300" s="323"/>
      <c r="O300" s="429"/>
      <c r="P300" s="322"/>
      <c r="Q300" s="323"/>
      <c r="R300" s="429"/>
      <c r="S300" s="322"/>
      <c r="T300" s="323"/>
      <c r="U300" s="324"/>
      <c r="V300" s="322"/>
      <c r="W300" s="323"/>
      <c r="X300" s="324" t="s">
        <v>22</v>
      </c>
      <c r="Y300" s="173" t="s">
        <v>8912</v>
      </c>
      <c r="Z300" s="322" t="s">
        <v>22</v>
      </c>
      <c r="AA300" s="313">
        <f>MAX(Z300:Z311)</f>
        <v>0</v>
      </c>
      <c r="AB300" s="319">
        <f>AA300</f>
        <v>0</v>
      </c>
      <c r="AC300" s="430"/>
      <c r="AD300" s="326" t="s">
        <v>22</v>
      </c>
      <c r="AE300" s="331"/>
      <c r="AF300" s="431"/>
      <c r="AG300" s="432"/>
      <c r="AH300" s="326"/>
      <c r="AI300" s="2"/>
      <c r="AJ300" s="59" t="str">
        <f t="shared" si="1"/>
        <v>нет з/ч</v>
      </c>
      <c r="AK300" s="61" t="str">
        <f t="shared" si="2"/>
        <v>нет з/ч</v>
      </c>
      <c r="AL300" s="61" t="str">
        <f t="shared" si="3"/>
        <v>нет з/ч</v>
      </c>
      <c r="AM300" s="304" t="str">
        <f t="shared" si="5"/>
        <v>нет з/ч</v>
      </c>
      <c r="AN300" s="2"/>
      <c r="AO300" s="289"/>
      <c r="AP300" s="296"/>
      <c r="AQ300" s="296"/>
      <c r="AR300" s="139"/>
      <c r="AS300" s="2"/>
      <c r="AT300" s="2"/>
      <c r="AU300" s="2"/>
      <c r="AV300" s="2"/>
      <c r="AW300" s="2"/>
      <c r="AX300" s="3" t="s">
        <v>9429</v>
      </c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</row>
    <row r="301">
      <c r="A301" s="315" t="s">
        <v>9430</v>
      </c>
      <c r="B301" s="93"/>
      <c r="C301" s="65"/>
      <c r="D301" s="31" t="s">
        <v>269</v>
      </c>
      <c r="E301" s="11" t="s">
        <v>8908</v>
      </c>
      <c r="F301" s="427" t="s">
        <v>8909</v>
      </c>
      <c r="G301" s="31" t="s">
        <v>8910</v>
      </c>
      <c r="H301" s="31"/>
      <c r="I301" s="31"/>
      <c r="J301" s="31"/>
      <c r="K301" s="428"/>
      <c r="L301" s="321"/>
      <c r="M301" s="322"/>
      <c r="N301" s="323"/>
      <c r="O301" s="429"/>
      <c r="P301" s="322"/>
      <c r="Q301" s="323"/>
      <c r="R301" s="429"/>
      <c r="S301" s="322"/>
      <c r="T301" s="323"/>
      <c r="U301" s="324"/>
      <c r="V301" s="322"/>
      <c r="W301" s="323"/>
      <c r="X301" s="324" t="s">
        <v>22</v>
      </c>
      <c r="Y301" s="173" t="s">
        <v>8912</v>
      </c>
      <c r="Z301" s="322" t="s">
        <v>22</v>
      </c>
      <c r="AA301" s="104"/>
      <c r="AB301" s="319">
        <f>AA300</f>
        <v>0</v>
      </c>
      <c r="AC301" s="430"/>
      <c r="AD301" s="326" t="s">
        <v>22</v>
      </c>
      <c r="AE301" s="331"/>
      <c r="AF301" s="431"/>
      <c r="AG301" s="432"/>
      <c r="AH301" s="326"/>
      <c r="AI301" s="2"/>
      <c r="AJ301" s="59" t="str">
        <f t="shared" si="1"/>
        <v>нет з/ч</v>
      </c>
      <c r="AK301" s="61" t="str">
        <f t="shared" si="2"/>
        <v>нет з/ч</v>
      </c>
      <c r="AL301" s="61" t="str">
        <f t="shared" si="3"/>
        <v>нет з/ч</v>
      </c>
      <c r="AM301" s="304" t="str">
        <f t="shared" si="5"/>
        <v>нет з/ч</v>
      </c>
      <c r="AN301" s="2"/>
      <c r="AO301" s="289"/>
      <c r="AP301" s="296"/>
      <c r="AQ301" s="296"/>
      <c r="AR301" s="139"/>
      <c r="AS301" s="2"/>
      <c r="AT301" s="2"/>
      <c r="AU301" s="2"/>
      <c r="AV301" s="2"/>
      <c r="AW301" s="2"/>
      <c r="AX301" s="3" t="s">
        <v>9430</v>
      </c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</row>
    <row r="302">
      <c r="A302" s="315" t="s">
        <v>9431</v>
      </c>
      <c r="B302" s="93"/>
      <c r="C302" s="65"/>
      <c r="D302" s="31" t="s">
        <v>269</v>
      </c>
      <c r="E302" s="11" t="s">
        <v>8908</v>
      </c>
      <c r="F302" s="427" t="s">
        <v>8909</v>
      </c>
      <c r="G302" s="31" t="s">
        <v>8910</v>
      </c>
      <c r="H302" s="31"/>
      <c r="I302" s="31"/>
      <c r="J302" s="31"/>
      <c r="K302" s="428"/>
      <c r="L302" s="321"/>
      <c r="M302" s="322"/>
      <c r="N302" s="323"/>
      <c r="O302" s="429"/>
      <c r="P302" s="322"/>
      <c r="Q302" s="323"/>
      <c r="R302" s="429"/>
      <c r="S302" s="322"/>
      <c r="T302" s="323"/>
      <c r="U302" s="324"/>
      <c r="V302" s="322"/>
      <c r="W302" s="323"/>
      <c r="X302" s="324" t="s">
        <v>22</v>
      </c>
      <c r="Y302" s="173" t="s">
        <v>8912</v>
      </c>
      <c r="Z302" s="322" t="s">
        <v>22</v>
      </c>
      <c r="AA302" s="104"/>
      <c r="AB302" s="319">
        <f>AA300</f>
        <v>0</v>
      </c>
      <c r="AC302" s="430"/>
      <c r="AD302" s="326" t="s">
        <v>22</v>
      </c>
      <c r="AE302" s="331"/>
      <c r="AF302" s="431"/>
      <c r="AG302" s="432"/>
      <c r="AH302" s="326"/>
      <c r="AI302" s="2"/>
      <c r="AJ302" s="59" t="str">
        <f t="shared" si="1"/>
        <v>нет з/ч</v>
      </c>
      <c r="AK302" s="61" t="str">
        <f t="shared" si="2"/>
        <v>нет з/ч</v>
      </c>
      <c r="AL302" s="61" t="str">
        <f t="shared" si="3"/>
        <v>нет з/ч</v>
      </c>
      <c r="AM302" s="304" t="str">
        <f t="shared" si="5"/>
        <v>нет з/ч</v>
      </c>
      <c r="AN302" s="2"/>
      <c r="AO302" s="289"/>
      <c r="AP302" s="296"/>
      <c r="AQ302" s="296"/>
      <c r="AR302" s="139"/>
      <c r="AS302" s="2"/>
      <c r="AT302" s="2"/>
      <c r="AU302" s="2"/>
      <c r="AV302" s="2"/>
      <c r="AW302" s="2"/>
      <c r="AX302" s="3" t="s">
        <v>9431</v>
      </c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>
      <c r="A303" s="315" t="s">
        <v>9432</v>
      </c>
      <c r="B303" s="93"/>
      <c r="C303" s="65"/>
      <c r="D303" s="31" t="s">
        <v>269</v>
      </c>
      <c r="E303" s="11" t="s">
        <v>8908</v>
      </c>
      <c r="F303" s="427" t="s">
        <v>8909</v>
      </c>
      <c r="G303" s="31" t="s">
        <v>8910</v>
      </c>
      <c r="H303" s="31"/>
      <c r="I303" s="31"/>
      <c r="J303" s="31"/>
      <c r="K303" s="428"/>
      <c r="L303" s="321"/>
      <c r="M303" s="322"/>
      <c r="N303" s="323"/>
      <c r="O303" s="429"/>
      <c r="P303" s="322"/>
      <c r="Q303" s="323"/>
      <c r="R303" s="429"/>
      <c r="S303" s="322"/>
      <c r="T303" s="323"/>
      <c r="U303" s="324"/>
      <c r="V303" s="322"/>
      <c r="W303" s="323"/>
      <c r="X303" s="324" t="s">
        <v>22</v>
      </c>
      <c r="Y303" s="173" t="s">
        <v>8912</v>
      </c>
      <c r="Z303" s="322" t="s">
        <v>22</v>
      </c>
      <c r="AA303" s="104"/>
      <c r="AB303" s="319">
        <f>AA300</f>
        <v>0</v>
      </c>
      <c r="AC303" s="430"/>
      <c r="AD303" s="326" t="s">
        <v>22</v>
      </c>
      <c r="AE303" s="331"/>
      <c r="AF303" s="431"/>
      <c r="AG303" s="432"/>
      <c r="AH303" s="326"/>
      <c r="AI303" s="2"/>
      <c r="AJ303" s="59" t="str">
        <f t="shared" si="1"/>
        <v>нет з/ч</v>
      </c>
      <c r="AK303" s="61" t="str">
        <f t="shared" si="2"/>
        <v>нет з/ч</v>
      </c>
      <c r="AL303" s="61" t="str">
        <f t="shared" si="3"/>
        <v>нет з/ч</v>
      </c>
      <c r="AM303" s="304" t="str">
        <f t="shared" si="5"/>
        <v>нет з/ч</v>
      </c>
      <c r="AN303" s="2"/>
      <c r="AO303" s="289"/>
      <c r="AP303" s="296"/>
      <c r="AQ303" s="296"/>
      <c r="AR303" s="139"/>
      <c r="AS303" s="2"/>
      <c r="AT303" s="2"/>
      <c r="AU303" s="2"/>
      <c r="AV303" s="2"/>
      <c r="AW303" s="2"/>
      <c r="AX303" s="3" t="s">
        <v>9432</v>
      </c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</row>
    <row r="304">
      <c r="A304" s="315" t="s">
        <v>9433</v>
      </c>
      <c r="B304" s="93"/>
      <c r="C304" s="65"/>
      <c r="D304" s="31" t="s">
        <v>269</v>
      </c>
      <c r="E304" s="11" t="s">
        <v>8908</v>
      </c>
      <c r="F304" s="427" t="s">
        <v>8909</v>
      </c>
      <c r="G304" s="31" t="s">
        <v>8910</v>
      </c>
      <c r="H304" s="31"/>
      <c r="I304" s="31"/>
      <c r="J304" s="31"/>
      <c r="K304" s="428"/>
      <c r="L304" s="321"/>
      <c r="M304" s="322"/>
      <c r="N304" s="323"/>
      <c r="O304" s="429"/>
      <c r="P304" s="322"/>
      <c r="Q304" s="323"/>
      <c r="R304" s="429"/>
      <c r="S304" s="322"/>
      <c r="T304" s="323"/>
      <c r="U304" s="324"/>
      <c r="V304" s="322"/>
      <c r="W304" s="323"/>
      <c r="X304" s="324" t="s">
        <v>22</v>
      </c>
      <c r="Y304" s="173" t="s">
        <v>8912</v>
      </c>
      <c r="Z304" s="322" t="s">
        <v>22</v>
      </c>
      <c r="AA304" s="104"/>
      <c r="AB304" s="319">
        <f>AA300</f>
        <v>0</v>
      </c>
      <c r="AC304" s="430"/>
      <c r="AD304" s="326" t="s">
        <v>22</v>
      </c>
      <c r="AE304" s="331"/>
      <c r="AF304" s="431"/>
      <c r="AG304" s="432"/>
      <c r="AH304" s="326"/>
      <c r="AI304" s="2"/>
      <c r="AJ304" s="59" t="str">
        <f t="shared" si="1"/>
        <v>нет з/ч</v>
      </c>
      <c r="AK304" s="61" t="str">
        <f t="shared" si="2"/>
        <v>нет з/ч</v>
      </c>
      <c r="AL304" s="61" t="str">
        <f t="shared" si="3"/>
        <v>нет з/ч</v>
      </c>
      <c r="AM304" s="304" t="str">
        <f t="shared" si="5"/>
        <v>нет з/ч</v>
      </c>
      <c r="AN304" s="2"/>
      <c r="AO304" s="289"/>
      <c r="AP304" s="296"/>
      <c r="AQ304" s="296"/>
      <c r="AR304" s="139"/>
      <c r="AS304" s="2"/>
      <c r="AT304" s="2"/>
      <c r="AU304" s="2"/>
      <c r="AV304" s="2"/>
      <c r="AW304" s="2"/>
      <c r="AX304" s="3" t="s">
        <v>9433</v>
      </c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>
      <c r="A305" s="315" t="s">
        <v>9434</v>
      </c>
      <c r="B305" s="93"/>
      <c r="C305" s="65"/>
      <c r="D305" s="31" t="s">
        <v>269</v>
      </c>
      <c r="E305" s="11" t="s">
        <v>8908</v>
      </c>
      <c r="F305" s="427" t="s">
        <v>8909</v>
      </c>
      <c r="G305" s="31" t="s">
        <v>8910</v>
      </c>
      <c r="H305" s="31"/>
      <c r="I305" s="31"/>
      <c r="J305" s="31"/>
      <c r="K305" s="428"/>
      <c r="L305" s="321"/>
      <c r="M305" s="322"/>
      <c r="N305" s="323"/>
      <c r="O305" s="429"/>
      <c r="P305" s="322"/>
      <c r="Q305" s="323"/>
      <c r="R305" s="429"/>
      <c r="S305" s="322"/>
      <c r="T305" s="323"/>
      <c r="U305" s="324"/>
      <c r="V305" s="322"/>
      <c r="W305" s="323"/>
      <c r="X305" s="324" t="s">
        <v>22</v>
      </c>
      <c r="Y305" s="173" t="s">
        <v>8912</v>
      </c>
      <c r="Z305" s="322" t="s">
        <v>22</v>
      </c>
      <c r="AA305" s="104"/>
      <c r="AB305" s="319">
        <f>AA300</f>
        <v>0</v>
      </c>
      <c r="AC305" s="430"/>
      <c r="AD305" s="326" t="s">
        <v>22</v>
      </c>
      <c r="AE305" s="331"/>
      <c r="AF305" s="431"/>
      <c r="AG305" s="432"/>
      <c r="AH305" s="326"/>
      <c r="AI305" s="2"/>
      <c r="AJ305" s="59" t="str">
        <f t="shared" si="1"/>
        <v>нет з/ч</v>
      </c>
      <c r="AK305" s="61" t="str">
        <f t="shared" si="2"/>
        <v>нет з/ч</v>
      </c>
      <c r="AL305" s="61" t="str">
        <f t="shared" si="3"/>
        <v>нет з/ч</v>
      </c>
      <c r="AM305" s="304" t="str">
        <f t="shared" si="5"/>
        <v>нет з/ч</v>
      </c>
      <c r="AN305" s="2"/>
      <c r="AO305" s="289"/>
      <c r="AP305" s="296"/>
      <c r="AQ305" s="296"/>
      <c r="AR305" s="139"/>
      <c r="AS305" s="2"/>
      <c r="AT305" s="2"/>
      <c r="AU305" s="2"/>
      <c r="AV305" s="2"/>
      <c r="AW305" s="2"/>
      <c r="AX305" s="3" t="s">
        <v>9434</v>
      </c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</row>
    <row r="306">
      <c r="A306" s="315" t="s">
        <v>9435</v>
      </c>
      <c r="B306" s="93"/>
      <c r="C306" s="65"/>
      <c r="D306" s="31" t="s">
        <v>269</v>
      </c>
      <c r="E306" s="11" t="s">
        <v>8908</v>
      </c>
      <c r="F306" s="427" t="s">
        <v>8909</v>
      </c>
      <c r="G306" s="31" t="s">
        <v>8910</v>
      </c>
      <c r="H306" s="31"/>
      <c r="I306" s="31"/>
      <c r="J306" s="31"/>
      <c r="K306" s="428"/>
      <c r="L306" s="321"/>
      <c r="M306" s="322"/>
      <c r="N306" s="323"/>
      <c r="O306" s="429"/>
      <c r="P306" s="322"/>
      <c r="Q306" s="323"/>
      <c r="R306" s="429"/>
      <c r="S306" s="322"/>
      <c r="T306" s="323"/>
      <c r="U306" s="324"/>
      <c r="V306" s="322"/>
      <c r="W306" s="323"/>
      <c r="X306" s="324" t="s">
        <v>22</v>
      </c>
      <c r="Y306" s="173" t="s">
        <v>8912</v>
      </c>
      <c r="Z306" s="322" t="s">
        <v>22</v>
      </c>
      <c r="AA306" s="104"/>
      <c r="AB306" s="319">
        <f>AA300</f>
        <v>0</v>
      </c>
      <c r="AC306" s="430"/>
      <c r="AD306" s="326" t="s">
        <v>22</v>
      </c>
      <c r="AE306" s="331"/>
      <c r="AF306" s="431"/>
      <c r="AG306" s="432"/>
      <c r="AH306" s="326"/>
      <c r="AI306" s="2"/>
      <c r="AJ306" s="59" t="str">
        <f t="shared" si="1"/>
        <v>нет з/ч</v>
      </c>
      <c r="AK306" s="61" t="str">
        <f t="shared" si="2"/>
        <v>нет з/ч</v>
      </c>
      <c r="AL306" s="61" t="str">
        <f t="shared" si="3"/>
        <v>нет з/ч</v>
      </c>
      <c r="AM306" s="304" t="str">
        <f t="shared" si="5"/>
        <v>нет з/ч</v>
      </c>
      <c r="AN306" s="2"/>
      <c r="AO306" s="289"/>
      <c r="AP306" s="296"/>
      <c r="AQ306" s="296"/>
      <c r="AR306" s="139"/>
      <c r="AS306" s="2"/>
      <c r="AT306" s="2"/>
      <c r="AU306" s="2"/>
      <c r="AV306" s="2"/>
      <c r="AW306" s="2"/>
      <c r="AX306" s="3" t="s">
        <v>9435</v>
      </c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</row>
    <row r="307">
      <c r="A307" s="315" t="s">
        <v>9436</v>
      </c>
      <c r="B307" s="93"/>
      <c r="C307" s="65"/>
      <c r="D307" s="31" t="s">
        <v>269</v>
      </c>
      <c r="E307" s="11" t="s">
        <v>8908</v>
      </c>
      <c r="F307" s="427" t="s">
        <v>8909</v>
      </c>
      <c r="G307" s="31" t="s">
        <v>8910</v>
      </c>
      <c r="H307" s="31"/>
      <c r="I307" s="31"/>
      <c r="J307" s="31"/>
      <c r="K307" s="428"/>
      <c r="L307" s="321"/>
      <c r="M307" s="322"/>
      <c r="N307" s="323"/>
      <c r="O307" s="429"/>
      <c r="P307" s="322"/>
      <c r="Q307" s="323"/>
      <c r="R307" s="429"/>
      <c r="S307" s="322"/>
      <c r="T307" s="323"/>
      <c r="U307" s="324"/>
      <c r="V307" s="322"/>
      <c r="W307" s="323"/>
      <c r="X307" s="324" t="s">
        <v>22</v>
      </c>
      <c r="Y307" s="173" t="s">
        <v>8912</v>
      </c>
      <c r="Z307" s="322" t="s">
        <v>22</v>
      </c>
      <c r="AA307" s="104"/>
      <c r="AB307" s="319">
        <f>AA300</f>
        <v>0</v>
      </c>
      <c r="AC307" s="430"/>
      <c r="AD307" s="326" t="s">
        <v>22</v>
      </c>
      <c r="AE307" s="331"/>
      <c r="AF307" s="431"/>
      <c r="AG307" s="432"/>
      <c r="AH307" s="326"/>
      <c r="AI307" s="2"/>
      <c r="AJ307" s="59" t="str">
        <f t="shared" si="1"/>
        <v>нет з/ч</v>
      </c>
      <c r="AK307" s="61" t="str">
        <f t="shared" si="2"/>
        <v>нет з/ч</v>
      </c>
      <c r="AL307" s="61" t="str">
        <f t="shared" si="3"/>
        <v>нет з/ч</v>
      </c>
      <c r="AM307" s="304" t="str">
        <f t="shared" si="5"/>
        <v>нет з/ч</v>
      </c>
      <c r="AN307" s="2"/>
      <c r="AO307" s="289"/>
      <c r="AP307" s="296"/>
      <c r="AQ307" s="296"/>
      <c r="AR307" s="139"/>
      <c r="AS307" s="2"/>
      <c r="AT307" s="2"/>
      <c r="AU307" s="2"/>
      <c r="AV307" s="2"/>
      <c r="AW307" s="2"/>
      <c r="AX307" s="3" t="s">
        <v>9436</v>
      </c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>
      <c r="A308" s="315" t="s">
        <v>9437</v>
      </c>
      <c r="B308" s="93"/>
      <c r="C308" s="65"/>
      <c r="D308" s="31" t="s">
        <v>269</v>
      </c>
      <c r="E308" s="11" t="s">
        <v>8908</v>
      </c>
      <c r="F308" s="427" t="s">
        <v>8909</v>
      </c>
      <c r="G308" s="31" t="s">
        <v>8910</v>
      </c>
      <c r="H308" s="31"/>
      <c r="I308" s="31"/>
      <c r="J308" s="31"/>
      <c r="K308" s="428"/>
      <c r="L308" s="321"/>
      <c r="M308" s="322"/>
      <c r="N308" s="323"/>
      <c r="O308" s="429"/>
      <c r="P308" s="322"/>
      <c r="Q308" s="323"/>
      <c r="R308" s="429"/>
      <c r="S308" s="322"/>
      <c r="T308" s="323"/>
      <c r="U308" s="324"/>
      <c r="V308" s="322"/>
      <c r="W308" s="323"/>
      <c r="X308" s="324" t="s">
        <v>22</v>
      </c>
      <c r="Y308" s="173" t="s">
        <v>8912</v>
      </c>
      <c r="Z308" s="322" t="s">
        <v>22</v>
      </c>
      <c r="AA308" s="104"/>
      <c r="AB308" s="319">
        <f>AA300</f>
        <v>0</v>
      </c>
      <c r="AC308" s="430"/>
      <c r="AD308" s="326" t="s">
        <v>22</v>
      </c>
      <c r="AE308" s="331"/>
      <c r="AF308" s="431"/>
      <c r="AG308" s="432"/>
      <c r="AH308" s="326"/>
      <c r="AI308" s="2"/>
      <c r="AJ308" s="59" t="str">
        <f t="shared" si="1"/>
        <v>нет з/ч</v>
      </c>
      <c r="AK308" s="61" t="str">
        <f t="shared" si="2"/>
        <v>нет з/ч</v>
      </c>
      <c r="AL308" s="61" t="str">
        <f t="shared" si="3"/>
        <v>нет з/ч</v>
      </c>
      <c r="AM308" s="304" t="str">
        <f t="shared" si="5"/>
        <v>нет з/ч</v>
      </c>
      <c r="AN308" s="2"/>
      <c r="AO308" s="289"/>
      <c r="AP308" s="296"/>
      <c r="AQ308" s="296"/>
      <c r="AR308" s="139"/>
      <c r="AS308" s="2"/>
      <c r="AT308" s="2"/>
      <c r="AU308" s="2"/>
      <c r="AV308" s="2"/>
      <c r="AW308" s="2"/>
      <c r="AX308" s="3" t="s">
        <v>9437</v>
      </c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</row>
    <row r="309">
      <c r="A309" s="315" t="s">
        <v>9438</v>
      </c>
      <c r="B309" s="93"/>
      <c r="C309" s="65"/>
      <c r="D309" s="31" t="s">
        <v>269</v>
      </c>
      <c r="E309" s="11" t="s">
        <v>8908</v>
      </c>
      <c r="F309" s="427" t="s">
        <v>8909</v>
      </c>
      <c r="G309" s="31" t="s">
        <v>8910</v>
      </c>
      <c r="H309" s="31"/>
      <c r="I309" s="31"/>
      <c r="J309" s="31"/>
      <c r="K309" s="428"/>
      <c r="L309" s="321"/>
      <c r="M309" s="322"/>
      <c r="N309" s="323"/>
      <c r="O309" s="429"/>
      <c r="P309" s="322"/>
      <c r="Q309" s="323"/>
      <c r="R309" s="429"/>
      <c r="S309" s="322"/>
      <c r="T309" s="323"/>
      <c r="U309" s="324"/>
      <c r="V309" s="322"/>
      <c r="W309" s="323"/>
      <c r="X309" s="324" t="s">
        <v>22</v>
      </c>
      <c r="Y309" s="173" t="s">
        <v>8912</v>
      </c>
      <c r="Z309" s="322" t="s">
        <v>22</v>
      </c>
      <c r="AA309" s="104"/>
      <c r="AB309" s="319">
        <f>AA300</f>
        <v>0</v>
      </c>
      <c r="AC309" s="430"/>
      <c r="AD309" s="326" t="s">
        <v>22</v>
      </c>
      <c r="AE309" s="331"/>
      <c r="AF309" s="431"/>
      <c r="AG309" s="432"/>
      <c r="AH309" s="326"/>
      <c r="AI309" s="2"/>
      <c r="AJ309" s="59" t="str">
        <f t="shared" si="1"/>
        <v>нет з/ч</v>
      </c>
      <c r="AK309" s="61" t="str">
        <f t="shared" si="2"/>
        <v>нет з/ч</v>
      </c>
      <c r="AL309" s="61" t="str">
        <f t="shared" si="3"/>
        <v>нет з/ч</v>
      </c>
      <c r="AM309" s="304" t="str">
        <f t="shared" si="5"/>
        <v>нет з/ч</v>
      </c>
      <c r="AN309" s="2"/>
      <c r="AO309" s="289"/>
      <c r="AP309" s="296"/>
      <c r="AQ309" s="296"/>
      <c r="AR309" s="139"/>
      <c r="AS309" s="2"/>
      <c r="AT309" s="2"/>
      <c r="AU309" s="2"/>
      <c r="AV309" s="2"/>
      <c r="AW309" s="2"/>
      <c r="AX309" s="3" t="s">
        <v>9438</v>
      </c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</row>
    <row r="310">
      <c r="A310" s="315" t="s">
        <v>9439</v>
      </c>
      <c r="B310" s="93"/>
      <c r="C310" s="65"/>
      <c r="D310" s="31" t="s">
        <v>269</v>
      </c>
      <c r="E310" s="11" t="s">
        <v>8908</v>
      </c>
      <c r="F310" s="427" t="s">
        <v>8909</v>
      </c>
      <c r="G310" s="31" t="s">
        <v>8910</v>
      </c>
      <c r="H310" s="31"/>
      <c r="I310" s="31"/>
      <c r="J310" s="31"/>
      <c r="K310" s="428"/>
      <c r="L310" s="321"/>
      <c r="M310" s="322"/>
      <c r="N310" s="323"/>
      <c r="O310" s="429"/>
      <c r="P310" s="322"/>
      <c r="Q310" s="323"/>
      <c r="R310" s="429"/>
      <c r="S310" s="322"/>
      <c r="T310" s="323"/>
      <c r="U310" s="324"/>
      <c r="V310" s="322"/>
      <c r="W310" s="323"/>
      <c r="X310" s="324" t="s">
        <v>22</v>
      </c>
      <c r="Y310" s="173" t="s">
        <v>8912</v>
      </c>
      <c r="Z310" s="322" t="s">
        <v>22</v>
      </c>
      <c r="AA310" s="104"/>
      <c r="AB310" s="319">
        <f>AA300</f>
        <v>0</v>
      </c>
      <c r="AC310" s="430"/>
      <c r="AD310" s="326" t="s">
        <v>22</v>
      </c>
      <c r="AE310" s="331"/>
      <c r="AF310" s="431"/>
      <c r="AG310" s="432"/>
      <c r="AH310" s="326"/>
      <c r="AI310" s="2"/>
      <c r="AJ310" s="59" t="str">
        <f t="shared" si="1"/>
        <v>нет з/ч</v>
      </c>
      <c r="AK310" s="61" t="str">
        <f t="shared" si="2"/>
        <v>нет з/ч</v>
      </c>
      <c r="AL310" s="61" t="str">
        <f t="shared" si="3"/>
        <v>нет з/ч</v>
      </c>
      <c r="AM310" s="304" t="str">
        <f t="shared" si="5"/>
        <v>нет з/ч</v>
      </c>
      <c r="AN310" s="2"/>
      <c r="AO310" s="289"/>
      <c r="AP310" s="296"/>
      <c r="AQ310" s="296"/>
      <c r="AR310" s="139"/>
      <c r="AS310" s="2"/>
      <c r="AT310" s="2"/>
      <c r="AU310" s="2"/>
      <c r="AV310" s="2"/>
      <c r="AW310" s="2"/>
      <c r="AX310" s="3" t="s">
        <v>9439</v>
      </c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>
      <c r="A311" s="315" t="s">
        <v>9440</v>
      </c>
      <c r="B311" s="93"/>
      <c r="C311" s="65"/>
      <c r="D311" s="31" t="s">
        <v>269</v>
      </c>
      <c r="E311" s="11" t="s">
        <v>8908</v>
      </c>
      <c r="F311" s="427" t="s">
        <v>8909</v>
      </c>
      <c r="G311" s="31" t="s">
        <v>8910</v>
      </c>
      <c r="H311" s="31"/>
      <c r="I311" s="31"/>
      <c r="J311" s="31"/>
      <c r="K311" s="428"/>
      <c r="L311" s="321"/>
      <c r="M311" s="322"/>
      <c r="N311" s="323"/>
      <c r="O311" s="429"/>
      <c r="P311" s="322"/>
      <c r="Q311" s="323"/>
      <c r="R311" s="429"/>
      <c r="S311" s="322"/>
      <c r="T311" s="323"/>
      <c r="U311" s="324"/>
      <c r="V311" s="322"/>
      <c r="W311" s="323"/>
      <c r="X311" s="324" t="s">
        <v>22</v>
      </c>
      <c r="Y311" s="173" t="s">
        <v>8912</v>
      </c>
      <c r="Z311" s="322" t="s">
        <v>22</v>
      </c>
      <c r="AA311" s="67"/>
      <c r="AB311" s="319">
        <f>AA300</f>
        <v>0</v>
      </c>
      <c r="AC311" s="430"/>
      <c r="AD311" s="326" t="s">
        <v>22</v>
      </c>
      <c r="AE311" s="331"/>
      <c r="AF311" s="431"/>
      <c r="AG311" s="432"/>
      <c r="AH311" s="326"/>
      <c r="AI311" s="2"/>
      <c r="AJ311" s="59" t="str">
        <f t="shared" si="1"/>
        <v>нет з/ч</v>
      </c>
      <c r="AK311" s="61" t="str">
        <f t="shared" si="2"/>
        <v>нет з/ч</v>
      </c>
      <c r="AL311" s="61" t="str">
        <f t="shared" si="3"/>
        <v>нет з/ч</v>
      </c>
      <c r="AM311" s="304" t="str">
        <f t="shared" si="5"/>
        <v>нет з/ч</v>
      </c>
      <c r="AN311" s="2"/>
      <c r="AO311" s="289"/>
      <c r="AP311" s="296"/>
      <c r="AQ311" s="296"/>
      <c r="AR311" s="139"/>
      <c r="AS311" s="2"/>
      <c r="AT311" s="2"/>
      <c r="AU311" s="2"/>
      <c r="AV311" s="2"/>
      <c r="AW311" s="2"/>
      <c r="AX311" s="3" t="s">
        <v>9440</v>
      </c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>
      <c r="A312" s="315" t="s">
        <v>9441</v>
      </c>
      <c r="B312" s="93"/>
      <c r="C312" s="65"/>
      <c r="D312" s="31" t="s">
        <v>269</v>
      </c>
      <c r="E312" s="11" t="s">
        <v>8908</v>
      </c>
      <c r="F312" s="427" t="s">
        <v>8915</v>
      </c>
      <c r="G312" s="31" t="s">
        <v>8916</v>
      </c>
      <c r="H312" s="31"/>
      <c r="I312" s="31"/>
      <c r="J312" s="31"/>
      <c r="K312" s="428"/>
      <c r="L312" s="321"/>
      <c r="M312" s="322"/>
      <c r="N312" s="323"/>
      <c r="O312" s="429"/>
      <c r="P312" s="322"/>
      <c r="Q312" s="323"/>
      <c r="R312" s="429"/>
      <c r="S312" s="322"/>
      <c r="T312" s="323"/>
      <c r="U312" s="324"/>
      <c r="V312" s="322"/>
      <c r="W312" s="323"/>
      <c r="X312" s="324" t="s">
        <v>22</v>
      </c>
      <c r="Y312" s="173" t="s">
        <v>8912</v>
      </c>
      <c r="Z312" s="322" t="s">
        <v>22</v>
      </c>
      <c r="AA312" s="313">
        <f>MAX(Z312:Z317)</f>
        <v>0</v>
      </c>
      <c r="AB312" s="319">
        <f>AA312</f>
        <v>0</v>
      </c>
      <c r="AC312" s="430"/>
      <c r="AD312" s="326" t="s">
        <v>22</v>
      </c>
      <c r="AE312" s="331"/>
      <c r="AF312" s="431"/>
      <c r="AG312" s="432"/>
      <c r="AH312" s="326"/>
      <c r="AI312" s="2"/>
      <c r="AJ312" s="59" t="str">
        <f t="shared" si="1"/>
        <v>нет з/ч</v>
      </c>
      <c r="AK312" s="61" t="str">
        <f t="shared" si="2"/>
        <v>нет з/ч</v>
      </c>
      <c r="AL312" s="61" t="str">
        <f t="shared" si="3"/>
        <v>нет з/ч</v>
      </c>
      <c r="AM312" s="304" t="str">
        <f t="shared" si="5"/>
        <v>нет з/ч</v>
      </c>
      <c r="AN312" s="2"/>
      <c r="AO312" s="289"/>
      <c r="AP312" s="296"/>
      <c r="AQ312" s="296"/>
      <c r="AR312" s="139"/>
      <c r="AS312" s="2"/>
      <c r="AT312" s="2"/>
      <c r="AU312" s="2"/>
      <c r="AV312" s="2"/>
      <c r="AW312" s="2"/>
      <c r="AX312" s="3" t="s">
        <v>9441</v>
      </c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>
      <c r="A313" s="315" t="s">
        <v>9442</v>
      </c>
      <c r="B313" s="93"/>
      <c r="C313" s="65"/>
      <c r="D313" s="31" t="s">
        <v>269</v>
      </c>
      <c r="E313" s="11" t="s">
        <v>8908</v>
      </c>
      <c r="F313" s="427" t="s">
        <v>8915</v>
      </c>
      <c r="G313" s="31" t="s">
        <v>8916</v>
      </c>
      <c r="H313" s="31"/>
      <c r="I313" s="31"/>
      <c r="J313" s="31"/>
      <c r="K313" s="428"/>
      <c r="L313" s="321"/>
      <c r="M313" s="322"/>
      <c r="N313" s="323"/>
      <c r="O313" s="429"/>
      <c r="P313" s="322"/>
      <c r="Q313" s="323"/>
      <c r="R313" s="429"/>
      <c r="S313" s="322"/>
      <c r="T313" s="323"/>
      <c r="U313" s="324"/>
      <c r="V313" s="322"/>
      <c r="W313" s="323"/>
      <c r="X313" s="324" t="s">
        <v>22</v>
      </c>
      <c r="Y313" s="173" t="s">
        <v>8912</v>
      </c>
      <c r="Z313" s="322" t="s">
        <v>22</v>
      </c>
      <c r="AA313" s="104"/>
      <c r="AB313" s="319">
        <f>AA312</f>
        <v>0</v>
      </c>
      <c r="AC313" s="430"/>
      <c r="AD313" s="326" t="s">
        <v>22</v>
      </c>
      <c r="AE313" s="331"/>
      <c r="AF313" s="431"/>
      <c r="AG313" s="432"/>
      <c r="AH313" s="326"/>
      <c r="AI313" s="2"/>
      <c r="AJ313" s="59" t="str">
        <f t="shared" si="1"/>
        <v>нет з/ч</v>
      </c>
      <c r="AK313" s="61" t="str">
        <f t="shared" si="2"/>
        <v>нет з/ч</v>
      </c>
      <c r="AL313" s="61" t="str">
        <f t="shared" si="3"/>
        <v>нет з/ч</v>
      </c>
      <c r="AM313" s="304" t="str">
        <f t="shared" si="5"/>
        <v>нет з/ч</v>
      </c>
      <c r="AN313" s="2"/>
      <c r="AO313" s="289"/>
      <c r="AP313" s="296"/>
      <c r="AQ313" s="296"/>
      <c r="AR313" s="139"/>
      <c r="AS313" s="2"/>
      <c r="AT313" s="2"/>
      <c r="AU313" s="2"/>
      <c r="AV313" s="2"/>
      <c r="AW313" s="2"/>
      <c r="AX313" s="3" t="s">
        <v>9442</v>
      </c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>
      <c r="A314" s="315" t="s">
        <v>9443</v>
      </c>
      <c r="B314" s="93"/>
      <c r="C314" s="65"/>
      <c r="D314" s="31" t="s">
        <v>269</v>
      </c>
      <c r="E314" s="11" t="s">
        <v>8908</v>
      </c>
      <c r="F314" s="427" t="s">
        <v>8915</v>
      </c>
      <c r="G314" s="31" t="s">
        <v>8916</v>
      </c>
      <c r="H314" s="31"/>
      <c r="I314" s="31"/>
      <c r="J314" s="31"/>
      <c r="K314" s="428"/>
      <c r="L314" s="321"/>
      <c r="M314" s="322"/>
      <c r="N314" s="323"/>
      <c r="O314" s="429"/>
      <c r="P314" s="322"/>
      <c r="Q314" s="323"/>
      <c r="R314" s="429"/>
      <c r="S314" s="322"/>
      <c r="T314" s="323"/>
      <c r="U314" s="324"/>
      <c r="V314" s="322"/>
      <c r="W314" s="323"/>
      <c r="X314" s="324" t="s">
        <v>22</v>
      </c>
      <c r="Y314" s="173" t="s">
        <v>8912</v>
      </c>
      <c r="Z314" s="322" t="s">
        <v>22</v>
      </c>
      <c r="AA314" s="104"/>
      <c r="AB314" s="319">
        <f>AA312</f>
        <v>0</v>
      </c>
      <c r="AC314" s="430"/>
      <c r="AD314" s="326" t="s">
        <v>22</v>
      </c>
      <c r="AE314" s="331"/>
      <c r="AF314" s="431"/>
      <c r="AG314" s="432"/>
      <c r="AH314" s="326"/>
      <c r="AI314" s="2"/>
      <c r="AJ314" s="59" t="str">
        <f t="shared" si="1"/>
        <v>нет з/ч</v>
      </c>
      <c r="AK314" s="61" t="str">
        <f t="shared" si="2"/>
        <v>нет з/ч</v>
      </c>
      <c r="AL314" s="61" t="str">
        <f t="shared" si="3"/>
        <v>нет з/ч</v>
      </c>
      <c r="AM314" s="304" t="str">
        <f t="shared" si="5"/>
        <v>нет з/ч</v>
      </c>
      <c r="AN314" s="2"/>
      <c r="AO314" s="289"/>
      <c r="AP314" s="296"/>
      <c r="AQ314" s="296"/>
      <c r="AR314" s="139"/>
      <c r="AS314" s="2"/>
      <c r="AT314" s="2"/>
      <c r="AU314" s="2"/>
      <c r="AV314" s="2"/>
      <c r="AW314" s="2"/>
      <c r="AX314" s="3" t="s">
        <v>9443</v>
      </c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</row>
    <row r="315">
      <c r="A315" s="315" t="s">
        <v>9444</v>
      </c>
      <c r="B315" s="93"/>
      <c r="C315" s="65"/>
      <c r="D315" s="31" t="s">
        <v>269</v>
      </c>
      <c r="E315" s="11" t="s">
        <v>8908</v>
      </c>
      <c r="F315" s="427" t="s">
        <v>8915</v>
      </c>
      <c r="G315" s="31" t="s">
        <v>8916</v>
      </c>
      <c r="H315" s="31"/>
      <c r="I315" s="31"/>
      <c r="J315" s="31"/>
      <c r="K315" s="428"/>
      <c r="L315" s="321"/>
      <c r="M315" s="322"/>
      <c r="N315" s="323"/>
      <c r="O315" s="429"/>
      <c r="P315" s="322"/>
      <c r="Q315" s="323"/>
      <c r="R315" s="429"/>
      <c r="S315" s="322"/>
      <c r="T315" s="323"/>
      <c r="U315" s="324"/>
      <c r="V315" s="322"/>
      <c r="W315" s="323"/>
      <c r="X315" s="324" t="s">
        <v>22</v>
      </c>
      <c r="Y315" s="173" t="s">
        <v>8912</v>
      </c>
      <c r="Z315" s="322" t="s">
        <v>22</v>
      </c>
      <c r="AA315" s="104"/>
      <c r="AB315" s="319">
        <f>AA312</f>
        <v>0</v>
      </c>
      <c r="AC315" s="430"/>
      <c r="AD315" s="326" t="s">
        <v>22</v>
      </c>
      <c r="AE315" s="331"/>
      <c r="AF315" s="431"/>
      <c r="AG315" s="432"/>
      <c r="AH315" s="326"/>
      <c r="AI315" s="2"/>
      <c r="AJ315" s="59" t="str">
        <f t="shared" si="1"/>
        <v>нет з/ч</v>
      </c>
      <c r="AK315" s="61" t="str">
        <f t="shared" si="2"/>
        <v>нет з/ч</v>
      </c>
      <c r="AL315" s="61" t="str">
        <f t="shared" si="3"/>
        <v>нет з/ч</v>
      </c>
      <c r="AM315" s="304" t="str">
        <f t="shared" si="5"/>
        <v>нет з/ч</v>
      </c>
      <c r="AN315" s="2"/>
      <c r="AO315" s="289"/>
      <c r="AP315" s="296"/>
      <c r="AQ315" s="296"/>
      <c r="AR315" s="139"/>
      <c r="AS315" s="2"/>
      <c r="AT315" s="2"/>
      <c r="AU315" s="2"/>
      <c r="AV315" s="2"/>
      <c r="AW315" s="2"/>
      <c r="AX315" s="3" t="s">
        <v>9444</v>
      </c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>
      <c r="A316" s="315" t="s">
        <v>9445</v>
      </c>
      <c r="B316" s="93"/>
      <c r="C316" s="65"/>
      <c r="D316" s="31" t="s">
        <v>269</v>
      </c>
      <c r="E316" s="11" t="s">
        <v>8908</v>
      </c>
      <c r="F316" s="427" t="s">
        <v>8915</v>
      </c>
      <c r="G316" s="31" t="s">
        <v>8916</v>
      </c>
      <c r="H316" s="31"/>
      <c r="I316" s="31"/>
      <c r="J316" s="31"/>
      <c r="K316" s="428"/>
      <c r="L316" s="321"/>
      <c r="M316" s="322"/>
      <c r="N316" s="323"/>
      <c r="O316" s="429"/>
      <c r="P316" s="322"/>
      <c r="Q316" s="323"/>
      <c r="R316" s="429"/>
      <c r="S316" s="322"/>
      <c r="T316" s="323"/>
      <c r="U316" s="324"/>
      <c r="V316" s="322"/>
      <c r="W316" s="323"/>
      <c r="X316" s="324" t="s">
        <v>22</v>
      </c>
      <c r="Y316" s="173" t="s">
        <v>8912</v>
      </c>
      <c r="Z316" s="322" t="s">
        <v>22</v>
      </c>
      <c r="AA316" s="104"/>
      <c r="AB316" s="319">
        <f>AA312</f>
        <v>0</v>
      </c>
      <c r="AC316" s="430"/>
      <c r="AD316" s="326" t="s">
        <v>22</v>
      </c>
      <c r="AE316" s="331"/>
      <c r="AF316" s="431"/>
      <c r="AG316" s="432"/>
      <c r="AH316" s="326"/>
      <c r="AI316" s="2"/>
      <c r="AJ316" s="59" t="str">
        <f t="shared" si="1"/>
        <v>нет з/ч</v>
      </c>
      <c r="AK316" s="61" t="str">
        <f t="shared" si="2"/>
        <v>нет з/ч</v>
      </c>
      <c r="AL316" s="61" t="str">
        <f t="shared" si="3"/>
        <v>нет з/ч</v>
      </c>
      <c r="AM316" s="304" t="str">
        <f t="shared" si="5"/>
        <v>нет з/ч</v>
      </c>
      <c r="AN316" s="2"/>
      <c r="AO316" s="289"/>
      <c r="AP316" s="296"/>
      <c r="AQ316" s="296"/>
      <c r="AR316" s="139"/>
      <c r="AS316" s="2"/>
      <c r="AT316" s="2"/>
      <c r="AU316" s="2"/>
      <c r="AV316" s="2"/>
      <c r="AW316" s="2"/>
      <c r="AX316" s="3" t="s">
        <v>9445</v>
      </c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>
      <c r="A317" s="315" t="s">
        <v>9446</v>
      </c>
      <c r="B317" s="93"/>
      <c r="C317" s="65"/>
      <c r="D317" s="31" t="s">
        <v>269</v>
      </c>
      <c r="E317" s="11" t="s">
        <v>8908</v>
      </c>
      <c r="F317" s="427" t="s">
        <v>8915</v>
      </c>
      <c r="G317" s="31" t="s">
        <v>8916</v>
      </c>
      <c r="H317" s="31"/>
      <c r="I317" s="31"/>
      <c r="J317" s="31"/>
      <c r="K317" s="428"/>
      <c r="L317" s="321"/>
      <c r="M317" s="322"/>
      <c r="N317" s="323"/>
      <c r="O317" s="429"/>
      <c r="P317" s="322"/>
      <c r="Q317" s="323"/>
      <c r="R317" s="429"/>
      <c r="S317" s="322"/>
      <c r="T317" s="323"/>
      <c r="U317" s="324"/>
      <c r="V317" s="322"/>
      <c r="W317" s="323"/>
      <c r="X317" s="324" t="s">
        <v>22</v>
      </c>
      <c r="Y317" s="173" t="s">
        <v>8912</v>
      </c>
      <c r="Z317" s="322" t="s">
        <v>22</v>
      </c>
      <c r="AA317" s="67"/>
      <c r="AB317" s="319">
        <f>AA312</f>
        <v>0</v>
      </c>
      <c r="AC317" s="430"/>
      <c r="AD317" s="326" t="s">
        <v>22</v>
      </c>
      <c r="AE317" s="331"/>
      <c r="AF317" s="431"/>
      <c r="AG317" s="432"/>
      <c r="AH317" s="326"/>
      <c r="AI317" s="2"/>
      <c r="AJ317" s="59" t="str">
        <f t="shared" si="1"/>
        <v>нет з/ч</v>
      </c>
      <c r="AK317" s="61" t="str">
        <f t="shared" si="2"/>
        <v>нет з/ч</v>
      </c>
      <c r="AL317" s="61" t="str">
        <f t="shared" si="3"/>
        <v>нет з/ч</v>
      </c>
      <c r="AM317" s="304" t="str">
        <f t="shared" si="5"/>
        <v>нет з/ч</v>
      </c>
      <c r="AN317" s="2"/>
      <c r="AO317" s="289"/>
      <c r="AP317" s="296"/>
      <c r="AQ317" s="296"/>
      <c r="AR317" s="139"/>
      <c r="AS317" s="2"/>
      <c r="AT317" s="2"/>
      <c r="AU317" s="2"/>
      <c r="AV317" s="2"/>
      <c r="AW317" s="2"/>
      <c r="AX317" s="3" t="s">
        <v>9446</v>
      </c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</row>
    <row r="318">
      <c r="A318" s="315" t="s">
        <v>9447</v>
      </c>
      <c r="B318" s="93"/>
      <c r="C318" s="65"/>
      <c r="D318" s="31" t="s">
        <v>276</v>
      </c>
      <c r="E318" s="11" t="s">
        <v>8908</v>
      </c>
      <c r="F318" s="427" t="s">
        <v>8909</v>
      </c>
      <c r="G318" s="31" t="s">
        <v>8910</v>
      </c>
      <c r="H318" s="31"/>
      <c r="I318" s="31"/>
      <c r="J318" s="31"/>
      <c r="K318" s="428"/>
      <c r="L318" s="321"/>
      <c r="M318" s="322"/>
      <c r="N318" s="323"/>
      <c r="O318" s="429"/>
      <c r="P318" s="322"/>
      <c r="Q318" s="323"/>
      <c r="R318" s="429"/>
      <c r="S318" s="322"/>
      <c r="T318" s="323"/>
      <c r="U318" s="324"/>
      <c r="V318" s="322"/>
      <c r="W318" s="323"/>
      <c r="X318" s="324" t="s">
        <v>22</v>
      </c>
      <c r="Y318" s="173" t="s">
        <v>8912</v>
      </c>
      <c r="Z318" s="322" t="s">
        <v>22</v>
      </c>
      <c r="AA318" s="313">
        <f>MAX(Z318:Z325)</f>
        <v>0</v>
      </c>
      <c r="AB318" s="319">
        <f>AA318</f>
        <v>0</v>
      </c>
      <c r="AC318" s="430"/>
      <c r="AD318" s="326" t="s">
        <v>22</v>
      </c>
      <c r="AE318" s="331"/>
      <c r="AF318" s="431"/>
      <c r="AG318" s="432"/>
      <c r="AH318" s="326"/>
      <c r="AI318" s="2"/>
      <c r="AJ318" s="59" t="str">
        <f t="shared" si="1"/>
        <v>нет з/ч</v>
      </c>
      <c r="AK318" s="61" t="str">
        <f t="shared" si="2"/>
        <v>нет з/ч</v>
      </c>
      <c r="AL318" s="61" t="str">
        <f t="shared" si="3"/>
        <v>нет з/ч</v>
      </c>
      <c r="AM318" s="304" t="str">
        <f t="shared" si="5"/>
        <v>нет з/ч</v>
      </c>
      <c r="AN318" s="2"/>
      <c r="AO318" s="289"/>
      <c r="AP318" s="296"/>
      <c r="AQ318" s="296"/>
      <c r="AR318" s="139"/>
      <c r="AS318" s="2"/>
      <c r="AT318" s="2"/>
      <c r="AU318" s="2"/>
      <c r="AV318" s="2"/>
      <c r="AW318" s="2"/>
      <c r="AX318" s="3" t="s">
        <v>9447</v>
      </c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</row>
    <row r="319">
      <c r="A319" s="315" t="s">
        <v>9448</v>
      </c>
      <c r="B319" s="93"/>
      <c r="C319" s="65"/>
      <c r="D319" s="31" t="s">
        <v>276</v>
      </c>
      <c r="E319" s="11" t="s">
        <v>8908</v>
      </c>
      <c r="F319" s="427" t="s">
        <v>8909</v>
      </c>
      <c r="G319" s="31" t="s">
        <v>8910</v>
      </c>
      <c r="H319" s="31"/>
      <c r="I319" s="31"/>
      <c r="J319" s="31"/>
      <c r="K319" s="428"/>
      <c r="L319" s="321"/>
      <c r="M319" s="322"/>
      <c r="N319" s="323"/>
      <c r="O319" s="429"/>
      <c r="P319" s="322"/>
      <c r="Q319" s="323"/>
      <c r="R319" s="429"/>
      <c r="S319" s="322"/>
      <c r="T319" s="323"/>
      <c r="U319" s="324"/>
      <c r="V319" s="322"/>
      <c r="W319" s="323"/>
      <c r="X319" s="324" t="s">
        <v>22</v>
      </c>
      <c r="Y319" s="173" t="s">
        <v>8912</v>
      </c>
      <c r="Z319" s="322" t="s">
        <v>22</v>
      </c>
      <c r="AA319" s="104"/>
      <c r="AB319" s="319">
        <f>AA318</f>
        <v>0</v>
      </c>
      <c r="AC319" s="430"/>
      <c r="AD319" s="326" t="s">
        <v>22</v>
      </c>
      <c r="AE319" s="331"/>
      <c r="AF319" s="431"/>
      <c r="AG319" s="432"/>
      <c r="AH319" s="326"/>
      <c r="AI319" s="2"/>
      <c r="AJ319" s="59" t="str">
        <f t="shared" si="1"/>
        <v>нет з/ч</v>
      </c>
      <c r="AK319" s="61" t="str">
        <f t="shared" si="2"/>
        <v>нет з/ч</v>
      </c>
      <c r="AL319" s="61" t="str">
        <f t="shared" si="3"/>
        <v>нет з/ч</v>
      </c>
      <c r="AM319" s="304" t="str">
        <f t="shared" si="5"/>
        <v>нет з/ч</v>
      </c>
      <c r="AN319" s="2"/>
      <c r="AO319" s="289"/>
      <c r="AP319" s="296"/>
      <c r="AQ319" s="296"/>
      <c r="AR319" s="139"/>
      <c r="AS319" s="2"/>
      <c r="AT319" s="2"/>
      <c r="AU319" s="2"/>
      <c r="AV319" s="2"/>
      <c r="AW319" s="2"/>
      <c r="AX319" s="3" t="s">
        <v>9448</v>
      </c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</row>
    <row r="320">
      <c r="A320" s="315" t="s">
        <v>9449</v>
      </c>
      <c r="B320" s="93"/>
      <c r="C320" s="65"/>
      <c r="D320" s="31" t="s">
        <v>276</v>
      </c>
      <c r="E320" s="11" t="s">
        <v>8908</v>
      </c>
      <c r="F320" s="427" t="s">
        <v>8909</v>
      </c>
      <c r="G320" s="31" t="s">
        <v>8910</v>
      </c>
      <c r="H320" s="31"/>
      <c r="I320" s="31"/>
      <c r="J320" s="31"/>
      <c r="K320" s="428"/>
      <c r="L320" s="321"/>
      <c r="M320" s="322"/>
      <c r="N320" s="323"/>
      <c r="O320" s="429"/>
      <c r="P320" s="322"/>
      <c r="Q320" s="323"/>
      <c r="R320" s="429"/>
      <c r="S320" s="322"/>
      <c r="T320" s="323"/>
      <c r="U320" s="324"/>
      <c r="V320" s="322"/>
      <c r="W320" s="323"/>
      <c r="X320" s="324" t="s">
        <v>22</v>
      </c>
      <c r="Y320" s="173" t="s">
        <v>8912</v>
      </c>
      <c r="Z320" s="322" t="s">
        <v>22</v>
      </c>
      <c r="AA320" s="104"/>
      <c r="AB320" s="319">
        <f>AA318</f>
        <v>0</v>
      </c>
      <c r="AC320" s="430"/>
      <c r="AD320" s="326" t="s">
        <v>22</v>
      </c>
      <c r="AE320" s="331"/>
      <c r="AF320" s="431"/>
      <c r="AG320" s="432"/>
      <c r="AH320" s="326"/>
      <c r="AI320" s="2"/>
      <c r="AJ320" s="59" t="str">
        <f t="shared" si="1"/>
        <v>нет з/ч</v>
      </c>
      <c r="AK320" s="61" t="str">
        <f t="shared" si="2"/>
        <v>нет з/ч</v>
      </c>
      <c r="AL320" s="61" t="str">
        <f t="shared" si="3"/>
        <v>нет з/ч</v>
      </c>
      <c r="AM320" s="304" t="str">
        <f t="shared" si="5"/>
        <v>нет з/ч</v>
      </c>
      <c r="AN320" s="2"/>
      <c r="AO320" s="289"/>
      <c r="AP320" s="296"/>
      <c r="AQ320" s="296"/>
      <c r="AR320" s="139"/>
      <c r="AS320" s="2"/>
      <c r="AT320" s="2"/>
      <c r="AU320" s="2"/>
      <c r="AV320" s="2"/>
      <c r="AW320" s="2"/>
      <c r="AX320" s="3" t="s">
        <v>9449</v>
      </c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</row>
    <row r="321">
      <c r="A321" s="315" t="s">
        <v>9450</v>
      </c>
      <c r="B321" s="93"/>
      <c r="C321" s="65"/>
      <c r="D321" s="31" t="s">
        <v>276</v>
      </c>
      <c r="E321" s="11" t="s">
        <v>8908</v>
      </c>
      <c r="F321" s="427" t="s">
        <v>8909</v>
      </c>
      <c r="G321" s="31" t="s">
        <v>8910</v>
      </c>
      <c r="H321" s="31"/>
      <c r="I321" s="31"/>
      <c r="J321" s="31"/>
      <c r="K321" s="428"/>
      <c r="L321" s="321"/>
      <c r="M321" s="322"/>
      <c r="N321" s="323"/>
      <c r="O321" s="429"/>
      <c r="P321" s="322"/>
      <c r="Q321" s="323"/>
      <c r="R321" s="429"/>
      <c r="S321" s="322"/>
      <c r="T321" s="323"/>
      <c r="U321" s="324"/>
      <c r="V321" s="322"/>
      <c r="W321" s="323"/>
      <c r="X321" s="324" t="s">
        <v>22</v>
      </c>
      <c r="Y321" s="173" t="s">
        <v>8912</v>
      </c>
      <c r="Z321" s="322" t="s">
        <v>22</v>
      </c>
      <c r="AA321" s="104"/>
      <c r="AB321" s="319">
        <f>AA318</f>
        <v>0</v>
      </c>
      <c r="AC321" s="430"/>
      <c r="AD321" s="326" t="s">
        <v>22</v>
      </c>
      <c r="AE321" s="331"/>
      <c r="AF321" s="431"/>
      <c r="AG321" s="432"/>
      <c r="AH321" s="326"/>
      <c r="AI321" s="2"/>
      <c r="AJ321" s="59" t="str">
        <f t="shared" si="1"/>
        <v>нет з/ч</v>
      </c>
      <c r="AK321" s="61" t="str">
        <f t="shared" si="2"/>
        <v>нет з/ч</v>
      </c>
      <c r="AL321" s="61" t="str">
        <f t="shared" si="3"/>
        <v>нет з/ч</v>
      </c>
      <c r="AM321" s="304" t="str">
        <f t="shared" si="5"/>
        <v>нет з/ч</v>
      </c>
      <c r="AN321" s="2"/>
      <c r="AO321" s="289"/>
      <c r="AP321" s="296"/>
      <c r="AQ321" s="296"/>
      <c r="AR321" s="139"/>
      <c r="AS321" s="2"/>
      <c r="AT321" s="2"/>
      <c r="AU321" s="2"/>
      <c r="AV321" s="2"/>
      <c r="AW321" s="2"/>
      <c r="AX321" s="3" t="s">
        <v>9450</v>
      </c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</row>
    <row r="322">
      <c r="A322" s="315" t="s">
        <v>9451</v>
      </c>
      <c r="B322" s="93"/>
      <c r="C322" s="65"/>
      <c r="D322" s="31" t="s">
        <v>276</v>
      </c>
      <c r="E322" s="11" t="s">
        <v>8908</v>
      </c>
      <c r="F322" s="427" t="s">
        <v>8909</v>
      </c>
      <c r="G322" s="31" t="s">
        <v>8910</v>
      </c>
      <c r="H322" s="31"/>
      <c r="I322" s="31"/>
      <c r="J322" s="31"/>
      <c r="K322" s="428"/>
      <c r="L322" s="321"/>
      <c r="M322" s="322"/>
      <c r="N322" s="323"/>
      <c r="O322" s="429"/>
      <c r="P322" s="322"/>
      <c r="Q322" s="323"/>
      <c r="R322" s="429"/>
      <c r="S322" s="322"/>
      <c r="T322" s="323"/>
      <c r="U322" s="324"/>
      <c r="V322" s="322"/>
      <c r="W322" s="323"/>
      <c r="X322" s="324" t="s">
        <v>22</v>
      </c>
      <c r="Y322" s="173" t="s">
        <v>8912</v>
      </c>
      <c r="Z322" s="322" t="s">
        <v>22</v>
      </c>
      <c r="AA322" s="104"/>
      <c r="AB322" s="319">
        <f>AA318</f>
        <v>0</v>
      </c>
      <c r="AC322" s="430"/>
      <c r="AD322" s="326" t="s">
        <v>22</v>
      </c>
      <c r="AE322" s="331"/>
      <c r="AF322" s="431"/>
      <c r="AG322" s="432"/>
      <c r="AH322" s="326"/>
      <c r="AI322" s="2"/>
      <c r="AJ322" s="59" t="str">
        <f t="shared" si="1"/>
        <v>нет з/ч</v>
      </c>
      <c r="AK322" s="61" t="str">
        <f t="shared" si="2"/>
        <v>нет з/ч</v>
      </c>
      <c r="AL322" s="61" t="str">
        <f t="shared" si="3"/>
        <v>нет з/ч</v>
      </c>
      <c r="AM322" s="304" t="str">
        <f t="shared" si="5"/>
        <v>нет з/ч</v>
      </c>
      <c r="AN322" s="2"/>
      <c r="AO322" s="289"/>
      <c r="AP322" s="296"/>
      <c r="AQ322" s="296"/>
      <c r="AR322" s="139"/>
      <c r="AS322" s="2"/>
      <c r="AT322" s="2"/>
      <c r="AU322" s="2"/>
      <c r="AV322" s="2"/>
      <c r="AW322" s="2"/>
      <c r="AX322" s="3" t="s">
        <v>9451</v>
      </c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</row>
    <row r="323">
      <c r="A323" s="315" t="s">
        <v>9452</v>
      </c>
      <c r="B323" s="93"/>
      <c r="C323" s="65"/>
      <c r="D323" s="31" t="s">
        <v>276</v>
      </c>
      <c r="E323" s="11" t="s">
        <v>8908</v>
      </c>
      <c r="F323" s="427" t="s">
        <v>8909</v>
      </c>
      <c r="G323" s="31" t="s">
        <v>8910</v>
      </c>
      <c r="H323" s="31"/>
      <c r="I323" s="31"/>
      <c r="J323" s="31"/>
      <c r="K323" s="428"/>
      <c r="L323" s="321"/>
      <c r="M323" s="322"/>
      <c r="N323" s="323"/>
      <c r="O323" s="429"/>
      <c r="P323" s="322"/>
      <c r="Q323" s="323"/>
      <c r="R323" s="429"/>
      <c r="S323" s="322"/>
      <c r="T323" s="323"/>
      <c r="U323" s="324"/>
      <c r="V323" s="322"/>
      <c r="W323" s="323"/>
      <c r="X323" s="324" t="s">
        <v>22</v>
      </c>
      <c r="Y323" s="173" t="s">
        <v>8912</v>
      </c>
      <c r="Z323" s="322" t="s">
        <v>22</v>
      </c>
      <c r="AA323" s="104"/>
      <c r="AB323" s="319">
        <f>AA318</f>
        <v>0</v>
      </c>
      <c r="AC323" s="430"/>
      <c r="AD323" s="326" t="s">
        <v>22</v>
      </c>
      <c r="AE323" s="331"/>
      <c r="AF323" s="431"/>
      <c r="AG323" s="432"/>
      <c r="AH323" s="326"/>
      <c r="AI323" s="2"/>
      <c r="AJ323" s="59" t="str">
        <f t="shared" si="1"/>
        <v>нет з/ч</v>
      </c>
      <c r="AK323" s="61" t="str">
        <f t="shared" si="2"/>
        <v>нет з/ч</v>
      </c>
      <c r="AL323" s="61" t="str">
        <f t="shared" si="3"/>
        <v>нет з/ч</v>
      </c>
      <c r="AM323" s="304" t="str">
        <f t="shared" si="5"/>
        <v>нет з/ч</v>
      </c>
      <c r="AN323" s="2"/>
      <c r="AO323" s="289"/>
      <c r="AP323" s="296"/>
      <c r="AQ323" s="296"/>
      <c r="AR323" s="139"/>
      <c r="AS323" s="2"/>
      <c r="AT323" s="2"/>
      <c r="AU323" s="2"/>
      <c r="AV323" s="2"/>
      <c r="AW323" s="2"/>
      <c r="AX323" s="3" t="s">
        <v>9452</v>
      </c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</row>
    <row r="324">
      <c r="A324" s="315" t="s">
        <v>9453</v>
      </c>
      <c r="B324" s="93"/>
      <c r="C324" s="65"/>
      <c r="D324" s="31" t="s">
        <v>276</v>
      </c>
      <c r="E324" s="11" t="s">
        <v>8908</v>
      </c>
      <c r="F324" s="427" t="s">
        <v>8909</v>
      </c>
      <c r="G324" s="31" t="s">
        <v>8910</v>
      </c>
      <c r="H324" s="31"/>
      <c r="I324" s="31"/>
      <c r="J324" s="31"/>
      <c r="K324" s="428"/>
      <c r="L324" s="321"/>
      <c r="M324" s="322"/>
      <c r="N324" s="323"/>
      <c r="O324" s="429"/>
      <c r="P324" s="322"/>
      <c r="Q324" s="323"/>
      <c r="R324" s="429"/>
      <c r="S324" s="322"/>
      <c r="T324" s="323"/>
      <c r="U324" s="324"/>
      <c r="V324" s="322"/>
      <c r="W324" s="323"/>
      <c r="X324" s="324" t="s">
        <v>22</v>
      </c>
      <c r="Y324" s="173" t="s">
        <v>8912</v>
      </c>
      <c r="Z324" s="322" t="s">
        <v>22</v>
      </c>
      <c r="AA324" s="104"/>
      <c r="AB324" s="319">
        <f>AA318</f>
        <v>0</v>
      </c>
      <c r="AC324" s="430"/>
      <c r="AD324" s="326" t="s">
        <v>22</v>
      </c>
      <c r="AE324" s="331"/>
      <c r="AF324" s="431"/>
      <c r="AG324" s="432"/>
      <c r="AH324" s="326"/>
      <c r="AI324" s="2"/>
      <c r="AJ324" s="59" t="str">
        <f t="shared" si="1"/>
        <v>нет з/ч</v>
      </c>
      <c r="AK324" s="61" t="str">
        <f t="shared" si="2"/>
        <v>нет з/ч</v>
      </c>
      <c r="AL324" s="61" t="str">
        <f t="shared" si="3"/>
        <v>нет з/ч</v>
      </c>
      <c r="AM324" s="304" t="str">
        <f t="shared" si="5"/>
        <v>нет з/ч</v>
      </c>
      <c r="AN324" s="2"/>
      <c r="AO324" s="289"/>
      <c r="AP324" s="296"/>
      <c r="AQ324" s="296"/>
      <c r="AR324" s="139"/>
      <c r="AS324" s="2"/>
      <c r="AT324" s="2"/>
      <c r="AU324" s="2"/>
      <c r="AV324" s="2"/>
      <c r="AW324" s="2"/>
      <c r="AX324" s="3" t="s">
        <v>9453</v>
      </c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</row>
    <row r="325">
      <c r="A325" s="315" t="s">
        <v>9454</v>
      </c>
      <c r="B325" s="93"/>
      <c r="C325" s="65"/>
      <c r="D325" s="31" t="s">
        <v>276</v>
      </c>
      <c r="E325" s="11" t="s">
        <v>8908</v>
      </c>
      <c r="F325" s="427" t="s">
        <v>8909</v>
      </c>
      <c r="G325" s="31" t="s">
        <v>8910</v>
      </c>
      <c r="H325" s="31"/>
      <c r="I325" s="31"/>
      <c r="J325" s="31"/>
      <c r="K325" s="428"/>
      <c r="L325" s="321"/>
      <c r="M325" s="322"/>
      <c r="N325" s="323"/>
      <c r="O325" s="429"/>
      <c r="P325" s="322"/>
      <c r="Q325" s="323"/>
      <c r="R325" s="429"/>
      <c r="S325" s="322"/>
      <c r="T325" s="323"/>
      <c r="U325" s="324"/>
      <c r="V325" s="322"/>
      <c r="W325" s="323"/>
      <c r="X325" s="324" t="s">
        <v>22</v>
      </c>
      <c r="Y325" s="173" t="s">
        <v>8912</v>
      </c>
      <c r="Z325" s="322" t="s">
        <v>22</v>
      </c>
      <c r="AA325" s="67"/>
      <c r="AB325" s="319">
        <f>AA318</f>
        <v>0</v>
      </c>
      <c r="AC325" s="430"/>
      <c r="AD325" s="326" t="s">
        <v>22</v>
      </c>
      <c r="AE325" s="331"/>
      <c r="AF325" s="431"/>
      <c r="AG325" s="432"/>
      <c r="AH325" s="326"/>
      <c r="AI325" s="2"/>
      <c r="AJ325" s="59" t="str">
        <f t="shared" si="1"/>
        <v>нет з/ч</v>
      </c>
      <c r="AK325" s="61" t="str">
        <f t="shared" si="2"/>
        <v>нет з/ч</v>
      </c>
      <c r="AL325" s="61" t="str">
        <f t="shared" si="3"/>
        <v>нет з/ч</v>
      </c>
      <c r="AM325" s="304" t="str">
        <f t="shared" si="5"/>
        <v>нет з/ч</v>
      </c>
      <c r="AN325" s="2"/>
      <c r="AO325" s="289"/>
      <c r="AP325" s="296"/>
      <c r="AQ325" s="296"/>
      <c r="AR325" s="139"/>
      <c r="AS325" s="2"/>
      <c r="AT325" s="2"/>
      <c r="AU325" s="2"/>
      <c r="AV325" s="2"/>
      <c r="AW325" s="2"/>
      <c r="AX325" s="3" t="s">
        <v>9454</v>
      </c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</row>
    <row r="326">
      <c r="A326" s="315" t="s">
        <v>9455</v>
      </c>
      <c r="B326" s="93"/>
      <c r="C326" s="65"/>
      <c r="D326" s="31" t="s">
        <v>276</v>
      </c>
      <c r="E326" s="11" t="s">
        <v>8908</v>
      </c>
      <c r="F326" s="427" t="s">
        <v>8915</v>
      </c>
      <c r="G326" s="31" t="s">
        <v>8916</v>
      </c>
      <c r="H326" s="31"/>
      <c r="I326" s="31"/>
      <c r="J326" s="31"/>
      <c r="K326" s="428"/>
      <c r="L326" s="327" t="s">
        <v>9456</v>
      </c>
      <c r="M326" s="322"/>
      <c r="N326" s="328">
        <v>3200.0</v>
      </c>
      <c r="O326" s="429"/>
      <c r="P326" s="322"/>
      <c r="Q326" s="323"/>
      <c r="R326" s="429"/>
      <c r="S326" s="322"/>
      <c r="T326" s="323"/>
      <c r="U326" s="324"/>
      <c r="V326" s="322"/>
      <c r="W326" s="323"/>
      <c r="X326" s="324">
        <v>3200.0</v>
      </c>
      <c r="Y326" s="173" t="s">
        <v>8912</v>
      </c>
      <c r="Z326" s="322">
        <v>3600.0</v>
      </c>
      <c r="AA326" s="313">
        <f>MAX(Z326:Z329)</f>
        <v>3600</v>
      </c>
      <c r="AB326" s="319">
        <f>AA326</f>
        <v>3600</v>
      </c>
      <c r="AC326" s="430"/>
      <c r="AD326" s="326" t="s">
        <v>5839</v>
      </c>
      <c r="AE326" s="329" t="s">
        <v>9457</v>
      </c>
      <c r="AF326" s="431"/>
      <c r="AG326" s="432"/>
      <c r="AH326" s="330">
        <v>46080.719087731486</v>
      </c>
      <c r="AI326" s="2"/>
      <c r="AJ326" s="289">
        <f t="shared" si="1"/>
        <v>400</v>
      </c>
      <c r="AK326" s="61" t="str">
        <f t="shared" si="2"/>
        <v>нет з/ч</v>
      </c>
      <c r="AL326" s="61" t="str">
        <f t="shared" si="3"/>
        <v>нет з/ч</v>
      </c>
      <c r="AM326" s="304" t="str">
        <f t="shared" si="5"/>
        <v>нет з/ч</v>
      </c>
      <c r="AN326" s="2"/>
      <c r="AO326" s="289">
        <v>3200.0</v>
      </c>
      <c r="AP326" s="296"/>
      <c r="AQ326" s="296"/>
      <c r="AR326" s="139"/>
      <c r="AS326" s="2"/>
      <c r="AT326" s="2"/>
      <c r="AU326" s="2"/>
      <c r="AV326" s="2"/>
      <c r="AW326" s="2"/>
      <c r="AX326" s="3" t="s">
        <v>9455</v>
      </c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</row>
    <row r="327">
      <c r="A327" s="315" t="s">
        <v>9458</v>
      </c>
      <c r="B327" s="93"/>
      <c r="C327" s="65"/>
      <c r="D327" s="31" t="s">
        <v>276</v>
      </c>
      <c r="E327" s="11" t="s">
        <v>8908</v>
      </c>
      <c r="F327" s="427" t="s">
        <v>8915</v>
      </c>
      <c r="G327" s="31" t="s">
        <v>8916</v>
      </c>
      <c r="H327" s="31"/>
      <c r="I327" s="31"/>
      <c r="J327" s="31"/>
      <c r="K327" s="428"/>
      <c r="L327" s="327" t="s">
        <v>9459</v>
      </c>
      <c r="M327" s="322"/>
      <c r="N327" s="328">
        <v>3200.0</v>
      </c>
      <c r="O327" s="429"/>
      <c r="P327" s="322"/>
      <c r="Q327" s="323"/>
      <c r="R327" s="429"/>
      <c r="S327" s="322"/>
      <c r="T327" s="323"/>
      <c r="U327" s="324"/>
      <c r="V327" s="322"/>
      <c r="W327" s="323"/>
      <c r="X327" s="324">
        <v>3200.0</v>
      </c>
      <c r="Y327" s="173" t="s">
        <v>8912</v>
      </c>
      <c r="Z327" s="322">
        <v>3600.0</v>
      </c>
      <c r="AA327" s="104"/>
      <c r="AB327" s="319">
        <f>AA326</f>
        <v>3600</v>
      </c>
      <c r="AC327" s="430"/>
      <c r="AD327" s="326" t="s">
        <v>5839</v>
      </c>
      <c r="AE327" s="329" t="s">
        <v>9460</v>
      </c>
      <c r="AF327" s="431"/>
      <c r="AG327" s="432"/>
      <c r="AH327" s="330">
        <v>46080.71912247685</v>
      </c>
      <c r="AI327" s="2"/>
      <c r="AJ327" s="289">
        <f t="shared" si="1"/>
        <v>400</v>
      </c>
      <c r="AK327" s="61" t="str">
        <f t="shared" si="2"/>
        <v>нет з/ч</v>
      </c>
      <c r="AL327" s="61" t="str">
        <f t="shared" si="3"/>
        <v>нет з/ч</v>
      </c>
      <c r="AM327" s="304" t="str">
        <f t="shared" si="5"/>
        <v>нет з/ч</v>
      </c>
      <c r="AN327" s="2"/>
      <c r="AO327" s="289">
        <v>3200.0</v>
      </c>
      <c r="AP327" s="296"/>
      <c r="AQ327" s="296"/>
      <c r="AR327" s="139"/>
      <c r="AS327" s="2"/>
      <c r="AT327" s="2"/>
      <c r="AU327" s="2"/>
      <c r="AV327" s="2"/>
      <c r="AW327" s="2"/>
      <c r="AX327" s="3" t="s">
        <v>9458</v>
      </c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>
      <c r="A328" s="315" t="s">
        <v>9461</v>
      </c>
      <c r="B328" s="93"/>
      <c r="C328" s="65"/>
      <c r="D328" s="31" t="s">
        <v>276</v>
      </c>
      <c r="E328" s="11" t="s">
        <v>8908</v>
      </c>
      <c r="F328" s="427" t="s">
        <v>8915</v>
      </c>
      <c r="G328" s="31" t="s">
        <v>8916</v>
      </c>
      <c r="H328" s="31"/>
      <c r="I328" s="31"/>
      <c r="J328" s="31"/>
      <c r="K328" s="428"/>
      <c r="L328" s="327" t="s">
        <v>9462</v>
      </c>
      <c r="M328" s="322"/>
      <c r="N328" s="328">
        <v>3200.0</v>
      </c>
      <c r="O328" s="429"/>
      <c r="P328" s="322"/>
      <c r="Q328" s="323"/>
      <c r="R328" s="429"/>
      <c r="S328" s="322"/>
      <c r="T328" s="323"/>
      <c r="U328" s="324"/>
      <c r="V328" s="322"/>
      <c r="W328" s="323"/>
      <c r="X328" s="324">
        <v>3200.0</v>
      </c>
      <c r="Y328" s="173" t="s">
        <v>8912</v>
      </c>
      <c r="Z328" s="322">
        <v>3600.0</v>
      </c>
      <c r="AA328" s="104"/>
      <c r="AB328" s="319">
        <f>AA326</f>
        <v>3600</v>
      </c>
      <c r="AC328" s="430"/>
      <c r="AD328" s="326" t="s">
        <v>5839</v>
      </c>
      <c r="AE328" s="329" t="s">
        <v>9463</v>
      </c>
      <c r="AF328" s="431"/>
      <c r="AG328" s="432"/>
      <c r="AH328" s="330">
        <v>46080.71915427083</v>
      </c>
      <c r="AI328" s="2"/>
      <c r="AJ328" s="289">
        <f t="shared" si="1"/>
        <v>400</v>
      </c>
      <c r="AK328" s="61" t="str">
        <f t="shared" si="2"/>
        <v>нет з/ч</v>
      </c>
      <c r="AL328" s="61" t="str">
        <f t="shared" si="3"/>
        <v>нет з/ч</v>
      </c>
      <c r="AM328" s="304" t="str">
        <f t="shared" si="5"/>
        <v>нет з/ч</v>
      </c>
      <c r="AN328" s="2"/>
      <c r="AO328" s="289">
        <v>3200.0</v>
      </c>
      <c r="AP328" s="296"/>
      <c r="AQ328" s="296"/>
      <c r="AR328" s="139"/>
      <c r="AS328" s="2"/>
      <c r="AT328" s="2"/>
      <c r="AU328" s="2"/>
      <c r="AV328" s="2"/>
      <c r="AW328" s="2"/>
      <c r="AX328" s="3" t="s">
        <v>9461</v>
      </c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>
      <c r="A329" s="315" t="s">
        <v>9464</v>
      </c>
      <c r="B329" s="93"/>
      <c r="C329" s="65"/>
      <c r="D329" s="31" t="s">
        <v>276</v>
      </c>
      <c r="E329" s="11" t="s">
        <v>8908</v>
      </c>
      <c r="F329" s="427" t="s">
        <v>8915</v>
      </c>
      <c r="G329" s="31" t="s">
        <v>8916</v>
      </c>
      <c r="H329" s="31"/>
      <c r="I329" s="31"/>
      <c r="J329" s="31"/>
      <c r="K329" s="428"/>
      <c r="L329" s="327" t="s">
        <v>9465</v>
      </c>
      <c r="M329" s="322"/>
      <c r="N329" s="328">
        <v>3200.0</v>
      </c>
      <c r="O329" s="429"/>
      <c r="P329" s="322"/>
      <c r="Q329" s="323"/>
      <c r="R329" s="429"/>
      <c r="S329" s="322"/>
      <c r="T329" s="323"/>
      <c r="U329" s="324"/>
      <c r="V329" s="322"/>
      <c r="W329" s="323"/>
      <c r="X329" s="324">
        <v>3200.0</v>
      </c>
      <c r="Y329" s="173" t="s">
        <v>8912</v>
      </c>
      <c r="Z329" s="322">
        <v>3600.0</v>
      </c>
      <c r="AA329" s="67"/>
      <c r="AB329" s="319">
        <f>AA326</f>
        <v>3600</v>
      </c>
      <c r="AC329" s="430"/>
      <c r="AD329" s="326" t="s">
        <v>5839</v>
      </c>
      <c r="AE329" s="329" t="s">
        <v>9466</v>
      </c>
      <c r="AF329" s="431"/>
      <c r="AG329" s="432"/>
      <c r="AH329" s="330">
        <v>46080.719184629634</v>
      </c>
      <c r="AI329" s="2"/>
      <c r="AJ329" s="289">
        <f t="shared" si="1"/>
        <v>400</v>
      </c>
      <c r="AK329" s="61" t="str">
        <f t="shared" si="2"/>
        <v>нет з/ч</v>
      </c>
      <c r="AL329" s="61" t="str">
        <f t="shared" si="3"/>
        <v>нет з/ч</v>
      </c>
      <c r="AM329" s="304" t="str">
        <f t="shared" si="5"/>
        <v>нет з/ч</v>
      </c>
      <c r="AN329" s="2"/>
      <c r="AO329" s="289">
        <v>3200.0</v>
      </c>
      <c r="AP329" s="296"/>
      <c r="AQ329" s="296"/>
      <c r="AR329" s="139"/>
      <c r="AS329" s="2"/>
      <c r="AT329" s="2"/>
      <c r="AU329" s="2"/>
      <c r="AV329" s="2"/>
      <c r="AW329" s="2"/>
      <c r="AX329" s="3" t="s">
        <v>9464</v>
      </c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>
      <c r="A330" s="315" t="s">
        <v>9467</v>
      </c>
      <c r="B330" s="93"/>
      <c r="C330" s="65"/>
      <c r="D330" s="31" t="s">
        <v>283</v>
      </c>
      <c r="E330" s="11" t="s">
        <v>8908</v>
      </c>
      <c r="F330" s="427" t="s">
        <v>8909</v>
      </c>
      <c r="G330" s="31" t="s">
        <v>8910</v>
      </c>
      <c r="H330" s="31"/>
      <c r="I330" s="31"/>
      <c r="J330" s="31"/>
      <c r="K330" s="428"/>
      <c r="L330" s="321"/>
      <c r="M330" s="322"/>
      <c r="N330" s="323"/>
      <c r="O330" s="429"/>
      <c r="P330" s="322"/>
      <c r="Q330" s="323"/>
      <c r="R330" s="429"/>
      <c r="S330" s="322"/>
      <c r="T330" s="323"/>
      <c r="U330" s="324"/>
      <c r="V330" s="322"/>
      <c r="W330" s="323"/>
      <c r="X330" s="324" t="s">
        <v>22</v>
      </c>
      <c r="Y330" s="173" t="s">
        <v>8912</v>
      </c>
      <c r="Z330" s="322" t="s">
        <v>22</v>
      </c>
      <c r="AA330" s="313">
        <f>MAX(Z330:Z337)</f>
        <v>0</v>
      </c>
      <c r="AB330" s="319">
        <f>AA330</f>
        <v>0</v>
      </c>
      <c r="AC330" s="430"/>
      <c r="AD330" s="326" t="s">
        <v>22</v>
      </c>
      <c r="AE330" s="331"/>
      <c r="AF330" s="431"/>
      <c r="AG330" s="432"/>
      <c r="AH330" s="326"/>
      <c r="AI330" s="2"/>
      <c r="AJ330" s="59" t="str">
        <f t="shared" si="1"/>
        <v>нет з/ч</v>
      </c>
      <c r="AK330" s="61" t="str">
        <f t="shared" si="2"/>
        <v>нет з/ч</v>
      </c>
      <c r="AL330" s="61" t="str">
        <f t="shared" si="3"/>
        <v>нет з/ч</v>
      </c>
      <c r="AM330" s="304" t="str">
        <f t="shared" si="5"/>
        <v>нет з/ч</v>
      </c>
      <c r="AN330" s="2"/>
      <c r="AO330" s="289"/>
      <c r="AP330" s="296"/>
      <c r="AQ330" s="296"/>
      <c r="AR330" s="139"/>
      <c r="AS330" s="2"/>
      <c r="AT330" s="2"/>
      <c r="AU330" s="2"/>
      <c r="AV330" s="2"/>
      <c r="AW330" s="2"/>
      <c r="AX330" s="3" t="s">
        <v>9467</v>
      </c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>
      <c r="A331" s="315" t="s">
        <v>9468</v>
      </c>
      <c r="B331" s="93"/>
      <c r="C331" s="65"/>
      <c r="D331" s="31" t="s">
        <v>283</v>
      </c>
      <c r="E331" s="11" t="s">
        <v>8908</v>
      </c>
      <c r="F331" s="427" t="s">
        <v>8909</v>
      </c>
      <c r="G331" s="31" t="s">
        <v>8910</v>
      </c>
      <c r="H331" s="31"/>
      <c r="I331" s="31"/>
      <c r="J331" s="31"/>
      <c r="K331" s="428"/>
      <c r="L331" s="321"/>
      <c r="M331" s="322"/>
      <c r="N331" s="323"/>
      <c r="O331" s="429"/>
      <c r="P331" s="322"/>
      <c r="Q331" s="323"/>
      <c r="R331" s="429"/>
      <c r="S331" s="322"/>
      <c r="T331" s="323"/>
      <c r="U331" s="324"/>
      <c r="V331" s="322"/>
      <c r="W331" s="323"/>
      <c r="X331" s="324" t="s">
        <v>22</v>
      </c>
      <c r="Y331" s="173" t="s">
        <v>8912</v>
      </c>
      <c r="Z331" s="322" t="s">
        <v>22</v>
      </c>
      <c r="AA331" s="104"/>
      <c r="AB331" s="319">
        <f>AA330</f>
        <v>0</v>
      </c>
      <c r="AC331" s="430"/>
      <c r="AD331" s="326" t="s">
        <v>22</v>
      </c>
      <c r="AE331" s="331"/>
      <c r="AF331" s="431"/>
      <c r="AG331" s="432"/>
      <c r="AH331" s="326"/>
      <c r="AI331" s="2"/>
      <c r="AJ331" s="59" t="str">
        <f t="shared" si="1"/>
        <v>нет з/ч</v>
      </c>
      <c r="AK331" s="61" t="str">
        <f t="shared" si="2"/>
        <v>нет з/ч</v>
      </c>
      <c r="AL331" s="61" t="str">
        <f t="shared" si="3"/>
        <v>нет з/ч</v>
      </c>
      <c r="AM331" s="304" t="str">
        <f t="shared" si="5"/>
        <v>нет з/ч</v>
      </c>
      <c r="AN331" s="2"/>
      <c r="AO331" s="289"/>
      <c r="AP331" s="296"/>
      <c r="AQ331" s="296"/>
      <c r="AR331" s="139"/>
      <c r="AS331" s="2"/>
      <c r="AT331" s="2"/>
      <c r="AU331" s="2"/>
      <c r="AV331" s="2"/>
      <c r="AW331" s="2"/>
      <c r="AX331" s="3" t="s">
        <v>9468</v>
      </c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</row>
    <row r="332">
      <c r="A332" s="315" t="s">
        <v>9469</v>
      </c>
      <c r="B332" s="93"/>
      <c r="C332" s="65"/>
      <c r="D332" s="31" t="s">
        <v>283</v>
      </c>
      <c r="E332" s="11" t="s">
        <v>8908</v>
      </c>
      <c r="F332" s="427" t="s">
        <v>8909</v>
      </c>
      <c r="G332" s="31" t="s">
        <v>8910</v>
      </c>
      <c r="H332" s="31"/>
      <c r="I332" s="31"/>
      <c r="J332" s="31"/>
      <c r="K332" s="428"/>
      <c r="L332" s="321"/>
      <c r="M332" s="322"/>
      <c r="N332" s="323"/>
      <c r="O332" s="429"/>
      <c r="P332" s="322"/>
      <c r="Q332" s="323"/>
      <c r="R332" s="429"/>
      <c r="S332" s="322"/>
      <c r="T332" s="323"/>
      <c r="U332" s="324"/>
      <c r="V332" s="322"/>
      <c r="W332" s="323"/>
      <c r="X332" s="324" t="s">
        <v>22</v>
      </c>
      <c r="Y332" s="173" t="s">
        <v>8912</v>
      </c>
      <c r="Z332" s="322" t="s">
        <v>22</v>
      </c>
      <c r="AA332" s="104"/>
      <c r="AB332" s="319">
        <f>AA330</f>
        <v>0</v>
      </c>
      <c r="AC332" s="430"/>
      <c r="AD332" s="326" t="s">
        <v>22</v>
      </c>
      <c r="AE332" s="331"/>
      <c r="AF332" s="431"/>
      <c r="AG332" s="432"/>
      <c r="AH332" s="326"/>
      <c r="AI332" s="2"/>
      <c r="AJ332" s="59" t="str">
        <f t="shared" si="1"/>
        <v>нет з/ч</v>
      </c>
      <c r="AK332" s="61" t="str">
        <f t="shared" si="2"/>
        <v>нет з/ч</v>
      </c>
      <c r="AL332" s="61" t="str">
        <f t="shared" si="3"/>
        <v>нет з/ч</v>
      </c>
      <c r="AM332" s="304" t="str">
        <f t="shared" si="5"/>
        <v>нет з/ч</v>
      </c>
      <c r="AN332" s="2"/>
      <c r="AO332" s="289"/>
      <c r="AP332" s="296"/>
      <c r="AQ332" s="296"/>
      <c r="AR332" s="139"/>
      <c r="AS332" s="2"/>
      <c r="AT332" s="2"/>
      <c r="AU332" s="2"/>
      <c r="AV332" s="2"/>
      <c r="AW332" s="2"/>
      <c r="AX332" s="3" t="s">
        <v>9469</v>
      </c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</row>
    <row r="333">
      <c r="A333" s="315" t="s">
        <v>9470</v>
      </c>
      <c r="B333" s="93"/>
      <c r="C333" s="65"/>
      <c r="D333" s="31" t="s">
        <v>283</v>
      </c>
      <c r="E333" s="11" t="s">
        <v>8908</v>
      </c>
      <c r="F333" s="427" t="s">
        <v>8909</v>
      </c>
      <c r="G333" s="31" t="s">
        <v>8910</v>
      </c>
      <c r="H333" s="31"/>
      <c r="I333" s="31"/>
      <c r="J333" s="31"/>
      <c r="K333" s="428"/>
      <c r="L333" s="321"/>
      <c r="M333" s="322"/>
      <c r="N333" s="323"/>
      <c r="O333" s="429"/>
      <c r="P333" s="322"/>
      <c r="Q333" s="323"/>
      <c r="R333" s="429"/>
      <c r="S333" s="322"/>
      <c r="T333" s="323"/>
      <c r="U333" s="324"/>
      <c r="V333" s="322"/>
      <c r="W333" s="323"/>
      <c r="X333" s="324" t="s">
        <v>22</v>
      </c>
      <c r="Y333" s="173" t="s">
        <v>8912</v>
      </c>
      <c r="Z333" s="322" t="s">
        <v>22</v>
      </c>
      <c r="AA333" s="104"/>
      <c r="AB333" s="319">
        <f>AA330</f>
        <v>0</v>
      </c>
      <c r="AC333" s="430"/>
      <c r="AD333" s="326" t="s">
        <v>22</v>
      </c>
      <c r="AE333" s="331"/>
      <c r="AF333" s="431"/>
      <c r="AG333" s="432"/>
      <c r="AH333" s="326"/>
      <c r="AI333" s="2"/>
      <c r="AJ333" s="59" t="str">
        <f t="shared" si="1"/>
        <v>нет з/ч</v>
      </c>
      <c r="AK333" s="61" t="str">
        <f t="shared" si="2"/>
        <v>нет з/ч</v>
      </c>
      <c r="AL333" s="61" t="str">
        <f t="shared" si="3"/>
        <v>нет з/ч</v>
      </c>
      <c r="AM333" s="304" t="str">
        <f t="shared" si="5"/>
        <v>нет з/ч</v>
      </c>
      <c r="AN333" s="2"/>
      <c r="AO333" s="289"/>
      <c r="AP333" s="296"/>
      <c r="AQ333" s="296"/>
      <c r="AR333" s="139"/>
      <c r="AS333" s="2"/>
      <c r="AT333" s="2"/>
      <c r="AU333" s="2"/>
      <c r="AV333" s="2"/>
      <c r="AW333" s="2"/>
      <c r="AX333" s="3" t="s">
        <v>9470</v>
      </c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</row>
    <row r="334">
      <c r="A334" s="315" t="s">
        <v>9471</v>
      </c>
      <c r="B334" s="93"/>
      <c r="C334" s="65"/>
      <c r="D334" s="31" t="s">
        <v>283</v>
      </c>
      <c r="E334" s="11" t="s">
        <v>8908</v>
      </c>
      <c r="F334" s="427" t="s">
        <v>8909</v>
      </c>
      <c r="G334" s="31" t="s">
        <v>8910</v>
      </c>
      <c r="H334" s="31"/>
      <c r="I334" s="31"/>
      <c r="J334" s="31"/>
      <c r="K334" s="428"/>
      <c r="L334" s="321"/>
      <c r="M334" s="322"/>
      <c r="N334" s="323"/>
      <c r="O334" s="429"/>
      <c r="P334" s="322"/>
      <c r="Q334" s="323"/>
      <c r="R334" s="429"/>
      <c r="S334" s="322"/>
      <c r="T334" s="323"/>
      <c r="U334" s="324"/>
      <c r="V334" s="322"/>
      <c r="W334" s="323"/>
      <c r="X334" s="324" t="s">
        <v>22</v>
      </c>
      <c r="Y334" s="173" t="s">
        <v>8912</v>
      </c>
      <c r="Z334" s="322" t="s">
        <v>22</v>
      </c>
      <c r="AA334" s="104"/>
      <c r="AB334" s="319">
        <f>AA330</f>
        <v>0</v>
      </c>
      <c r="AC334" s="430"/>
      <c r="AD334" s="326" t="s">
        <v>22</v>
      </c>
      <c r="AE334" s="331"/>
      <c r="AF334" s="431"/>
      <c r="AG334" s="432"/>
      <c r="AH334" s="326"/>
      <c r="AI334" s="2"/>
      <c r="AJ334" s="59" t="str">
        <f t="shared" si="1"/>
        <v>нет з/ч</v>
      </c>
      <c r="AK334" s="61" t="str">
        <f t="shared" si="2"/>
        <v>нет з/ч</v>
      </c>
      <c r="AL334" s="61" t="str">
        <f t="shared" si="3"/>
        <v>нет з/ч</v>
      </c>
      <c r="AM334" s="304" t="str">
        <f t="shared" si="5"/>
        <v>нет з/ч</v>
      </c>
      <c r="AN334" s="2"/>
      <c r="AO334" s="289"/>
      <c r="AP334" s="296"/>
      <c r="AQ334" s="296"/>
      <c r="AR334" s="139"/>
      <c r="AS334" s="2"/>
      <c r="AT334" s="2"/>
      <c r="AU334" s="2"/>
      <c r="AV334" s="2"/>
      <c r="AW334" s="2"/>
      <c r="AX334" s="3" t="s">
        <v>9471</v>
      </c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</row>
    <row r="335">
      <c r="A335" s="315" t="s">
        <v>9472</v>
      </c>
      <c r="B335" s="93"/>
      <c r="C335" s="65"/>
      <c r="D335" s="31" t="s">
        <v>283</v>
      </c>
      <c r="E335" s="11" t="s">
        <v>8908</v>
      </c>
      <c r="F335" s="427" t="s">
        <v>8909</v>
      </c>
      <c r="G335" s="31" t="s">
        <v>8910</v>
      </c>
      <c r="H335" s="31"/>
      <c r="I335" s="31"/>
      <c r="J335" s="31"/>
      <c r="K335" s="428"/>
      <c r="L335" s="321"/>
      <c r="M335" s="322"/>
      <c r="N335" s="323"/>
      <c r="O335" s="429"/>
      <c r="P335" s="322"/>
      <c r="Q335" s="323"/>
      <c r="R335" s="429"/>
      <c r="S335" s="322"/>
      <c r="T335" s="323"/>
      <c r="U335" s="324"/>
      <c r="V335" s="322"/>
      <c r="W335" s="323"/>
      <c r="X335" s="324" t="s">
        <v>22</v>
      </c>
      <c r="Y335" s="173" t="s">
        <v>8912</v>
      </c>
      <c r="Z335" s="322" t="s">
        <v>22</v>
      </c>
      <c r="AA335" s="104"/>
      <c r="AB335" s="319">
        <f>AA330</f>
        <v>0</v>
      </c>
      <c r="AC335" s="430"/>
      <c r="AD335" s="326" t="s">
        <v>22</v>
      </c>
      <c r="AE335" s="331"/>
      <c r="AF335" s="431"/>
      <c r="AG335" s="432"/>
      <c r="AH335" s="326"/>
      <c r="AI335" s="2"/>
      <c r="AJ335" s="59" t="str">
        <f t="shared" si="1"/>
        <v>нет з/ч</v>
      </c>
      <c r="AK335" s="61" t="str">
        <f t="shared" si="2"/>
        <v>нет з/ч</v>
      </c>
      <c r="AL335" s="61" t="str">
        <f t="shared" si="3"/>
        <v>нет з/ч</v>
      </c>
      <c r="AM335" s="304" t="str">
        <f t="shared" si="5"/>
        <v>нет з/ч</v>
      </c>
      <c r="AN335" s="2"/>
      <c r="AO335" s="289"/>
      <c r="AP335" s="296"/>
      <c r="AQ335" s="296"/>
      <c r="AR335" s="139"/>
      <c r="AS335" s="2"/>
      <c r="AT335" s="2"/>
      <c r="AU335" s="2"/>
      <c r="AV335" s="2"/>
      <c r="AW335" s="2"/>
      <c r="AX335" s="3" t="s">
        <v>9472</v>
      </c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</row>
    <row r="336">
      <c r="A336" s="315" t="s">
        <v>9473</v>
      </c>
      <c r="B336" s="93"/>
      <c r="C336" s="65"/>
      <c r="D336" s="31" t="s">
        <v>283</v>
      </c>
      <c r="E336" s="11" t="s">
        <v>8908</v>
      </c>
      <c r="F336" s="427" t="s">
        <v>8909</v>
      </c>
      <c r="G336" s="31" t="s">
        <v>8910</v>
      </c>
      <c r="H336" s="31"/>
      <c r="I336" s="31"/>
      <c r="J336" s="31"/>
      <c r="K336" s="428"/>
      <c r="L336" s="321"/>
      <c r="M336" s="322"/>
      <c r="N336" s="323"/>
      <c r="O336" s="429"/>
      <c r="P336" s="322"/>
      <c r="Q336" s="323"/>
      <c r="R336" s="429"/>
      <c r="S336" s="322"/>
      <c r="T336" s="323"/>
      <c r="U336" s="324"/>
      <c r="V336" s="322"/>
      <c r="W336" s="323"/>
      <c r="X336" s="324" t="s">
        <v>22</v>
      </c>
      <c r="Y336" s="173" t="s">
        <v>8912</v>
      </c>
      <c r="Z336" s="322" t="s">
        <v>22</v>
      </c>
      <c r="AA336" s="104"/>
      <c r="AB336" s="319">
        <f>AA330</f>
        <v>0</v>
      </c>
      <c r="AC336" s="430"/>
      <c r="AD336" s="326" t="s">
        <v>22</v>
      </c>
      <c r="AE336" s="331"/>
      <c r="AF336" s="431"/>
      <c r="AG336" s="432"/>
      <c r="AH336" s="326"/>
      <c r="AI336" s="2"/>
      <c r="AJ336" s="59" t="str">
        <f t="shared" si="1"/>
        <v>нет з/ч</v>
      </c>
      <c r="AK336" s="61" t="str">
        <f t="shared" si="2"/>
        <v>нет з/ч</v>
      </c>
      <c r="AL336" s="61" t="str">
        <f t="shared" si="3"/>
        <v>нет з/ч</v>
      </c>
      <c r="AM336" s="304" t="str">
        <f t="shared" si="5"/>
        <v>нет з/ч</v>
      </c>
      <c r="AN336" s="2"/>
      <c r="AO336" s="289"/>
      <c r="AP336" s="296"/>
      <c r="AQ336" s="296"/>
      <c r="AR336" s="139"/>
      <c r="AS336" s="2"/>
      <c r="AT336" s="2"/>
      <c r="AU336" s="2"/>
      <c r="AV336" s="2"/>
      <c r="AW336" s="2"/>
      <c r="AX336" s="3" t="s">
        <v>9473</v>
      </c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</row>
    <row r="337">
      <c r="A337" s="315" t="s">
        <v>9474</v>
      </c>
      <c r="B337" s="93"/>
      <c r="C337" s="65"/>
      <c r="D337" s="31" t="s">
        <v>283</v>
      </c>
      <c r="E337" s="11" t="s">
        <v>8908</v>
      </c>
      <c r="F337" s="427" t="s">
        <v>8909</v>
      </c>
      <c r="G337" s="31" t="s">
        <v>8910</v>
      </c>
      <c r="H337" s="31"/>
      <c r="I337" s="31"/>
      <c r="J337" s="31"/>
      <c r="K337" s="428"/>
      <c r="L337" s="321"/>
      <c r="M337" s="322"/>
      <c r="N337" s="323"/>
      <c r="O337" s="429"/>
      <c r="P337" s="322"/>
      <c r="Q337" s="323"/>
      <c r="R337" s="429"/>
      <c r="S337" s="322"/>
      <c r="T337" s="323"/>
      <c r="U337" s="324"/>
      <c r="V337" s="322"/>
      <c r="W337" s="323"/>
      <c r="X337" s="324" t="s">
        <v>22</v>
      </c>
      <c r="Y337" s="173" t="s">
        <v>8912</v>
      </c>
      <c r="Z337" s="322" t="s">
        <v>22</v>
      </c>
      <c r="AA337" s="67"/>
      <c r="AB337" s="319">
        <f>AA330</f>
        <v>0</v>
      </c>
      <c r="AC337" s="430"/>
      <c r="AD337" s="326" t="s">
        <v>22</v>
      </c>
      <c r="AE337" s="331"/>
      <c r="AF337" s="431"/>
      <c r="AG337" s="432"/>
      <c r="AH337" s="326"/>
      <c r="AI337" s="2"/>
      <c r="AJ337" s="59" t="str">
        <f t="shared" si="1"/>
        <v>нет з/ч</v>
      </c>
      <c r="AK337" s="61" t="str">
        <f t="shared" si="2"/>
        <v>нет з/ч</v>
      </c>
      <c r="AL337" s="61" t="str">
        <f t="shared" si="3"/>
        <v>нет з/ч</v>
      </c>
      <c r="AM337" s="304" t="str">
        <f t="shared" si="5"/>
        <v>нет з/ч</v>
      </c>
      <c r="AN337" s="2"/>
      <c r="AO337" s="289"/>
      <c r="AP337" s="296"/>
      <c r="AQ337" s="296"/>
      <c r="AR337" s="139"/>
      <c r="AS337" s="2"/>
      <c r="AT337" s="2"/>
      <c r="AU337" s="2"/>
      <c r="AV337" s="2"/>
      <c r="AW337" s="2"/>
      <c r="AX337" s="3" t="s">
        <v>9474</v>
      </c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</row>
    <row r="338">
      <c r="A338" s="315" t="s">
        <v>9475</v>
      </c>
      <c r="B338" s="93"/>
      <c r="C338" s="65"/>
      <c r="D338" s="31" t="s">
        <v>283</v>
      </c>
      <c r="E338" s="11" t="s">
        <v>8908</v>
      </c>
      <c r="F338" s="427" t="s">
        <v>8915</v>
      </c>
      <c r="G338" s="31" t="s">
        <v>8916</v>
      </c>
      <c r="H338" s="31"/>
      <c r="I338" s="31"/>
      <c r="J338" s="31"/>
      <c r="K338" s="428"/>
      <c r="L338" s="327" t="s">
        <v>9476</v>
      </c>
      <c r="M338" s="322"/>
      <c r="N338" s="328">
        <v>3200.0</v>
      </c>
      <c r="O338" s="429"/>
      <c r="P338" s="322"/>
      <c r="Q338" s="323"/>
      <c r="R338" s="429"/>
      <c r="S338" s="322"/>
      <c r="T338" s="323"/>
      <c r="U338" s="324"/>
      <c r="V338" s="322"/>
      <c r="W338" s="323"/>
      <c r="X338" s="324">
        <v>3200.0</v>
      </c>
      <c r="Y338" s="173" t="s">
        <v>8912</v>
      </c>
      <c r="Z338" s="322">
        <v>3600.0</v>
      </c>
      <c r="AA338" s="313">
        <f>MAX(Z338:Z341)</f>
        <v>3600</v>
      </c>
      <c r="AB338" s="319">
        <f>AA338</f>
        <v>3600</v>
      </c>
      <c r="AC338" s="430"/>
      <c r="AD338" s="326" t="s">
        <v>5839</v>
      </c>
      <c r="AE338" s="329" t="s">
        <v>9477</v>
      </c>
      <c r="AF338" s="431"/>
      <c r="AG338" s="432"/>
      <c r="AH338" s="330">
        <v>46080.71922773148</v>
      </c>
      <c r="AI338" s="2"/>
      <c r="AJ338" s="289">
        <f t="shared" si="1"/>
        <v>400</v>
      </c>
      <c r="AK338" s="61" t="str">
        <f t="shared" si="2"/>
        <v>нет з/ч</v>
      </c>
      <c r="AL338" s="61" t="str">
        <f t="shared" si="3"/>
        <v>нет з/ч</v>
      </c>
      <c r="AM338" s="304" t="str">
        <f t="shared" si="5"/>
        <v>нет з/ч</v>
      </c>
      <c r="AN338" s="2"/>
      <c r="AO338" s="289">
        <v>3200.0</v>
      </c>
      <c r="AP338" s="296"/>
      <c r="AQ338" s="296"/>
      <c r="AR338" s="139"/>
      <c r="AS338" s="2"/>
      <c r="AT338" s="2"/>
      <c r="AU338" s="2"/>
      <c r="AV338" s="2"/>
      <c r="AW338" s="2"/>
      <c r="AX338" s="3" t="s">
        <v>9475</v>
      </c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</row>
    <row r="339">
      <c r="A339" s="315" t="s">
        <v>9478</v>
      </c>
      <c r="B339" s="93"/>
      <c r="C339" s="65"/>
      <c r="D339" s="31" t="s">
        <v>283</v>
      </c>
      <c r="E339" s="11" t="s">
        <v>8908</v>
      </c>
      <c r="F339" s="427" t="s">
        <v>8915</v>
      </c>
      <c r="G339" s="31" t="s">
        <v>8916</v>
      </c>
      <c r="H339" s="31"/>
      <c r="I339" s="31"/>
      <c r="J339" s="31"/>
      <c r="K339" s="428"/>
      <c r="L339" s="327" t="s">
        <v>9479</v>
      </c>
      <c r="M339" s="322"/>
      <c r="N339" s="328">
        <v>3200.0</v>
      </c>
      <c r="O339" s="429"/>
      <c r="P339" s="322"/>
      <c r="Q339" s="323"/>
      <c r="R339" s="429"/>
      <c r="S339" s="322"/>
      <c r="T339" s="323"/>
      <c r="U339" s="324"/>
      <c r="V339" s="322"/>
      <c r="W339" s="323"/>
      <c r="X339" s="324">
        <v>3200.0</v>
      </c>
      <c r="Y339" s="173" t="s">
        <v>8912</v>
      </c>
      <c r="Z339" s="322">
        <v>3600.0</v>
      </c>
      <c r="AA339" s="104"/>
      <c r="AB339" s="319">
        <f>AA338</f>
        <v>3600</v>
      </c>
      <c r="AC339" s="430"/>
      <c r="AD339" s="326" t="s">
        <v>5839</v>
      </c>
      <c r="AE339" s="329" t="s">
        <v>9480</v>
      </c>
      <c r="AF339" s="431"/>
      <c r="AG339" s="432"/>
      <c r="AH339" s="330">
        <v>46080.719261736114</v>
      </c>
      <c r="AI339" s="2"/>
      <c r="AJ339" s="289">
        <f t="shared" si="1"/>
        <v>400</v>
      </c>
      <c r="AK339" s="61" t="str">
        <f t="shared" si="2"/>
        <v>нет з/ч</v>
      </c>
      <c r="AL339" s="61" t="str">
        <f t="shared" si="3"/>
        <v>нет з/ч</v>
      </c>
      <c r="AM339" s="304" t="str">
        <f t="shared" si="5"/>
        <v>нет з/ч</v>
      </c>
      <c r="AN339" s="2"/>
      <c r="AO339" s="289">
        <v>3200.0</v>
      </c>
      <c r="AP339" s="296"/>
      <c r="AQ339" s="296"/>
      <c r="AR339" s="139"/>
      <c r="AS339" s="2"/>
      <c r="AT339" s="2"/>
      <c r="AU339" s="2"/>
      <c r="AV339" s="2"/>
      <c r="AW339" s="2"/>
      <c r="AX339" s="3" t="s">
        <v>9478</v>
      </c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>
      <c r="A340" s="315" t="s">
        <v>9481</v>
      </c>
      <c r="B340" s="93"/>
      <c r="C340" s="65"/>
      <c r="D340" s="31" t="s">
        <v>283</v>
      </c>
      <c r="E340" s="11" t="s">
        <v>8908</v>
      </c>
      <c r="F340" s="427" t="s">
        <v>8915</v>
      </c>
      <c r="G340" s="31" t="s">
        <v>8916</v>
      </c>
      <c r="H340" s="31"/>
      <c r="I340" s="31"/>
      <c r="J340" s="31"/>
      <c r="K340" s="428"/>
      <c r="L340" s="327" t="s">
        <v>9482</v>
      </c>
      <c r="M340" s="322"/>
      <c r="N340" s="328">
        <v>3200.0</v>
      </c>
      <c r="O340" s="429"/>
      <c r="P340" s="322"/>
      <c r="Q340" s="323"/>
      <c r="R340" s="429"/>
      <c r="S340" s="322"/>
      <c r="T340" s="323"/>
      <c r="U340" s="324"/>
      <c r="V340" s="322"/>
      <c r="W340" s="323"/>
      <c r="X340" s="324">
        <v>3200.0</v>
      </c>
      <c r="Y340" s="173" t="s">
        <v>8912</v>
      </c>
      <c r="Z340" s="322">
        <v>3600.0</v>
      </c>
      <c r="AA340" s="104"/>
      <c r="AB340" s="319">
        <f>AA338</f>
        <v>3600</v>
      </c>
      <c r="AC340" s="430"/>
      <c r="AD340" s="326" t="s">
        <v>5839</v>
      </c>
      <c r="AE340" s="329" t="s">
        <v>9483</v>
      </c>
      <c r="AF340" s="431"/>
      <c r="AG340" s="432"/>
      <c r="AH340" s="330">
        <v>46080.719292685186</v>
      </c>
      <c r="AI340" s="2"/>
      <c r="AJ340" s="289">
        <f t="shared" si="1"/>
        <v>400</v>
      </c>
      <c r="AK340" s="61" t="str">
        <f t="shared" si="2"/>
        <v>нет з/ч</v>
      </c>
      <c r="AL340" s="61" t="str">
        <f t="shared" si="3"/>
        <v>нет з/ч</v>
      </c>
      <c r="AM340" s="304" t="str">
        <f t="shared" si="5"/>
        <v>нет з/ч</v>
      </c>
      <c r="AN340" s="2"/>
      <c r="AO340" s="289">
        <v>3200.0</v>
      </c>
      <c r="AP340" s="296"/>
      <c r="AQ340" s="296"/>
      <c r="AR340" s="139"/>
      <c r="AS340" s="2"/>
      <c r="AT340" s="2"/>
      <c r="AU340" s="2"/>
      <c r="AV340" s="2"/>
      <c r="AW340" s="2"/>
      <c r="AX340" s="3" t="s">
        <v>9481</v>
      </c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>
      <c r="A341" s="315" t="s">
        <v>9484</v>
      </c>
      <c r="B341" s="93"/>
      <c r="C341" s="65"/>
      <c r="D341" s="31" t="s">
        <v>283</v>
      </c>
      <c r="E341" s="11" t="s">
        <v>8908</v>
      </c>
      <c r="F341" s="427" t="s">
        <v>8915</v>
      </c>
      <c r="G341" s="31" t="s">
        <v>8916</v>
      </c>
      <c r="H341" s="31"/>
      <c r="I341" s="31"/>
      <c r="J341" s="31"/>
      <c r="K341" s="428"/>
      <c r="L341" s="327" t="s">
        <v>9485</v>
      </c>
      <c r="M341" s="322"/>
      <c r="N341" s="328">
        <v>3200.0</v>
      </c>
      <c r="O341" s="429"/>
      <c r="P341" s="322"/>
      <c r="Q341" s="323"/>
      <c r="R341" s="429"/>
      <c r="S341" s="322"/>
      <c r="T341" s="323"/>
      <c r="U341" s="324"/>
      <c r="V341" s="322"/>
      <c r="W341" s="323"/>
      <c r="X341" s="324">
        <v>3200.0</v>
      </c>
      <c r="Y341" s="173" t="s">
        <v>8912</v>
      </c>
      <c r="Z341" s="322">
        <v>3600.0</v>
      </c>
      <c r="AA341" s="67"/>
      <c r="AB341" s="319">
        <f>AA338</f>
        <v>3600</v>
      </c>
      <c r="AC341" s="430"/>
      <c r="AD341" s="326" t="s">
        <v>5839</v>
      </c>
      <c r="AE341" s="329" t="s">
        <v>9486</v>
      </c>
      <c r="AF341" s="431"/>
      <c r="AG341" s="432"/>
      <c r="AH341" s="330">
        <v>46080.71932034723</v>
      </c>
      <c r="AI341" s="2"/>
      <c r="AJ341" s="289">
        <f t="shared" si="1"/>
        <v>400</v>
      </c>
      <c r="AK341" s="61" t="str">
        <f t="shared" si="2"/>
        <v>нет з/ч</v>
      </c>
      <c r="AL341" s="61" t="str">
        <f t="shared" si="3"/>
        <v>нет з/ч</v>
      </c>
      <c r="AM341" s="304" t="str">
        <f t="shared" si="5"/>
        <v>нет з/ч</v>
      </c>
      <c r="AN341" s="2"/>
      <c r="AO341" s="289">
        <v>3200.0</v>
      </c>
      <c r="AP341" s="296"/>
      <c r="AQ341" s="296"/>
      <c r="AR341" s="139"/>
      <c r="AS341" s="2"/>
      <c r="AT341" s="2"/>
      <c r="AU341" s="2"/>
      <c r="AV341" s="2"/>
      <c r="AW341" s="2"/>
      <c r="AX341" s="3" t="s">
        <v>9484</v>
      </c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>
      <c r="A342" s="315" t="s">
        <v>9487</v>
      </c>
      <c r="B342" s="93"/>
      <c r="C342" s="65"/>
      <c r="D342" s="31" t="s">
        <v>290</v>
      </c>
      <c r="E342" s="11" t="s">
        <v>8908</v>
      </c>
      <c r="F342" s="427" t="s">
        <v>8909</v>
      </c>
      <c r="G342" s="31" t="s">
        <v>8910</v>
      </c>
      <c r="H342" s="31"/>
      <c r="I342" s="31"/>
      <c r="J342" s="31"/>
      <c r="K342" s="428"/>
      <c r="L342" s="321"/>
      <c r="M342" s="322"/>
      <c r="N342" s="323"/>
      <c r="O342" s="429"/>
      <c r="P342" s="322"/>
      <c r="Q342" s="323"/>
      <c r="R342" s="429"/>
      <c r="S342" s="322"/>
      <c r="T342" s="323"/>
      <c r="U342" s="324"/>
      <c r="V342" s="322"/>
      <c r="W342" s="323"/>
      <c r="X342" s="324" t="s">
        <v>22</v>
      </c>
      <c r="Y342" s="173" t="s">
        <v>8912</v>
      </c>
      <c r="Z342" s="322" t="s">
        <v>22</v>
      </c>
      <c r="AA342" s="313">
        <f>MAX(Z342:Z351)</f>
        <v>0</v>
      </c>
      <c r="AB342" s="319">
        <f>AA342</f>
        <v>0</v>
      </c>
      <c r="AC342" s="430"/>
      <c r="AD342" s="326" t="s">
        <v>22</v>
      </c>
      <c r="AE342" s="331"/>
      <c r="AF342" s="431"/>
      <c r="AG342" s="432"/>
      <c r="AH342" s="326"/>
      <c r="AI342" s="2"/>
      <c r="AJ342" s="59" t="str">
        <f t="shared" si="1"/>
        <v>нет з/ч</v>
      </c>
      <c r="AK342" s="61" t="str">
        <f t="shared" si="2"/>
        <v>нет з/ч</v>
      </c>
      <c r="AL342" s="61" t="str">
        <f t="shared" si="3"/>
        <v>нет з/ч</v>
      </c>
      <c r="AM342" s="304" t="str">
        <f t="shared" si="5"/>
        <v>нет з/ч</v>
      </c>
      <c r="AN342" s="2"/>
      <c r="AO342" s="289"/>
      <c r="AP342" s="296"/>
      <c r="AQ342" s="296"/>
      <c r="AR342" s="139"/>
      <c r="AS342" s="2"/>
      <c r="AT342" s="2"/>
      <c r="AU342" s="2"/>
      <c r="AV342" s="2"/>
      <c r="AW342" s="2"/>
      <c r="AX342" s="3" t="s">
        <v>9487</v>
      </c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</row>
    <row r="343">
      <c r="A343" s="315" t="s">
        <v>9488</v>
      </c>
      <c r="B343" s="93"/>
      <c r="C343" s="65"/>
      <c r="D343" s="31" t="s">
        <v>290</v>
      </c>
      <c r="E343" s="11" t="s">
        <v>8908</v>
      </c>
      <c r="F343" s="427" t="s">
        <v>8909</v>
      </c>
      <c r="G343" s="31" t="s">
        <v>8910</v>
      </c>
      <c r="H343" s="31"/>
      <c r="I343" s="31"/>
      <c r="J343" s="31"/>
      <c r="K343" s="428"/>
      <c r="L343" s="321"/>
      <c r="M343" s="322"/>
      <c r="N343" s="323"/>
      <c r="O343" s="429"/>
      <c r="P343" s="322"/>
      <c r="Q343" s="323"/>
      <c r="R343" s="429"/>
      <c r="S343" s="322"/>
      <c r="T343" s="323"/>
      <c r="U343" s="324"/>
      <c r="V343" s="322"/>
      <c r="W343" s="323"/>
      <c r="X343" s="324" t="s">
        <v>22</v>
      </c>
      <c r="Y343" s="173" t="s">
        <v>8912</v>
      </c>
      <c r="Z343" s="322" t="s">
        <v>22</v>
      </c>
      <c r="AA343" s="104"/>
      <c r="AB343" s="319">
        <f>AA342</f>
        <v>0</v>
      </c>
      <c r="AC343" s="430"/>
      <c r="AD343" s="326" t="s">
        <v>22</v>
      </c>
      <c r="AE343" s="331"/>
      <c r="AF343" s="431"/>
      <c r="AG343" s="432"/>
      <c r="AH343" s="326"/>
      <c r="AI343" s="2"/>
      <c r="AJ343" s="59" t="str">
        <f t="shared" si="1"/>
        <v>нет з/ч</v>
      </c>
      <c r="AK343" s="61" t="str">
        <f t="shared" si="2"/>
        <v>нет з/ч</v>
      </c>
      <c r="AL343" s="61" t="str">
        <f t="shared" si="3"/>
        <v>нет з/ч</v>
      </c>
      <c r="AM343" s="304" t="str">
        <f t="shared" si="5"/>
        <v>нет з/ч</v>
      </c>
      <c r="AN343" s="2"/>
      <c r="AO343" s="289"/>
      <c r="AP343" s="296"/>
      <c r="AQ343" s="296"/>
      <c r="AR343" s="139"/>
      <c r="AS343" s="2"/>
      <c r="AT343" s="2"/>
      <c r="AU343" s="2"/>
      <c r="AV343" s="2"/>
      <c r="AW343" s="2"/>
      <c r="AX343" s="3" t="s">
        <v>9488</v>
      </c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>
      <c r="A344" s="315" t="s">
        <v>9489</v>
      </c>
      <c r="B344" s="93"/>
      <c r="C344" s="65"/>
      <c r="D344" s="31" t="s">
        <v>290</v>
      </c>
      <c r="E344" s="11" t="s">
        <v>8908</v>
      </c>
      <c r="F344" s="427" t="s">
        <v>8909</v>
      </c>
      <c r="G344" s="31" t="s">
        <v>8910</v>
      </c>
      <c r="H344" s="31"/>
      <c r="I344" s="31"/>
      <c r="J344" s="31"/>
      <c r="K344" s="428"/>
      <c r="L344" s="321"/>
      <c r="M344" s="322"/>
      <c r="N344" s="323"/>
      <c r="O344" s="429"/>
      <c r="P344" s="322"/>
      <c r="Q344" s="323"/>
      <c r="R344" s="429"/>
      <c r="S344" s="322"/>
      <c r="T344" s="323"/>
      <c r="U344" s="324"/>
      <c r="V344" s="322"/>
      <c r="W344" s="323"/>
      <c r="X344" s="324" t="s">
        <v>22</v>
      </c>
      <c r="Y344" s="173" t="s">
        <v>8912</v>
      </c>
      <c r="Z344" s="322" t="s">
        <v>22</v>
      </c>
      <c r="AA344" s="104"/>
      <c r="AB344" s="319">
        <f>AA342</f>
        <v>0</v>
      </c>
      <c r="AC344" s="430"/>
      <c r="AD344" s="326" t="s">
        <v>22</v>
      </c>
      <c r="AE344" s="331"/>
      <c r="AF344" s="431"/>
      <c r="AG344" s="432"/>
      <c r="AH344" s="326"/>
      <c r="AI344" s="2"/>
      <c r="AJ344" s="59" t="str">
        <f t="shared" si="1"/>
        <v>нет з/ч</v>
      </c>
      <c r="AK344" s="61" t="str">
        <f t="shared" si="2"/>
        <v>нет з/ч</v>
      </c>
      <c r="AL344" s="61" t="str">
        <f t="shared" si="3"/>
        <v>нет з/ч</v>
      </c>
      <c r="AM344" s="304" t="str">
        <f t="shared" si="5"/>
        <v>нет з/ч</v>
      </c>
      <c r="AN344" s="2"/>
      <c r="AO344" s="289"/>
      <c r="AP344" s="296"/>
      <c r="AQ344" s="296"/>
      <c r="AR344" s="139"/>
      <c r="AS344" s="2"/>
      <c r="AT344" s="2"/>
      <c r="AU344" s="2"/>
      <c r="AV344" s="2"/>
      <c r="AW344" s="2"/>
      <c r="AX344" s="3" t="s">
        <v>9489</v>
      </c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</row>
    <row r="345">
      <c r="A345" s="315" t="s">
        <v>9490</v>
      </c>
      <c r="B345" s="93"/>
      <c r="C345" s="65"/>
      <c r="D345" s="31" t="s">
        <v>290</v>
      </c>
      <c r="E345" s="11" t="s">
        <v>8908</v>
      </c>
      <c r="F345" s="427" t="s">
        <v>8909</v>
      </c>
      <c r="G345" s="31" t="s">
        <v>8910</v>
      </c>
      <c r="H345" s="31"/>
      <c r="I345" s="31"/>
      <c r="J345" s="31"/>
      <c r="K345" s="428"/>
      <c r="L345" s="321"/>
      <c r="M345" s="322"/>
      <c r="N345" s="323"/>
      <c r="O345" s="429"/>
      <c r="P345" s="322"/>
      <c r="Q345" s="323"/>
      <c r="R345" s="429"/>
      <c r="S345" s="322"/>
      <c r="T345" s="323"/>
      <c r="U345" s="324"/>
      <c r="V345" s="322"/>
      <c r="W345" s="323"/>
      <c r="X345" s="324" t="s">
        <v>22</v>
      </c>
      <c r="Y345" s="173" t="s">
        <v>8912</v>
      </c>
      <c r="Z345" s="322" t="s">
        <v>22</v>
      </c>
      <c r="AA345" s="104"/>
      <c r="AB345" s="319">
        <f>AA342</f>
        <v>0</v>
      </c>
      <c r="AC345" s="430"/>
      <c r="AD345" s="326" t="s">
        <v>22</v>
      </c>
      <c r="AE345" s="331"/>
      <c r="AF345" s="431"/>
      <c r="AG345" s="432"/>
      <c r="AH345" s="326"/>
      <c r="AI345" s="2"/>
      <c r="AJ345" s="59" t="str">
        <f t="shared" si="1"/>
        <v>нет з/ч</v>
      </c>
      <c r="AK345" s="61" t="str">
        <f t="shared" si="2"/>
        <v>нет з/ч</v>
      </c>
      <c r="AL345" s="61" t="str">
        <f t="shared" si="3"/>
        <v>нет з/ч</v>
      </c>
      <c r="AM345" s="304" t="str">
        <f t="shared" si="5"/>
        <v>нет з/ч</v>
      </c>
      <c r="AN345" s="2"/>
      <c r="AO345" s="289"/>
      <c r="AP345" s="296"/>
      <c r="AQ345" s="296"/>
      <c r="AR345" s="139"/>
      <c r="AS345" s="2"/>
      <c r="AT345" s="2"/>
      <c r="AU345" s="2"/>
      <c r="AV345" s="2"/>
      <c r="AW345" s="2"/>
      <c r="AX345" s="3" t="s">
        <v>9490</v>
      </c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>
      <c r="A346" s="315" t="s">
        <v>9491</v>
      </c>
      <c r="B346" s="93"/>
      <c r="C346" s="65"/>
      <c r="D346" s="31" t="s">
        <v>290</v>
      </c>
      <c r="E346" s="11" t="s">
        <v>8908</v>
      </c>
      <c r="F346" s="427" t="s">
        <v>8909</v>
      </c>
      <c r="G346" s="31" t="s">
        <v>8910</v>
      </c>
      <c r="H346" s="31"/>
      <c r="I346" s="31"/>
      <c r="J346" s="31"/>
      <c r="K346" s="428"/>
      <c r="L346" s="321"/>
      <c r="M346" s="322"/>
      <c r="N346" s="323"/>
      <c r="O346" s="429"/>
      <c r="P346" s="322"/>
      <c r="Q346" s="323"/>
      <c r="R346" s="429"/>
      <c r="S346" s="322"/>
      <c r="T346" s="323"/>
      <c r="U346" s="324"/>
      <c r="V346" s="322"/>
      <c r="W346" s="323"/>
      <c r="X346" s="324" t="s">
        <v>22</v>
      </c>
      <c r="Y346" s="173" t="s">
        <v>8912</v>
      </c>
      <c r="Z346" s="322" t="s">
        <v>22</v>
      </c>
      <c r="AA346" s="104"/>
      <c r="AB346" s="319">
        <f>AA342</f>
        <v>0</v>
      </c>
      <c r="AC346" s="430"/>
      <c r="AD346" s="326" t="s">
        <v>22</v>
      </c>
      <c r="AE346" s="331"/>
      <c r="AF346" s="431"/>
      <c r="AG346" s="432"/>
      <c r="AH346" s="326"/>
      <c r="AI346" s="2"/>
      <c r="AJ346" s="59" t="str">
        <f t="shared" si="1"/>
        <v>нет з/ч</v>
      </c>
      <c r="AK346" s="61" t="str">
        <f t="shared" si="2"/>
        <v>нет з/ч</v>
      </c>
      <c r="AL346" s="61" t="str">
        <f t="shared" si="3"/>
        <v>нет з/ч</v>
      </c>
      <c r="AM346" s="304" t="str">
        <f t="shared" si="5"/>
        <v>нет з/ч</v>
      </c>
      <c r="AN346" s="2"/>
      <c r="AO346" s="289"/>
      <c r="AP346" s="296"/>
      <c r="AQ346" s="296"/>
      <c r="AR346" s="139"/>
      <c r="AS346" s="2"/>
      <c r="AT346" s="2"/>
      <c r="AU346" s="2"/>
      <c r="AV346" s="2"/>
      <c r="AW346" s="2"/>
      <c r="AX346" s="3" t="s">
        <v>9491</v>
      </c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>
      <c r="A347" s="315" t="s">
        <v>9492</v>
      </c>
      <c r="B347" s="93"/>
      <c r="C347" s="65"/>
      <c r="D347" s="31" t="s">
        <v>290</v>
      </c>
      <c r="E347" s="11" t="s">
        <v>8908</v>
      </c>
      <c r="F347" s="427" t="s">
        <v>8909</v>
      </c>
      <c r="G347" s="31" t="s">
        <v>8910</v>
      </c>
      <c r="H347" s="31"/>
      <c r="I347" s="31"/>
      <c r="J347" s="31"/>
      <c r="K347" s="428"/>
      <c r="L347" s="321"/>
      <c r="M347" s="322"/>
      <c r="N347" s="323"/>
      <c r="O347" s="429"/>
      <c r="P347" s="322"/>
      <c r="Q347" s="323"/>
      <c r="R347" s="429"/>
      <c r="S347" s="322"/>
      <c r="T347" s="323"/>
      <c r="U347" s="324"/>
      <c r="V347" s="322"/>
      <c r="W347" s="323"/>
      <c r="X347" s="324" t="s">
        <v>22</v>
      </c>
      <c r="Y347" s="173" t="s">
        <v>8912</v>
      </c>
      <c r="Z347" s="322" t="s">
        <v>22</v>
      </c>
      <c r="AA347" s="104"/>
      <c r="AB347" s="319">
        <f>AA342</f>
        <v>0</v>
      </c>
      <c r="AC347" s="430"/>
      <c r="AD347" s="326" t="s">
        <v>22</v>
      </c>
      <c r="AE347" s="331"/>
      <c r="AF347" s="431"/>
      <c r="AG347" s="432"/>
      <c r="AH347" s="326"/>
      <c r="AI347" s="2"/>
      <c r="AJ347" s="59" t="str">
        <f t="shared" si="1"/>
        <v>нет з/ч</v>
      </c>
      <c r="AK347" s="61" t="str">
        <f t="shared" si="2"/>
        <v>нет з/ч</v>
      </c>
      <c r="AL347" s="61" t="str">
        <f t="shared" si="3"/>
        <v>нет з/ч</v>
      </c>
      <c r="AM347" s="304" t="str">
        <f t="shared" si="5"/>
        <v>нет з/ч</v>
      </c>
      <c r="AN347" s="2"/>
      <c r="AO347" s="289"/>
      <c r="AP347" s="296"/>
      <c r="AQ347" s="296"/>
      <c r="AR347" s="139"/>
      <c r="AS347" s="2"/>
      <c r="AT347" s="2"/>
      <c r="AU347" s="2"/>
      <c r="AV347" s="2"/>
      <c r="AW347" s="2"/>
      <c r="AX347" s="3" t="s">
        <v>9492</v>
      </c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>
      <c r="A348" s="315" t="s">
        <v>9493</v>
      </c>
      <c r="B348" s="93"/>
      <c r="C348" s="65"/>
      <c r="D348" s="31" t="s">
        <v>290</v>
      </c>
      <c r="E348" s="11" t="s">
        <v>8908</v>
      </c>
      <c r="F348" s="427" t="s">
        <v>8909</v>
      </c>
      <c r="G348" s="31" t="s">
        <v>8910</v>
      </c>
      <c r="H348" s="31"/>
      <c r="I348" s="31"/>
      <c r="J348" s="31"/>
      <c r="K348" s="428"/>
      <c r="L348" s="321"/>
      <c r="M348" s="322"/>
      <c r="N348" s="323"/>
      <c r="O348" s="429"/>
      <c r="P348" s="322"/>
      <c r="Q348" s="323"/>
      <c r="R348" s="429"/>
      <c r="S348" s="322"/>
      <c r="T348" s="323"/>
      <c r="U348" s="324"/>
      <c r="V348" s="322"/>
      <c r="W348" s="323"/>
      <c r="X348" s="324" t="s">
        <v>22</v>
      </c>
      <c r="Y348" s="173" t="s">
        <v>8912</v>
      </c>
      <c r="Z348" s="322" t="s">
        <v>22</v>
      </c>
      <c r="AA348" s="104"/>
      <c r="AB348" s="319">
        <f>AA342</f>
        <v>0</v>
      </c>
      <c r="AC348" s="430"/>
      <c r="AD348" s="326" t="s">
        <v>22</v>
      </c>
      <c r="AE348" s="331"/>
      <c r="AF348" s="431"/>
      <c r="AG348" s="432"/>
      <c r="AH348" s="326"/>
      <c r="AI348" s="2"/>
      <c r="AJ348" s="59" t="str">
        <f t="shared" si="1"/>
        <v>нет з/ч</v>
      </c>
      <c r="AK348" s="61" t="str">
        <f t="shared" si="2"/>
        <v>нет з/ч</v>
      </c>
      <c r="AL348" s="61" t="str">
        <f t="shared" si="3"/>
        <v>нет з/ч</v>
      </c>
      <c r="AM348" s="304" t="str">
        <f t="shared" si="5"/>
        <v>нет з/ч</v>
      </c>
      <c r="AN348" s="2"/>
      <c r="AO348" s="289"/>
      <c r="AP348" s="296"/>
      <c r="AQ348" s="296"/>
      <c r="AR348" s="139"/>
      <c r="AS348" s="2"/>
      <c r="AT348" s="2"/>
      <c r="AU348" s="2"/>
      <c r="AV348" s="2"/>
      <c r="AW348" s="2"/>
      <c r="AX348" s="3" t="s">
        <v>9493</v>
      </c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>
      <c r="A349" s="315" t="s">
        <v>9494</v>
      </c>
      <c r="B349" s="93"/>
      <c r="C349" s="65"/>
      <c r="D349" s="31" t="s">
        <v>290</v>
      </c>
      <c r="E349" s="11" t="s">
        <v>8908</v>
      </c>
      <c r="F349" s="427" t="s">
        <v>8909</v>
      </c>
      <c r="G349" s="31" t="s">
        <v>8910</v>
      </c>
      <c r="H349" s="31"/>
      <c r="I349" s="31"/>
      <c r="J349" s="31"/>
      <c r="K349" s="428"/>
      <c r="L349" s="321"/>
      <c r="M349" s="322"/>
      <c r="N349" s="323"/>
      <c r="O349" s="429"/>
      <c r="P349" s="322"/>
      <c r="Q349" s="323"/>
      <c r="R349" s="429"/>
      <c r="S349" s="322"/>
      <c r="T349" s="323"/>
      <c r="U349" s="324"/>
      <c r="V349" s="322"/>
      <c r="W349" s="323"/>
      <c r="X349" s="324" t="s">
        <v>22</v>
      </c>
      <c r="Y349" s="173" t="s">
        <v>8912</v>
      </c>
      <c r="Z349" s="322" t="s">
        <v>22</v>
      </c>
      <c r="AA349" s="104"/>
      <c r="AB349" s="319">
        <f>AA342</f>
        <v>0</v>
      </c>
      <c r="AC349" s="430"/>
      <c r="AD349" s="326" t="s">
        <v>22</v>
      </c>
      <c r="AE349" s="331"/>
      <c r="AF349" s="431"/>
      <c r="AG349" s="432"/>
      <c r="AH349" s="326"/>
      <c r="AI349" s="2"/>
      <c r="AJ349" s="59" t="str">
        <f t="shared" si="1"/>
        <v>нет з/ч</v>
      </c>
      <c r="AK349" s="61" t="str">
        <f t="shared" si="2"/>
        <v>нет з/ч</v>
      </c>
      <c r="AL349" s="61" t="str">
        <f t="shared" si="3"/>
        <v>нет з/ч</v>
      </c>
      <c r="AM349" s="304" t="str">
        <f t="shared" si="5"/>
        <v>нет з/ч</v>
      </c>
      <c r="AN349" s="2"/>
      <c r="AO349" s="289"/>
      <c r="AP349" s="296"/>
      <c r="AQ349" s="296"/>
      <c r="AR349" s="139"/>
      <c r="AS349" s="2"/>
      <c r="AT349" s="2"/>
      <c r="AU349" s="2"/>
      <c r="AV349" s="2"/>
      <c r="AW349" s="2"/>
      <c r="AX349" s="3" t="s">
        <v>9494</v>
      </c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>
      <c r="A350" s="315" t="s">
        <v>9495</v>
      </c>
      <c r="B350" s="93"/>
      <c r="C350" s="65"/>
      <c r="D350" s="31" t="s">
        <v>290</v>
      </c>
      <c r="E350" s="11" t="s">
        <v>8908</v>
      </c>
      <c r="F350" s="427" t="s">
        <v>8909</v>
      </c>
      <c r="G350" s="31" t="s">
        <v>8910</v>
      </c>
      <c r="H350" s="31"/>
      <c r="I350" s="31"/>
      <c r="J350" s="31"/>
      <c r="K350" s="428"/>
      <c r="L350" s="321"/>
      <c r="M350" s="322"/>
      <c r="N350" s="323"/>
      <c r="O350" s="429"/>
      <c r="P350" s="322"/>
      <c r="Q350" s="323"/>
      <c r="R350" s="429"/>
      <c r="S350" s="322"/>
      <c r="T350" s="323"/>
      <c r="U350" s="324"/>
      <c r="V350" s="322"/>
      <c r="W350" s="323"/>
      <c r="X350" s="324" t="s">
        <v>22</v>
      </c>
      <c r="Y350" s="173" t="s">
        <v>8912</v>
      </c>
      <c r="Z350" s="322" t="s">
        <v>22</v>
      </c>
      <c r="AA350" s="104"/>
      <c r="AB350" s="319">
        <f>AA342</f>
        <v>0</v>
      </c>
      <c r="AC350" s="430"/>
      <c r="AD350" s="326" t="s">
        <v>22</v>
      </c>
      <c r="AE350" s="331"/>
      <c r="AF350" s="431"/>
      <c r="AG350" s="432"/>
      <c r="AH350" s="326"/>
      <c r="AI350" s="2"/>
      <c r="AJ350" s="59" t="str">
        <f t="shared" si="1"/>
        <v>нет з/ч</v>
      </c>
      <c r="AK350" s="61" t="str">
        <f t="shared" si="2"/>
        <v>нет з/ч</v>
      </c>
      <c r="AL350" s="61" t="str">
        <f t="shared" si="3"/>
        <v>нет з/ч</v>
      </c>
      <c r="AM350" s="304" t="str">
        <f t="shared" si="5"/>
        <v>нет з/ч</v>
      </c>
      <c r="AN350" s="2"/>
      <c r="AO350" s="289"/>
      <c r="AP350" s="296"/>
      <c r="AQ350" s="296"/>
      <c r="AR350" s="139"/>
      <c r="AS350" s="2"/>
      <c r="AT350" s="2"/>
      <c r="AU350" s="2"/>
      <c r="AV350" s="2"/>
      <c r="AW350" s="2"/>
      <c r="AX350" s="3" t="s">
        <v>9495</v>
      </c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>
      <c r="A351" s="315" t="s">
        <v>9496</v>
      </c>
      <c r="B351" s="93"/>
      <c r="C351" s="65"/>
      <c r="D351" s="31" t="s">
        <v>290</v>
      </c>
      <c r="E351" s="11" t="s">
        <v>8908</v>
      </c>
      <c r="F351" s="427" t="s">
        <v>8909</v>
      </c>
      <c r="G351" s="31" t="s">
        <v>8910</v>
      </c>
      <c r="H351" s="31"/>
      <c r="I351" s="31"/>
      <c r="J351" s="31"/>
      <c r="K351" s="428"/>
      <c r="L351" s="321"/>
      <c r="M351" s="322"/>
      <c r="N351" s="323"/>
      <c r="O351" s="429"/>
      <c r="P351" s="322"/>
      <c r="Q351" s="323"/>
      <c r="R351" s="429"/>
      <c r="S351" s="322"/>
      <c r="T351" s="323"/>
      <c r="U351" s="324"/>
      <c r="V351" s="322"/>
      <c r="W351" s="323"/>
      <c r="X351" s="324" t="s">
        <v>22</v>
      </c>
      <c r="Y351" s="173" t="s">
        <v>8912</v>
      </c>
      <c r="Z351" s="322" t="s">
        <v>22</v>
      </c>
      <c r="AA351" s="67"/>
      <c r="AB351" s="319">
        <f>AA342</f>
        <v>0</v>
      </c>
      <c r="AC351" s="430"/>
      <c r="AD351" s="326" t="s">
        <v>22</v>
      </c>
      <c r="AE351" s="331"/>
      <c r="AF351" s="431"/>
      <c r="AG351" s="432"/>
      <c r="AH351" s="326"/>
      <c r="AI351" s="2"/>
      <c r="AJ351" s="59" t="str">
        <f t="shared" si="1"/>
        <v>нет з/ч</v>
      </c>
      <c r="AK351" s="61" t="str">
        <f t="shared" si="2"/>
        <v>нет з/ч</v>
      </c>
      <c r="AL351" s="61" t="str">
        <f t="shared" si="3"/>
        <v>нет з/ч</v>
      </c>
      <c r="AM351" s="304" t="str">
        <f t="shared" si="5"/>
        <v>нет з/ч</v>
      </c>
      <c r="AN351" s="2"/>
      <c r="AO351" s="289"/>
      <c r="AP351" s="296"/>
      <c r="AQ351" s="296"/>
      <c r="AR351" s="139"/>
      <c r="AS351" s="2"/>
      <c r="AT351" s="2"/>
      <c r="AU351" s="2"/>
      <c r="AV351" s="2"/>
      <c r="AW351" s="2"/>
      <c r="AX351" s="3" t="s">
        <v>9496</v>
      </c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</row>
    <row r="352">
      <c r="A352" s="315" t="s">
        <v>9497</v>
      </c>
      <c r="B352" s="93"/>
      <c r="C352" s="65"/>
      <c r="D352" s="31" t="s">
        <v>290</v>
      </c>
      <c r="E352" s="11" t="s">
        <v>8908</v>
      </c>
      <c r="F352" s="427" t="s">
        <v>8915</v>
      </c>
      <c r="G352" s="31" t="s">
        <v>8916</v>
      </c>
      <c r="H352" s="31"/>
      <c r="I352" s="31"/>
      <c r="J352" s="31"/>
      <c r="K352" s="428"/>
      <c r="L352" s="327" t="s">
        <v>9498</v>
      </c>
      <c r="M352" s="322"/>
      <c r="N352" s="328">
        <v>1600.0</v>
      </c>
      <c r="O352" s="429"/>
      <c r="P352" s="322"/>
      <c r="Q352" s="323"/>
      <c r="R352" s="429"/>
      <c r="S352" s="322"/>
      <c r="T352" s="323"/>
      <c r="U352" s="324"/>
      <c r="V352" s="322"/>
      <c r="W352" s="323"/>
      <c r="X352" s="324">
        <v>1600.0</v>
      </c>
      <c r="Y352" s="173" t="s">
        <v>8912</v>
      </c>
      <c r="Z352" s="322">
        <v>1800.0</v>
      </c>
      <c r="AA352" s="313">
        <f>MAX(Z352:Z356)</f>
        <v>1800</v>
      </c>
      <c r="AB352" s="319">
        <f>AA352</f>
        <v>1800</v>
      </c>
      <c r="AC352" s="430"/>
      <c r="AD352" s="326" t="s">
        <v>5839</v>
      </c>
      <c r="AE352" s="329" t="s">
        <v>9499</v>
      </c>
      <c r="AF352" s="431"/>
      <c r="AG352" s="432"/>
      <c r="AH352" s="330">
        <v>46080.71934956018</v>
      </c>
      <c r="AI352" s="2"/>
      <c r="AJ352" s="289">
        <f t="shared" si="1"/>
        <v>200</v>
      </c>
      <c r="AK352" s="61" t="str">
        <f t="shared" si="2"/>
        <v>нет з/ч</v>
      </c>
      <c r="AL352" s="61" t="str">
        <f t="shared" si="3"/>
        <v>нет з/ч</v>
      </c>
      <c r="AM352" s="304" t="str">
        <f t="shared" si="5"/>
        <v>нет з/ч</v>
      </c>
      <c r="AN352" s="2"/>
      <c r="AO352" s="289">
        <v>1600.0</v>
      </c>
      <c r="AP352" s="296"/>
      <c r="AQ352" s="296"/>
      <c r="AR352" s="139"/>
      <c r="AS352" s="2"/>
      <c r="AT352" s="2"/>
      <c r="AU352" s="2"/>
      <c r="AV352" s="2"/>
      <c r="AW352" s="2"/>
      <c r="AX352" s="3" t="s">
        <v>9497</v>
      </c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>
      <c r="A353" s="315" t="s">
        <v>9500</v>
      </c>
      <c r="B353" s="93"/>
      <c r="C353" s="65"/>
      <c r="D353" s="31" t="s">
        <v>290</v>
      </c>
      <c r="E353" s="11" t="s">
        <v>8908</v>
      </c>
      <c r="F353" s="427" t="s">
        <v>8915</v>
      </c>
      <c r="G353" s="31" t="s">
        <v>8916</v>
      </c>
      <c r="H353" s="31"/>
      <c r="I353" s="31"/>
      <c r="J353" s="31"/>
      <c r="K353" s="428"/>
      <c r="L353" s="327" t="s">
        <v>9501</v>
      </c>
      <c r="M353" s="322"/>
      <c r="N353" s="328">
        <v>1600.0</v>
      </c>
      <c r="O353" s="429"/>
      <c r="P353" s="322"/>
      <c r="Q353" s="323"/>
      <c r="R353" s="429"/>
      <c r="S353" s="322"/>
      <c r="T353" s="323"/>
      <c r="U353" s="324"/>
      <c r="V353" s="322"/>
      <c r="W353" s="323"/>
      <c r="X353" s="324">
        <v>1600.0</v>
      </c>
      <c r="Y353" s="173" t="s">
        <v>8912</v>
      </c>
      <c r="Z353" s="322">
        <v>1800.0</v>
      </c>
      <c r="AA353" s="104"/>
      <c r="AB353" s="319">
        <f>AA352</f>
        <v>1800</v>
      </c>
      <c r="AC353" s="430"/>
      <c r="AD353" s="326" t="s">
        <v>5839</v>
      </c>
      <c r="AE353" s="329" t="s">
        <v>9502</v>
      </c>
      <c r="AF353" s="431"/>
      <c r="AG353" s="432"/>
      <c r="AH353" s="330">
        <v>46080.719384386575</v>
      </c>
      <c r="AI353" s="2"/>
      <c r="AJ353" s="289">
        <f t="shared" si="1"/>
        <v>200</v>
      </c>
      <c r="AK353" s="61" t="str">
        <f t="shared" si="2"/>
        <v>нет з/ч</v>
      </c>
      <c r="AL353" s="61" t="str">
        <f t="shared" si="3"/>
        <v>нет з/ч</v>
      </c>
      <c r="AM353" s="304" t="str">
        <f t="shared" si="5"/>
        <v>нет з/ч</v>
      </c>
      <c r="AN353" s="2"/>
      <c r="AO353" s="289">
        <v>1600.0</v>
      </c>
      <c r="AP353" s="296"/>
      <c r="AQ353" s="296"/>
      <c r="AR353" s="139"/>
      <c r="AS353" s="2"/>
      <c r="AT353" s="2"/>
      <c r="AU353" s="2"/>
      <c r="AV353" s="2"/>
      <c r="AW353" s="2"/>
      <c r="AX353" s="3" t="s">
        <v>9500</v>
      </c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>
      <c r="A354" s="315" t="s">
        <v>9503</v>
      </c>
      <c r="B354" s="93"/>
      <c r="C354" s="65"/>
      <c r="D354" s="31" t="s">
        <v>290</v>
      </c>
      <c r="E354" s="11" t="s">
        <v>8908</v>
      </c>
      <c r="F354" s="427" t="s">
        <v>8915</v>
      </c>
      <c r="G354" s="31" t="s">
        <v>8916</v>
      </c>
      <c r="H354" s="31"/>
      <c r="I354" s="31"/>
      <c r="J354" s="31"/>
      <c r="K354" s="428"/>
      <c r="L354" s="327" t="s">
        <v>9504</v>
      </c>
      <c r="M354" s="322"/>
      <c r="N354" s="328">
        <v>1600.0</v>
      </c>
      <c r="O354" s="429"/>
      <c r="P354" s="322"/>
      <c r="Q354" s="323"/>
      <c r="R354" s="429"/>
      <c r="S354" s="322"/>
      <c r="T354" s="323"/>
      <c r="U354" s="324"/>
      <c r="V354" s="322"/>
      <c r="W354" s="323"/>
      <c r="X354" s="324">
        <v>1600.0</v>
      </c>
      <c r="Y354" s="173" t="s">
        <v>8912</v>
      </c>
      <c r="Z354" s="322">
        <v>1800.0</v>
      </c>
      <c r="AA354" s="104"/>
      <c r="AB354" s="319">
        <f>AA352</f>
        <v>1800</v>
      </c>
      <c r="AC354" s="430"/>
      <c r="AD354" s="326" t="s">
        <v>5839</v>
      </c>
      <c r="AE354" s="329" t="s">
        <v>9505</v>
      </c>
      <c r="AF354" s="431"/>
      <c r="AG354" s="432"/>
      <c r="AH354" s="330">
        <v>46080.71941319444</v>
      </c>
      <c r="AI354" s="2"/>
      <c r="AJ354" s="289">
        <f t="shared" si="1"/>
        <v>200</v>
      </c>
      <c r="AK354" s="61" t="str">
        <f t="shared" si="2"/>
        <v>нет з/ч</v>
      </c>
      <c r="AL354" s="61" t="str">
        <f t="shared" si="3"/>
        <v>нет з/ч</v>
      </c>
      <c r="AM354" s="304" t="str">
        <f t="shared" si="5"/>
        <v>нет з/ч</v>
      </c>
      <c r="AN354" s="2"/>
      <c r="AO354" s="289">
        <v>1600.0</v>
      </c>
      <c r="AP354" s="296"/>
      <c r="AQ354" s="296"/>
      <c r="AR354" s="139"/>
      <c r="AS354" s="2"/>
      <c r="AT354" s="2"/>
      <c r="AU354" s="2"/>
      <c r="AV354" s="2"/>
      <c r="AW354" s="2"/>
      <c r="AX354" s="3" t="s">
        <v>9503</v>
      </c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</row>
    <row r="355">
      <c r="A355" s="315" t="s">
        <v>9506</v>
      </c>
      <c r="B355" s="93"/>
      <c r="C355" s="65"/>
      <c r="D355" s="31" t="s">
        <v>290</v>
      </c>
      <c r="E355" s="11" t="s">
        <v>8908</v>
      </c>
      <c r="F355" s="427" t="s">
        <v>8915</v>
      </c>
      <c r="G355" s="31" t="s">
        <v>8916</v>
      </c>
      <c r="H355" s="31"/>
      <c r="I355" s="31"/>
      <c r="J355" s="31"/>
      <c r="K355" s="428"/>
      <c r="L355" s="327" t="s">
        <v>9507</v>
      </c>
      <c r="M355" s="322"/>
      <c r="N355" s="328">
        <v>1600.0</v>
      </c>
      <c r="O355" s="429"/>
      <c r="P355" s="322"/>
      <c r="Q355" s="323"/>
      <c r="R355" s="429"/>
      <c r="S355" s="322"/>
      <c r="T355" s="323"/>
      <c r="U355" s="324"/>
      <c r="V355" s="322"/>
      <c r="W355" s="323"/>
      <c r="X355" s="324">
        <v>1600.0</v>
      </c>
      <c r="Y355" s="173" t="s">
        <v>8912</v>
      </c>
      <c r="Z355" s="322">
        <v>1800.0</v>
      </c>
      <c r="AA355" s="104"/>
      <c r="AB355" s="319">
        <f>AA352</f>
        <v>1800</v>
      </c>
      <c r="AC355" s="430"/>
      <c r="AD355" s="326" t="s">
        <v>5839</v>
      </c>
      <c r="AE355" s="329" t="s">
        <v>9508</v>
      </c>
      <c r="AF355" s="431"/>
      <c r="AG355" s="432"/>
      <c r="AH355" s="330">
        <v>46080.71944165509</v>
      </c>
      <c r="AI355" s="2"/>
      <c r="AJ355" s="289">
        <f t="shared" si="1"/>
        <v>200</v>
      </c>
      <c r="AK355" s="61" t="str">
        <f t="shared" si="2"/>
        <v>нет з/ч</v>
      </c>
      <c r="AL355" s="61" t="str">
        <f t="shared" si="3"/>
        <v>нет з/ч</v>
      </c>
      <c r="AM355" s="304" t="str">
        <f t="shared" si="5"/>
        <v>нет з/ч</v>
      </c>
      <c r="AN355" s="2"/>
      <c r="AO355" s="289">
        <v>1600.0</v>
      </c>
      <c r="AP355" s="296"/>
      <c r="AQ355" s="296"/>
      <c r="AR355" s="139"/>
      <c r="AS355" s="2"/>
      <c r="AT355" s="2"/>
      <c r="AU355" s="2"/>
      <c r="AV355" s="2"/>
      <c r="AW355" s="2"/>
      <c r="AX355" s="3" t="s">
        <v>9506</v>
      </c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>
      <c r="A356" s="315" t="s">
        <v>9509</v>
      </c>
      <c r="B356" s="93"/>
      <c r="C356" s="65"/>
      <c r="D356" s="31" t="s">
        <v>290</v>
      </c>
      <c r="E356" s="11" t="s">
        <v>8908</v>
      </c>
      <c r="F356" s="427" t="s">
        <v>8915</v>
      </c>
      <c r="G356" s="31" t="s">
        <v>8916</v>
      </c>
      <c r="H356" s="31"/>
      <c r="I356" s="31"/>
      <c r="J356" s="31"/>
      <c r="K356" s="428"/>
      <c r="L356" s="327" t="s">
        <v>9510</v>
      </c>
      <c r="M356" s="322"/>
      <c r="N356" s="328">
        <v>1600.0</v>
      </c>
      <c r="O356" s="429"/>
      <c r="P356" s="322"/>
      <c r="Q356" s="323"/>
      <c r="R356" s="429"/>
      <c r="S356" s="322"/>
      <c r="T356" s="323"/>
      <c r="U356" s="324"/>
      <c r="V356" s="322"/>
      <c r="W356" s="323"/>
      <c r="X356" s="324">
        <v>1600.0</v>
      </c>
      <c r="Y356" s="173" t="s">
        <v>8912</v>
      </c>
      <c r="Z356" s="322">
        <v>1800.0</v>
      </c>
      <c r="AA356" s="67"/>
      <c r="AB356" s="319">
        <f>AA352</f>
        <v>1800</v>
      </c>
      <c r="AC356" s="430"/>
      <c r="AD356" s="326" t="s">
        <v>5839</v>
      </c>
      <c r="AE356" s="329" t="s">
        <v>9511</v>
      </c>
      <c r="AF356" s="431"/>
      <c r="AG356" s="432"/>
      <c r="AH356" s="330">
        <v>46080.719484664354</v>
      </c>
      <c r="AI356" s="2"/>
      <c r="AJ356" s="289">
        <f t="shared" si="1"/>
        <v>200</v>
      </c>
      <c r="AK356" s="61" t="str">
        <f t="shared" si="2"/>
        <v>нет з/ч</v>
      </c>
      <c r="AL356" s="61" t="str">
        <f t="shared" si="3"/>
        <v>нет з/ч</v>
      </c>
      <c r="AM356" s="304" t="str">
        <f t="shared" si="5"/>
        <v>нет з/ч</v>
      </c>
      <c r="AN356" s="2"/>
      <c r="AO356" s="289">
        <v>1600.0</v>
      </c>
      <c r="AP356" s="296"/>
      <c r="AQ356" s="296"/>
      <c r="AR356" s="139"/>
      <c r="AS356" s="2"/>
      <c r="AT356" s="2"/>
      <c r="AU356" s="2"/>
      <c r="AV356" s="2"/>
      <c r="AW356" s="2"/>
      <c r="AX356" s="3" t="s">
        <v>9509</v>
      </c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>
      <c r="A357" s="315" t="s">
        <v>9512</v>
      </c>
      <c r="B357" s="93"/>
      <c r="C357" s="65"/>
      <c r="D357" s="31" t="s">
        <v>297</v>
      </c>
      <c r="E357" s="11" t="s">
        <v>8908</v>
      </c>
      <c r="F357" s="427" t="s">
        <v>8909</v>
      </c>
      <c r="G357" s="31" t="s">
        <v>8910</v>
      </c>
      <c r="H357" s="31"/>
      <c r="I357" s="31"/>
      <c r="J357" s="31"/>
      <c r="K357" s="428"/>
      <c r="L357" s="321"/>
      <c r="M357" s="322"/>
      <c r="N357" s="323"/>
      <c r="O357" s="429"/>
      <c r="P357" s="322"/>
      <c r="Q357" s="323"/>
      <c r="R357" s="429"/>
      <c r="S357" s="322"/>
      <c r="T357" s="323"/>
      <c r="U357" s="324"/>
      <c r="V357" s="322"/>
      <c r="W357" s="323"/>
      <c r="X357" s="324" t="s">
        <v>22</v>
      </c>
      <c r="Y357" s="173" t="s">
        <v>8912</v>
      </c>
      <c r="Z357" s="322" t="s">
        <v>22</v>
      </c>
      <c r="AA357" s="313">
        <f>MAX(Z357:Z366)</f>
        <v>0</v>
      </c>
      <c r="AB357" s="319">
        <f>AA357</f>
        <v>0</v>
      </c>
      <c r="AC357" s="430"/>
      <c r="AD357" s="326" t="s">
        <v>22</v>
      </c>
      <c r="AE357" s="331"/>
      <c r="AF357" s="431"/>
      <c r="AG357" s="432"/>
      <c r="AH357" s="326"/>
      <c r="AI357" s="2"/>
      <c r="AJ357" s="59" t="str">
        <f t="shared" si="1"/>
        <v>нет з/ч</v>
      </c>
      <c r="AK357" s="61" t="str">
        <f t="shared" si="2"/>
        <v>нет з/ч</v>
      </c>
      <c r="AL357" s="61" t="str">
        <f t="shared" si="3"/>
        <v>нет з/ч</v>
      </c>
      <c r="AM357" s="304" t="str">
        <f t="shared" si="5"/>
        <v>нет з/ч</v>
      </c>
      <c r="AN357" s="2"/>
      <c r="AO357" s="289"/>
      <c r="AP357" s="296"/>
      <c r="AQ357" s="296"/>
      <c r="AR357" s="139"/>
      <c r="AS357" s="2"/>
      <c r="AT357" s="2"/>
      <c r="AU357" s="2"/>
      <c r="AV357" s="2"/>
      <c r="AW357" s="2"/>
      <c r="AX357" s="3" t="s">
        <v>9512</v>
      </c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>
      <c r="A358" s="315" t="s">
        <v>9513</v>
      </c>
      <c r="B358" s="93"/>
      <c r="C358" s="65"/>
      <c r="D358" s="31" t="s">
        <v>297</v>
      </c>
      <c r="E358" s="11" t="s">
        <v>8908</v>
      </c>
      <c r="F358" s="427" t="s">
        <v>8909</v>
      </c>
      <c r="G358" s="31" t="s">
        <v>8910</v>
      </c>
      <c r="H358" s="31"/>
      <c r="I358" s="31"/>
      <c r="J358" s="31"/>
      <c r="K358" s="428"/>
      <c r="L358" s="321"/>
      <c r="M358" s="322"/>
      <c r="N358" s="323"/>
      <c r="O358" s="429"/>
      <c r="P358" s="322"/>
      <c r="Q358" s="323"/>
      <c r="R358" s="429"/>
      <c r="S358" s="322"/>
      <c r="T358" s="323"/>
      <c r="U358" s="324"/>
      <c r="V358" s="322"/>
      <c r="W358" s="323"/>
      <c r="X358" s="324" t="s">
        <v>22</v>
      </c>
      <c r="Y358" s="173" t="s">
        <v>8912</v>
      </c>
      <c r="Z358" s="322" t="s">
        <v>22</v>
      </c>
      <c r="AA358" s="104"/>
      <c r="AB358" s="319">
        <f>AA357</f>
        <v>0</v>
      </c>
      <c r="AC358" s="430"/>
      <c r="AD358" s="326" t="s">
        <v>22</v>
      </c>
      <c r="AE358" s="331"/>
      <c r="AF358" s="431"/>
      <c r="AG358" s="432"/>
      <c r="AH358" s="326"/>
      <c r="AI358" s="2"/>
      <c r="AJ358" s="59" t="str">
        <f t="shared" si="1"/>
        <v>нет з/ч</v>
      </c>
      <c r="AK358" s="61" t="str">
        <f t="shared" si="2"/>
        <v>нет з/ч</v>
      </c>
      <c r="AL358" s="61" t="str">
        <f t="shared" si="3"/>
        <v>нет з/ч</v>
      </c>
      <c r="AM358" s="304" t="str">
        <f t="shared" si="5"/>
        <v>нет з/ч</v>
      </c>
      <c r="AN358" s="2"/>
      <c r="AO358" s="289"/>
      <c r="AP358" s="296"/>
      <c r="AQ358" s="296"/>
      <c r="AR358" s="139"/>
      <c r="AS358" s="2"/>
      <c r="AT358" s="2"/>
      <c r="AU358" s="2"/>
      <c r="AV358" s="2"/>
      <c r="AW358" s="2"/>
      <c r="AX358" s="3" t="s">
        <v>9513</v>
      </c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>
      <c r="A359" s="315" t="s">
        <v>9514</v>
      </c>
      <c r="B359" s="93"/>
      <c r="C359" s="65"/>
      <c r="D359" s="31" t="s">
        <v>297</v>
      </c>
      <c r="E359" s="11" t="s">
        <v>8908</v>
      </c>
      <c r="F359" s="427" t="s">
        <v>8909</v>
      </c>
      <c r="G359" s="31" t="s">
        <v>8910</v>
      </c>
      <c r="H359" s="31"/>
      <c r="I359" s="31"/>
      <c r="J359" s="31"/>
      <c r="K359" s="428"/>
      <c r="L359" s="321"/>
      <c r="M359" s="322"/>
      <c r="N359" s="323"/>
      <c r="O359" s="429"/>
      <c r="P359" s="322"/>
      <c r="Q359" s="323"/>
      <c r="R359" s="429"/>
      <c r="S359" s="322"/>
      <c r="T359" s="323"/>
      <c r="U359" s="324"/>
      <c r="V359" s="322"/>
      <c r="W359" s="323"/>
      <c r="X359" s="324" t="s">
        <v>22</v>
      </c>
      <c r="Y359" s="173" t="s">
        <v>8912</v>
      </c>
      <c r="Z359" s="322" t="s">
        <v>22</v>
      </c>
      <c r="AA359" s="104"/>
      <c r="AB359" s="319">
        <f>AA357</f>
        <v>0</v>
      </c>
      <c r="AC359" s="430"/>
      <c r="AD359" s="326" t="s">
        <v>22</v>
      </c>
      <c r="AE359" s="331"/>
      <c r="AF359" s="431"/>
      <c r="AG359" s="432"/>
      <c r="AH359" s="326"/>
      <c r="AI359" s="2"/>
      <c r="AJ359" s="59" t="str">
        <f t="shared" si="1"/>
        <v>нет з/ч</v>
      </c>
      <c r="AK359" s="61" t="str">
        <f t="shared" si="2"/>
        <v>нет з/ч</v>
      </c>
      <c r="AL359" s="61" t="str">
        <f t="shared" si="3"/>
        <v>нет з/ч</v>
      </c>
      <c r="AM359" s="304" t="str">
        <f t="shared" si="5"/>
        <v>нет з/ч</v>
      </c>
      <c r="AN359" s="2"/>
      <c r="AO359" s="289"/>
      <c r="AP359" s="296"/>
      <c r="AQ359" s="296"/>
      <c r="AR359" s="139"/>
      <c r="AS359" s="2"/>
      <c r="AT359" s="2"/>
      <c r="AU359" s="2"/>
      <c r="AV359" s="2"/>
      <c r="AW359" s="2"/>
      <c r="AX359" s="3" t="s">
        <v>9514</v>
      </c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>
      <c r="A360" s="315" t="s">
        <v>9515</v>
      </c>
      <c r="B360" s="93"/>
      <c r="C360" s="65"/>
      <c r="D360" s="31" t="s">
        <v>297</v>
      </c>
      <c r="E360" s="11" t="s">
        <v>8908</v>
      </c>
      <c r="F360" s="427" t="s">
        <v>8909</v>
      </c>
      <c r="G360" s="31" t="s">
        <v>8910</v>
      </c>
      <c r="H360" s="31"/>
      <c r="I360" s="31"/>
      <c r="J360" s="31"/>
      <c r="K360" s="428"/>
      <c r="L360" s="321"/>
      <c r="M360" s="322"/>
      <c r="N360" s="323"/>
      <c r="O360" s="429"/>
      <c r="P360" s="322"/>
      <c r="Q360" s="323"/>
      <c r="R360" s="429"/>
      <c r="S360" s="322"/>
      <c r="T360" s="323"/>
      <c r="U360" s="324"/>
      <c r="V360" s="322"/>
      <c r="W360" s="323"/>
      <c r="X360" s="324" t="s">
        <v>22</v>
      </c>
      <c r="Y360" s="173" t="s">
        <v>8912</v>
      </c>
      <c r="Z360" s="322" t="s">
        <v>22</v>
      </c>
      <c r="AA360" s="104"/>
      <c r="AB360" s="319">
        <f>AA357</f>
        <v>0</v>
      </c>
      <c r="AC360" s="430"/>
      <c r="AD360" s="326" t="s">
        <v>22</v>
      </c>
      <c r="AE360" s="331"/>
      <c r="AF360" s="431"/>
      <c r="AG360" s="432"/>
      <c r="AH360" s="326"/>
      <c r="AI360" s="2"/>
      <c r="AJ360" s="59" t="str">
        <f t="shared" si="1"/>
        <v>нет з/ч</v>
      </c>
      <c r="AK360" s="61" t="str">
        <f t="shared" si="2"/>
        <v>нет з/ч</v>
      </c>
      <c r="AL360" s="61" t="str">
        <f t="shared" si="3"/>
        <v>нет з/ч</v>
      </c>
      <c r="AM360" s="304" t="str">
        <f t="shared" si="5"/>
        <v>нет з/ч</v>
      </c>
      <c r="AN360" s="2"/>
      <c r="AO360" s="289"/>
      <c r="AP360" s="296"/>
      <c r="AQ360" s="296"/>
      <c r="AR360" s="139"/>
      <c r="AS360" s="2"/>
      <c r="AT360" s="2"/>
      <c r="AU360" s="2"/>
      <c r="AV360" s="2"/>
      <c r="AW360" s="2"/>
      <c r="AX360" s="3" t="s">
        <v>9515</v>
      </c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>
      <c r="A361" s="315" t="s">
        <v>9516</v>
      </c>
      <c r="B361" s="93"/>
      <c r="C361" s="65"/>
      <c r="D361" s="31" t="s">
        <v>297</v>
      </c>
      <c r="E361" s="11" t="s">
        <v>8908</v>
      </c>
      <c r="F361" s="427" t="s">
        <v>8909</v>
      </c>
      <c r="G361" s="31" t="s">
        <v>8910</v>
      </c>
      <c r="H361" s="31"/>
      <c r="I361" s="31"/>
      <c r="J361" s="31"/>
      <c r="K361" s="428"/>
      <c r="L361" s="321"/>
      <c r="M361" s="322"/>
      <c r="N361" s="323"/>
      <c r="O361" s="429"/>
      <c r="P361" s="322"/>
      <c r="Q361" s="323"/>
      <c r="R361" s="429"/>
      <c r="S361" s="322"/>
      <c r="T361" s="323"/>
      <c r="U361" s="324"/>
      <c r="V361" s="322"/>
      <c r="W361" s="323"/>
      <c r="X361" s="324" t="s">
        <v>22</v>
      </c>
      <c r="Y361" s="173" t="s">
        <v>8912</v>
      </c>
      <c r="Z361" s="322" t="s">
        <v>22</v>
      </c>
      <c r="AA361" s="104"/>
      <c r="AB361" s="319">
        <f>AA357</f>
        <v>0</v>
      </c>
      <c r="AC361" s="430"/>
      <c r="AD361" s="326" t="s">
        <v>22</v>
      </c>
      <c r="AE361" s="331"/>
      <c r="AF361" s="431"/>
      <c r="AG361" s="432"/>
      <c r="AH361" s="326"/>
      <c r="AI361" s="2"/>
      <c r="AJ361" s="59" t="str">
        <f t="shared" si="1"/>
        <v>нет з/ч</v>
      </c>
      <c r="AK361" s="61" t="str">
        <f t="shared" si="2"/>
        <v>нет з/ч</v>
      </c>
      <c r="AL361" s="61" t="str">
        <f t="shared" si="3"/>
        <v>нет з/ч</v>
      </c>
      <c r="AM361" s="304" t="str">
        <f t="shared" si="5"/>
        <v>нет з/ч</v>
      </c>
      <c r="AN361" s="2"/>
      <c r="AO361" s="289"/>
      <c r="AP361" s="296"/>
      <c r="AQ361" s="296"/>
      <c r="AR361" s="139"/>
      <c r="AS361" s="2"/>
      <c r="AT361" s="2"/>
      <c r="AU361" s="2"/>
      <c r="AV361" s="2"/>
      <c r="AW361" s="2"/>
      <c r="AX361" s="3" t="s">
        <v>9516</v>
      </c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>
      <c r="A362" s="315" t="s">
        <v>9517</v>
      </c>
      <c r="B362" s="93"/>
      <c r="C362" s="65"/>
      <c r="D362" s="31" t="s">
        <v>297</v>
      </c>
      <c r="E362" s="11" t="s">
        <v>8908</v>
      </c>
      <c r="F362" s="427" t="s">
        <v>8909</v>
      </c>
      <c r="G362" s="31" t="s">
        <v>8910</v>
      </c>
      <c r="H362" s="31"/>
      <c r="I362" s="31"/>
      <c r="J362" s="31"/>
      <c r="K362" s="428"/>
      <c r="L362" s="321"/>
      <c r="M362" s="322"/>
      <c r="N362" s="323"/>
      <c r="O362" s="429"/>
      <c r="P362" s="322"/>
      <c r="Q362" s="323"/>
      <c r="R362" s="429"/>
      <c r="S362" s="322"/>
      <c r="T362" s="323"/>
      <c r="U362" s="324"/>
      <c r="V362" s="322"/>
      <c r="W362" s="323"/>
      <c r="X362" s="324" t="s">
        <v>22</v>
      </c>
      <c r="Y362" s="173" t="s">
        <v>8912</v>
      </c>
      <c r="Z362" s="322" t="s">
        <v>22</v>
      </c>
      <c r="AA362" s="104"/>
      <c r="AB362" s="319">
        <f>AA357</f>
        <v>0</v>
      </c>
      <c r="AC362" s="430"/>
      <c r="AD362" s="326" t="s">
        <v>22</v>
      </c>
      <c r="AE362" s="331"/>
      <c r="AF362" s="431"/>
      <c r="AG362" s="432"/>
      <c r="AH362" s="326"/>
      <c r="AI362" s="2"/>
      <c r="AJ362" s="59" t="str">
        <f t="shared" si="1"/>
        <v>нет з/ч</v>
      </c>
      <c r="AK362" s="61" t="str">
        <f t="shared" si="2"/>
        <v>нет з/ч</v>
      </c>
      <c r="AL362" s="61" t="str">
        <f t="shared" si="3"/>
        <v>нет з/ч</v>
      </c>
      <c r="AM362" s="304" t="str">
        <f t="shared" si="5"/>
        <v>нет з/ч</v>
      </c>
      <c r="AN362" s="2"/>
      <c r="AO362" s="289"/>
      <c r="AP362" s="296"/>
      <c r="AQ362" s="296"/>
      <c r="AR362" s="139"/>
      <c r="AS362" s="2"/>
      <c r="AT362" s="2"/>
      <c r="AU362" s="2"/>
      <c r="AV362" s="2"/>
      <c r="AW362" s="2"/>
      <c r="AX362" s="3" t="s">
        <v>9517</v>
      </c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>
      <c r="A363" s="315" t="s">
        <v>9518</v>
      </c>
      <c r="B363" s="93"/>
      <c r="C363" s="65"/>
      <c r="D363" s="31" t="s">
        <v>297</v>
      </c>
      <c r="E363" s="11" t="s">
        <v>8908</v>
      </c>
      <c r="F363" s="427" t="s">
        <v>8909</v>
      </c>
      <c r="G363" s="31" t="s">
        <v>8910</v>
      </c>
      <c r="H363" s="31"/>
      <c r="I363" s="31"/>
      <c r="J363" s="31"/>
      <c r="K363" s="428"/>
      <c r="L363" s="321"/>
      <c r="M363" s="322"/>
      <c r="N363" s="323"/>
      <c r="O363" s="429"/>
      <c r="P363" s="322"/>
      <c r="Q363" s="323"/>
      <c r="R363" s="429"/>
      <c r="S363" s="322"/>
      <c r="T363" s="323"/>
      <c r="U363" s="324"/>
      <c r="V363" s="322"/>
      <c r="W363" s="323"/>
      <c r="X363" s="324" t="s">
        <v>22</v>
      </c>
      <c r="Y363" s="173" t="s">
        <v>8912</v>
      </c>
      <c r="Z363" s="322" t="s">
        <v>22</v>
      </c>
      <c r="AA363" s="104"/>
      <c r="AB363" s="319">
        <f>AA357</f>
        <v>0</v>
      </c>
      <c r="AC363" s="430"/>
      <c r="AD363" s="326" t="s">
        <v>22</v>
      </c>
      <c r="AE363" s="331"/>
      <c r="AF363" s="431"/>
      <c r="AG363" s="432"/>
      <c r="AH363" s="326"/>
      <c r="AI363" s="2"/>
      <c r="AJ363" s="59" t="str">
        <f t="shared" si="1"/>
        <v>нет з/ч</v>
      </c>
      <c r="AK363" s="61" t="str">
        <f t="shared" si="2"/>
        <v>нет з/ч</v>
      </c>
      <c r="AL363" s="61" t="str">
        <f t="shared" si="3"/>
        <v>нет з/ч</v>
      </c>
      <c r="AM363" s="304" t="str">
        <f t="shared" si="5"/>
        <v>нет з/ч</v>
      </c>
      <c r="AN363" s="2"/>
      <c r="AO363" s="289"/>
      <c r="AP363" s="296"/>
      <c r="AQ363" s="296"/>
      <c r="AR363" s="139"/>
      <c r="AS363" s="2"/>
      <c r="AT363" s="2"/>
      <c r="AU363" s="2"/>
      <c r="AV363" s="2"/>
      <c r="AW363" s="2"/>
      <c r="AX363" s="3" t="s">
        <v>9518</v>
      </c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</row>
    <row r="364">
      <c r="A364" s="315" t="s">
        <v>9519</v>
      </c>
      <c r="B364" s="93"/>
      <c r="C364" s="65"/>
      <c r="D364" s="31" t="s">
        <v>297</v>
      </c>
      <c r="E364" s="11" t="s">
        <v>8908</v>
      </c>
      <c r="F364" s="427" t="s">
        <v>8909</v>
      </c>
      <c r="G364" s="31" t="s">
        <v>8910</v>
      </c>
      <c r="H364" s="31"/>
      <c r="I364" s="31"/>
      <c r="J364" s="31"/>
      <c r="K364" s="428"/>
      <c r="L364" s="321"/>
      <c r="M364" s="322"/>
      <c r="N364" s="323"/>
      <c r="O364" s="429"/>
      <c r="P364" s="322"/>
      <c r="Q364" s="323"/>
      <c r="R364" s="429"/>
      <c r="S364" s="322"/>
      <c r="T364" s="323"/>
      <c r="U364" s="324"/>
      <c r="V364" s="322"/>
      <c r="W364" s="323"/>
      <c r="X364" s="324" t="s">
        <v>22</v>
      </c>
      <c r="Y364" s="173" t="s">
        <v>8912</v>
      </c>
      <c r="Z364" s="322" t="s">
        <v>22</v>
      </c>
      <c r="AA364" s="104"/>
      <c r="AB364" s="319">
        <f>AA357</f>
        <v>0</v>
      </c>
      <c r="AC364" s="430"/>
      <c r="AD364" s="326" t="s">
        <v>22</v>
      </c>
      <c r="AE364" s="331"/>
      <c r="AF364" s="431"/>
      <c r="AG364" s="432"/>
      <c r="AH364" s="326"/>
      <c r="AI364" s="2"/>
      <c r="AJ364" s="59" t="str">
        <f t="shared" si="1"/>
        <v>нет з/ч</v>
      </c>
      <c r="AK364" s="61" t="str">
        <f t="shared" si="2"/>
        <v>нет з/ч</v>
      </c>
      <c r="AL364" s="61" t="str">
        <f t="shared" si="3"/>
        <v>нет з/ч</v>
      </c>
      <c r="AM364" s="304" t="str">
        <f t="shared" si="5"/>
        <v>нет з/ч</v>
      </c>
      <c r="AN364" s="2"/>
      <c r="AO364" s="289"/>
      <c r="AP364" s="296"/>
      <c r="AQ364" s="296"/>
      <c r="AR364" s="139"/>
      <c r="AS364" s="2"/>
      <c r="AT364" s="2"/>
      <c r="AU364" s="2"/>
      <c r="AV364" s="2"/>
      <c r="AW364" s="2"/>
      <c r="AX364" s="3" t="s">
        <v>9519</v>
      </c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>
      <c r="A365" s="315" t="s">
        <v>9520</v>
      </c>
      <c r="B365" s="93"/>
      <c r="C365" s="65"/>
      <c r="D365" s="31" t="s">
        <v>297</v>
      </c>
      <c r="E365" s="11" t="s">
        <v>8908</v>
      </c>
      <c r="F365" s="427" t="s">
        <v>8909</v>
      </c>
      <c r="G365" s="31" t="s">
        <v>8910</v>
      </c>
      <c r="H365" s="31"/>
      <c r="I365" s="31"/>
      <c r="J365" s="31"/>
      <c r="K365" s="428"/>
      <c r="L365" s="321"/>
      <c r="M365" s="322"/>
      <c r="N365" s="323"/>
      <c r="O365" s="429"/>
      <c r="P365" s="322"/>
      <c r="Q365" s="323"/>
      <c r="R365" s="429"/>
      <c r="S365" s="322"/>
      <c r="T365" s="323"/>
      <c r="U365" s="324"/>
      <c r="V365" s="322"/>
      <c r="W365" s="323"/>
      <c r="X365" s="324" t="s">
        <v>22</v>
      </c>
      <c r="Y365" s="173" t="s">
        <v>8912</v>
      </c>
      <c r="Z365" s="322" t="s">
        <v>22</v>
      </c>
      <c r="AA365" s="104"/>
      <c r="AB365" s="319">
        <f>AA357</f>
        <v>0</v>
      </c>
      <c r="AC365" s="430"/>
      <c r="AD365" s="326" t="s">
        <v>22</v>
      </c>
      <c r="AE365" s="331"/>
      <c r="AF365" s="431"/>
      <c r="AG365" s="432"/>
      <c r="AH365" s="326"/>
      <c r="AI365" s="2"/>
      <c r="AJ365" s="59" t="str">
        <f t="shared" si="1"/>
        <v>нет з/ч</v>
      </c>
      <c r="AK365" s="61" t="str">
        <f t="shared" si="2"/>
        <v>нет з/ч</v>
      </c>
      <c r="AL365" s="61" t="str">
        <f t="shared" si="3"/>
        <v>нет з/ч</v>
      </c>
      <c r="AM365" s="304" t="str">
        <f t="shared" si="5"/>
        <v>нет з/ч</v>
      </c>
      <c r="AN365" s="2"/>
      <c r="AO365" s="289"/>
      <c r="AP365" s="296"/>
      <c r="AQ365" s="296"/>
      <c r="AR365" s="139"/>
      <c r="AS365" s="2"/>
      <c r="AT365" s="2"/>
      <c r="AU365" s="2"/>
      <c r="AV365" s="2"/>
      <c r="AW365" s="2"/>
      <c r="AX365" s="3" t="s">
        <v>9520</v>
      </c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>
      <c r="A366" s="315" t="s">
        <v>9521</v>
      </c>
      <c r="B366" s="93"/>
      <c r="C366" s="65"/>
      <c r="D366" s="31" t="s">
        <v>297</v>
      </c>
      <c r="E366" s="11" t="s">
        <v>8908</v>
      </c>
      <c r="F366" s="427" t="s">
        <v>8909</v>
      </c>
      <c r="G366" s="31" t="s">
        <v>8910</v>
      </c>
      <c r="H366" s="31"/>
      <c r="I366" s="31"/>
      <c r="J366" s="31"/>
      <c r="K366" s="428"/>
      <c r="L366" s="321"/>
      <c r="M366" s="322"/>
      <c r="N366" s="323"/>
      <c r="O366" s="429"/>
      <c r="P366" s="322"/>
      <c r="Q366" s="323"/>
      <c r="R366" s="429"/>
      <c r="S366" s="322"/>
      <c r="T366" s="323"/>
      <c r="U366" s="324"/>
      <c r="V366" s="322"/>
      <c r="W366" s="323"/>
      <c r="X366" s="324" t="s">
        <v>22</v>
      </c>
      <c r="Y366" s="173" t="s">
        <v>8912</v>
      </c>
      <c r="Z366" s="322" t="s">
        <v>22</v>
      </c>
      <c r="AA366" s="67"/>
      <c r="AB366" s="319">
        <f>AA357</f>
        <v>0</v>
      </c>
      <c r="AC366" s="430"/>
      <c r="AD366" s="326" t="s">
        <v>22</v>
      </c>
      <c r="AE366" s="331"/>
      <c r="AF366" s="431"/>
      <c r="AG366" s="432"/>
      <c r="AH366" s="326"/>
      <c r="AI366" s="2"/>
      <c r="AJ366" s="59" t="str">
        <f t="shared" si="1"/>
        <v>нет з/ч</v>
      </c>
      <c r="AK366" s="61" t="str">
        <f t="shared" si="2"/>
        <v>нет з/ч</v>
      </c>
      <c r="AL366" s="61" t="str">
        <f t="shared" si="3"/>
        <v>нет з/ч</v>
      </c>
      <c r="AM366" s="304" t="str">
        <f t="shared" si="5"/>
        <v>нет з/ч</v>
      </c>
      <c r="AN366" s="2"/>
      <c r="AO366" s="289"/>
      <c r="AP366" s="296"/>
      <c r="AQ366" s="296"/>
      <c r="AR366" s="139"/>
      <c r="AS366" s="2"/>
      <c r="AT366" s="2"/>
      <c r="AU366" s="2"/>
      <c r="AV366" s="2"/>
      <c r="AW366" s="2"/>
      <c r="AX366" s="3" t="s">
        <v>9521</v>
      </c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</row>
    <row r="367">
      <c r="A367" s="315" t="s">
        <v>9522</v>
      </c>
      <c r="B367" s="93"/>
      <c r="C367" s="65"/>
      <c r="D367" s="31" t="s">
        <v>297</v>
      </c>
      <c r="E367" s="11" t="s">
        <v>8908</v>
      </c>
      <c r="F367" s="427" t="s">
        <v>8915</v>
      </c>
      <c r="G367" s="31" t="s">
        <v>8916</v>
      </c>
      <c r="H367" s="31"/>
      <c r="I367" s="31"/>
      <c r="J367" s="31"/>
      <c r="K367" s="428"/>
      <c r="L367" s="321"/>
      <c r="M367" s="322"/>
      <c r="N367" s="323"/>
      <c r="O367" s="429"/>
      <c r="P367" s="322"/>
      <c r="Q367" s="323"/>
      <c r="R367" s="429"/>
      <c r="S367" s="322"/>
      <c r="T367" s="323"/>
      <c r="U367" s="324"/>
      <c r="V367" s="322"/>
      <c r="W367" s="323"/>
      <c r="X367" s="324" t="s">
        <v>22</v>
      </c>
      <c r="Y367" s="173" t="s">
        <v>8912</v>
      </c>
      <c r="Z367" s="322" t="s">
        <v>22</v>
      </c>
      <c r="AA367" s="313">
        <f>MAX(Z367:Z371)</f>
        <v>0</v>
      </c>
      <c r="AB367" s="319">
        <f>AA367</f>
        <v>0</v>
      </c>
      <c r="AC367" s="430"/>
      <c r="AD367" s="326" t="s">
        <v>22</v>
      </c>
      <c r="AE367" s="331"/>
      <c r="AF367" s="431"/>
      <c r="AG367" s="432"/>
      <c r="AH367" s="326"/>
      <c r="AI367" s="2"/>
      <c r="AJ367" s="59" t="str">
        <f t="shared" si="1"/>
        <v>нет з/ч</v>
      </c>
      <c r="AK367" s="61" t="str">
        <f t="shared" si="2"/>
        <v>нет з/ч</v>
      </c>
      <c r="AL367" s="61" t="str">
        <f t="shared" si="3"/>
        <v>нет з/ч</v>
      </c>
      <c r="AM367" s="304" t="str">
        <f t="shared" si="5"/>
        <v>нет з/ч</v>
      </c>
      <c r="AN367" s="2"/>
      <c r="AO367" s="289"/>
      <c r="AP367" s="296"/>
      <c r="AQ367" s="296"/>
      <c r="AR367" s="139"/>
      <c r="AS367" s="2"/>
      <c r="AT367" s="2"/>
      <c r="AU367" s="2"/>
      <c r="AV367" s="2"/>
      <c r="AW367" s="2"/>
      <c r="AX367" s="3" t="s">
        <v>9522</v>
      </c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</row>
    <row r="368">
      <c r="A368" s="315" t="s">
        <v>9523</v>
      </c>
      <c r="B368" s="93"/>
      <c r="C368" s="65"/>
      <c r="D368" s="31" t="s">
        <v>297</v>
      </c>
      <c r="E368" s="11" t="s">
        <v>8908</v>
      </c>
      <c r="F368" s="427" t="s">
        <v>8915</v>
      </c>
      <c r="G368" s="31" t="s">
        <v>8916</v>
      </c>
      <c r="H368" s="31"/>
      <c r="I368" s="31"/>
      <c r="J368" s="31"/>
      <c r="K368" s="428"/>
      <c r="L368" s="321"/>
      <c r="M368" s="322"/>
      <c r="N368" s="323"/>
      <c r="O368" s="429"/>
      <c r="P368" s="322"/>
      <c r="Q368" s="323"/>
      <c r="R368" s="429"/>
      <c r="S368" s="322"/>
      <c r="T368" s="323"/>
      <c r="U368" s="324"/>
      <c r="V368" s="322"/>
      <c r="W368" s="323"/>
      <c r="X368" s="324" t="s">
        <v>22</v>
      </c>
      <c r="Y368" s="173" t="s">
        <v>8912</v>
      </c>
      <c r="Z368" s="322" t="s">
        <v>22</v>
      </c>
      <c r="AA368" s="104"/>
      <c r="AB368" s="319">
        <f>AA367</f>
        <v>0</v>
      </c>
      <c r="AC368" s="430"/>
      <c r="AD368" s="326" t="s">
        <v>22</v>
      </c>
      <c r="AE368" s="331"/>
      <c r="AF368" s="431"/>
      <c r="AG368" s="432"/>
      <c r="AH368" s="326"/>
      <c r="AI368" s="2"/>
      <c r="AJ368" s="59" t="str">
        <f t="shared" si="1"/>
        <v>нет з/ч</v>
      </c>
      <c r="AK368" s="61" t="str">
        <f t="shared" si="2"/>
        <v>нет з/ч</v>
      </c>
      <c r="AL368" s="61" t="str">
        <f t="shared" si="3"/>
        <v>нет з/ч</v>
      </c>
      <c r="AM368" s="304" t="str">
        <f t="shared" si="5"/>
        <v>нет з/ч</v>
      </c>
      <c r="AN368" s="2"/>
      <c r="AO368" s="289"/>
      <c r="AP368" s="296"/>
      <c r="AQ368" s="296"/>
      <c r="AR368" s="139"/>
      <c r="AS368" s="2"/>
      <c r="AT368" s="2"/>
      <c r="AU368" s="2"/>
      <c r="AV368" s="2"/>
      <c r="AW368" s="2"/>
      <c r="AX368" s="3" t="s">
        <v>9523</v>
      </c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>
      <c r="A369" s="315" t="s">
        <v>9524</v>
      </c>
      <c r="B369" s="93"/>
      <c r="C369" s="65"/>
      <c r="D369" s="31" t="s">
        <v>297</v>
      </c>
      <c r="E369" s="11" t="s">
        <v>8908</v>
      </c>
      <c r="F369" s="427" t="s">
        <v>8915</v>
      </c>
      <c r="G369" s="31" t="s">
        <v>8916</v>
      </c>
      <c r="H369" s="31"/>
      <c r="I369" s="31"/>
      <c r="J369" s="31"/>
      <c r="K369" s="428"/>
      <c r="L369" s="321"/>
      <c r="M369" s="322"/>
      <c r="N369" s="323"/>
      <c r="O369" s="429"/>
      <c r="P369" s="322"/>
      <c r="Q369" s="323"/>
      <c r="R369" s="429"/>
      <c r="S369" s="322"/>
      <c r="T369" s="323"/>
      <c r="U369" s="324"/>
      <c r="V369" s="322"/>
      <c r="W369" s="323"/>
      <c r="X369" s="324" t="s">
        <v>22</v>
      </c>
      <c r="Y369" s="173" t="s">
        <v>8912</v>
      </c>
      <c r="Z369" s="322" t="s">
        <v>22</v>
      </c>
      <c r="AA369" s="104"/>
      <c r="AB369" s="319">
        <f>AA367</f>
        <v>0</v>
      </c>
      <c r="AC369" s="430"/>
      <c r="AD369" s="326" t="s">
        <v>22</v>
      </c>
      <c r="AE369" s="331"/>
      <c r="AF369" s="431"/>
      <c r="AG369" s="432"/>
      <c r="AH369" s="326"/>
      <c r="AI369" s="2"/>
      <c r="AJ369" s="59" t="str">
        <f t="shared" si="1"/>
        <v>нет з/ч</v>
      </c>
      <c r="AK369" s="61" t="str">
        <f t="shared" si="2"/>
        <v>нет з/ч</v>
      </c>
      <c r="AL369" s="61" t="str">
        <f t="shared" si="3"/>
        <v>нет з/ч</v>
      </c>
      <c r="AM369" s="304" t="str">
        <f t="shared" si="5"/>
        <v>нет з/ч</v>
      </c>
      <c r="AN369" s="2"/>
      <c r="AO369" s="289"/>
      <c r="AP369" s="296"/>
      <c r="AQ369" s="296"/>
      <c r="AR369" s="139"/>
      <c r="AS369" s="2"/>
      <c r="AT369" s="2"/>
      <c r="AU369" s="2"/>
      <c r="AV369" s="2"/>
      <c r="AW369" s="2"/>
      <c r="AX369" s="3" t="s">
        <v>9524</v>
      </c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>
      <c r="A370" s="315" t="s">
        <v>9525</v>
      </c>
      <c r="B370" s="93"/>
      <c r="C370" s="65"/>
      <c r="D370" s="31" t="s">
        <v>297</v>
      </c>
      <c r="E370" s="11" t="s">
        <v>8908</v>
      </c>
      <c r="F370" s="427" t="s">
        <v>8915</v>
      </c>
      <c r="G370" s="31" t="s">
        <v>8916</v>
      </c>
      <c r="H370" s="31"/>
      <c r="I370" s="31"/>
      <c r="J370" s="31"/>
      <c r="K370" s="428"/>
      <c r="L370" s="321"/>
      <c r="M370" s="322"/>
      <c r="N370" s="323"/>
      <c r="O370" s="429"/>
      <c r="P370" s="322"/>
      <c r="Q370" s="323"/>
      <c r="R370" s="429"/>
      <c r="S370" s="322"/>
      <c r="T370" s="323"/>
      <c r="U370" s="324"/>
      <c r="V370" s="322"/>
      <c r="W370" s="323"/>
      <c r="X370" s="324" t="s">
        <v>22</v>
      </c>
      <c r="Y370" s="173" t="s">
        <v>8912</v>
      </c>
      <c r="Z370" s="322" t="s">
        <v>22</v>
      </c>
      <c r="AA370" s="104"/>
      <c r="AB370" s="319">
        <f>AA367</f>
        <v>0</v>
      </c>
      <c r="AC370" s="430"/>
      <c r="AD370" s="326" t="s">
        <v>22</v>
      </c>
      <c r="AE370" s="331"/>
      <c r="AF370" s="431"/>
      <c r="AG370" s="432"/>
      <c r="AH370" s="326"/>
      <c r="AI370" s="2"/>
      <c r="AJ370" s="59" t="str">
        <f t="shared" si="1"/>
        <v>нет з/ч</v>
      </c>
      <c r="AK370" s="61" t="str">
        <f t="shared" si="2"/>
        <v>нет з/ч</v>
      </c>
      <c r="AL370" s="61" t="str">
        <f t="shared" si="3"/>
        <v>нет з/ч</v>
      </c>
      <c r="AM370" s="304" t="str">
        <f t="shared" si="5"/>
        <v>нет з/ч</v>
      </c>
      <c r="AN370" s="2"/>
      <c r="AO370" s="289"/>
      <c r="AP370" s="296"/>
      <c r="AQ370" s="296"/>
      <c r="AR370" s="139"/>
      <c r="AS370" s="2"/>
      <c r="AT370" s="2"/>
      <c r="AU370" s="2"/>
      <c r="AV370" s="2"/>
      <c r="AW370" s="2"/>
      <c r="AX370" s="3" t="s">
        <v>9525</v>
      </c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>
      <c r="A371" s="315" t="s">
        <v>9526</v>
      </c>
      <c r="B371" s="93"/>
      <c r="C371" s="65"/>
      <c r="D371" s="31" t="s">
        <v>297</v>
      </c>
      <c r="E371" s="11" t="s">
        <v>8908</v>
      </c>
      <c r="F371" s="427" t="s">
        <v>8915</v>
      </c>
      <c r="G371" s="31" t="s">
        <v>8916</v>
      </c>
      <c r="H371" s="31"/>
      <c r="I371" s="31"/>
      <c r="J371" s="31"/>
      <c r="K371" s="428"/>
      <c r="L371" s="321"/>
      <c r="M371" s="322"/>
      <c r="N371" s="323"/>
      <c r="O371" s="429"/>
      <c r="P371" s="322"/>
      <c r="Q371" s="323"/>
      <c r="R371" s="429"/>
      <c r="S371" s="322"/>
      <c r="T371" s="323"/>
      <c r="U371" s="324"/>
      <c r="V371" s="322"/>
      <c r="W371" s="323"/>
      <c r="X371" s="324" t="s">
        <v>22</v>
      </c>
      <c r="Y371" s="173" t="s">
        <v>8912</v>
      </c>
      <c r="Z371" s="322" t="s">
        <v>22</v>
      </c>
      <c r="AA371" s="67"/>
      <c r="AB371" s="319">
        <f>AA367</f>
        <v>0</v>
      </c>
      <c r="AC371" s="430"/>
      <c r="AD371" s="326" t="s">
        <v>22</v>
      </c>
      <c r="AE371" s="331"/>
      <c r="AF371" s="431"/>
      <c r="AG371" s="432"/>
      <c r="AH371" s="326"/>
      <c r="AI371" s="2"/>
      <c r="AJ371" s="59" t="str">
        <f t="shared" si="1"/>
        <v>нет з/ч</v>
      </c>
      <c r="AK371" s="61" t="str">
        <f t="shared" si="2"/>
        <v>нет з/ч</v>
      </c>
      <c r="AL371" s="61" t="str">
        <f t="shared" si="3"/>
        <v>нет з/ч</v>
      </c>
      <c r="AM371" s="304" t="str">
        <f t="shared" si="5"/>
        <v>нет з/ч</v>
      </c>
      <c r="AN371" s="2"/>
      <c r="AO371" s="289"/>
      <c r="AP371" s="296"/>
      <c r="AQ371" s="296"/>
      <c r="AR371" s="139"/>
      <c r="AS371" s="2"/>
      <c r="AT371" s="2"/>
      <c r="AU371" s="2"/>
      <c r="AV371" s="2"/>
      <c r="AW371" s="2"/>
      <c r="AX371" s="3" t="s">
        <v>9526</v>
      </c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</row>
    <row r="372">
      <c r="A372" s="315" t="s">
        <v>9527</v>
      </c>
      <c r="B372" s="93"/>
      <c r="C372" s="65"/>
      <c r="D372" s="31" t="s">
        <v>304</v>
      </c>
      <c r="E372" s="11" t="s">
        <v>8908</v>
      </c>
      <c r="F372" s="427" t="s">
        <v>8909</v>
      </c>
      <c r="G372" s="31" t="s">
        <v>8910</v>
      </c>
      <c r="H372" s="31"/>
      <c r="I372" s="31"/>
      <c r="J372" s="31"/>
      <c r="K372" s="428"/>
      <c r="L372" s="321"/>
      <c r="M372" s="322"/>
      <c r="N372" s="323"/>
      <c r="O372" s="429"/>
      <c r="P372" s="322"/>
      <c r="Q372" s="323"/>
      <c r="R372" s="429"/>
      <c r="S372" s="322"/>
      <c r="T372" s="323"/>
      <c r="U372" s="324"/>
      <c r="V372" s="322"/>
      <c r="W372" s="323"/>
      <c r="X372" s="324" t="s">
        <v>22</v>
      </c>
      <c r="Y372" s="173" t="s">
        <v>8912</v>
      </c>
      <c r="Z372" s="322" t="s">
        <v>22</v>
      </c>
      <c r="AA372" s="313">
        <f>MAX(Z372:Z379)</f>
        <v>0</v>
      </c>
      <c r="AB372" s="319">
        <f>AA372</f>
        <v>0</v>
      </c>
      <c r="AC372" s="430"/>
      <c r="AD372" s="326" t="s">
        <v>22</v>
      </c>
      <c r="AE372" s="331"/>
      <c r="AF372" s="431"/>
      <c r="AG372" s="432"/>
      <c r="AH372" s="326"/>
      <c r="AI372" s="2"/>
      <c r="AJ372" s="59" t="str">
        <f t="shared" si="1"/>
        <v>нет з/ч</v>
      </c>
      <c r="AK372" s="61" t="str">
        <f t="shared" si="2"/>
        <v>нет з/ч</v>
      </c>
      <c r="AL372" s="61" t="str">
        <f t="shared" si="3"/>
        <v>нет з/ч</v>
      </c>
      <c r="AM372" s="304" t="str">
        <f t="shared" si="5"/>
        <v>нет з/ч</v>
      </c>
      <c r="AN372" s="2"/>
      <c r="AO372" s="289"/>
      <c r="AP372" s="296"/>
      <c r="AQ372" s="296"/>
      <c r="AR372" s="139"/>
      <c r="AS372" s="2"/>
      <c r="AT372" s="2"/>
      <c r="AU372" s="2"/>
      <c r="AV372" s="2"/>
      <c r="AW372" s="2"/>
      <c r="AX372" s="3" t="s">
        <v>9527</v>
      </c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</row>
    <row r="373">
      <c r="A373" s="315" t="s">
        <v>9528</v>
      </c>
      <c r="B373" s="93"/>
      <c r="C373" s="65"/>
      <c r="D373" s="31" t="s">
        <v>304</v>
      </c>
      <c r="E373" s="11" t="s">
        <v>8908</v>
      </c>
      <c r="F373" s="427" t="s">
        <v>8909</v>
      </c>
      <c r="G373" s="31" t="s">
        <v>8910</v>
      </c>
      <c r="H373" s="31"/>
      <c r="I373" s="31"/>
      <c r="J373" s="31"/>
      <c r="K373" s="428"/>
      <c r="L373" s="321"/>
      <c r="M373" s="322"/>
      <c r="N373" s="323"/>
      <c r="O373" s="429"/>
      <c r="P373" s="322"/>
      <c r="Q373" s="323"/>
      <c r="R373" s="429"/>
      <c r="S373" s="322"/>
      <c r="T373" s="323"/>
      <c r="U373" s="324"/>
      <c r="V373" s="322"/>
      <c r="W373" s="323"/>
      <c r="X373" s="324" t="s">
        <v>22</v>
      </c>
      <c r="Y373" s="173" t="s">
        <v>8912</v>
      </c>
      <c r="Z373" s="322" t="s">
        <v>22</v>
      </c>
      <c r="AA373" s="104"/>
      <c r="AB373" s="319">
        <f>AA372</f>
        <v>0</v>
      </c>
      <c r="AC373" s="430"/>
      <c r="AD373" s="326" t="s">
        <v>22</v>
      </c>
      <c r="AE373" s="331"/>
      <c r="AF373" s="431"/>
      <c r="AG373" s="432"/>
      <c r="AH373" s="326"/>
      <c r="AI373" s="2"/>
      <c r="AJ373" s="59" t="str">
        <f t="shared" si="1"/>
        <v>нет з/ч</v>
      </c>
      <c r="AK373" s="61" t="str">
        <f t="shared" si="2"/>
        <v>нет з/ч</v>
      </c>
      <c r="AL373" s="61" t="str">
        <f t="shared" si="3"/>
        <v>нет з/ч</v>
      </c>
      <c r="AM373" s="304" t="str">
        <f t="shared" si="5"/>
        <v>нет з/ч</v>
      </c>
      <c r="AN373" s="2"/>
      <c r="AO373" s="289"/>
      <c r="AP373" s="296"/>
      <c r="AQ373" s="296"/>
      <c r="AR373" s="139"/>
      <c r="AS373" s="2"/>
      <c r="AT373" s="2"/>
      <c r="AU373" s="2"/>
      <c r="AV373" s="2"/>
      <c r="AW373" s="2"/>
      <c r="AX373" s="3" t="s">
        <v>9528</v>
      </c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>
      <c r="A374" s="315" t="s">
        <v>9529</v>
      </c>
      <c r="B374" s="93"/>
      <c r="C374" s="65"/>
      <c r="D374" s="31" t="s">
        <v>304</v>
      </c>
      <c r="E374" s="11" t="s">
        <v>8908</v>
      </c>
      <c r="F374" s="427" t="s">
        <v>8909</v>
      </c>
      <c r="G374" s="31" t="s">
        <v>8910</v>
      </c>
      <c r="H374" s="31"/>
      <c r="I374" s="31"/>
      <c r="J374" s="31"/>
      <c r="K374" s="428"/>
      <c r="L374" s="321"/>
      <c r="M374" s="322"/>
      <c r="N374" s="323"/>
      <c r="O374" s="429"/>
      <c r="P374" s="322"/>
      <c r="Q374" s="323"/>
      <c r="R374" s="429"/>
      <c r="S374" s="322"/>
      <c r="T374" s="323"/>
      <c r="U374" s="324"/>
      <c r="V374" s="322"/>
      <c r="W374" s="323"/>
      <c r="X374" s="324" t="s">
        <v>22</v>
      </c>
      <c r="Y374" s="173" t="s">
        <v>8912</v>
      </c>
      <c r="Z374" s="322" t="s">
        <v>22</v>
      </c>
      <c r="AA374" s="104"/>
      <c r="AB374" s="319">
        <f>AA372</f>
        <v>0</v>
      </c>
      <c r="AC374" s="430"/>
      <c r="AD374" s="326" t="s">
        <v>22</v>
      </c>
      <c r="AE374" s="331"/>
      <c r="AF374" s="431"/>
      <c r="AG374" s="432"/>
      <c r="AH374" s="326"/>
      <c r="AI374" s="2"/>
      <c r="AJ374" s="59" t="str">
        <f t="shared" si="1"/>
        <v>нет з/ч</v>
      </c>
      <c r="AK374" s="61" t="str">
        <f t="shared" si="2"/>
        <v>нет з/ч</v>
      </c>
      <c r="AL374" s="61" t="str">
        <f t="shared" si="3"/>
        <v>нет з/ч</v>
      </c>
      <c r="AM374" s="304" t="str">
        <f t="shared" si="5"/>
        <v>нет з/ч</v>
      </c>
      <c r="AN374" s="2"/>
      <c r="AO374" s="289"/>
      <c r="AP374" s="296"/>
      <c r="AQ374" s="296"/>
      <c r="AR374" s="139"/>
      <c r="AS374" s="2"/>
      <c r="AT374" s="2"/>
      <c r="AU374" s="2"/>
      <c r="AV374" s="2"/>
      <c r="AW374" s="2"/>
      <c r="AX374" s="3" t="s">
        <v>9529</v>
      </c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>
      <c r="A375" s="315" t="s">
        <v>9530</v>
      </c>
      <c r="B375" s="93"/>
      <c r="C375" s="65"/>
      <c r="D375" s="31" t="s">
        <v>304</v>
      </c>
      <c r="E375" s="11" t="s">
        <v>8908</v>
      </c>
      <c r="F375" s="427" t="s">
        <v>8909</v>
      </c>
      <c r="G375" s="31" t="s">
        <v>8910</v>
      </c>
      <c r="H375" s="31"/>
      <c r="I375" s="31"/>
      <c r="J375" s="31"/>
      <c r="K375" s="428"/>
      <c r="L375" s="321"/>
      <c r="M375" s="322"/>
      <c r="N375" s="323"/>
      <c r="O375" s="429"/>
      <c r="P375" s="322"/>
      <c r="Q375" s="323"/>
      <c r="R375" s="429"/>
      <c r="S375" s="322"/>
      <c r="T375" s="323"/>
      <c r="U375" s="324"/>
      <c r="V375" s="322"/>
      <c r="W375" s="323"/>
      <c r="X375" s="324" t="s">
        <v>22</v>
      </c>
      <c r="Y375" s="173" t="s">
        <v>8912</v>
      </c>
      <c r="Z375" s="322" t="s">
        <v>22</v>
      </c>
      <c r="AA375" s="104"/>
      <c r="AB375" s="319">
        <f>AA372</f>
        <v>0</v>
      </c>
      <c r="AC375" s="430"/>
      <c r="AD375" s="326" t="s">
        <v>22</v>
      </c>
      <c r="AE375" s="331"/>
      <c r="AF375" s="431"/>
      <c r="AG375" s="432"/>
      <c r="AH375" s="326"/>
      <c r="AI375" s="2"/>
      <c r="AJ375" s="59" t="str">
        <f t="shared" si="1"/>
        <v>нет з/ч</v>
      </c>
      <c r="AK375" s="61" t="str">
        <f t="shared" si="2"/>
        <v>нет з/ч</v>
      </c>
      <c r="AL375" s="61" t="str">
        <f t="shared" si="3"/>
        <v>нет з/ч</v>
      </c>
      <c r="AM375" s="304" t="str">
        <f t="shared" si="5"/>
        <v>нет з/ч</v>
      </c>
      <c r="AN375" s="2"/>
      <c r="AO375" s="289"/>
      <c r="AP375" s="296"/>
      <c r="AQ375" s="296"/>
      <c r="AR375" s="139"/>
      <c r="AS375" s="2"/>
      <c r="AT375" s="2"/>
      <c r="AU375" s="2"/>
      <c r="AV375" s="2"/>
      <c r="AW375" s="2"/>
      <c r="AX375" s="3" t="s">
        <v>9530</v>
      </c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>
      <c r="A376" s="315" t="s">
        <v>9531</v>
      </c>
      <c r="B376" s="93"/>
      <c r="C376" s="65"/>
      <c r="D376" s="31" t="s">
        <v>304</v>
      </c>
      <c r="E376" s="11" t="s">
        <v>8908</v>
      </c>
      <c r="F376" s="427" t="s">
        <v>8909</v>
      </c>
      <c r="G376" s="31" t="s">
        <v>8910</v>
      </c>
      <c r="H376" s="31"/>
      <c r="I376" s="31"/>
      <c r="J376" s="31"/>
      <c r="K376" s="428"/>
      <c r="L376" s="321"/>
      <c r="M376" s="322"/>
      <c r="N376" s="323"/>
      <c r="O376" s="429"/>
      <c r="P376" s="322"/>
      <c r="Q376" s="323"/>
      <c r="R376" s="429"/>
      <c r="S376" s="322"/>
      <c r="T376" s="323"/>
      <c r="U376" s="324"/>
      <c r="V376" s="322"/>
      <c r="W376" s="323"/>
      <c r="X376" s="324" t="s">
        <v>22</v>
      </c>
      <c r="Y376" s="173" t="s">
        <v>8912</v>
      </c>
      <c r="Z376" s="322" t="s">
        <v>22</v>
      </c>
      <c r="AA376" s="104"/>
      <c r="AB376" s="319">
        <f>AA372</f>
        <v>0</v>
      </c>
      <c r="AC376" s="430"/>
      <c r="AD376" s="326" t="s">
        <v>22</v>
      </c>
      <c r="AE376" s="331"/>
      <c r="AF376" s="431"/>
      <c r="AG376" s="432"/>
      <c r="AH376" s="326"/>
      <c r="AI376" s="2"/>
      <c r="AJ376" s="59" t="str">
        <f t="shared" si="1"/>
        <v>нет з/ч</v>
      </c>
      <c r="AK376" s="61" t="str">
        <f t="shared" si="2"/>
        <v>нет з/ч</v>
      </c>
      <c r="AL376" s="61" t="str">
        <f t="shared" si="3"/>
        <v>нет з/ч</v>
      </c>
      <c r="AM376" s="304" t="str">
        <f t="shared" si="5"/>
        <v>нет з/ч</v>
      </c>
      <c r="AN376" s="2"/>
      <c r="AO376" s="289"/>
      <c r="AP376" s="296"/>
      <c r="AQ376" s="296"/>
      <c r="AR376" s="139"/>
      <c r="AS376" s="2"/>
      <c r="AT376" s="2"/>
      <c r="AU376" s="2"/>
      <c r="AV376" s="2"/>
      <c r="AW376" s="2"/>
      <c r="AX376" s="3" t="s">
        <v>9531</v>
      </c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>
      <c r="A377" s="315" t="s">
        <v>9532</v>
      </c>
      <c r="B377" s="93"/>
      <c r="C377" s="65"/>
      <c r="D377" s="31" t="s">
        <v>304</v>
      </c>
      <c r="E377" s="11" t="s">
        <v>8908</v>
      </c>
      <c r="F377" s="427" t="s">
        <v>8909</v>
      </c>
      <c r="G377" s="31" t="s">
        <v>8910</v>
      </c>
      <c r="H377" s="31"/>
      <c r="I377" s="31"/>
      <c r="J377" s="31"/>
      <c r="K377" s="428"/>
      <c r="L377" s="321"/>
      <c r="M377" s="322"/>
      <c r="N377" s="323"/>
      <c r="O377" s="429"/>
      <c r="P377" s="322"/>
      <c r="Q377" s="323"/>
      <c r="R377" s="429"/>
      <c r="S377" s="322"/>
      <c r="T377" s="323"/>
      <c r="U377" s="324"/>
      <c r="V377" s="322"/>
      <c r="W377" s="323"/>
      <c r="X377" s="324" t="s">
        <v>22</v>
      </c>
      <c r="Y377" s="173" t="s">
        <v>8912</v>
      </c>
      <c r="Z377" s="322" t="s">
        <v>22</v>
      </c>
      <c r="AA377" s="104"/>
      <c r="AB377" s="319">
        <f>AA372</f>
        <v>0</v>
      </c>
      <c r="AC377" s="430"/>
      <c r="AD377" s="326" t="s">
        <v>22</v>
      </c>
      <c r="AE377" s="331"/>
      <c r="AF377" s="431"/>
      <c r="AG377" s="432"/>
      <c r="AH377" s="326"/>
      <c r="AI377" s="2"/>
      <c r="AJ377" s="59" t="str">
        <f t="shared" si="1"/>
        <v>нет з/ч</v>
      </c>
      <c r="AK377" s="61" t="str">
        <f t="shared" si="2"/>
        <v>нет з/ч</v>
      </c>
      <c r="AL377" s="61" t="str">
        <f t="shared" si="3"/>
        <v>нет з/ч</v>
      </c>
      <c r="AM377" s="304" t="str">
        <f t="shared" si="5"/>
        <v>нет з/ч</v>
      </c>
      <c r="AN377" s="2"/>
      <c r="AO377" s="289"/>
      <c r="AP377" s="296"/>
      <c r="AQ377" s="296"/>
      <c r="AR377" s="139"/>
      <c r="AS377" s="2"/>
      <c r="AT377" s="2"/>
      <c r="AU377" s="2"/>
      <c r="AV377" s="2"/>
      <c r="AW377" s="2"/>
      <c r="AX377" s="3" t="s">
        <v>9532</v>
      </c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>
      <c r="A378" s="315" t="s">
        <v>9533</v>
      </c>
      <c r="B378" s="93"/>
      <c r="C378" s="65"/>
      <c r="D378" s="31" t="s">
        <v>304</v>
      </c>
      <c r="E378" s="11" t="s">
        <v>8908</v>
      </c>
      <c r="F378" s="427" t="s">
        <v>8909</v>
      </c>
      <c r="G378" s="31" t="s">
        <v>8910</v>
      </c>
      <c r="H378" s="31"/>
      <c r="I378" s="31"/>
      <c r="J378" s="31"/>
      <c r="K378" s="428"/>
      <c r="L378" s="321"/>
      <c r="M378" s="322"/>
      <c r="N378" s="323"/>
      <c r="O378" s="429"/>
      <c r="P378" s="322"/>
      <c r="Q378" s="323"/>
      <c r="R378" s="429"/>
      <c r="S378" s="322"/>
      <c r="T378" s="323"/>
      <c r="U378" s="324"/>
      <c r="V378" s="322"/>
      <c r="W378" s="323"/>
      <c r="X378" s="324" t="s">
        <v>22</v>
      </c>
      <c r="Y378" s="173" t="s">
        <v>8912</v>
      </c>
      <c r="Z378" s="322" t="s">
        <v>22</v>
      </c>
      <c r="AA378" s="104"/>
      <c r="AB378" s="319">
        <f>AA372</f>
        <v>0</v>
      </c>
      <c r="AC378" s="430"/>
      <c r="AD378" s="326" t="s">
        <v>22</v>
      </c>
      <c r="AE378" s="331"/>
      <c r="AF378" s="431"/>
      <c r="AG378" s="432"/>
      <c r="AH378" s="326"/>
      <c r="AI378" s="2"/>
      <c r="AJ378" s="59" t="str">
        <f t="shared" si="1"/>
        <v>нет з/ч</v>
      </c>
      <c r="AK378" s="61" t="str">
        <f t="shared" si="2"/>
        <v>нет з/ч</v>
      </c>
      <c r="AL378" s="61" t="str">
        <f t="shared" si="3"/>
        <v>нет з/ч</v>
      </c>
      <c r="AM378" s="304" t="str">
        <f t="shared" si="5"/>
        <v>нет з/ч</v>
      </c>
      <c r="AN378" s="2"/>
      <c r="AO378" s="289"/>
      <c r="AP378" s="296"/>
      <c r="AQ378" s="296"/>
      <c r="AR378" s="139"/>
      <c r="AS378" s="2"/>
      <c r="AT378" s="2"/>
      <c r="AU378" s="2"/>
      <c r="AV378" s="2"/>
      <c r="AW378" s="2"/>
      <c r="AX378" s="3" t="s">
        <v>9533</v>
      </c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>
      <c r="A379" s="315" t="s">
        <v>9534</v>
      </c>
      <c r="B379" s="93"/>
      <c r="C379" s="65"/>
      <c r="D379" s="31" t="s">
        <v>304</v>
      </c>
      <c r="E379" s="11" t="s">
        <v>8908</v>
      </c>
      <c r="F379" s="427" t="s">
        <v>8909</v>
      </c>
      <c r="G379" s="31" t="s">
        <v>8910</v>
      </c>
      <c r="H379" s="31"/>
      <c r="I379" s="31"/>
      <c r="J379" s="31"/>
      <c r="K379" s="428"/>
      <c r="L379" s="321"/>
      <c r="M379" s="322"/>
      <c r="N379" s="323"/>
      <c r="O379" s="429"/>
      <c r="P379" s="322"/>
      <c r="Q379" s="323"/>
      <c r="R379" s="429"/>
      <c r="S379" s="322"/>
      <c r="T379" s="323"/>
      <c r="U379" s="324"/>
      <c r="V379" s="322"/>
      <c r="W379" s="323"/>
      <c r="X379" s="324" t="s">
        <v>22</v>
      </c>
      <c r="Y379" s="173" t="s">
        <v>8912</v>
      </c>
      <c r="Z379" s="322" t="s">
        <v>22</v>
      </c>
      <c r="AA379" s="67"/>
      <c r="AB379" s="319">
        <f>AA372</f>
        <v>0</v>
      </c>
      <c r="AC379" s="430"/>
      <c r="AD379" s="326" t="s">
        <v>22</v>
      </c>
      <c r="AE379" s="331"/>
      <c r="AF379" s="431"/>
      <c r="AG379" s="432"/>
      <c r="AH379" s="326"/>
      <c r="AI379" s="2"/>
      <c r="AJ379" s="59" t="str">
        <f t="shared" si="1"/>
        <v>нет з/ч</v>
      </c>
      <c r="AK379" s="61" t="str">
        <f t="shared" si="2"/>
        <v>нет з/ч</v>
      </c>
      <c r="AL379" s="61" t="str">
        <f t="shared" si="3"/>
        <v>нет з/ч</v>
      </c>
      <c r="AM379" s="304" t="str">
        <f t="shared" si="5"/>
        <v>нет з/ч</v>
      </c>
      <c r="AN379" s="2"/>
      <c r="AO379" s="289"/>
      <c r="AP379" s="296"/>
      <c r="AQ379" s="296"/>
      <c r="AR379" s="139"/>
      <c r="AS379" s="2"/>
      <c r="AT379" s="2"/>
      <c r="AU379" s="2"/>
      <c r="AV379" s="2"/>
      <c r="AW379" s="2"/>
      <c r="AX379" s="3" t="s">
        <v>9534</v>
      </c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>
      <c r="A380" s="315" t="s">
        <v>9535</v>
      </c>
      <c r="B380" s="93"/>
      <c r="C380" s="65"/>
      <c r="D380" s="31" t="s">
        <v>304</v>
      </c>
      <c r="E380" s="11" t="s">
        <v>8908</v>
      </c>
      <c r="F380" s="427" t="s">
        <v>8915</v>
      </c>
      <c r="G380" s="31" t="s">
        <v>8916</v>
      </c>
      <c r="H380" s="31"/>
      <c r="I380" s="31"/>
      <c r="J380" s="31"/>
      <c r="K380" s="428"/>
      <c r="L380" s="327" t="s">
        <v>9536</v>
      </c>
      <c r="M380" s="322"/>
      <c r="N380" s="328">
        <v>3400.0</v>
      </c>
      <c r="O380" s="429"/>
      <c r="P380" s="322"/>
      <c r="Q380" s="323"/>
      <c r="R380" s="429"/>
      <c r="S380" s="322"/>
      <c r="T380" s="323"/>
      <c r="U380" s="324"/>
      <c r="V380" s="322"/>
      <c r="W380" s="323"/>
      <c r="X380" s="324">
        <v>3400.0</v>
      </c>
      <c r="Y380" s="173" t="s">
        <v>8912</v>
      </c>
      <c r="Z380" s="322">
        <v>3900.0</v>
      </c>
      <c r="AA380" s="313">
        <f>MAX(Z380:Z383)</f>
        <v>3900</v>
      </c>
      <c r="AB380" s="319">
        <f>AA380</f>
        <v>3900</v>
      </c>
      <c r="AC380" s="430"/>
      <c r="AD380" s="326" t="s">
        <v>5839</v>
      </c>
      <c r="AE380" s="329" t="s">
        <v>9537</v>
      </c>
      <c r="AF380" s="431"/>
      <c r="AG380" s="432"/>
      <c r="AH380" s="330">
        <v>46080.71951547454</v>
      </c>
      <c r="AI380" s="2"/>
      <c r="AJ380" s="289">
        <f t="shared" si="1"/>
        <v>500</v>
      </c>
      <c r="AK380" s="61" t="str">
        <f t="shared" si="2"/>
        <v>нет з/ч</v>
      </c>
      <c r="AL380" s="61" t="str">
        <f t="shared" si="3"/>
        <v>нет з/ч</v>
      </c>
      <c r="AM380" s="304" t="str">
        <f t="shared" si="5"/>
        <v>нет з/ч</v>
      </c>
      <c r="AN380" s="2"/>
      <c r="AO380" s="289">
        <v>3400.0</v>
      </c>
      <c r="AP380" s="296"/>
      <c r="AQ380" s="296"/>
      <c r="AR380" s="139"/>
      <c r="AS380" s="2"/>
      <c r="AT380" s="2"/>
      <c r="AU380" s="2"/>
      <c r="AV380" s="2"/>
      <c r="AW380" s="2"/>
      <c r="AX380" s="3" t="s">
        <v>9535</v>
      </c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</row>
    <row r="381">
      <c r="A381" s="315" t="s">
        <v>9538</v>
      </c>
      <c r="B381" s="93"/>
      <c r="C381" s="65"/>
      <c r="D381" s="31" t="s">
        <v>304</v>
      </c>
      <c r="E381" s="11" t="s">
        <v>8908</v>
      </c>
      <c r="F381" s="427" t="s">
        <v>8915</v>
      </c>
      <c r="G381" s="31" t="s">
        <v>8916</v>
      </c>
      <c r="H381" s="31"/>
      <c r="I381" s="31"/>
      <c r="J381" s="31"/>
      <c r="K381" s="428"/>
      <c r="L381" s="327" t="s">
        <v>9539</v>
      </c>
      <c r="M381" s="322"/>
      <c r="N381" s="328">
        <v>3400.0</v>
      </c>
      <c r="O381" s="429"/>
      <c r="P381" s="322"/>
      <c r="Q381" s="323"/>
      <c r="R381" s="429"/>
      <c r="S381" s="322"/>
      <c r="T381" s="323"/>
      <c r="U381" s="324"/>
      <c r="V381" s="322"/>
      <c r="W381" s="323"/>
      <c r="X381" s="324">
        <v>3400.0</v>
      </c>
      <c r="Y381" s="173" t="s">
        <v>8912</v>
      </c>
      <c r="Z381" s="322">
        <v>3900.0</v>
      </c>
      <c r="AA381" s="104"/>
      <c r="AB381" s="319">
        <f>AA380</f>
        <v>3900</v>
      </c>
      <c r="AC381" s="430"/>
      <c r="AD381" s="326" t="s">
        <v>5839</v>
      </c>
      <c r="AE381" s="329" t="s">
        <v>9540</v>
      </c>
      <c r="AF381" s="431"/>
      <c r="AG381" s="432"/>
      <c r="AH381" s="330">
        <v>46080.71954388889</v>
      </c>
      <c r="AI381" s="2"/>
      <c r="AJ381" s="289">
        <f t="shared" si="1"/>
        <v>500</v>
      </c>
      <c r="AK381" s="61" t="str">
        <f t="shared" si="2"/>
        <v>нет з/ч</v>
      </c>
      <c r="AL381" s="61" t="str">
        <f t="shared" si="3"/>
        <v>нет з/ч</v>
      </c>
      <c r="AM381" s="304" t="str">
        <f t="shared" si="5"/>
        <v>нет з/ч</v>
      </c>
      <c r="AN381" s="2"/>
      <c r="AO381" s="289">
        <v>3400.0</v>
      </c>
      <c r="AP381" s="296"/>
      <c r="AQ381" s="296"/>
      <c r="AR381" s="139"/>
      <c r="AS381" s="2"/>
      <c r="AT381" s="2"/>
      <c r="AU381" s="2"/>
      <c r="AV381" s="2"/>
      <c r="AW381" s="2"/>
      <c r="AX381" s="3" t="s">
        <v>9538</v>
      </c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</row>
    <row r="382">
      <c r="A382" s="315" t="s">
        <v>9541</v>
      </c>
      <c r="B382" s="93"/>
      <c r="C382" s="65"/>
      <c r="D382" s="31" t="s">
        <v>304</v>
      </c>
      <c r="E382" s="11" t="s">
        <v>8908</v>
      </c>
      <c r="F382" s="427" t="s">
        <v>8915</v>
      </c>
      <c r="G382" s="31" t="s">
        <v>8916</v>
      </c>
      <c r="H382" s="31"/>
      <c r="I382" s="31"/>
      <c r="J382" s="31"/>
      <c r="K382" s="428"/>
      <c r="L382" s="327" t="s">
        <v>9542</v>
      </c>
      <c r="M382" s="322"/>
      <c r="N382" s="328">
        <v>3400.0</v>
      </c>
      <c r="O382" s="429"/>
      <c r="P382" s="322"/>
      <c r="Q382" s="323"/>
      <c r="R382" s="429"/>
      <c r="S382" s="322"/>
      <c r="T382" s="323"/>
      <c r="U382" s="324"/>
      <c r="V382" s="322"/>
      <c r="W382" s="323"/>
      <c r="X382" s="324">
        <v>3400.0</v>
      </c>
      <c r="Y382" s="173" t="s">
        <v>8912</v>
      </c>
      <c r="Z382" s="322">
        <v>3900.0</v>
      </c>
      <c r="AA382" s="104"/>
      <c r="AB382" s="319">
        <f>AA380</f>
        <v>3900</v>
      </c>
      <c r="AC382" s="430"/>
      <c r="AD382" s="326" t="s">
        <v>5839</v>
      </c>
      <c r="AE382" s="336" t="s">
        <v>9543</v>
      </c>
      <c r="AF382" s="431"/>
      <c r="AG382" s="432"/>
      <c r="AH382" s="330">
        <v>46080.71957331018</v>
      </c>
      <c r="AI382" s="2"/>
      <c r="AJ382" s="289">
        <f t="shared" si="1"/>
        <v>500</v>
      </c>
      <c r="AK382" s="61" t="str">
        <f t="shared" si="2"/>
        <v>нет з/ч</v>
      </c>
      <c r="AL382" s="61" t="str">
        <f t="shared" si="3"/>
        <v>нет з/ч</v>
      </c>
      <c r="AM382" s="304" t="str">
        <f t="shared" si="5"/>
        <v>нет з/ч</v>
      </c>
      <c r="AN382" s="2"/>
      <c r="AO382" s="289">
        <v>3400.0</v>
      </c>
      <c r="AP382" s="296"/>
      <c r="AQ382" s="296"/>
      <c r="AR382" s="139"/>
      <c r="AS382" s="2"/>
      <c r="AT382" s="2"/>
      <c r="AU382" s="2"/>
      <c r="AV382" s="2"/>
      <c r="AW382" s="2"/>
      <c r="AX382" s="3" t="s">
        <v>9541</v>
      </c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>
      <c r="A383" s="315" t="s">
        <v>9544</v>
      </c>
      <c r="B383" s="93"/>
      <c r="C383" s="65"/>
      <c r="D383" s="31" t="s">
        <v>304</v>
      </c>
      <c r="E383" s="11" t="s">
        <v>8908</v>
      </c>
      <c r="F383" s="427" t="s">
        <v>8915</v>
      </c>
      <c r="G383" s="31" t="s">
        <v>8916</v>
      </c>
      <c r="H383" s="31"/>
      <c r="I383" s="31"/>
      <c r="J383" s="31"/>
      <c r="K383" s="428"/>
      <c r="L383" s="327" t="s">
        <v>9545</v>
      </c>
      <c r="M383" s="322"/>
      <c r="N383" s="328">
        <v>3400.0</v>
      </c>
      <c r="O383" s="429"/>
      <c r="P383" s="322"/>
      <c r="Q383" s="323"/>
      <c r="R383" s="429"/>
      <c r="S383" s="322"/>
      <c r="T383" s="323"/>
      <c r="U383" s="324"/>
      <c r="V383" s="322"/>
      <c r="W383" s="323"/>
      <c r="X383" s="324">
        <v>3400.0</v>
      </c>
      <c r="Y383" s="173" t="s">
        <v>8912</v>
      </c>
      <c r="Z383" s="322">
        <v>3900.0</v>
      </c>
      <c r="AA383" s="67"/>
      <c r="AB383" s="319">
        <f>AA380</f>
        <v>3900</v>
      </c>
      <c r="AC383" s="430"/>
      <c r="AD383" s="326" t="s">
        <v>5839</v>
      </c>
      <c r="AE383" s="329" t="s">
        <v>9546</v>
      </c>
      <c r="AF383" s="431"/>
      <c r="AG383" s="432"/>
      <c r="AH383" s="330">
        <v>46080.71961017361</v>
      </c>
      <c r="AI383" s="2"/>
      <c r="AJ383" s="289">
        <f t="shared" si="1"/>
        <v>500</v>
      </c>
      <c r="AK383" s="61" t="str">
        <f t="shared" si="2"/>
        <v>нет з/ч</v>
      </c>
      <c r="AL383" s="61" t="str">
        <f t="shared" si="3"/>
        <v>нет з/ч</v>
      </c>
      <c r="AM383" s="304" t="str">
        <f t="shared" si="5"/>
        <v>нет з/ч</v>
      </c>
      <c r="AN383" s="2"/>
      <c r="AO383" s="289">
        <v>3400.0</v>
      </c>
      <c r="AP383" s="296"/>
      <c r="AQ383" s="296"/>
      <c r="AR383" s="139"/>
      <c r="AS383" s="2"/>
      <c r="AT383" s="2"/>
      <c r="AU383" s="2"/>
      <c r="AV383" s="2"/>
      <c r="AW383" s="2"/>
      <c r="AX383" s="3" t="s">
        <v>9544</v>
      </c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>
      <c r="A384" s="315" t="s">
        <v>9547</v>
      </c>
      <c r="B384" s="93"/>
      <c r="C384" s="65"/>
      <c r="D384" s="31" t="s">
        <v>311</v>
      </c>
      <c r="E384" s="11" t="s">
        <v>8908</v>
      </c>
      <c r="F384" s="427" t="s">
        <v>8909</v>
      </c>
      <c r="G384" s="31" t="s">
        <v>8910</v>
      </c>
      <c r="H384" s="31"/>
      <c r="I384" s="31"/>
      <c r="J384" s="31"/>
      <c r="K384" s="428"/>
      <c r="L384" s="321"/>
      <c r="M384" s="322"/>
      <c r="N384" s="323"/>
      <c r="O384" s="429"/>
      <c r="P384" s="322"/>
      <c r="Q384" s="323"/>
      <c r="R384" s="429"/>
      <c r="S384" s="322"/>
      <c r="T384" s="323"/>
      <c r="U384" s="324"/>
      <c r="V384" s="322"/>
      <c r="W384" s="323"/>
      <c r="X384" s="324" t="s">
        <v>22</v>
      </c>
      <c r="Y384" s="173" t="s">
        <v>8912</v>
      </c>
      <c r="Z384" s="322" t="s">
        <v>22</v>
      </c>
      <c r="AA384" s="313">
        <f>MAX(Z384:Z391)</f>
        <v>0</v>
      </c>
      <c r="AB384" s="319">
        <f>AA384</f>
        <v>0</v>
      </c>
      <c r="AC384" s="430"/>
      <c r="AD384" s="326" t="s">
        <v>22</v>
      </c>
      <c r="AE384" s="331"/>
      <c r="AF384" s="431"/>
      <c r="AG384" s="432"/>
      <c r="AH384" s="326"/>
      <c r="AI384" s="2"/>
      <c r="AJ384" s="59" t="str">
        <f t="shared" si="1"/>
        <v>нет з/ч</v>
      </c>
      <c r="AK384" s="61" t="str">
        <f t="shared" si="2"/>
        <v>нет з/ч</v>
      </c>
      <c r="AL384" s="61" t="str">
        <f t="shared" si="3"/>
        <v>нет з/ч</v>
      </c>
      <c r="AM384" s="304" t="str">
        <f t="shared" si="5"/>
        <v>нет з/ч</v>
      </c>
      <c r="AN384" s="2"/>
      <c r="AO384" s="289"/>
      <c r="AP384" s="296"/>
      <c r="AQ384" s="296"/>
      <c r="AR384" s="139"/>
      <c r="AS384" s="2"/>
      <c r="AT384" s="2"/>
      <c r="AU384" s="2"/>
      <c r="AV384" s="2"/>
      <c r="AW384" s="2"/>
      <c r="AX384" s="3" t="s">
        <v>9547</v>
      </c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>
      <c r="A385" s="315" t="s">
        <v>9548</v>
      </c>
      <c r="B385" s="93"/>
      <c r="C385" s="65"/>
      <c r="D385" s="31" t="s">
        <v>311</v>
      </c>
      <c r="E385" s="11" t="s">
        <v>8908</v>
      </c>
      <c r="F385" s="427" t="s">
        <v>8909</v>
      </c>
      <c r="G385" s="31" t="s">
        <v>8910</v>
      </c>
      <c r="H385" s="31"/>
      <c r="I385" s="31"/>
      <c r="J385" s="31"/>
      <c r="K385" s="428"/>
      <c r="L385" s="321"/>
      <c r="M385" s="322"/>
      <c r="N385" s="323"/>
      <c r="O385" s="429"/>
      <c r="P385" s="322"/>
      <c r="Q385" s="323"/>
      <c r="R385" s="429"/>
      <c r="S385" s="322"/>
      <c r="T385" s="323"/>
      <c r="U385" s="324"/>
      <c r="V385" s="322"/>
      <c r="W385" s="323"/>
      <c r="X385" s="324" t="s">
        <v>22</v>
      </c>
      <c r="Y385" s="173" t="s">
        <v>8912</v>
      </c>
      <c r="Z385" s="322" t="s">
        <v>22</v>
      </c>
      <c r="AA385" s="104"/>
      <c r="AB385" s="319">
        <f>AA384</f>
        <v>0</v>
      </c>
      <c r="AC385" s="430"/>
      <c r="AD385" s="326" t="s">
        <v>22</v>
      </c>
      <c r="AE385" s="331"/>
      <c r="AF385" s="431"/>
      <c r="AG385" s="432"/>
      <c r="AH385" s="326"/>
      <c r="AI385" s="2"/>
      <c r="AJ385" s="59" t="str">
        <f t="shared" si="1"/>
        <v>нет з/ч</v>
      </c>
      <c r="AK385" s="61" t="str">
        <f t="shared" si="2"/>
        <v>нет з/ч</v>
      </c>
      <c r="AL385" s="61" t="str">
        <f t="shared" si="3"/>
        <v>нет з/ч</v>
      </c>
      <c r="AM385" s="304" t="str">
        <f t="shared" si="5"/>
        <v>нет з/ч</v>
      </c>
      <c r="AN385" s="2"/>
      <c r="AO385" s="289"/>
      <c r="AP385" s="296"/>
      <c r="AQ385" s="296"/>
      <c r="AR385" s="139"/>
      <c r="AS385" s="2"/>
      <c r="AT385" s="2"/>
      <c r="AU385" s="2"/>
      <c r="AV385" s="2"/>
      <c r="AW385" s="2"/>
      <c r="AX385" s="3" t="s">
        <v>9548</v>
      </c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>
      <c r="A386" s="315" t="s">
        <v>9549</v>
      </c>
      <c r="B386" s="93"/>
      <c r="C386" s="65"/>
      <c r="D386" s="31" t="s">
        <v>311</v>
      </c>
      <c r="E386" s="11" t="s">
        <v>8908</v>
      </c>
      <c r="F386" s="427" t="s">
        <v>8909</v>
      </c>
      <c r="G386" s="31" t="s">
        <v>8910</v>
      </c>
      <c r="H386" s="31"/>
      <c r="I386" s="31"/>
      <c r="J386" s="31"/>
      <c r="K386" s="428"/>
      <c r="L386" s="321"/>
      <c r="M386" s="322"/>
      <c r="N386" s="323"/>
      <c r="O386" s="429"/>
      <c r="P386" s="322"/>
      <c r="Q386" s="323"/>
      <c r="R386" s="429"/>
      <c r="S386" s="322"/>
      <c r="T386" s="323"/>
      <c r="U386" s="324"/>
      <c r="V386" s="322"/>
      <c r="W386" s="323"/>
      <c r="X386" s="324" t="s">
        <v>22</v>
      </c>
      <c r="Y386" s="173" t="s">
        <v>8912</v>
      </c>
      <c r="Z386" s="322" t="s">
        <v>22</v>
      </c>
      <c r="AA386" s="104"/>
      <c r="AB386" s="319">
        <f>AA384</f>
        <v>0</v>
      </c>
      <c r="AC386" s="430"/>
      <c r="AD386" s="326" t="s">
        <v>22</v>
      </c>
      <c r="AE386" s="331"/>
      <c r="AF386" s="431"/>
      <c r="AG386" s="432"/>
      <c r="AH386" s="326"/>
      <c r="AI386" s="2"/>
      <c r="AJ386" s="59" t="str">
        <f t="shared" si="1"/>
        <v>нет з/ч</v>
      </c>
      <c r="AK386" s="61" t="str">
        <f t="shared" si="2"/>
        <v>нет з/ч</v>
      </c>
      <c r="AL386" s="61" t="str">
        <f t="shared" si="3"/>
        <v>нет з/ч</v>
      </c>
      <c r="AM386" s="304" t="str">
        <f t="shared" si="5"/>
        <v>нет з/ч</v>
      </c>
      <c r="AN386" s="2"/>
      <c r="AO386" s="289"/>
      <c r="AP386" s="296"/>
      <c r="AQ386" s="296"/>
      <c r="AR386" s="139"/>
      <c r="AS386" s="2"/>
      <c r="AT386" s="2"/>
      <c r="AU386" s="2"/>
      <c r="AV386" s="2"/>
      <c r="AW386" s="2"/>
      <c r="AX386" s="3" t="s">
        <v>9549</v>
      </c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>
      <c r="A387" s="315" t="s">
        <v>9550</v>
      </c>
      <c r="B387" s="93"/>
      <c r="C387" s="65"/>
      <c r="D387" s="31" t="s">
        <v>311</v>
      </c>
      <c r="E387" s="11" t="s">
        <v>8908</v>
      </c>
      <c r="F387" s="427" t="s">
        <v>8909</v>
      </c>
      <c r="G387" s="31" t="s">
        <v>8910</v>
      </c>
      <c r="H387" s="31"/>
      <c r="I387" s="31"/>
      <c r="J387" s="31"/>
      <c r="K387" s="428"/>
      <c r="L387" s="321"/>
      <c r="M387" s="322"/>
      <c r="N387" s="323"/>
      <c r="O387" s="429"/>
      <c r="P387" s="322"/>
      <c r="Q387" s="323"/>
      <c r="R387" s="429"/>
      <c r="S387" s="322"/>
      <c r="T387" s="323"/>
      <c r="U387" s="324"/>
      <c r="V387" s="322"/>
      <c r="W387" s="323"/>
      <c r="X387" s="324" t="s">
        <v>22</v>
      </c>
      <c r="Y387" s="173" t="s">
        <v>8912</v>
      </c>
      <c r="Z387" s="322" t="s">
        <v>22</v>
      </c>
      <c r="AA387" s="104"/>
      <c r="AB387" s="319">
        <f>AA384</f>
        <v>0</v>
      </c>
      <c r="AC387" s="430"/>
      <c r="AD387" s="326" t="s">
        <v>22</v>
      </c>
      <c r="AE387" s="331"/>
      <c r="AF387" s="431"/>
      <c r="AG387" s="432"/>
      <c r="AH387" s="326"/>
      <c r="AI387" s="2"/>
      <c r="AJ387" s="59" t="str">
        <f t="shared" si="1"/>
        <v>нет з/ч</v>
      </c>
      <c r="AK387" s="61" t="str">
        <f t="shared" si="2"/>
        <v>нет з/ч</v>
      </c>
      <c r="AL387" s="61" t="str">
        <f t="shared" si="3"/>
        <v>нет з/ч</v>
      </c>
      <c r="AM387" s="304" t="str">
        <f t="shared" si="5"/>
        <v>нет з/ч</v>
      </c>
      <c r="AN387" s="2"/>
      <c r="AO387" s="289"/>
      <c r="AP387" s="296"/>
      <c r="AQ387" s="296"/>
      <c r="AR387" s="139"/>
      <c r="AS387" s="2"/>
      <c r="AT387" s="2"/>
      <c r="AU387" s="2"/>
      <c r="AV387" s="2"/>
      <c r="AW387" s="2"/>
      <c r="AX387" s="3" t="s">
        <v>9550</v>
      </c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>
      <c r="A388" s="315" t="s">
        <v>9551</v>
      </c>
      <c r="B388" s="93"/>
      <c r="C388" s="65"/>
      <c r="D388" s="31" t="s">
        <v>311</v>
      </c>
      <c r="E388" s="11" t="s">
        <v>8908</v>
      </c>
      <c r="F388" s="427" t="s">
        <v>8909</v>
      </c>
      <c r="G388" s="31" t="s">
        <v>8910</v>
      </c>
      <c r="H388" s="31"/>
      <c r="I388" s="31"/>
      <c r="J388" s="31"/>
      <c r="K388" s="428"/>
      <c r="L388" s="321"/>
      <c r="M388" s="322"/>
      <c r="N388" s="323"/>
      <c r="O388" s="429"/>
      <c r="P388" s="322"/>
      <c r="Q388" s="323"/>
      <c r="R388" s="429"/>
      <c r="S388" s="322"/>
      <c r="T388" s="323"/>
      <c r="U388" s="324"/>
      <c r="V388" s="322"/>
      <c r="W388" s="323"/>
      <c r="X388" s="324" t="s">
        <v>22</v>
      </c>
      <c r="Y388" s="173" t="s">
        <v>8912</v>
      </c>
      <c r="Z388" s="322" t="s">
        <v>22</v>
      </c>
      <c r="AA388" s="104"/>
      <c r="AB388" s="319">
        <f>AA384</f>
        <v>0</v>
      </c>
      <c r="AC388" s="430"/>
      <c r="AD388" s="326" t="s">
        <v>22</v>
      </c>
      <c r="AE388" s="331"/>
      <c r="AF388" s="431"/>
      <c r="AG388" s="432"/>
      <c r="AH388" s="326"/>
      <c r="AI388" s="2"/>
      <c r="AJ388" s="59" t="str">
        <f t="shared" si="1"/>
        <v>нет з/ч</v>
      </c>
      <c r="AK388" s="61" t="str">
        <f t="shared" si="2"/>
        <v>нет з/ч</v>
      </c>
      <c r="AL388" s="61" t="str">
        <f t="shared" si="3"/>
        <v>нет з/ч</v>
      </c>
      <c r="AM388" s="304" t="str">
        <f t="shared" si="5"/>
        <v>нет з/ч</v>
      </c>
      <c r="AN388" s="2"/>
      <c r="AO388" s="289"/>
      <c r="AP388" s="296"/>
      <c r="AQ388" s="296"/>
      <c r="AR388" s="139"/>
      <c r="AS388" s="2"/>
      <c r="AT388" s="2"/>
      <c r="AU388" s="2"/>
      <c r="AV388" s="2"/>
      <c r="AW388" s="2"/>
      <c r="AX388" s="3" t="s">
        <v>9551</v>
      </c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>
      <c r="A389" s="315" t="s">
        <v>9552</v>
      </c>
      <c r="B389" s="93"/>
      <c r="C389" s="65"/>
      <c r="D389" s="31" t="s">
        <v>311</v>
      </c>
      <c r="E389" s="11" t="s">
        <v>8908</v>
      </c>
      <c r="F389" s="427" t="s">
        <v>8909</v>
      </c>
      <c r="G389" s="31" t="s">
        <v>8910</v>
      </c>
      <c r="H389" s="31"/>
      <c r="I389" s="31"/>
      <c r="J389" s="31"/>
      <c r="K389" s="428"/>
      <c r="L389" s="321"/>
      <c r="M389" s="322"/>
      <c r="N389" s="323"/>
      <c r="O389" s="429"/>
      <c r="P389" s="322"/>
      <c r="Q389" s="323"/>
      <c r="R389" s="429"/>
      <c r="S389" s="322"/>
      <c r="T389" s="323"/>
      <c r="U389" s="324"/>
      <c r="V389" s="322"/>
      <c r="W389" s="323"/>
      <c r="X389" s="324" t="s">
        <v>22</v>
      </c>
      <c r="Y389" s="173" t="s">
        <v>8912</v>
      </c>
      <c r="Z389" s="322" t="s">
        <v>22</v>
      </c>
      <c r="AA389" s="104"/>
      <c r="AB389" s="319">
        <f>AA384</f>
        <v>0</v>
      </c>
      <c r="AC389" s="430"/>
      <c r="AD389" s="326" t="s">
        <v>22</v>
      </c>
      <c r="AE389" s="331"/>
      <c r="AF389" s="431"/>
      <c r="AG389" s="432"/>
      <c r="AH389" s="326"/>
      <c r="AI389" s="2"/>
      <c r="AJ389" s="59" t="str">
        <f t="shared" si="1"/>
        <v>нет з/ч</v>
      </c>
      <c r="AK389" s="61" t="str">
        <f t="shared" si="2"/>
        <v>нет з/ч</v>
      </c>
      <c r="AL389" s="61" t="str">
        <f t="shared" si="3"/>
        <v>нет з/ч</v>
      </c>
      <c r="AM389" s="304" t="str">
        <f t="shared" si="5"/>
        <v>нет з/ч</v>
      </c>
      <c r="AN389" s="2"/>
      <c r="AO389" s="289"/>
      <c r="AP389" s="296"/>
      <c r="AQ389" s="296"/>
      <c r="AR389" s="139"/>
      <c r="AS389" s="2"/>
      <c r="AT389" s="2"/>
      <c r="AU389" s="2"/>
      <c r="AV389" s="2"/>
      <c r="AW389" s="2"/>
      <c r="AX389" s="3" t="s">
        <v>9552</v>
      </c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</row>
    <row r="390">
      <c r="A390" s="315" t="s">
        <v>9553</v>
      </c>
      <c r="B390" s="93"/>
      <c r="C390" s="65"/>
      <c r="D390" s="31" t="s">
        <v>311</v>
      </c>
      <c r="E390" s="11" t="s">
        <v>8908</v>
      </c>
      <c r="F390" s="427" t="s">
        <v>8909</v>
      </c>
      <c r="G390" s="31" t="s">
        <v>8910</v>
      </c>
      <c r="H390" s="31"/>
      <c r="I390" s="31"/>
      <c r="J390" s="31"/>
      <c r="K390" s="428"/>
      <c r="L390" s="321"/>
      <c r="M390" s="322"/>
      <c r="N390" s="323"/>
      <c r="O390" s="429"/>
      <c r="P390" s="322"/>
      <c r="Q390" s="323"/>
      <c r="R390" s="429"/>
      <c r="S390" s="322"/>
      <c r="T390" s="323"/>
      <c r="U390" s="324"/>
      <c r="V390" s="322"/>
      <c r="W390" s="323"/>
      <c r="X390" s="324" t="s">
        <v>22</v>
      </c>
      <c r="Y390" s="173" t="s">
        <v>8912</v>
      </c>
      <c r="Z390" s="322" t="s">
        <v>22</v>
      </c>
      <c r="AA390" s="104"/>
      <c r="AB390" s="319">
        <f>AA384</f>
        <v>0</v>
      </c>
      <c r="AC390" s="430"/>
      <c r="AD390" s="326" t="s">
        <v>22</v>
      </c>
      <c r="AE390" s="331"/>
      <c r="AF390" s="431"/>
      <c r="AG390" s="432"/>
      <c r="AH390" s="326"/>
      <c r="AI390" s="2"/>
      <c r="AJ390" s="59" t="str">
        <f t="shared" si="1"/>
        <v>нет з/ч</v>
      </c>
      <c r="AK390" s="61" t="str">
        <f t="shared" si="2"/>
        <v>нет з/ч</v>
      </c>
      <c r="AL390" s="61" t="str">
        <f t="shared" si="3"/>
        <v>нет з/ч</v>
      </c>
      <c r="AM390" s="304" t="str">
        <f t="shared" si="5"/>
        <v>нет з/ч</v>
      </c>
      <c r="AN390" s="2"/>
      <c r="AO390" s="289"/>
      <c r="AP390" s="296"/>
      <c r="AQ390" s="296"/>
      <c r="AR390" s="139"/>
      <c r="AS390" s="2"/>
      <c r="AT390" s="2"/>
      <c r="AU390" s="2"/>
      <c r="AV390" s="2"/>
      <c r="AW390" s="2"/>
      <c r="AX390" s="3" t="s">
        <v>9553</v>
      </c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>
      <c r="A391" s="315" t="s">
        <v>9554</v>
      </c>
      <c r="B391" s="93"/>
      <c r="C391" s="65"/>
      <c r="D391" s="31" t="s">
        <v>311</v>
      </c>
      <c r="E391" s="11" t="s">
        <v>8908</v>
      </c>
      <c r="F391" s="427" t="s">
        <v>8909</v>
      </c>
      <c r="G391" s="31" t="s">
        <v>8910</v>
      </c>
      <c r="H391" s="31"/>
      <c r="I391" s="31"/>
      <c r="J391" s="31"/>
      <c r="K391" s="428"/>
      <c r="L391" s="321"/>
      <c r="M391" s="322"/>
      <c r="N391" s="323"/>
      <c r="O391" s="429"/>
      <c r="P391" s="322"/>
      <c r="Q391" s="323"/>
      <c r="R391" s="429"/>
      <c r="S391" s="322"/>
      <c r="T391" s="323"/>
      <c r="U391" s="324"/>
      <c r="V391" s="322"/>
      <c r="W391" s="323"/>
      <c r="X391" s="324" t="s">
        <v>22</v>
      </c>
      <c r="Y391" s="173" t="s">
        <v>8912</v>
      </c>
      <c r="Z391" s="322" t="s">
        <v>22</v>
      </c>
      <c r="AA391" s="67"/>
      <c r="AB391" s="319">
        <f>AA384</f>
        <v>0</v>
      </c>
      <c r="AC391" s="430"/>
      <c r="AD391" s="326" t="s">
        <v>22</v>
      </c>
      <c r="AE391" s="331"/>
      <c r="AF391" s="431"/>
      <c r="AG391" s="432"/>
      <c r="AH391" s="326"/>
      <c r="AI391" s="2"/>
      <c r="AJ391" s="59" t="str">
        <f t="shared" si="1"/>
        <v>нет з/ч</v>
      </c>
      <c r="AK391" s="61" t="str">
        <f t="shared" si="2"/>
        <v>нет з/ч</v>
      </c>
      <c r="AL391" s="61" t="str">
        <f t="shared" si="3"/>
        <v>нет з/ч</v>
      </c>
      <c r="AM391" s="304" t="str">
        <f t="shared" si="5"/>
        <v>нет з/ч</v>
      </c>
      <c r="AN391" s="2"/>
      <c r="AO391" s="289"/>
      <c r="AP391" s="296"/>
      <c r="AQ391" s="296"/>
      <c r="AR391" s="139"/>
      <c r="AS391" s="2"/>
      <c r="AT391" s="2"/>
      <c r="AU391" s="2"/>
      <c r="AV391" s="2"/>
      <c r="AW391" s="2"/>
      <c r="AX391" s="3" t="s">
        <v>9554</v>
      </c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>
      <c r="A392" s="315" t="s">
        <v>9555</v>
      </c>
      <c r="B392" s="93"/>
      <c r="C392" s="65"/>
      <c r="D392" s="31" t="s">
        <v>311</v>
      </c>
      <c r="E392" s="11" t="s">
        <v>8908</v>
      </c>
      <c r="F392" s="427" t="s">
        <v>8915</v>
      </c>
      <c r="G392" s="31" t="s">
        <v>8916</v>
      </c>
      <c r="H392" s="31"/>
      <c r="I392" s="31"/>
      <c r="J392" s="31"/>
      <c r="K392" s="428"/>
      <c r="L392" s="327" t="s">
        <v>9556</v>
      </c>
      <c r="M392" s="322"/>
      <c r="N392" s="328">
        <v>2500.0</v>
      </c>
      <c r="O392" s="429"/>
      <c r="P392" s="322"/>
      <c r="Q392" s="323"/>
      <c r="R392" s="429"/>
      <c r="S392" s="322"/>
      <c r="T392" s="323"/>
      <c r="U392" s="324"/>
      <c r="V392" s="322"/>
      <c r="W392" s="323"/>
      <c r="X392" s="324">
        <v>2500.0</v>
      </c>
      <c r="Y392" s="173" t="s">
        <v>8912</v>
      </c>
      <c r="Z392" s="322">
        <v>2800.0</v>
      </c>
      <c r="AA392" s="313">
        <f>MAX(Z392:Z395)</f>
        <v>2800</v>
      </c>
      <c r="AB392" s="319">
        <f>AA392</f>
        <v>2800</v>
      </c>
      <c r="AC392" s="430"/>
      <c r="AD392" s="326" t="s">
        <v>5839</v>
      </c>
      <c r="AE392" s="329" t="s">
        <v>9557</v>
      </c>
      <c r="AF392" s="431"/>
      <c r="AG392" s="432"/>
      <c r="AH392" s="330">
        <v>46080.71964115741</v>
      </c>
      <c r="AI392" s="2"/>
      <c r="AJ392" s="289">
        <f t="shared" si="1"/>
        <v>300</v>
      </c>
      <c r="AK392" s="61" t="str">
        <f t="shared" si="2"/>
        <v>нет з/ч</v>
      </c>
      <c r="AL392" s="61" t="str">
        <f t="shared" si="3"/>
        <v>нет з/ч</v>
      </c>
      <c r="AM392" s="304" t="str">
        <f t="shared" si="5"/>
        <v>нет з/ч</v>
      </c>
      <c r="AN392" s="2"/>
      <c r="AO392" s="289">
        <v>2500.0</v>
      </c>
      <c r="AP392" s="296"/>
      <c r="AQ392" s="296"/>
      <c r="AR392" s="139"/>
      <c r="AS392" s="2"/>
      <c r="AT392" s="2"/>
      <c r="AU392" s="2"/>
      <c r="AV392" s="2"/>
      <c r="AW392" s="2"/>
      <c r="AX392" s="3" t="s">
        <v>9555</v>
      </c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>
      <c r="A393" s="315" t="s">
        <v>9558</v>
      </c>
      <c r="B393" s="93"/>
      <c r="C393" s="65"/>
      <c r="D393" s="31" t="s">
        <v>311</v>
      </c>
      <c r="E393" s="11" t="s">
        <v>8908</v>
      </c>
      <c r="F393" s="427" t="s">
        <v>8915</v>
      </c>
      <c r="G393" s="31" t="s">
        <v>8916</v>
      </c>
      <c r="H393" s="31"/>
      <c r="I393" s="31"/>
      <c r="J393" s="31"/>
      <c r="K393" s="428"/>
      <c r="L393" s="327" t="s">
        <v>9559</v>
      </c>
      <c r="M393" s="322"/>
      <c r="N393" s="328">
        <v>2500.0</v>
      </c>
      <c r="O393" s="429"/>
      <c r="P393" s="322"/>
      <c r="Q393" s="323"/>
      <c r="R393" s="429"/>
      <c r="S393" s="322"/>
      <c r="T393" s="323"/>
      <c r="U393" s="324"/>
      <c r="V393" s="322"/>
      <c r="W393" s="323"/>
      <c r="X393" s="324">
        <v>2500.0</v>
      </c>
      <c r="Y393" s="173" t="s">
        <v>8912</v>
      </c>
      <c r="Z393" s="322">
        <v>2800.0</v>
      </c>
      <c r="AA393" s="104"/>
      <c r="AB393" s="319">
        <f>AA392</f>
        <v>2800</v>
      </c>
      <c r="AC393" s="430"/>
      <c r="AD393" s="326" t="s">
        <v>5839</v>
      </c>
      <c r="AE393" s="329" t="s">
        <v>9560</v>
      </c>
      <c r="AF393" s="431"/>
      <c r="AG393" s="432"/>
      <c r="AH393" s="330">
        <v>46080.71967045139</v>
      </c>
      <c r="AI393" s="2"/>
      <c r="AJ393" s="289">
        <f t="shared" si="1"/>
        <v>300</v>
      </c>
      <c r="AK393" s="61" t="str">
        <f t="shared" si="2"/>
        <v>нет з/ч</v>
      </c>
      <c r="AL393" s="61" t="str">
        <f t="shared" si="3"/>
        <v>нет з/ч</v>
      </c>
      <c r="AM393" s="304" t="str">
        <f t="shared" si="5"/>
        <v>нет з/ч</v>
      </c>
      <c r="AN393" s="2"/>
      <c r="AO393" s="289">
        <v>2500.0</v>
      </c>
      <c r="AP393" s="296"/>
      <c r="AQ393" s="296"/>
      <c r="AR393" s="139"/>
      <c r="AS393" s="2"/>
      <c r="AT393" s="2"/>
      <c r="AU393" s="2"/>
      <c r="AV393" s="2"/>
      <c r="AW393" s="2"/>
      <c r="AX393" s="3" t="s">
        <v>9558</v>
      </c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>
      <c r="A394" s="315" t="s">
        <v>9561</v>
      </c>
      <c r="B394" s="93"/>
      <c r="C394" s="65"/>
      <c r="D394" s="31" t="s">
        <v>311</v>
      </c>
      <c r="E394" s="11" t="s">
        <v>8908</v>
      </c>
      <c r="F394" s="427" t="s">
        <v>8915</v>
      </c>
      <c r="G394" s="31" t="s">
        <v>8916</v>
      </c>
      <c r="H394" s="31"/>
      <c r="I394" s="31"/>
      <c r="J394" s="31"/>
      <c r="K394" s="428"/>
      <c r="L394" s="327" t="s">
        <v>9562</v>
      </c>
      <c r="M394" s="322"/>
      <c r="N394" s="328">
        <v>2500.0</v>
      </c>
      <c r="O394" s="429"/>
      <c r="P394" s="322"/>
      <c r="Q394" s="323"/>
      <c r="R394" s="429"/>
      <c r="S394" s="322"/>
      <c r="T394" s="323"/>
      <c r="U394" s="324"/>
      <c r="V394" s="322"/>
      <c r="W394" s="323"/>
      <c r="X394" s="324">
        <v>2500.0</v>
      </c>
      <c r="Y394" s="173" t="s">
        <v>8912</v>
      </c>
      <c r="Z394" s="322">
        <v>2800.0</v>
      </c>
      <c r="AA394" s="104"/>
      <c r="AB394" s="319">
        <f>AA392</f>
        <v>2800</v>
      </c>
      <c r="AC394" s="430"/>
      <c r="AD394" s="326" t="s">
        <v>5839</v>
      </c>
      <c r="AE394" s="329" t="s">
        <v>9563</v>
      </c>
      <c r="AF394" s="431"/>
      <c r="AG394" s="432"/>
      <c r="AH394" s="330">
        <v>46080.71970291667</v>
      </c>
      <c r="AI394" s="2"/>
      <c r="AJ394" s="289">
        <f t="shared" si="1"/>
        <v>300</v>
      </c>
      <c r="AK394" s="61" t="str">
        <f t="shared" si="2"/>
        <v>нет з/ч</v>
      </c>
      <c r="AL394" s="61" t="str">
        <f t="shared" si="3"/>
        <v>нет з/ч</v>
      </c>
      <c r="AM394" s="304" t="str">
        <f t="shared" si="5"/>
        <v>нет з/ч</v>
      </c>
      <c r="AN394" s="2"/>
      <c r="AO394" s="289">
        <v>2500.0</v>
      </c>
      <c r="AP394" s="296"/>
      <c r="AQ394" s="296"/>
      <c r="AR394" s="139"/>
      <c r="AS394" s="2"/>
      <c r="AT394" s="2"/>
      <c r="AU394" s="2"/>
      <c r="AV394" s="2"/>
      <c r="AW394" s="2"/>
      <c r="AX394" s="3" t="s">
        <v>9561</v>
      </c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</row>
    <row r="395">
      <c r="A395" s="315" t="s">
        <v>9564</v>
      </c>
      <c r="B395" s="93"/>
      <c r="C395" s="65"/>
      <c r="D395" s="31" t="s">
        <v>311</v>
      </c>
      <c r="E395" s="11" t="s">
        <v>8908</v>
      </c>
      <c r="F395" s="427" t="s">
        <v>8915</v>
      </c>
      <c r="G395" s="31" t="s">
        <v>8916</v>
      </c>
      <c r="H395" s="31"/>
      <c r="I395" s="31"/>
      <c r="J395" s="31"/>
      <c r="K395" s="428"/>
      <c r="L395" s="327" t="s">
        <v>9565</v>
      </c>
      <c r="M395" s="322"/>
      <c r="N395" s="328">
        <v>2500.0</v>
      </c>
      <c r="O395" s="429"/>
      <c r="P395" s="322"/>
      <c r="Q395" s="323"/>
      <c r="R395" s="429"/>
      <c r="S395" s="322"/>
      <c r="T395" s="323"/>
      <c r="U395" s="324"/>
      <c r="V395" s="322"/>
      <c r="W395" s="323"/>
      <c r="X395" s="324">
        <v>2500.0</v>
      </c>
      <c r="Y395" s="173" t="s">
        <v>8912</v>
      </c>
      <c r="Z395" s="322">
        <v>2800.0</v>
      </c>
      <c r="AA395" s="67"/>
      <c r="AB395" s="319">
        <f>AA392</f>
        <v>2800</v>
      </c>
      <c r="AC395" s="430"/>
      <c r="AD395" s="326" t="s">
        <v>5839</v>
      </c>
      <c r="AE395" s="329" t="s">
        <v>9566</v>
      </c>
      <c r="AF395" s="431"/>
      <c r="AG395" s="432"/>
      <c r="AH395" s="330">
        <v>46080.71973518519</v>
      </c>
      <c r="AI395" s="2"/>
      <c r="AJ395" s="289">
        <f t="shared" si="1"/>
        <v>300</v>
      </c>
      <c r="AK395" s="61" t="str">
        <f t="shared" si="2"/>
        <v>нет з/ч</v>
      </c>
      <c r="AL395" s="61" t="str">
        <f t="shared" si="3"/>
        <v>нет з/ч</v>
      </c>
      <c r="AM395" s="304" t="str">
        <f t="shared" si="5"/>
        <v>нет з/ч</v>
      </c>
      <c r="AN395" s="2"/>
      <c r="AO395" s="289">
        <v>2500.0</v>
      </c>
      <c r="AP395" s="296"/>
      <c r="AQ395" s="296"/>
      <c r="AR395" s="139"/>
      <c r="AS395" s="2"/>
      <c r="AT395" s="2"/>
      <c r="AU395" s="2"/>
      <c r="AV395" s="2"/>
      <c r="AW395" s="2"/>
      <c r="AX395" s="3" t="s">
        <v>9564</v>
      </c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>
      <c r="A396" s="315" t="s">
        <v>9567</v>
      </c>
      <c r="B396" s="93"/>
      <c r="C396" s="65"/>
      <c r="D396" s="31" t="s">
        <v>318</v>
      </c>
      <c r="E396" s="11" t="s">
        <v>8908</v>
      </c>
      <c r="F396" s="427" t="s">
        <v>8909</v>
      </c>
      <c r="G396" s="31" t="s">
        <v>8910</v>
      </c>
      <c r="H396" s="31"/>
      <c r="I396" s="31"/>
      <c r="J396" s="31"/>
      <c r="K396" s="428"/>
      <c r="L396" s="321"/>
      <c r="M396" s="322"/>
      <c r="N396" s="323"/>
      <c r="O396" s="429"/>
      <c r="P396" s="322"/>
      <c r="Q396" s="323"/>
      <c r="R396" s="429"/>
      <c r="S396" s="322"/>
      <c r="T396" s="323"/>
      <c r="U396" s="324"/>
      <c r="V396" s="322"/>
      <c r="W396" s="323"/>
      <c r="X396" s="324" t="s">
        <v>22</v>
      </c>
      <c r="Y396" s="173" t="s">
        <v>8912</v>
      </c>
      <c r="Z396" s="322" t="s">
        <v>22</v>
      </c>
      <c r="AA396" s="313">
        <f>MAX(Z396:Z405)</f>
        <v>0</v>
      </c>
      <c r="AB396" s="319">
        <f>AA396</f>
        <v>0</v>
      </c>
      <c r="AC396" s="430"/>
      <c r="AD396" s="326" t="s">
        <v>22</v>
      </c>
      <c r="AE396" s="331"/>
      <c r="AF396" s="431"/>
      <c r="AG396" s="432"/>
      <c r="AH396" s="326"/>
      <c r="AI396" s="2"/>
      <c r="AJ396" s="59" t="str">
        <f t="shared" si="1"/>
        <v>нет з/ч</v>
      </c>
      <c r="AK396" s="61" t="str">
        <f t="shared" si="2"/>
        <v>нет з/ч</v>
      </c>
      <c r="AL396" s="61" t="str">
        <f t="shared" si="3"/>
        <v>нет з/ч</v>
      </c>
      <c r="AM396" s="304" t="str">
        <f t="shared" si="5"/>
        <v>нет з/ч</v>
      </c>
      <c r="AN396" s="2"/>
      <c r="AO396" s="289"/>
      <c r="AP396" s="296"/>
      <c r="AQ396" s="296"/>
      <c r="AR396" s="139"/>
      <c r="AS396" s="2"/>
      <c r="AT396" s="2"/>
      <c r="AU396" s="2"/>
      <c r="AV396" s="2"/>
      <c r="AW396" s="2"/>
      <c r="AX396" s="3" t="s">
        <v>9567</v>
      </c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>
      <c r="A397" s="315" t="s">
        <v>9568</v>
      </c>
      <c r="B397" s="93"/>
      <c r="C397" s="65"/>
      <c r="D397" s="31" t="s">
        <v>318</v>
      </c>
      <c r="E397" s="11" t="s">
        <v>8908</v>
      </c>
      <c r="F397" s="427" t="s">
        <v>8909</v>
      </c>
      <c r="G397" s="31" t="s">
        <v>8910</v>
      </c>
      <c r="H397" s="31"/>
      <c r="I397" s="31"/>
      <c r="J397" s="31"/>
      <c r="K397" s="428"/>
      <c r="L397" s="321"/>
      <c r="M397" s="322"/>
      <c r="N397" s="323"/>
      <c r="O397" s="429"/>
      <c r="P397" s="322"/>
      <c r="Q397" s="323"/>
      <c r="R397" s="429"/>
      <c r="S397" s="322"/>
      <c r="T397" s="323"/>
      <c r="U397" s="324"/>
      <c r="V397" s="322"/>
      <c r="W397" s="323"/>
      <c r="X397" s="324" t="s">
        <v>22</v>
      </c>
      <c r="Y397" s="173" t="s">
        <v>8912</v>
      </c>
      <c r="Z397" s="322" t="s">
        <v>22</v>
      </c>
      <c r="AA397" s="104"/>
      <c r="AB397" s="319">
        <f>AA396</f>
        <v>0</v>
      </c>
      <c r="AC397" s="430"/>
      <c r="AD397" s="326" t="s">
        <v>22</v>
      </c>
      <c r="AE397" s="331"/>
      <c r="AF397" s="431"/>
      <c r="AG397" s="432"/>
      <c r="AH397" s="326"/>
      <c r="AI397" s="2"/>
      <c r="AJ397" s="59" t="str">
        <f t="shared" si="1"/>
        <v>нет з/ч</v>
      </c>
      <c r="AK397" s="61" t="str">
        <f t="shared" si="2"/>
        <v>нет з/ч</v>
      </c>
      <c r="AL397" s="61" t="str">
        <f t="shared" si="3"/>
        <v>нет з/ч</v>
      </c>
      <c r="AM397" s="304" t="str">
        <f t="shared" si="5"/>
        <v>нет з/ч</v>
      </c>
      <c r="AN397" s="2"/>
      <c r="AO397" s="289"/>
      <c r="AP397" s="296"/>
      <c r="AQ397" s="296"/>
      <c r="AR397" s="139"/>
      <c r="AS397" s="2"/>
      <c r="AT397" s="2"/>
      <c r="AU397" s="2"/>
      <c r="AV397" s="2"/>
      <c r="AW397" s="2"/>
      <c r="AX397" s="3" t="s">
        <v>9568</v>
      </c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>
      <c r="A398" s="315" t="s">
        <v>9569</v>
      </c>
      <c r="B398" s="93"/>
      <c r="C398" s="65"/>
      <c r="D398" s="31" t="s">
        <v>318</v>
      </c>
      <c r="E398" s="11" t="s">
        <v>8908</v>
      </c>
      <c r="F398" s="427" t="s">
        <v>8909</v>
      </c>
      <c r="G398" s="31" t="s">
        <v>8910</v>
      </c>
      <c r="H398" s="31"/>
      <c r="I398" s="31"/>
      <c r="J398" s="31"/>
      <c r="K398" s="428"/>
      <c r="L398" s="321"/>
      <c r="M398" s="322"/>
      <c r="N398" s="323"/>
      <c r="O398" s="429"/>
      <c r="P398" s="322"/>
      <c r="Q398" s="323"/>
      <c r="R398" s="429"/>
      <c r="S398" s="322"/>
      <c r="T398" s="323"/>
      <c r="U398" s="324"/>
      <c r="V398" s="322"/>
      <c r="W398" s="323"/>
      <c r="X398" s="324" t="s">
        <v>22</v>
      </c>
      <c r="Y398" s="173" t="s">
        <v>8912</v>
      </c>
      <c r="Z398" s="322" t="s">
        <v>22</v>
      </c>
      <c r="AA398" s="104"/>
      <c r="AB398" s="319">
        <f>AA396</f>
        <v>0</v>
      </c>
      <c r="AC398" s="430"/>
      <c r="AD398" s="326" t="s">
        <v>22</v>
      </c>
      <c r="AE398" s="331"/>
      <c r="AF398" s="431"/>
      <c r="AG398" s="432"/>
      <c r="AH398" s="326"/>
      <c r="AI398" s="2"/>
      <c r="AJ398" s="59" t="str">
        <f t="shared" si="1"/>
        <v>нет з/ч</v>
      </c>
      <c r="AK398" s="61" t="str">
        <f t="shared" si="2"/>
        <v>нет з/ч</v>
      </c>
      <c r="AL398" s="61" t="str">
        <f t="shared" si="3"/>
        <v>нет з/ч</v>
      </c>
      <c r="AM398" s="304" t="str">
        <f t="shared" si="5"/>
        <v>нет з/ч</v>
      </c>
      <c r="AN398" s="2"/>
      <c r="AO398" s="289"/>
      <c r="AP398" s="296"/>
      <c r="AQ398" s="296"/>
      <c r="AR398" s="139"/>
      <c r="AS398" s="2"/>
      <c r="AT398" s="2"/>
      <c r="AU398" s="2"/>
      <c r="AV398" s="2"/>
      <c r="AW398" s="2"/>
      <c r="AX398" s="3" t="s">
        <v>9569</v>
      </c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</row>
    <row r="399">
      <c r="A399" s="315" t="s">
        <v>9570</v>
      </c>
      <c r="B399" s="93"/>
      <c r="C399" s="65"/>
      <c r="D399" s="31" t="s">
        <v>318</v>
      </c>
      <c r="E399" s="11" t="s">
        <v>8908</v>
      </c>
      <c r="F399" s="427" t="s">
        <v>8909</v>
      </c>
      <c r="G399" s="31" t="s">
        <v>8910</v>
      </c>
      <c r="H399" s="31"/>
      <c r="I399" s="31"/>
      <c r="J399" s="31"/>
      <c r="K399" s="428"/>
      <c r="L399" s="321"/>
      <c r="M399" s="322"/>
      <c r="N399" s="323"/>
      <c r="O399" s="429"/>
      <c r="P399" s="322"/>
      <c r="Q399" s="323"/>
      <c r="R399" s="429"/>
      <c r="S399" s="322"/>
      <c r="T399" s="323"/>
      <c r="U399" s="324"/>
      <c r="V399" s="322"/>
      <c r="W399" s="323"/>
      <c r="X399" s="324" t="s">
        <v>22</v>
      </c>
      <c r="Y399" s="173" t="s">
        <v>8912</v>
      </c>
      <c r="Z399" s="322" t="s">
        <v>22</v>
      </c>
      <c r="AA399" s="104"/>
      <c r="AB399" s="319">
        <f>AA396</f>
        <v>0</v>
      </c>
      <c r="AC399" s="430"/>
      <c r="AD399" s="326" t="s">
        <v>22</v>
      </c>
      <c r="AE399" s="331"/>
      <c r="AF399" s="431"/>
      <c r="AG399" s="432"/>
      <c r="AH399" s="326"/>
      <c r="AI399" s="2"/>
      <c r="AJ399" s="59" t="str">
        <f t="shared" si="1"/>
        <v>нет з/ч</v>
      </c>
      <c r="AK399" s="61" t="str">
        <f t="shared" si="2"/>
        <v>нет з/ч</v>
      </c>
      <c r="AL399" s="61" t="str">
        <f t="shared" si="3"/>
        <v>нет з/ч</v>
      </c>
      <c r="AM399" s="304" t="str">
        <f t="shared" si="5"/>
        <v>нет з/ч</v>
      </c>
      <c r="AN399" s="2"/>
      <c r="AO399" s="289"/>
      <c r="AP399" s="296"/>
      <c r="AQ399" s="296"/>
      <c r="AR399" s="139"/>
      <c r="AS399" s="2"/>
      <c r="AT399" s="2"/>
      <c r="AU399" s="2"/>
      <c r="AV399" s="2"/>
      <c r="AW399" s="2"/>
      <c r="AX399" s="3" t="s">
        <v>9570</v>
      </c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>
      <c r="A400" s="315" t="s">
        <v>9571</v>
      </c>
      <c r="B400" s="93"/>
      <c r="C400" s="65"/>
      <c r="D400" s="31" t="s">
        <v>318</v>
      </c>
      <c r="E400" s="11" t="s">
        <v>8908</v>
      </c>
      <c r="F400" s="427" t="s">
        <v>8909</v>
      </c>
      <c r="G400" s="31" t="s">
        <v>8910</v>
      </c>
      <c r="H400" s="31"/>
      <c r="I400" s="31"/>
      <c r="J400" s="31"/>
      <c r="K400" s="428"/>
      <c r="L400" s="321"/>
      <c r="M400" s="322"/>
      <c r="N400" s="323"/>
      <c r="O400" s="429"/>
      <c r="P400" s="322"/>
      <c r="Q400" s="323"/>
      <c r="R400" s="429"/>
      <c r="S400" s="322"/>
      <c r="T400" s="323"/>
      <c r="U400" s="324"/>
      <c r="V400" s="322"/>
      <c r="W400" s="323"/>
      <c r="X400" s="324" t="s">
        <v>22</v>
      </c>
      <c r="Y400" s="173" t="s">
        <v>8912</v>
      </c>
      <c r="Z400" s="322" t="s">
        <v>22</v>
      </c>
      <c r="AA400" s="104"/>
      <c r="AB400" s="319">
        <f>AA396</f>
        <v>0</v>
      </c>
      <c r="AC400" s="430"/>
      <c r="AD400" s="326" t="s">
        <v>22</v>
      </c>
      <c r="AE400" s="331"/>
      <c r="AF400" s="431"/>
      <c r="AG400" s="432"/>
      <c r="AH400" s="326"/>
      <c r="AI400" s="2"/>
      <c r="AJ400" s="59" t="str">
        <f t="shared" si="1"/>
        <v>нет з/ч</v>
      </c>
      <c r="AK400" s="61" t="str">
        <f t="shared" si="2"/>
        <v>нет з/ч</v>
      </c>
      <c r="AL400" s="61" t="str">
        <f t="shared" si="3"/>
        <v>нет з/ч</v>
      </c>
      <c r="AM400" s="304" t="str">
        <f t="shared" si="5"/>
        <v>нет з/ч</v>
      </c>
      <c r="AN400" s="2"/>
      <c r="AO400" s="289"/>
      <c r="AP400" s="296"/>
      <c r="AQ400" s="296"/>
      <c r="AR400" s="139"/>
      <c r="AS400" s="2"/>
      <c r="AT400" s="2"/>
      <c r="AU400" s="2"/>
      <c r="AV400" s="2"/>
      <c r="AW400" s="2"/>
      <c r="AX400" s="3" t="s">
        <v>9571</v>
      </c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>
      <c r="A401" s="315" t="s">
        <v>9572</v>
      </c>
      <c r="B401" s="93"/>
      <c r="C401" s="65"/>
      <c r="D401" s="31" t="s">
        <v>318</v>
      </c>
      <c r="E401" s="11" t="s">
        <v>8908</v>
      </c>
      <c r="F401" s="427" t="s">
        <v>8909</v>
      </c>
      <c r="G401" s="31" t="s">
        <v>8910</v>
      </c>
      <c r="H401" s="31"/>
      <c r="I401" s="31"/>
      <c r="J401" s="31"/>
      <c r="K401" s="428"/>
      <c r="L401" s="321"/>
      <c r="M401" s="322"/>
      <c r="N401" s="323"/>
      <c r="O401" s="429"/>
      <c r="P401" s="322"/>
      <c r="Q401" s="323"/>
      <c r="R401" s="429"/>
      <c r="S401" s="322"/>
      <c r="T401" s="323"/>
      <c r="U401" s="324"/>
      <c r="V401" s="322"/>
      <c r="W401" s="323"/>
      <c r="X401" s="324" t="s">
        <v>22</v>
      </c>
      <c r="Y401" s="173" t="s">
        <v>8912</v>
      </c>
      <c r="Z401" s="322" t="s">
        <v>22</v>
      </c>
      <c r="AA401" s="104"/>
      <c r="AB401" s="319">
        <f>AA396</f>
        <v>0</v>
      </c>
      <c r="AC401" s="430"/>
      <c r="AD401" s="326" t="s">
        <v>22</v>
      </c>
      <c r="AE401" s="331"/>
      <c r="AF401" s="431"/>
      <c r="AG401" s="432"/>
      <c r="AH401" s="326"/>
      <c r="AI401" s="2"/>
      <c r="AJ401" s="59" t="str">
        <f t="shared" si="1"/>
        <v>нет з/ч</v>
      </c>
      <c r="AK401" s="61" t="str">
        <f t="shared" si="2"/>
        <v>нет з/ч</v>
      </c>
      <c r="AL401" s="61" t="str">
        <f t="shared" si="3"/>
        <v>нет з/ч</v>
      </c>
      <c r="AM401" s="304" t="str">
        <f t="shared" si="5"/>
        <v>нет з/ч</v>
      </c>
      <c r="AN401" s="2"/>
      <c r="AO401" s="289"/>
      <c r="AP401" s="296"/>
      <c r="AQ401" s="296"/>
      <c r="AR401" s="139"/>
      <c r="AS401" s="2"/>
      <c r="AT401" s="2"/>
      <c r="AU401" s="2"/>
      <c r="AV401" s="2"/>
      <c r="AW401" s="2"/>
      <c r="AX401" s="3" t="s">
        <v>9572</v>
      </c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>
      <c r="A402" s="315" t="s">
        <v>9573</v>
      </c>
      <c r="B402" s="93"/>
      <c r="C402" s="65"/>
      <c r="D402" s="31" t="s">
        <v>318</v>
      </c>
      <c r="E402" s="11" t="s">
        <v>8908</v>
      </c>
      <c r="F402" s="427" t="s">
        <v>8909</v>
      </c>
      <c r="G402" s="31" t="s">
        <v>8910</v>
      </c>
      <c r="H402" s="31"/>
      <c r="I402" s="31"/>
      <c r="J402" s="31"/>
      <c r="K402" s="428"/>
      <c r="L402" s="321"/>
      <c r="M402" s="322"/>
      <c r="N402" s="323"/>
      <c r="O402" s="429"/>
      <c r="P402" s="322"/>
      <c r="Q402" s="323"/>
      <c r="R402" s="429"/>
      <c r="S402" s="322"/>
      <c r="T402" s="323"/>
      <c r="U402" s="324"/>
      <c r="V402" s="322"/>
      <c r="W402" s="323"/>
      <c r="X402" s="324" t="s">
        <v>22</v>
      </c>
      <c r="Y402" s="173" t="s">
        <v>8912</v>
      </c>
      <c r="Z402" s="322" t="s">
        <v>22</v>
      </c>
      <c r="AA402" s="104"/>
      <c r="AB402" s="319">
        <f>AA396</f>
        <v>0</v>
      </c>
      <c r="AC402" s="430"/>
      <c r="AD402" s="326" t="s">
        <v>22</v>
      </c>
      <c r="AE402" s="331"/>
      <c r="AF402" s="431"/>
      <c r="AG402" s="432"/>
      <c r="AH402" s="326"/>
      <c r="AI402" s="2"/>
      <c r="AJ402" s="59" t="str">
        <f t="shared" si="1"/>
        <v>нет з/ч</v>
      </c>
      <c r="AK402" s="61" t="str">
        <f t="shared" si="2"/>
        <v>нет з/ч</v>
      </c>
      <c r="AL402" s="61" t="str">
        <f t="shared" si="3"/>
        <v>нет з/ч</v>
      </c>
      <c r="AM402" s="304" t="str">
        <f t="shared" si="5"/>
        <v>нет з/ч</v>
      </c>
      <c r="AN402" s="2"/>
      <c r="AO402" s="289"/>
      <c r="AP402" s="296"/>
      <c r="AQ402" s="296"/>
      <c r="AR402" s="139"/>
      <c r="AS402" s="2"/>
      <c r="AT402" s="2"/>
      <c r="AU402" s="2"/>
      <c r="AV402" s="2"/>
      <c r="AW402" s="2"/>
      <c r="AX402" s="3" t="s">
        <v>9573</v>
      </c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>
      <c r="A403" s="315" t="s">
        <v>9574</v>
      </c>
      <c r="B403" s="93"/>
      <c r="C403" s="65"/>
      <c r="D403" s="31" t="s">
        <v>318</v>
      </c>
      <c r="E403" s="11" t="s">
        <v>8908</v>
      </c>
      <c r="F403" s="427" t="s">
        <v>8909</v>
      </c>
      <c r="G403" s="31" t="s">
        <v>8910</v>
      </c>
      <c r="H403" s="31"/>
      <c r="I403" s="31"/>
      <c r="J403" s="31"/>
      <c r="K403" s="428"/>
      <c r="L403" s="321"/>
      <c r="M403" s="322"/>
      <c r="N403" s="323"/>
      <c r="O403" s="429"/>
      <c r="P403" s="322"/>
      <c r="Q403" s="323"/>
      <c r="R403" s="429"/>
      <c r="S403" s="322"/>
      <c r="T403" s="323"/>
      <c r="U403" s="324"/>
      <c r="V403" s="322"/>
      <c r="W403" s="323"/>
      <c r="X403" s="324" t="s">
        <v>22</v>
      </c>
      <c r="Y403" s="173" t="s">
        <v>8912</v>
      </c>
      <c r="Z403" s="322" t="s">
        <v>22</v>
      </c>
      <c r="AA403" s="104"/>
      <c r="AB403" s="319">
        <f>AA396</f>
        <v>0</v>
      </c>
      <c r="AC403" s="430"/>
      <c r="AD403" s="326" t="s">
        <v>22</v>
      </c>
      <c r="AE403" s="331"/>
      <c r="AF403" s="431"/>
      <c r="AG403" s="432"/>
      <c r="AH403" s="326"/>
      <c r="AI403" s="2"/>
      <c r="AJ403" s="59" t="str">
        <f t="shared" si="1"/>
        <v>нет з/ч</v>
      </c>
      <c r="AK403" s="61" t="str">
        <f t="shared" si="2"/>
        <v>нет з/ч</v>
      </c>
      <c r="AL403" s="61" t="str">
        <f t="shared" si="3"/>
        <v>нет з/ч</v>
      </c>
      <c r="AM403" s="304" t="str">
        <f t="shared" si="5"/>
        <v>нет з/ч</v>
      </c>
      <c r="AN403" s="2"/>
      <c r="AO403" s="289"/>
      <c r="AP403" s="296"/>
      <c r="AQ403" s="296"/>
      <c r="AR403" s="139"/>
      <c r="AS403" s="2"/>
      <c r="AT403" s="2"/>
      <c r="AU403" s="2"/>
      <c r="AV403" s="2"/>
      <c r="AW403" s="2"/>
      <c r="AX403" s="3" t="s">
        <v>9574</v>
      </c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>
      <c r="A404" s="315" t="s">
        <v>9575</v>
      </c>
      <c r="B404" s="93"/>
      <c r="C404" s="65"/>
      <c r="D404" s="31" t="s">
        <v>318</v>
      </c>
      <c r="E404" s="11" t="s">
        <v>8908</v>
      </c>
      <c r="F404" s="427" t="s">
        <v>8909</v>
      </c>
      <c r="G404" s="31" t="s">
        <v>8910</v>
      </c>
      <c r="H404" s="31"/>
      <c r="I404" s="31"/>
      <c r="J404" s="31"/>
      <c r="K404" s="428"/>
      <c r="L404" s="321"/>
      <c r="M404" s="322"/>
      <c r="N404" s="323"/>
      <c r="O404" s="429"/>
      <c r="P404" s="322"/>
      <c r="Q404" s="323"/>
      <c r="R404" s="429"/>
      <c r="S404" s="322"/>
      <c r="T404" s="323"/>
      <c r="U404" s="324"/>
      <c r="V404" s="322"/>
      <c r="W404" s="323"/>
      <c r="X404" s="324" t="s">
        <v>22</v>
      </c>
      <c r="Y404" s="173" t="s">
        <v>8912</v>
      </c>
      <c r="Z404" s="322" t="s">
        <v>22</v>
      </c>
      <c r="AA404" s="104"/>
      <c r="AB404" s="319">
        <f>AA396</f>
        <v>0</v>
      </c>
      <c r="AC404" s="430"/>
      <c r="AD404" s="326" t="s">
        <v>22</v>
      </c>
      <c r="AE404" s="331"/>
      <c r="AF404" s="431"/>
      <c r="AG404" s="432"/>
      <c r="AH404" s="326"/>
      <c r="AI404" s="2"/>
      <c r="AJ404" s="59" t="str">
        <f t="shared" si="1"/>
        <v>нет з/ч</v>
      </c>
      <c r="AK404" s="61" t="str">
        <f t="shared" si="2"/>
        <v>нет з/ч</v>
      </c>
      <c r="AL404" s="61" t="str">
        <f t="shared" si="3"/>
        <v>нет з/ч</v>
      </c>
      <c r="AM404" s="304" t="str">
        <f t="shared" si="5"/>
        <v>нет з/ч</v>
      </c>
      <c r="AN404" s="2"/>
      <c r="AO404" s="289"/>
      <c r="AP404" s="296"/>
      <c r="AQ404" s="296"/>
      <c r="AR404" s="139"/>
      <c r="AS404" s="2"/>
      <c r="AT404" s="2"/>
      <c r="AU404" s="2"/>
      <c r="AV404" s="2"/>
      <c r="AW404" s="2"/>
      <c r="AX404" s="3" t="s">
        <v>9575</v>
      </c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>
      <c r="A405" s="315" t="s">
        <v>9576</v>
      </c>
      <c r="B405" s="93"/>
      <c r="C405" s="65"/>
      <c r="D405" s="31" t="s">
        <v>318</v>
      </c>
      <c r="E405" s="11" t="s">
        <v>8908</v>
      </c>
      <c r="F405" s="427" t="s">
        <v>8909</v>
      </c>
      <c r="G405" s="31" t="s">
        <v>8910</v>
      </c>
      <c r="H405" s="31"/>
      <c r="I405" s="31"/>
      <c r="J405" s="31"/>
      <c r="K405" s="428"/>
      <c r="L405" s="321"/>
      <c r="M405" s="322"/>
      <c r="N405" s="323"/>
      <c r="O405" s="429"/>
      <c r="P405" s="322"/>
      <c r="Q405" s="323"/>
      <c r="R405" s="429"/>
      <c r="S405" s="322"/>
      <c r="T405" s="323"/>
      <c r="U405" s="324"/>
      <c r="V405" s="322"/>
      <c r="W405" s="323"/>
      <c r="X405" s="324" t="s">
        <v>22</v>
      </c>
      <c r="Y405" s="173" t="s">
        <v>8912</v>
      </c>
      <c r="Z405" s="322" t="s">
        <v>22</v>
      </c>
      <c r="AA405" s="67"/>
      <c r="AB405" s="319">
        <f>AA396</f>
        <v>0</v>
      </c>
      <c r="AC405" s="430"/>
      <c r="AD405" s="326" t="s">
        <v>22</v>
      </c>
      <c r="AE405" s="331"/>
      <c r="AF405" s="431"/>
      <c r="AG405" s="432"/>
      <c r="AH405" s="326"/>
      <c r="AI405" s="2"/>
      <c r="AJ405" s="59" t="str">
        <f t="shared" si="1"/>
        <v>нет з/ч</v>
      </c>
      <c r="AK405" s="61" t="str">
        <f t="shared" si="2"/>
        <v>нет з/ч</v>
      </c>
      <c r="AL405" s="61" t="str">
        <f t="shared" si="3"/>
        <v>нет з/ч</v>
      </c>
      <c r="AM405" s="304" t="str">
        <f t="shared" si="5"/>
        <v>нет з/ч</v>
      </c>
      <c r="AN405" s="2"/>
      <c r="AO405" s="289"/>
      <c r="AP405" s="296"/>
      <c r="AQ405" s="296"/>
      <c r="AR405" s="139"/>
      <c r="AS405" s="2"/>
      <c r="AT405" s="2"/>
      <c r="AU405" s="2"/>
      <c r="AV405" s="2"/>
      <c r="AW405" s="2"/>
      <c r="AX405" s="3" t="s">
        <v>9576</v>
      </c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>
      <c r="A406" s="315" t="s">
        <v>9577</v>
      </c>
      <c r="B406" s="93"/>
      <c r="C406" s="65"/>
      <c r="D406" s="31" t="s">
        <v>325</v>
      </c>
      <c r="E406" s="11" t="s">
        <v>8908</v>
      </c>
      <c r="F406" s="427" t="s">
        <v>8909</v>
      </c>
      <c r="G406" s="31" t="s">
        <v>8910</v>
      </c>
      <c r="H406" s="31"/>
      <c r="I406" s="31"/>
      <c r="J406" s="31"/>
      <c r="K406" s="428"/>
      <c r="L406" s="321"/>
      <c r="M406" s="322"/>
      <c r="N406" s="323"/>
      <c r="O406" s="429"/>
      <c r="P406" s="322"/>
      <c r="Q406" s="323"/>
      <c r="R406" s="429"/>
      <c r="S406" s="322"/>
      <c r="T406" s="323"/>
      <c r="U406" s="324"/>
      <c r="V406" s="322"/>
      <c r="W406" s="323"/>
      <c r="X406" s="324" t="s">
        <v>22</v>
      </c>
      <c r="Y406" s="173" t="s">
        <v>8912</v>
      </c>
      <c r="Z406" s="322" t="s">
        <v>22</v>
      </c>
      <c r="AA406" s="313">
        <f>MAX(Z406:Z409)</f>
        <v>0</v>
      </c>
      <c r="AB406" s="319">
        <f>AA406</f>
        <v>0</v>
      </c>
      <c r="AC406" s="430"/>
      <c r="AD406" s="326" t="s">
        <v>22</v>
      </c>
      <c r="AE406" s="331"/>
      <c r="AF406" s="431"/>
      <c r="AG406" s="432"/>
      <c r="AH406" s="326"/>
      <c r="AI406" s="2"/>
      <c r="AJ406" s="59" t="str">
        <f t="shared" si="1"/>
        <v>нет з/ч</v>
      </c>
      <c r="AK406" s="61" t="str">
        <f t="shared" si="2"/>
        <v>нет з/ч</v>
      </c>
      <c r="AL406" s="61" t="str">
        <f t="shared" si="3"/>
        <v>нет з/ч</v>
      </c>
      <c r="AM406" s="304" t="str">
        <f t="shared" si="5"/>
        <v>нет з/ч</v>
      </c>
      <c r="AN406" s="2"/>
      <c r="AO406" s="289"/>
      <c r="AP406" s="296"/>
      <c r="AQ406" s="296"/>
      <c r="AR406" s="139"/>
      <c r="AS406" s="2"/>
      <c r="AT406" s="2"/>
      <c r="AU406" s="2"/>
      <c r="AV406" s="2"/>
      <c r="AW406" s="2"/>
      <c r="AX406" s="3" t="s">
        <v>9577</v>
      </c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>
      <c r="A407" s="315" t="s">
        <v>9578</v>
      </c>
      <c r="B407" s="93"/>
      <c r="C407" s="65"/>
      <c r="D407" s="31" t="s">
        <v>325</v>
      </c>
      <c r="E407" s="11" t="s">
        <v>8908</v>
      </c>
      <c r="F407" s="427" t="s">
        <v>8909</v>
      </c>
      <c r="G407" s="31" t="s">
        <v>8910</v>
      </c>
      <c r="H407" s="31"/>
      <c r="I407" s="31"/>
      <c r="J407" s="31"/>
      <c r="K407" s="428"/>
      <c r="L407" s="321"/>
      <c r="M407" s="322"/>
      <c r="N407" s="323"/>
      <c r="O407" s="429"/>
      <c r="P407" s="322"/>
      <c r="Q407" s="323"/>
      <c r="R407" s="429"/>
      <c r="S407" s="322"/>
      <c r="T407" s="323"/>
      <c r="U407" s="324"/>
      <c r="V407" s="322"/>
      <c r="W407" s="323"/>
      <c r="X407" s="324" t="s">
        <v>22</v>
      </c>
      <c r="Y407" s="173" t="s">
        <v>8912</v>
      </c>
      <c r="Z407" s="322" t="s">
        <v>22</v>
      </c>
      <c r="AA407" s="104"/>
      <c r="AB407" s="319">
        <f>AA406</f>
        <v>0</v>
      </c>
      <c r="AC407" s="430"/>
      <c r="AD407" s="326" t="s">
        <v>22</v>
      </c>
      <c r="AE407" s="331"/>
      <c r="AF407" s="431"/>
      <c r="AG407" s="432"/>
      <c r="AH407" s="326"/>
      <c r="AI407" s="2"/>
      <c r="AJ407" s="59" t="str">
        <f t="shared" si="1"/>
        <v>нет з/ч</v>
      </c>
      <c r="AK407" s="61" t="str">
        <f t="shared" si="2"/>
        <v>нет з/ч</v>
      </c>
      <c r="AL407" s="61" t="str">
        <f t="shared" si="3"/>
        <v>нет з/ч</v>
      </c>
      <c r="AM407" s="304" t="str">
        <f t="shared" si="5"/>
        <v>нет з/ч</v>
      </c>
      <c r="AN407" s="2"/>
      <c r="AO407" s="289"/>
      <c r="AP407" s="296"/>
      <c r="AQ407" s="296"/>
      <c r="AR407" s="139"/>
      <c r="AS407" s="2"/>
      <c r="AT407" s="2"/>
      <c r="AU407" s="2"/>
      <c r="AV407" s="2"/>
      <c r="AW407" s="2"/>
      <c r="AX407" s="3" t="s">
        <v>9578</v>
      </c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>
      <c r="A408" s="315" t="s">
        <v>9579</v>
      </c>
      <c r="B408" s="93"/>
      <c r="C408" s="65"/>
      <c r="D408" s="31" t="s">
        <v>325</v>
      </c>
      <c r="E408" s="11" t="s">
        <v>8908</v>
      </c>
      <c r="F408" s="427" t="s">
        <v>8909</v>
      </c>
      <c r="G408" s="31" t="s">
        <v>8910</v>
      </c>
      <c r="H408" s="31"/>
      <c r="I408" s="31"/>
      <c r="J408" s="31"/>
      <c r="K408" s="428"/>
      <c r="L408" s="321"/>
      <c r="M408" s="322"/>
      <c r="N408" s="323"/>
      <c r="O408" s="429"/>
      <c r="P408" s="322"/>
      <c r="Q408" s="323"/>
      <c r="R408" s="429"/>
      <c r="S408" s="322"/>
      <c r="T408" s="323"/>
      <c r="U408" s="324"/>
      <c r="V408" s="322"/>
      <c r="W408" s="323"/>
      <c r="X408" s="324" t="s">
        <v>22</v>
      </c>
      <c r="Y408" s="173" t="s">
        <v>8912</v>
      </c>
      <c r="Z408" s="322" t="s">
        <v>22</v>
      </c>
      <c r="AA408" s="104"/>
      <c r="AB408" s="319">
        <f>AA406</f>
        <v>0</v>
      </c>
      <c r="AC408" s="430"/>
      <c r="AD408" s="326" t="s">
        <v>22</v>
      </c>
      <c r="AE408" s="331"/>
      <c r="AF408" s="431"/>
      <c r="AG408" s="432"/>
      <c r="AH408" s="326"/>
      <c r="AI408" s="2"/>
      <c r="AJ408" s="59" t="str">
        <f t="shared" si="1"/>
        <v>нет з/ч</v>
      </c>
      <c r="AK408" s="61" t="str">
        <f t="shared" si="2"/>
        <v>нет з/ч</v>
      </c>
      <c r="AL408" s="61" t="str">
        <f t="shared" si="3"/>
        <v>нет з/ч</v>
      </c>
      <c r="AM408" s="304" t="str">
        <f t="shared" si="5"/>
        <v>нет з/ч</v>
      </c>
      <c r="AN408" s="2"/>
      <c r="AO408" s="289"/>
      <c r="AP408" s="296"/>
      <c r="AQ408" s="296"/>
      <c r="AR408" s="139"/>
      <c r="AS408" s="2"/>
      <c r="AT408" s="2"/>
      <c r="AU408" s="2"/>
      <c r="AV408" s="2"/>
      <c r="AW408" s="2"/>
      <c r="AX408" s="3" t="s">
        <v>9579</v>
      </c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>
      <c r="A409" s="315" t="s">
        <v>9580</v>
      </c>
      <c r="B409" s="93"/>
      <c r="C409" s="65"/>
      <c r="D409" s="31" t="s">
        <v>325</v>
      </c>
      <c r="E409" s="11" t="s">
        <v>8908</v>
      </c>
      <c r="F409" s="427" t="s">
        <v>8909</v>
      </c>
      <c r="G409" s="31" t="s">
        <v>8910</v>
      </c>
      <c r="H409" s="31"/>
      <c r="I409" s="31"/>
      <c r="J409" s="31"/>
      <c r="K409" s="428"/>
      <c r="L409" s="321"/>
      <c r="M409" s="322"/>
      <c r="N409" s="323"/>
      <c r="O409" s="429"/>
      <c r="P409" s="322"/>
      <c r="Q409" s="323"/>
      <c r="R409" s="429"/>
      <c r="S409" s="322"/>
      <c r="T409" s="323"/>
      <c r="U409" s="324"/>
      <c r="V409" s="322"/>
      <c r="W409" s="323"/>
      <c r="X409" s="324" t="s">
        <v>22</v>
      </c>
      <c r="Y409" s="173" t="s">
        <v>8912</v>
      </c>
      <c r="Z409" s="322" t="s">
        <v>22</v>
      </c>
      <c r="AA409" s="67"/>
      <c r="AB409" s="319">
        <f>AA406</f>
        <v>0</v>
      </c>
      <c r="AC409" s="430"/>
      <c r="AD409" s="326" t="s">
        <v>22</v>
      </c>
      <c r="AE409" s="331"/>
      <c r="AF409" s="431"/>
      <c r="AG409" s="432"/>
      <c r="AH409" s="326"/>
      <c r="AI409" s="2"/>
      <c r="AJ409" s="59" t="str">
        <f t="shared" si="1"/>
        <v>нет з/ч</v>
      </c>
      <c r="AK409" s="61" t="str">
        <f t="shared" si="2"/>
        <v>нет з/ч</v>
      </c>
      <c r="AL409" s="61" t="str">
        <f t="shared" si="3"/>
        <v>нет з/ч</v>
      </c>
      <c r="AM409" s="304" t="str">
        <f t="shared" si="5"/>
        <v>нет з/ч</v>
      </c>
      <c r="AN409" s="2"/>
      <c r="AO409" s="289"/>
      <c r="AP409" s="296"/>
      <c r="AQ409" s="296"/>
      <c r="AR409" s="139"/>
      <c r="AS409" s="2"/>
      <c r="AT409" s="2"/>
      <c r="AU409" s="2"/>
      <c r="AV409" s="2"/>
      <c r="AW409" s="2"/>
      <c r="AX409" s="3" t="s">
        <v>9580</v>
      </c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</row>
    <row r="410">
      <c r="A410" s="315" t="s">
        <v>9581</v>
      </c>
      <c r="B410" s="93"/>
      <c r="C410" s="65"/>
      <c r="D410" s="31" t="s">
        <v>325</v>
      </c>
      <c r="E410" s="11" t="s">
        <v>8908</v>
      </c>
      <c r="F410" s="427" t="s">
        <v>8915</v>
      </c>
      <c r="G410" s="31" t="s">
        <v>8916</v>
      </c>
      <c r="H410" s="31"/>
      <c r="I410" s="31"/>
      <c r="J410" s="31"/>
      <c r="K410" s="428"/>
      <c r="L410" s="321"/>
      <c r="M410" s="322"/>
      <c r="N410" s="323"/>
      <c r="O410" s="429"/>
      <c r="P410" s="322"/>
      <c r="Q410" s="323"/>
      <c r="R410" s="429"/>
      <c r="S410" s="322"/>
      <c r="T410" s="323"/>
      <c r="U410" s="324"/>
      <c r="V410" s="322"/>
      <c r="W410" s="323"/>
      <c r="X410" s="324" t="s">
        <v>22</v>
      </c>
      <c r="Y410" s="173" t="s">
        <v>8912</v>
      </c>
      <c r="Z410" s="322" t="s">
        <v>22</v>
      </c>
      <c r="AA410" s="313">
        <f>MAX(Z410:Z411)</f>
        <v>0</v>
      </c>
      <c r="AB410" s="319">
        <f>AA410</f>
        <v>0</v>
      </c>
      <c r="AC410" s="430"/>
      <c r="AD410" s="326" t="s">
        <v>22</v>
      </c>
      <c r="AE410" s="331"/>
      <c r="AF410" s="431"/>
      <c r="AG410" s="432"/>
      <c r="AH410" s="326"/>
      <c r="AI410" s="2"/>
      <c r="AJ410" s="59" t="str">
        <f t="shared" si="1"/>
        <v>нет з/ч</v>
      </c>
      <c r="AK410" s="61" t="str">
        <f t="shared" si="2"/>
        <v>нет з/ч</v>
      </c>
      <c r="AL410" s="61" t="str">
        <f t="shared" si="3"/>
        <v>нет з/ч</v>
      </c>
      <c r="AM410" s="304" t="str">
        <f t="shared" si="5"/>
        <v>нет з/ч</v>
      </c>
      <c r="AN410" s="2"/>
      <c r="AO410" s="289"/>
      <c r="AP410" s="296"/>
      <c r="AQ410" s="296"/>
      <c r="AR410" s="139"/>
      <c r="AS410" s="2"/>
      <c r="AT410" s="2"/>
      <c r="AU410" s="2"/>
      <c r="AV410" s="2"/>
      <c r="AW410" s="2"/>
      <c r="AX410" s="3" t="s">
        <v>9581</v>
      </c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>
      <c r="A411" s="315" t="s">
        <v>9582</v>
      </c>
      <c r="B411" s="93"/>
      <c r="C411" s="65"/>
      <c r="D411" s="31" t="s">
        <v>325</v>
      </c>
      <c r="E411" s="11" t="s">
        <v>8908</v>
      </c>
      <c r="F411" s="427" t="s">
        <v>8915</v>
      </c>
      <c r="G411" s="31" t="s">
        <v>8916</v>
      </c>
      <c r="H411" s="31"/>
      <c r="I411" s="31"/>
      <c r="J411" s="31"/>
      <c r="K411" s="428"/>
      <c r="L411" s="321"/>
      <c r="M411" s="322"/>
      <c r="N411" s="323"/>
      <c r="O411" s="429"/>
      <c r="P411" s="322"/>
      <c r="Q411" s="323"/>
      <c r="R411" s="429"/>
      <c r="S411" s="322"/>
      <c r="T411" s="323"/>
      <c r="U411" s="324"/>
      <c r="V411" s="322"/>
      <c r="W411" s="323"/>
      <c r="X411" s="324" t="s">
        <v>22</v>
      </c>
      <c r="Y411" s="173" t="s">
        <v>8912</v>
      </c>
      <c r="Z411" s="322" t="s">
        <v>22</v>
      </c>
      <c r="AA411" s="67"/>
      <c r="AB411" s="319">
        <f>AA410</f>
        <v>0</v>
      </c>
      <c r="AC411" s="430"/>
      <c r="AD411" s="326" t="s">
        <v>22</v>
      </c>
      <c r="AE411" s="331"/>
      <c r="AF411" s="431"/>
      <c r="AG411" s="432"/>
      <c r="AH411" s="326"/>
      <c r="AI411" s="2"/>
      <c r="AJ411" s="59" t="str">
        <f t="shared" si="1"/>
        <v>нет з/ч</v>
      </c>
      <c r="AK411" s="61" t="str">
        <f t="shared" si="2"/>
        <v>нет з/ч</v>
      </c>
      <c r="AL411" s="61" t="str">
        <f t="shared" si="3"/>
        <v>нет з/ч</v>
      </c>
      <c r="AM411" s="304" t="str">
        <f t="shared" si="5"/>
        <v>нет з/ч</v>
      </c>
      <c r="AN411" s="2"/>
      <c r="AO411" s="289"/>
      <c r="AP411" s="296"/>
      <c r="AQ411" s="296"/>
      <c r="AR411" s="139"/>
      <c r="AS411" s="2"/>
      <c r="AT411" s="2"/>
      <c r="AU411" s="2"/>
      <c r="AV411" s="2"/>
      <c r="AW411" s="2"/>
      <c r="AX411" s="3" t="s">
        <v>9582</v>
      </c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>
      <c r="A412" s="315" t="s">
        <v>9583</v>
      </c>
      <c r="B412" s="93"/>
      <c r="C412" s="65"/>
      <c r="D412" s="31" t="s">
        <v>332</v>
      </c>
      <c r="E412" s="11" t="s">
        <v>8908</v>
      </c>
      <c r="F412" s="427" t="s">
        <v>8909</v>
      </c>
      <c r="G412" s="31" t="s">
        <v>8910</v>
      </c>
      <c r="H412" s="31"/>
      <c r="I412" s="31"/>
      <c r="J412" s="31"/>
      <c r="K412" s="428"/>
      <c r="L412" s="321"/>
      <c r="M412" s="322"/>
      <c r="N412" s="323"/>
      <c r="O412" s="429"/>
      <c r="P412" s="322"/>
      <c r="Q412" s="323"/>
      <c r="R412" s="429"/>
      <c r="S412" s="322"/>
      <c r="T412" s="323"/>
      <c r="U412" s="324"/>
      <c r="V412" s="322"/>
      <c r="W412" s="323"/>
      <c r="X412" s="324" t="s">
        <v>22</v>
      </c>
      <c r="Y412" s="173" t="s">
        <v>8912</v>
      </c>
      <c r="Z412" s="322" t="s">
        <v>22</v>
      </c>
      <c r="AA412" s="313">
        <f>MAX(Z412:Z421)</f>
        <v>0</v>
      </c>
      <c r="AB412" s="319">
        <f>AA412</f>
        <v>0</v>
      </c>
      <c r="AC412" s="430"/>
      <c r="AD412" s="326" t="s">
        <v>22</v>
      </c>
      <c r="AE412" s="331"/>
      <c r="AF412" s="431"/>
      <c r="AG412" s="432"/>
      <c r="AH412" s="326"/>
      <c r="AI412" s="2"/>
      <c r="AJ412" s="59" t="str">
        <f t="shared" si="1"/>
        <v>нет з/ч</v>
      </c>
      <c r="AK412" s="61" t="str">
        <f t="shared" si="2"/>
        <v>нет з/ч</v>
      </c>
      <c r="AL412" s="61" t="str">
        <f t="shared" si="3"/>
        <v>нет з/ч</v>
      </c>
      <c r="AM412" s="304" t="str">
        <f t="shared" si="5"/>
        <v>нет з/ч</v>
      </c>
      <c r="AN412" s="2"/>
      <c r="AO412" s="289"/>
      <c r="AP412" s="296"/>
      <c r="AQ412" s="296"/>
      <c r="AR412" s="139"/>
      <c r="AS412" s="2"/>
      <c r="AT412" s="2"/>
      <c r="AU412" s="2"/>
      <c r="AV412" s="2"/>
      <c r="AW412" s="2"/>
      <c r="AX412" s="3" t="s">
        <v>9583</v>
      </c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>
      <c r="A413" s="315" t="s">
        <v>9584</v>
      </c>
      <c r="B413" s="93"/>
      <c r="C413" s="65"/>
      <c r="D413" s="31" t="s">
        <v>332</v>
      </c>
      <c r="E413" s="11" t="s">
        <v>8908</v>
      </c>
      <c r="F413" s="427" t="s">
        <v>8909</v>
      </c>
      <c r="G413" s="31" t="s">
        <v>8910</v>
      </c>
      <c r="H413" s="31"/>
      <c r="I413" s="31"/>
      <c r="J413" s="31"/>
      <c r="K413" s="428"/>
      <c r="L413" s="321"/>
      <c r="M413" s="322"/>
      <c r="N413" s="323"/>
      <c r="O413" s="429"/>
      <c r="P413" s="322"/>
      <c r="Q413" s="323"/>
      <c r="R413" s="429"/>
      <c r="S413" s="322"/>
      <c r="T413" s="323"/>
      <c r="U413" s="324"/>
      <c r="V413" s="322"/>
      <c r="W413" s="323"/>
      <c r="X413" s="324" t="s">
        <v>22</v>
      </c>
      <c r="Y413" s="173" t="s">
        <v>8912</v>
      </c>
      <c r="Z413" s="322" t="s">
        <v>22</v>
      </c>
      <c r="AA413" s="104"/>
      <c r="AB413" s="319">
        <f>AA412</f>
        <v>0</v>
      </c>
      <c r="AC413" s="430"/>
      <c r="AD413" s="326" t="s">
        <v>22</v>
      </c>
      <c r="AE413" s="331"/>
      <c r="AF413" s="431"/>
      <c r="AG413" s="432"/>
      <c r="AH413" s="326"/>
      <c r="AI413" s="2"/>
      <c r="AJ413" s="59" t="str">
        <f t="shared" si="1"/>
        <v>нет з/ч</v>
      </c>
      <c r="AK413" s="61" t="str">
        <f t="shared" si="2"/>
        <v>нет з/ч</v>
      </c>
      <c r="AL413" s="61" t="str">
        <f t="shared" si="3"/>
        <v>нет з/ч</v>
      </c>
      <c r="AM413" s="304" t="str">
        <f t="shared" si="5"/>
        <v>нет з/ч</v>
      </c>
      <c r="AN413" s="2"/>
      <c r="AO413" s="289"/>
      <c r="AP413" s="296"/>
      <c r="AQ413" s="296"/>
      <c r="AR413" s="139"/>
      <c r="AS413" s="2"/>
      <c r="AT413" s="2"/>
      <c r="AU413" s="2"/>
      <c r="AV413" s="2"/>
      <c r="AW413" s="2"/>
      <c r="AX413" s="3" t="s">
        <v>9584</v>
      </c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</row>
    <row r="414">
      <c r="A414" s="315" t="s">
        <v>9585</v>
      </c>
      <c r="B414" s="93"/>
      <c r="C414" s="65"/>
      <c r="D414" s="31" t="s">
        <v>332</v>
      </c>
      <c r="E414" s="11" t="s">
        <v>8908</v>
      </c>
      <c r="F414" s="427" t="s">
        <v>8909</v>
      </c>
      <c r="G414" s="31" t="s">
        <v>8910</v>
      </c>
      <c r="H414" s="31"/>
      <c r="I414" s="31"/>
      <c r="J414" s="31"/>
      <c r="K414" s="428"/>
      <c r="L414" s="321"/>
      <c r="M414" s="322"/>
      <c r="N414" s="323"/>
      <c r="O414" s="429"/>
      <c r="P414" s="322"/>
      <c r="Q414" s="323"/>
      <c r="R414" s="429"/>
      <c r="S414" s="322"/>
      <c r="T414" s="323"/>
      <c r="U414" s="324"/>
      <c r="V414" s="322"/>
      <c r="W414" s="323"/>
      <c r="X414" s="324" t="s">
        <v>22</v>
      </c>
      <c r="Y414" s="173" t="s">
        <v>8912</v>
      </c>
      <c r="Z414" s="322" t="s">
        <v>22</v>
      </c>
      <c r="AA414" s="104"/>
      <c r="AB414" s="319">
        <f>AA412</f>
        <v>0</v>
      </c>
      <c r="AC414" s="430"/>
      <c r="AD414" s="326" t="s">
        <v>22</v>
      </c>
      <c r="AE414" s="331"/>
      <c r="AF414" s="431"/>
      <c r="AG414" s="432"/>
      <c r="AH414" s="326"/>
      <c r="AI414" s="2"/>
      <c r="AJ414" s="59" t="str">
        <f t="shared" si="1"/>
        <v>нет з/ч</v>
      </c>
      <c r="AK414" s="61" t="str">
        <f t="shared" si="2"/>
        <v>нет з/ч</v>
      </c>
      <c r="AL414" s="61" t="str">
        <f t="shared" si="3"/>
        <v>нет з/ч</v>
      </c>
      <c r="AM414" s="304" t="str">
        <f t="shared" si="5"/>
        <v>нет з/ч</v>
      </c>
      <c r="AN414" s="2"/>
      <c r="AO414" s="289"/>
      <c r="AP414" s="296"/>
      <c r="AQ414" s="296"/>
      <c r="AR414" s="139"/>
      <c r="AS414" s="2"/>
      <c r="AT414" s="2"/>
      <c r="AU414" s="2"/>
      <c r="AV414" s="2"/>
      <c r="AW414" s="2"/>
      <c r="AX414" s="3" t="s">
        <v>9585</v>
      </c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>
      <c r="A415" s="315" t="s">
        <v>9586</v>
      </c>
      <c r="B415" s="93"/>
      <c r="C415" s="65"/>
      <c r="D415" s="31" t="s">
        <v>332</v>
      </c>
      <c r="E415" s="11" t="s">
        <v>8908</v>
      </c>
      <c r="F415" s="427" t="s">
        <v>8909</v>
      </c>
      <c r="G415" s="31" t="s">
        <v>8910</v>
      </c>
      <c r="H415" s="31"/>
      <c r="I415" s="31"/>
      <c r="J415" s="31"/>
      <c r="K415" s="428"/>
      <c r="L415" s="321"/>
      <c r="M415" s="322"/>
      <c r="N415" s="323"/>
      <c r="O415" s="429"/>
      <c r="P415" s="322"/>
      <c r="Q415" s="323"/>
      <c r="R415" s="429"/>
      <c r="S415" s="322"/>
      <c r="T415" s="323"/>
      <c r="U415" s="324"/>
      <c r="V415" s="322"/>
      <c r="W415" s="323"/>
      <c r="X415" s="324" t="s">
        <v>22</v>
      </c>
      <c r="Y415" s="173" t="s">
        <v>8912</v>
      </c>
      <c r="Z415" s="322" t="s">
        <v>22</v>
      </c>
      <c r="AA415" s="104"/>
      <c r="AB415" s="319">
        <f>AA412</f>
        <v>0</v>
      </c>
      <c r="AC415" s="430"/>
      <c r="AD415" s="326" t="s">
        <v>22</v>
      </c>
      <c r="AE415" s="331"/>
      <c r="AF415" s="431"/>
      <c r="AG415" s="432"/>
      <c r="AH415" s="326"/>
      <c r="AI415" s="2"/>
      <c r="AJ415" s="59" t="str">
        <f t="shared" si="1"/>
        <v>нет з/ч</v>
      </c>
      <c r="AK415" s="61" t="str">
        <f t="shared" si="2"/>
        <v>нет з/ч</v>
      </c>
      <c r="AL415" s="61" t="str">
        <f t="shared" si="3"/>
        <v>нет з/ч</v>
      </c>
      <c r="AM415" s="304" t="str">
        <f t="shared" si="5"/>
        <v>нет з/ч</v>
      </c>
      <c r="AN415" s="2"/>
      <c r="AO415" s="289"/>
      <c r="AP415" s="296"/>
      <c r="AQ415" s="296"/>
      <c r="AR415" s="139"/>
      <c r="AS415" s="2"/>
      <c r="AT415" s="2"/>
      <c r="AU415" s="2"/>
      <c r="AV415" s="2"/>
      <c r="AW415" s="2"/>
      <c r="AX415" s="3" t="s">
        <v>9586</v>
      </c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>
      <c r="A416" s="315" t="s">
        <v>9587</v>
      </c>
      <c r="B416" s="93"/>
      <c r="C416" s="65"/>
      <c r="D416" s="31" t="s">
        <v>332</v>
      </c>
      <c r="E416" s="11" t="s">
        <v>8908</v>
      </c>
      <c r="F416" s="427" t="s">
        <v>8909</v>
      </c>
      <c r="G416" s="31" t="s">
        <v>8910</v>
      </c>
      <c r="H416" s="31"/>
      <c r="I416" s="31"/>
      <c r="J416" s="31"/>
      <c r="K416" s="428"/>
      <c r="L416" s="321"/>
      <c r="M416" s="322"/>
      <c r="N416" s="323"/>
      <c r="O416" s="429"/>
      <c r="P416" s="322"/>
      <c r="Q416" s="323"/>
      <c r="R416" s="429"/>
      <c r="S416" s="322"/>
      <c r="T416" s="323"/>
      <c r="U416" s="324"/>
      <c r="V416" s="322"/>
      <c r="W416" s="323"/>
      <c r="X416" s="324" t="s">
        <v>22</v>
      </c>
      <c r="Y416" s="173" t="s">
        <v>8912</v>
      </c>
      <c r="Z416" s="322" t="s">
        <v>22</v>
      </c>
      <c r="AA416" s="104"/>
      <c r="AB416" s="319">
        <f>AA412</f>
        <v>0</v>
      </c>
      <c r="AC416" s="430"/>
      <c r="AD416" s="326" t="s">
        <v>22</v>
      </c>
      <c r="AE416" s="331"/>
      <c r="AF416" s="431"/>
      <c r="AG416" s="432"/>
      <c r="AH416" s="326"/>
      <c r="AI416" s="2"/>
      <c r="AJ416" s="59" t="str">
        <f t="shared" si="1"/>
        <v>нет з/ч</v>
      </c>
      <c r="AK416" s="61" t="str">
        <f t="shared" si="2"/>
        <v>нет з/ч</v>
      </c>
      <c r="AL416" s="61" t="str">
        <f t="shared" si="3"/>
        <v>нет з/ч</v>
      </c>
      <c r="AM416" s="304" t="str">
        <f t="shared" si="5"/>
        <v>нет з/ч</v>
      </c>
      <c r="AN416" s="2"/>
      <c r="AO416" s="289"/>
      <c r="AP416" s="296"/>
      <c r="AQ416" s="296"/>
      <c r="AR416" s="139"/>
      <c r="AS416" s="2"/>
      <c r="AT416" s="2"/>
      <c r="AU416" s="2"/>
      <c r="AV416" s="2"/>
      <c r="AW416" s="2"/>
      <c r="AX416" s="3" t="s">
        <v>9587</v>
      </c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</row>
    <row r="417">
      <c r="A417" s="315" t="s">
        <v>9588</v>
      </c>
      <c r="B417" s="93"/>
      <c r="C417" s="65"/>
      <c r="D417" s="31" t="s">
        <v>332</v>
      </c>
      <c r="E417" s="11" t="s">
        <v>8908</v>
      </c>
      <c r="F417" s="427" t="s">
        <v>8909</v>
      </c>
      <c r="G417" s="31" t="s">
        <v>8910</v>
      </c>
      <c r="H417" s="31"/>
      <c r="I417" s="31"/>
      <c r="J417" s="31"/>
      <c r="K417" s="428"/>
      <c r="L417" s="321"/>
      <c r="M417" s="322"/>
      <c r="N417" s="323"/>
      <c r="O417" s="429"/>
      <c r="P417" s="322"/>
      <c r="Q417" s="323"/>
      <c r="R417" s="429"/>
      <c r="S417" s="322"/>
      <c r="T417" s="323"/>
      <c r="U417" s="324"/>
      <c r="V417" s="322"/>
      <c r="W417" s="323"/>
      <c r="X417" s="324" t="s">
        <v>22</v>
      </c>
      <c r="Y417" s="173" t="s">
        <v>8912</v>
      </c>
      <c r="Z417" s="322" t="s">
        <v>22</v>
      </c>
      <c r="AA417" s="104"/>
      <c r="AB417" s="319">
        <f>AA412</f>
        <v>0</v>
      </c>
      <c r="AC417" s="430"/>
      <c r="AD417" s="326" t="s">
        <v>22</v>
      </c>
      <c r="AE417" s="331"/>
      <c r="AF417" s="431"/>
      <c r="AG417" s="432"/>
      <c r="AH417" s="326"/>
      <c r="AI417" s="2"/>
      <c r="AJ417" s="59" t="str">
        <f t="shared" si="1"/>
        <v>нет з/ч</v>
      </c>
      <c r="AK417" s="61" t="str">
        <f t="shared" si="2"/>
        <v>нет з/ч</v>
      </c>
      <c r="AL417" s="61" t="str">
        <f t="shared" si="3"/>
        <v>нет з/ч</v>
      </c>
      <c r="AM417" s="304" t="str">
        <f t="shared" si="5"/>
        <v>нет з/ч</v>
      </c>
      <c r="AN417" s="2"/>
      <c r="AO417" s="289"/>
      <c r="AP417" s="296"/>
      <c r="AQ417" s="296"/>
      <c r="AR417" s="139"/>
      <c r="AS417" s="2"/>
      <c r="AT417" s="2"/>
      <c r="AU417" s="2"/>
      <c r="AV417" s="2"/>
      <c r="AW417" s="2"/>
      <c r="AX417" s="3" t="s">
        <v>9588</v>
      </c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>
      <c r="A418" s="315" t="s">
        <v>9589</v>
      </c>
      <c r="B418" s="93"/>
      <c r="C418" s="65"/>
      <c r="D418" s="31" t="s">
        <v>332</v>
      </c>
      <c r="E418" s="11" t="s">
        <v>8908</v>
      </c>
      <c r="F418" s="427" t="s">
        <v>8909</v>
      </c>
      <c r="G418" s="31" t="s">
        <v>8910</v>
      </c>
      <c r="H418" s="31"/>
      <c r="I418" s="31"/>
      <c r="J418" s="31"/>
      <c r="K418" s="428"/>
      <c r="L418" s="321"/>
      <c r="M418" s="322"/>
      <c r="N418" s="323"/>
      <c r="O418" s="429"/>
      <c r="P418" s="322"/>
      <c r="Q418" s="323"/>
      <c r="R418" s="429"/>
      <c r="S418" s="322"/>
      <c r="T418" s="323"/>
      <c r="U418" s="324"/>
      <c r="V418" s="322"/>
      <c r="W418" s="323"/>
      <c r="X418" s="324" t="s">
        <v>22</v>
      </c>
      <c r="Y418" s="173" t="s">
        <v>8912</v>
      </c>
      <c r="Z418" s="322" t="s">
        <v>22</v>
      </c>
      <c r="AA418" s="104"/>
      <c r="AB418" s="319">
        <f>AA412</f>
        <v>0</v>
      </c>
      <c r="AC418" s="430"/>
      <c r="AD418" s="326" t="s">
        <v>22</v>
      </c>
      <c r="AE418" s="331"/>
      <c r="AF418" s="431"/>
      <c r="AG418" s="432"/>
      <c r="AH418" s="326"/>
      <c r="AI418" s="2"/>
      <c r="AJ418" s="59" t="str">
        <f t="shared" si="1"/>
        <v>нет з/ч</v>
      </c>
      <c r="AK418" s="61" t="str">
        <f t="shared" si="2"/>
        <v>нет з/ч</v>
      </c>
      <c r="AL418" s="61" t="str">
        <f t="shared" si="3"/>
        <v>нет з/ч</v>
      </c>
      <c r="AM418" s="304" t="str">
        <f t="shared" si="5"/>
        <v>нет з/ч</v>
      </c>
      <c r="AN418" s="2"/>
      <c r="AO418" s="289"/>
      <c r="AP418" s="296"/>
      <c r="AQ418" s="296"/>
      <c r="AR418" s="139"/>
      <c r="AS418" s="2"/>
      <c r="AT418" s="2"/>
      <c r="AU418" s="2"/>
      <c r="AV418" s="2"/>
      <c r="AW418" s="2"/>
      <c r="AX418" s="3" t="s">
        <v>9589</v>
      </c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>
      <c r="A419" s="315" t="s">
        <v>9590</v>
      </c>
      <c r="B419" s="93"/>
      <c r="C419" s="65"/>
      <c r="D419" s="31" t="s">
        <v>332</v>
      </c>
      <c r="E419" s="11" t="s">
        <v>8908</v>
      </c>
      <c r="F419" s="427" t="s">
        <v>8909</v>
      </c>
      <c r="G419" s="31" t="s">
        <v>8910</v>
      </c>
      <c r="H419" s="31"/>
      <c r="I419" s="31"/>
      <c r="J419" s="31"/>
      <c r="K419" s="428"/>
      <c r="L419" s="321"/>
      <c r="M419" s="322"/>
      <c r="N419" s="323"/>
      <c r="O419" s="429"/>
      <c r="P419" s="322"/>
      <c r="Q419" s="323"/>
      <c r="R419" s="429"/>
      <c r="S419" s="322"/>
      <c r="T419" s="323"/>
      <c r="U419" s="324"/>
      <c r="V419" s="322"/>
      <c r="W419" s="323"/>
      <c r="X419" s="324" t="s">
        <v>22</v>
      </c>
      <c r="Y419" s="173" t="s">
        <v>8912</v>
      </c>
      <c r="Z419" s="322" t="s">
        <v>22</v>
      </c>
      <c r="AA419" s="104"/>
      <c r="AB419" s="319">
        <f>AA412</f>
        <v>0</v>
      </c>
      <c r="AC419" s="430"/>
      <c r="AD419" s="326" t="s">
        <v>22</v>
      </c>
      <c r="AE419" s="331"/>
      <c r="AF419" s="431"/>
      <c r="AG419" s="432"/>
      <c r="AH419" s="326"/>
      <c r="AI419" s="2"/>
      <c r="AJ419" s="59" t="str">
        <f t="shared" si="1"/>
        <v>нет з/ч</v>
      </c>
      <c r="AK419" s="61" t="str">
        <f t="shared" si="2"/>
        <v>нет з/ч</v>
      </c>
      <c r="AL419" s="61" t="str">
        <f t="shared" si="3"/>
        <v>нет з/ч</v>
      </c>
      <c r="AM419" s="304" t="str">
        <f t="shared" si="5"/>
        <v>нет з/ч</v>
      </c>
      <c r="AN419" s="2"/>
      <c r="AO419" s="289"/>
      <c r="AP419" s="296"/>
      <c r="AQ419" s="296"/>
      <c r="AR419" s="139"/>
      <c r="AS419" s="2"/>
      <c r="AT419" s="2"/>
      <c r="AU419" s="2"/>
      <c r="AV419" s="2"/>
      <c r="AW419" s="2"/>
      <c r="AX419" s="3" t="s">
        <v>9590</v>
      </c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>
      <c r="A420" s="315" t="s">
        <v>9591</v>
      </c>
      <c r="B420" s="93"/>
      <c r="C420" s="65"/>
      <c r="D420" s="31" t="s">
        <v>332</v>
      </c>
      <c r="E420" s="11" t="s">
        <v>8908</v>
      </c>
      <c r="F420" s="427" t="s">
        <v>8909</v>
      </c>
      <c r="G420" s="31" t="s">
        <v>8910</v>
      </c>
      <c r="H420" s="31"/>
      <c r="I420" s="31"/>
      <c r="J420" s="31"/>
      <c r="K420" s="428"/>
      <c r="L420" s="321"/>
      <c r="M420" s="322"/>
      <c r="N420" s="323"/>
      <c r="O420" s="429"/>
      <c r="P420" s="322"/>
      <c r="Q420" s="323"/>
      <c r="R420" s="429"/>
      <c r="S420" s="322"/>
      <c r="T420" s="323"/>
      <c r="U420" s="324"/>
      <c r="V420" s="322"/>
      <c r="W420" s="323"/>
      <c r="X420" s="324" t="s">
        <v>22</v>
      </c>
      <c r="Y420" s="173" t="s">
        <v>8912</v>
      </c>
      <c r="Z420" s="322" t="s">
        <v>22</v>
      </c>
      <c r="AA420" s="104"/>
      <c r="AB420" s="319">
        <f>AA412</f>
        <v>0</v>
      </c>
      <c r="AC420" s="430"/>
      <c r="AD420" s="326" t="s">
        <v>22</v>
      </c>
      <c r="AE420" s="331"/>
      <c r="AF420" s="431"/>
      <c r="AG420" s="432"/>
      <c r="AH420" s="326"/>
      <c r="AI420" s="2"/>
      <c r="AJ420" s="59" t="str">
        <f t="shared" si="1"/>
        <v>нет з/ч</v>
      </c>
      <c r="AK420" s="61" t="str">
        <f t="shared" si="2"/>
        <v>нет з/ч</v>
      </c>
      <c r="AL420" s="61" t="str">
        <f t="shared" si="3"/>
        <v>нет з/ч</v>
      </c>
      <c r="AM420" s="304" t="str">
        <f t="shared" si="5"/>
        <v>нет з/ч</v>
      </c>
      <c r="AN420" s="2"/>
      <c r="AO420" s="289"/>
      <c r="AP420" s="296"/>
      <c r="AQ420" s="296"/>
      <c r="AR420" s="139"/>
      <c r="AS420" s="2"/>
      <c r="AT420" s="2"/>
      <c r="AU420" s="2"/>
      <c r="AV420" s="2"/>
      <c r="AW420" s="2"/>
      <c r="AX420" s="3" t="s">
        <v>9591</v>
      </c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</row>
    <row r="421">
      <c r="A421" s="315" t="s">
        <v>9592</v>
      </c>
      <c r="B421" s="93"/>
      <c r="C421" s="65"/>
      <c r="D421" s="31" t="s">
        <v>332</v>
      </c>
      <c r="E421" s="11" t="s">
        <v>8908</v>
      </c>
      <c r="F421" s="427" t="s">
        <v>8909</v>
      </c>
      <c r="G421" s="31" t="s">
        <v>8910</v>
      </c>
      <c r="H421" s="31"/>
      <c r="I421" s="31"/>
      <c r="J421" s="31"/>
      <c r="K421" s="428"/>
      <c r="L421" s="321"/>
      <c r="M421" s="322"/>
      <c r="N421" s="323"/>
      <c r="O421" s="429"/>
      <c r="P421" s="322"/>
      <c r="Q421" s="323"/>
      <c r="R421" s="429"/>
      <c r="S421" s="322"/>
      <c r="T421" s="323"/>
      <c r="U421" s="324"/>
      <c r="V421" s="322"/>
      <c r="W421" s="323"/>
      <c r="X421" s="324" t="s">
        <v>22</v>
      </c>
      <c r="Y421" s="173" t="s">
        <v>8912</v>
      </c>
      <c r="Z421" s="322" t="s">
        <v>22</v>
      </c>
      <c r="AA421" s="67"/>
      <c r="AB421" s="319">
        <f>AA412</f>
        <v>0</v>
      </c>
      <c r="AC421" s="430"/>
      <c r="AD421" s="326" t="s">
        <v>22</v>
      </c>
      <c r="AE421" s="331"/>
      <c r="AF421" s="431"/>
      <c r="AG421" s="432"/>
      <c r="AH421" s="326"/>
      <c r="AI421" s="2"/>
      <c r="AJ421" s="59" t="str">
        <f t="shared" si="1"/>
        <v>нет з/ч</v>
      </c>
      <c r="AK421" s="61" t="str">
        <f t="shared" si="2"/>
        <v>нет з/ч</v>
      </c>
      <c r="AL421" s="61" t="str">
        <f t="shared" si="3"/>
        <v>нет з/ч</v>
      </c>
      <c r="AM421" s="304" t="str">
        <f t="shared" si="5"/>
        <v>нет з/ч</v>
      </c>
      <c r="AN421" s="2"/>
      <c r="AO421" s="289"/>
      <c r="AP421" s="296"/>
      <c r="AQ421" s="296"/>
      <c r="AR421" s="139"/>
      <c r="AS421" s="2"/>
      <c r="AT421" s="2"/>
      <c r="AU421" s="2"/>
      <c r="AV421" s="2"/>
      <c r="AW421" s="2"/>
      <c r="AX421" s="3" t="s">
        <v>9592</v>
      </c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>
      <c r="A422" s="315" t="s">
        <v>9593</v>
      </c>
      <c r="B422" s="93"/>
      <c r="C422" s="65"/>
      <c r="D422" s="31" t="s">
        <v>339</v>
      </c>
      <c r="E422" s="11" t="s">
        <v>8908</v>
      </c>
      <c r="F422" s="427" t="s">
        <v>8909</v>
      </c>
      <c r="G422" s="31" t="s">
        <v>8910</v>
      </c>
      <c r="H422" s="31"/>
      <c r="I422" s="31"/>
      <c r="J422" s="31"/>
      <c r="K422" s="428"/>
      <c r="L422" s="321"/>
      <c r="M422" s="322"/>
      <c r="N422" s="323"/>
      <c r="O422" s="429"/>
      <c r="P422" s="322"/>
      <c r="Q422" s="323"/>
      <c r="R422" s="429"/>
      <c r="S422" s="322"/>
      <c r="T422" s="323"/>
      <c r="U422" s="324"/>
      <c r="V422" s="322"/>
      <c r="W422" s="323"/>
      <c r="X422" s="324" t="s">
        <v>22</v>
      </c>
      <c r="Y422" s="173" t="s">
        <v>8912</v>
      </c>
      <c r="Z422" s="322" t="s">
        <v>22</v>
      </c>
      <c r="AA422" s="313">
        <f>MAX(Z422:Z429)</f>
        <v>0</v>
      </c>
      <c r="AB422" s="319">
        <f>AA422</f>
        <v>0</v>
      </c>
      <c r="AC422" s="430"/>
      <c r="AD422" s="326" t="s">
        <v>22</v>
      </c>
      <c r="AE422" s="331"/>
      <c r="AF422" s="431"/>
      <c r="AG422" s="432"/>
      <c r="AH422" s="326"/>
      <c r="AI422" s="2"/>
      <c r="AJ422" s="59" t="str">
        <f t="shared" si="1"/>
        <v>нет з/ч</v>
      </c>
      <c r="AK422" s="61" t="str">
        <f t="shared" si="2"/>
        <v>нет з/ч</v>
      </c>
      <c r="AL422" s="61" t="str">
        <f t="shared" si="3"/>
        <v>нет з/ч</v>
      </c>
      <c r="AM422" s="304" t="str">
        <f t="shared" si="5"/>
        <v>нет з/ч</v>
      </c>
      <c r="AN422" s="2"/>
      <c r="AO422" s="289"/>
      <c r="AP422" s="296"/>
      <c r="AQ422" s="296"/>
      <c r="AR422" s="139"/>
      <c r="AS422" s="2"/>
      <c r="AT422" s="2"/>
      <c r="AU422" s="2"/>
      <c r="AV422" s="2"/>
      <c r="AW422" s="2"/>
      <c r="AX422" s="3" t="s">
        <v>9593</v>
      </c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>
      <c r="A423" s="315" t="s">
        <v>9594</v>
      </c>
      <c r="B423" s="93"/>
      <c r="C423" s="65"/>
      <c r="D423" s="31" t="s">
        <v>339</v>
      </c>
      <c r="E423" s="11" t="s">
        <v>8908</v>
      </c>
      <c r="F423" s="427" t="s">
        <v>8909</v>
      </c>
      <c r="G423" s="31" t="s">
        <v>8910</v>
      </c>
      <c r="H423" s="31"/>
      <c r="I423" s="31"/>
      <c r="J423" s="31"/>
      <c r="K423" s="428"/>
      <c r="L423" s="321"/>
      <c r="M423" s="322"/>
      <c r="N423" s="323"/>
      <c r="O423" s="429"/>
      <c r="P423" s="322"/>
      <c r="Q423" s="323"/>
      <c r="R423" s="429"/>
      <c r="S423" s="322"/>
      <c r="T423" s="323"/>
      <c r="U423" s="324"/>
      <c r="V423" s="322"/>
      <c r="W423" s="323"/>
      <c r="X423" s="324" t="s">
        <v>22</v>
      </c>
      <c r="Y423" s="173" t="s">
        <v>8912</v>
      </c>
      <c r="Z423" s="322" t="s">
        <v>22</v>
      </c>
      <c r="AA423" s="104"/>
      <c r="AB423" s="319">
        <f>AA422</f>
        <v>0</v>
      </c>
      <c r="AC423" s="430"/>
      <c r="AD423" s="326" t="s">
        <v>22</v>
      </c>
      <c r="AE423" s="331"/>
      <c r="AF423" s="431"/>
      <c r="AG423" s="432"/>
      <c r="AH423" s="326"/>
      <c r="AI423" s="2"/>
      <c r="AJ423" s="59" t="str">
        <f t="shared" si="1"/>
        <v>нет з/ч</v>
      </c>
      <c r="AK423" s="61" t="str">
        <f t="shared" si="2"/>
        <v>нет з/ч</v>
      </c>
      <c r="AL423" s="61" t="str">
        <f t="shared" si="3"/>
        <v>нет з/ч</v>
      </c>
      <c r="AM423" s="304" t="str">
        <f t="shared" si="5"/>
        <v>нет з/ч</v>
      </c>
      <c r="AN423" s="2"/>
      <c r="AO423" s="289"/>
      <c r="AP423" s="296"/>
      <c r="AQ423" s="296"/>
      <c r="AR423" s="139"/>
      <c r="AS423" s="2"/>
      <c r="AT423" s="2"/>
      <c r="AU423" s="2"/>
      <c r="AV423" s="2"/>
      <c r="AW423" s="2"/>
      <c r="AX423" s="3" t="s">
        <v>9594</v>
      </c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>
      <c r="A424" s="315" t="s">
        <v>9595</v>
      </c>
      <c r="B424" s="93"/>
      <c r="C424" s="65"/>
      <c r="D424" s="31" t="s">
        <v>339</v>
      </c>
      <c r="E424" s="11" t="s">
        <v>8908</v>
      </c>
      <c r="F424" s="427" t="s">
        <v>8909</v>
      </c>
      <c r="G424" s="31" t="s">
        <v>8910</v>
      </c>
      <c r="H424" s="31"/>
      <c r="I424" s="31"/>
      <c r="J424" s="31"/>
      <c r="K424" s="428"/>
      <c r="L424" s="321"/>
      <c r="M424" s="322"/>
      <c r="N424" s="323"/>
      <c r="O424" s="429"/>
      <c r="P424" s="322"/>
      <c r="Q424" s="323"/>
      <c r="R424" s="429"/>
      <c r="S424" s="322"/>
      <c r="T424" s="323"/>
      <c r="U424" s="324"/>
      <c r="V424" s="322"/>
      <c r="W424" s="323"/>
      <c r="X424" s="324" t="s">
        <v>22</v>
      </c>
      <c r="Y424" s="173" t="s">
        <v>8912</v>
      </c>
      <c r="Z424" s="322" t="s">
        <v>22</v>
      </c>
      <c r="AA424" s="104"/>
      <c r="AB424" s="319">
        <f>AA422</f>
        <v>0</v>
      </c>
      <c r="AC424" s="430"/>
      <c r="AD424" s="326" t="s">
        <v>22</v>
      </c>
      <c r="AE424" s="331"/>
      <c r="AF424" s="431"/>
      <c r="AG424" s="432"/>
      <c r="AH424" s="326"/>
      <c r="AI424" s="2"/>
      <c r="AJ424" s="59" t="str">
        <f t="shared" si="1"/>
        <v>нет з/ч</v>
      </c>
      <c r="AK424" s="61" t="str">
        <f t="shared" si="2"/>
        <v>нет з/ч</v>
      </c>
      <c r="AL424" s="61" t="str">
        <f t="shared" si="3"/>
        <v>нет з/ч</v>
      </c>
      <c r="AM424" s="304" t="str">
        <f t="shared" si="5"/>
        <v>нет з/ч</v>
      </c>
      <c r="AN424" s="2"/>
      <c r="AO424" s="289"/>
      <c r="AP424" s="296"/>
      <c r="AQ424" s="296"/>
      <c r="AR424" s="139"/>
      <c r="AS424" s="2"/>
      <c r="AT424" s="2"/>
      <c r="AU424" s="2"/>
      <c r="AV424" s="2"/>
      <c r="AW424" s="2"/>
      <c r="AX424" s="3" t="s">
        <v>9595</v>
      </c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</row>
    <row r="425">
      <c r="A425" s="315" t="s">
        <v>9596</v>
      </c>
      <c r="B425" s="93"/>
      <c r="C425" s="65"/>
      <c r="D425" s="31" t="s">
        <v>339</v>
      </c>
      <c r="E425" s="11" t="s">
        <v>8908</v>
      </c>
      <c r="F425" s="427" t="s">
        <v>8909</v>
      </c>
      <c r="G425" s="31" t="s">
        <v>8910</v>
      </c>
      <c r="H425" s="31"/>
      <c r="I425" s="31"/>
      <c r="J425" s="31"/>
      <c r="K425" s="428"/>
      <c r="L425" s="321"/>
      <c r="M425" s="322"/>
      <c r="N425" s="323"/>
      <c r="O425" s="429"/>
      <c r="P425" s="322"/>
      <c r="Q425" s="323"/>
      <c r="R425" s="429"/>
      <c r="S425" s="322"/>
      <c r="T425" s="323"/>
      <c r="U425" s="324"/>
      <c r="V425" s="322"/>
      <c r="W425" s="323"/>
      <c r="X425" s="324" t="s">
        <v>22</v>
      </c>
      <c r="Y425" s="173" t="s">
        <v>8912</v>
      </c>
      <c r="Z425" s="322" t="s">
        <v>22</v>
      </c>
      <c r="AA425" s="104"/>
      <c r="AB425" s="319">
        <f>AA422</f>
        <v>0</v>
      </c>
      <c r="AC425" s="430"/>
      <c r="AD425" s="326" t="s">
        <v>22</v>
      </c>
      <c r="AE425" s="331"/>
      <c r="AF425" s="431"/>
      <c r="AG425" s="432"/>
      <c r="AH425" s="326"/>
      <c r="AI425" s="2"/>
      <c r="AJ425" s="59" t="str">
        <f t="shared" si="1"/>
        <v>нет з/ч</v>
      </c>
      <c r="AK425" s="61" t="str">
        <f t="shared" si="2"/>
        <v>нет з/ч</v>
      </c>
      <c r="AL425" s="61" t="str">
        <f t="shared" si="3"/>
        <v>нет з/ч</v>
      </c>
      <c r="AM425" s="304" t="str">
        <f t="shared" si="5"/>
        <v>нет з/ч</v>
      </c>
      <c r="AN425" s="2"/>
      <c r="AO425" s="289"/>
      <c r="AP425" s="296"/>
      <c r="AQ425" s="296"/>
      <c r="AR425" s="139"/>
      <c r="AS425" s="2"/>
      <c r="AT425" s="2"/>
      <c r="AU425" s="2"/>
      <c r="AV425" s="2"/>
      <c r="AW425" s="2"/>
      <c r="AX425" s="3" t="s">
        <v>9596</v>
      </c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>
      <c r="A426" s="315" t="s">
        <v>9597</v>
      </c>
      <c r="B426" s="93"/>
      <c r="C426" s="65"/>
      <c r="D426" s="31" t="s">
        <v>339</v>
      </c>
      <c r="E426" s="11" t="s">
        <v>8908</v>
      </c>
      <c r="F426" s="427" t="s">
        <v>8909</v>
      </c>
      <c r="G426" s="31" t="s">
        <v>8910</v>
      </c>
      <c r="H426" s="31"/>
      <c r="I426" s="31"/>
      <c r="J426" s="31"/>
      <c r="K426" s="428"/>
      <c r="L426" s="321"/>
      <c r="M426" s="322"/>
      <c r="N426" s="323"/>
      <c r="O426" s="429"/>
      <c r="P426" s="322"/>
      <c r="Q426" s="323"/>
      <c r="R426" s="429"/>
      <c r="S426" s="322"/>
      <c r="T426" s="323"/>
      <c r="U426" s="324"/>
      <c r="V426" s="322"/>
      <c r="W426" s="323"/>
      <c r="X426" s="324" t="s">
        <v>22</v>
      </c>
      <c r="Y426" s="173" t="s">
        <v>8912</v>
      </c>
      <c r="Z426" s="322" t="s">
        <v>22</v>
      </c>
      <c r="AA426" s="104"/>
      <c r="AB426" s="319">
        <f>AA422</f>
        <v>0</v>
      </c>
      <c r="AC426" s="430"/>
      <c r="AD426" s="326" t="s">
        <v>22</v>
      </c>
      <c r="AE426" s="331"/>
      <c r="AF426" s="431"/>
      <c r="AG426" s="432"/>
      <c r="AH426" s="326"/>
      <c r="AI426" s="2"/>
      <c r="AJ426" s="59" t="str">
        <f t="shared" si="1"/>
        <v>нет з/ч</v>
      </c>
      <c r="AK426" s="61" t="str">
        <f t="shared" si="2"/>
        <v>нет з/ч</v>
      </c>
      <c r="AL426" s="61" t="str">
        <f t="shared" si="3"/>
        <v>нет з/ч</v>
      </c>
      <c r="AM426" s="304" t="str">
        <f t="shared" si="5"/>
        <v>нет з/ч</v>
      </c>
      <c r="AN426" s="2"/>
      <c r="AO426" s="289"/>
      <c r="AP426" s="296"/>
      <c r="AQ426" s="296"/>
      <c r="AR426" s="139"/>
      <c r="AS426" s="2"/>
      <c r="AT426" s="2"/>
      <c r="AU426" s="2"/>
      <c r="AV426" s="2"/>
      <c r="AW426" s="2"/>
      <c r="AX426" s="3" t="s">
        <v>9597</v>
      </c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</row>
    <row r="427">
      <c r="A427" s="315" t="s">
        <v>9598</v>
      </c>
      <c r="B427" s="93"/>
      <c r="C427" s="65"/>
      <c r="D427" s="31" t="s">
        <v>339</v>
      </c>
      <c r="E427" s="11" t="s">
        <v>8908</v>
      </c>
      <c r="F427" s="427" t="s">
        <v>8909</v>
      </c>
      <c r="G427" s="31" t="s">
        <v>8910</v>
      </c>
      <c r="H427" s="31"/>
      <c r="I427" s="31"/>
      <c r="J427" s="31"/>
      <c r="K427" s="428"/>
      <c r="L427" s="321"/>
      <c r="M427" s="322"/>
      <c r="N427" s="323"/>
      <c r="O427" s="429"/>
      <c r="P427" s="322"/>
      <c r="Q427" s="323"/>
      <c r="R427" s="429"/>
      <c r="S427" s="322"/>
      <c r="T427" s="323"/>
      <c r="U427" s="324"/>
      <c r="V427" s="322"/>
      <c r="W427" s="323"/>
      <c r="X427" s="324" t="s">
        <v>22</v>
      </c>
      <c r="Y427" s="173" t="s">
        <v>8912</v>
      </c>
      <c r="Z427" s="322" t="s">
        <v>22</v>
      </c>
      <c r="AA427" s="104"/>
      <c r="AB427" s="319">
        <f>AA422</f>
        <v>0</v>
      </c>
      <c r="AC427" s="430"/>
      <c r="AD427" s="326" t="s">
        <v>22</v>
      </c>
      <c r="AE427" s="331"/>
      <c r="AF427" s="431"/>
      <c r="AG427" s="432"/>
      <c r="AH427" s="326"/>
      <c r="AI427" s="2"/>
      <c r="AJ427" s="59" t="str">
        <f t="shared" si="1"/>
        <v>нет з/ч</v>
      </c>
      <c r="AK427" s="61" t="str">
        <f t="shared" si="2"/>
        <v>нет з/ч</v>
      </c>
      <c r="AL427" s="61" t="str">
        <f t="shared" si="3"/>
        <v>нет з/ч</v>
      </c>
      <c r="AM427" s="304" t="str">
        <f t="shared" si="5"/>
        <v>нет з/ч</v>
      </c>
      <c r="AN427" s="2"/>
      <c r="AO427" s="289"/>
      <c r="AP427" s="296"/>
      <c r="AQ427" s="296"/>
      <c r="AR427" s="139"/>
      <c r="AS427" s="2"/>
      <c r="AT427" s="2"/>
      <c r="AU427" s="2"/>
      <c r="AV427" s="2"/>
      <c r="AW427" s="2"/>
      <c r="AX427" s="3" t="s">
        <v>9598</v>
      </c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>
      <c r="A428" s="315" t="s">
        <v>9599</v>
      </c>
      <c r="B428" s="93"/>
      <c r="C428" s="65"/>
      <c r="D428" s="31" t="s">
        <v>339</v>
      </c>
      <c r="E428" s="11" t="s">
        <v>8908</v>
      </c>
      <c r="F428" s="427" t="s">
        <v>8909</v>
      </c>
      <c r="G428" s="31" t="s">
        <v>8910</v>
      </c>
      <c r="H428" s="31"/>
      <c r="I428" s="31"/>
      <c r="J428" s="31"/>
      <c r="K428" s="428"/>
      <c r="L428" s="321"/>
      <c r="M428" s="322"/>
      <c r="N428" s="323"/>
      <c r="O428" s="429"/>
      <c r="P428" s="322"/>
      <c r="Q428" s="323"/>
      <c r="R428" s="429"/>
      <c r="S428" s="322"/>
      <c r="T428" s="323"/>
      <c r="U428" s="324"/>
      <c r="V428" s="322"/>
      <c r="W428" s="323"/>
      <c r="X428" s="324" t="s">
        <v>22</v>
      </c>
      <c r="Y428" s="173" t="s">
        <v>8912</v>
      </c>
      <c r="Z428" s="322" t="s">
        <v>22</v>
      </c>
      <c r="AA428" s="104"/>
      <c r="AB428" s="319">
        <f>AA422</f>
        <v>0</v>
      </c>
      <c r="AC428" s="430"/>
      <c r="AD428" s="326" t="s">
        <v>22</v>
      </c>
      <c r="AE428" s="331"/>
      <c r="AF428" s="431"/>
      <c r="AG428" s="432"/>
      <c r="AH428" s="326"/>
      <c r="AI428" s="2"/>
      <c r="AJ428" s="59" t="str">
        <f t="shared" si="1"/>
        <v>нет з/ч</v>
      </c>
      <c r="AK428" s="61" t="str">
        <f t="shared" si="2"/>
        <v>нет з/ч</v>
      </c>
      <c r="AL428" s="61" t="str">
        <f t="shared" si="3"/>
        <v>нет з/ч</v>
      </c>
      <c r="AM428" s="304" t="str">
        <f t="shared" si="5"/>
        <v>нет з/ч</v>
      </c>
      <c r="AN428" s="2"/>
      <c r="AO428" s="289"/>
      <c r="AP428" s="296"/>
      <c r="AQ428" s="296"/>
      <c r="AR428" s="139"/>
      <c r="AS428" s="2"/>
      <c r="AT428" s="2"/>
      <c r="AU428" s="2"/>
      <c r="AV428" s="2"/>
      <c r="AW428" s="2"/>
      <c r="AX428" s="3" t="s">
        <v>9599</v>
      </c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>
      <c r="A429" s="315" t="s">
        <v>9600</v>
      </c>
      <c r="B429" s="93"/>
      <c r="C429" s="65"/>
      <c r="D429" s="31" t="s">
        <v>339</v>
      </c>
      <c r="E429" s="11" t="s">
        <v>8908</v>
      </c>
      <c r="F429" s="427" t="s">
        <v>8909</v>
      </c>
      <c r="G429" s="31" t="s">
        <v>8910</v>
      </c>
      <c r="H429" s="31"/>
      <c r="I429" s="31"/>
      <c r="J429" s="31"/>
      <c r="K429" s="428"/>
      <c r="L429" s="321"/>
      <c r="M429" s="322"/>
      <c r="N429" s="323"/>
      <c r="O429" s="429"/>
      <c r="P429" s="322"/>
      <c r="Q429" s="323"/>
      <c r="R429" s="429"/>
      <c r="S429" s="322"/>
      <c r="T429" s="323"/>
      <c r="U429" s="324"/>
      <c r="V429" s="322"/>
      <c r="W429" s="323"/>
      <c r="X429" s="324" t="s">
        <v>22</v>
      </c>
      <c r="Y429" s="173" t="s">
        <v>8912</v>
      </c>
      <c r="Z429" s="322" t="s">
        <v>22</v>
      </c>
      <c r="AA429" s="67"/>
      <c r="AB429" s="319">
        <f>AA422</f>
        <v>0</v>
      </c>
      <c r="AC429" s="430"/>
      <c r="AD429" s="326" t="s">
        <v>22</v>
      </c>
      <c r="AE429" s="331"/>
      <c r="AF429" s="431"/>
      <c r="AG429" s="432"/>
      <c r="AH429" s="326"/>
      <c r="AI429" s="2"/>
      <c r="AJ429" s="59" t="str">
        <f t="shared" si="1"/>
        <v>нет з/ч</v>
      </c>
      <c r="AK429" s="61" t="str">
        <f t="shared" si="2"/>
        <v>нет з/ч</v>
      </c>
      <c r="AL429" s="61" t="str">
        <f t="shared" si="3"/>
        <v>нет з/ч</v>
      </c>
      <c r="AM429" s="304" t="str">
        <f t="shared" si="5"/>
        <v>нет з/ч</v>
      </c>
      <c r="AN429" s="2"/>
      <c r="AO429" s="289"/>
      <c r="AP429" s="296"/>
      <c r="AQ429" s="296"/>
      <c r="AR429" s="139"/>
      <c r="AS429" s="2"/>
      <c r="AT429" s="2"/>
      <c r="AU429" s="2"/>
      <c r="AV429" s="2"/>
      <c r="AW429" s="2"/>
      <c r="AX429" s="3" t="s">
        <v>9600</v>
      </c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</row>
    <row r="430">
      <c r="A430" s="315" t="s">
        <v>9601</v>
      </c>
      <c r="B430" s="93"/>
      <c r="C430" s="65"/>
      <c r="D430" s="31" t="s">
        <v>346</v>
      </c>
      <c r="E430" s="11" t="s">
        <v>8908</v>
      </c>
      <c r="F430" s="427" t="s">
        <v>8909</v>
      </c>
      <c r="G430" s="31" t="s">
        <v>8910</v>
      </c>
      <c r="H430" s="31"/>
      <c r="I430" s="31"/>
      <c r="J430" s="31"/>
      <c r="K430" s="428"/>
      <c r="L430" s="321"/>
      <c r="M430" s="322"/>
      <c r="N430" s="323"/>
      <c r="O430" s="429"/>
      <c r="P430" s="322"/>
      <c r="Q430" s="323"/>
      <c r="R430" s="429"/>
      <c r="S430" s="322"/>
      <c r="T430" s="323"/>
      <c r="U430" s="324"/>
      <c r="V430" s="322"/>
      <c r="W430" s="323"/>
      <c r="X430" s="324" t="s">
        <v>22</v>
      </c>
      <c r="Y430" s="173" t="s">
        <v>8912</v>
      </c>
      <c r="Z430" s="322" t="s">
        <v>22</v>
      </c>
      <c r="AA430" s="313">
        <f>MAX(Z430:Z437)</f>
        <v>0</v>
      </c>
      <c r="AB430" s="319">
        <f>AA430</f>
        <v>0</v>
      </c>
      <c r="AC430" s="430"/>
      <c r="AD430" s="326" t="s">
        <v>22</v>
      </c>
      <c r="AE430" s="331"/>
      <c r="AF430" s="431"/>
      <c r="AG430" s="432"/>
      <c r="AH430" s="326"/>
      <c r="AI430" s="2"/>
      <c r="AJ430" s="59" t="str">
        <f t="shared" si="1"/>
        <v>нет з/ч</v>
      </c>
      <c r="AK430" s="61" t="str">
        <f t="shared" si="2"/>
        <v>нет з/ч</v>
      </c>
      <c r="AL430" s="61" t="str">
        <f t="shared" si="3"/>
        <v>нет з/ч</v>
      </c>
      <c r="AM430" s="304" t="str">
        <f t="shared" si="5"/>
        <v>нет з/ч</v>
      </c>
      <c r="AN430" s="2"/>
      <c r="AO430" s="289"/>
      <c r="AP430" s="296"/>
      <c r="AQ430" s="296"/>
      <c r="AR430" s="139"/>
      <c r="AS430" s="2"/>
      <c r="AT430" s="2"/>
      <c r="AU430" s="2"/>
      <c r="AV430" s="2"/>
      <c r="AW430" s="2"/>
      <c r="AX430" s="3" t="s">
        <v>9601</v>
      </c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>
      <c r="A431" s="315" t="s">
        <v>9602</v>
      </c>
      <c r="B431" s="93"/>
      <c r="C431" s="65"/>
      <c r="D431" s="31" t="s">
        <v>346</v>
      </c>
      <c r="E431" s="11" t="s">
        <v>8908</v>
      </c>
      <c r="F431" s="427" t="s">
        <v>8909</v>
      </c>
      <c r="G431" s="31" t="s">
        <v>8910</v>
      </c>
      <c r="H431" s="31"/>
      <c r="I431" s="31"/>
      <c r="J431" s="31"/>
      <c r="K431" s="428"/>
      <c r="L431" s="321"/>
      <c r="M431" s="322"/>
      <c r="N431" s="323"/>
      <c r="O431" s="429"/>
      <c r="P431" s="322"/>
      <c r="Q431" s="323"/>
      <c r="R431" s="429"/>
      <c r="S431" s="322"/>
      <c r="T431" s="323"/>
      <c r="U431" s="324"/>
      <c r="V431" s="322"/>
      <c r="W431" s="323"/>
      <c r="X431" s="324" t="s">
        <v>22</v>
      </c>
      <c r="Y431" s="173" t="s">
        <v>8912</v>
      </c>
      <c r="Z431" s="322" t="s">
        <v>22</v>
      </c>
      <c r="AA431" s="104"/>
      <c r="AB431" s="319">
        <f>AA430</f>
        <v>0</v>
      </c>
      <c r="AC431" s="430"/>
      <c r="AD431" s="326" t="s">
        <v>22</v>
      </c>
      <c r="AE431" s="331"/>
      <c r="AF431" s="431"/>
      <c r="AG431" s="432"/>
      <c r="AH431" s="326"/>
      <c r="AI431" s="2"/>
      <c r="AJ431" s="59" t="str">
        <f t="shared" si="1"/>
        <v>нет з/ч</v>
      </c>
      <c r="AK431" s="61" t="str">
        <f t="shared" si="2"/>
        <v>нет з/ч</v>
      </c>
      <c r="AL431" s="61" t="str">
        <f t="shared" si="3"/>
        <v>нет з/ч</v>
      </c>
      <c r="AM431" s="304" t="str">
        <f t="shared" si="5"/>
        <v>нет з/ч</v>
      </c>
      <c r="AN431" s="2"/>
      <c r="AO431" s="289"/>
      <c r="AP431" s="296"/>
      <c r="AQ431" s="296"/>
      <c r="AR431" s="139"/>
      <c r="AS431" s="2"/>
      <c r="AT431" s="2"/>
      <c r="AU431" s="2"/>
      <c r="AV431" s="2"/>
      <c r="AW431" s="2"/>
      <c r="AX431" s="3" t="s">
        <v>9602</v>
      </c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>
      <c r="A432" s="315" t="s">
        <v>9603</v>
      </c>
      <c r="B432" s="93"/>
      <c r="C432" s="65"/>
      <c r="D432" s="31" t="s">
        <v>346</v>
      </c>
      <c r="E432" s="11" t="s">
        <v>8908</v>
      </c>
      <c r="F432" s="427" t="s">
        <v>8909</v>
      </c>
      <c r="G432" s="31" t="s">
        <v>8910</v>
      </c>
      <c r="H432" s="31"/>
      <c r="I432" s="31"/>
      <c r="J432" s="31"/>
      <c r="K432" s="428"/>
      <c r="L432" s="321"/>
      <c r="M432" s="322"/>
      <c r="N432" s="323"/>
      <c r="O432" s="429"/>
      <c r="P432" s="322"/>
      <c r="Q432" s="323"/>
      <c r="R432" s="429"/>
      <c r="S432" s="322"/>
      <c r="T432" s="323"/>
      <c r="U432" s="324"/>
      <c r="V432" s="322"/>
      <c r="W432" s="323"/>
      <c r="X432" s="324" t="s">
        <v>22</v>
      </c>
      <c r="Y432" s="173" t="s">
        <v>8912</v>
      </c>
      <c r="Z432" s="322" t="s">
        <v>22</v>
      </c>
      <c r="AA432" s="104"/>
      <c r="AB432" s="319">
        <f>AA430</f>
        <v>0</v>
      </c>
      <c r="AC432" s="430"/>
      <c r="AD432" s="326" t="s">
        <v>22</v>
      </c>
      <c r="AE432" s="331"/>
      <c r="AF432" s="431"/>
      <c r="AG432" s="432"/>
      <c r="AH432" s="326"/>
      <c r="AI432" s="2"/>
      <c r="AJ432" s="59" t="str">
        <f t="shared" si="1"/>
        <v>нет з/ч</v>
      </c>
      <c r="AK432" s="61" t="str">
        <f t="shared" si="2"/>
        <v>нет з/ч</v>
      </c>
      <c r="AL432" s="61" t="str">
        <f t="shared" si="3"/>
        <v>нет з/ч</v>
      </c>
      <c r="AM432" s="304" t="str">
        <f t="shared" si="5"/>
        <v>нет з/ч</v>
      </c>
      <c r="AN432" s="2"/>
      <c r="AO432" s="289"/>
      <c r="AP432" s="296"/>
      <c r="AQ432" s="296"/>
      <c r="AR432" s="139"/>
      <c r="AS432" s="2"/>
      <c r="AT432" s="2"/>
      <c r="AU432" s="2"/>
      <c r="AV432" s="2"/>
      <c r="AW432" s="2"/>
      <c r="AX432" s="3" t="s">
        <v>9603</v>
      </c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>
      <c r="A433" s="315" t="s">
        <v>9604</v>
      </c>
      <c r="B433" s="93"/>
      <c r="C433" s="65"/>
      <c r="D433" s="31" t="s">
        <v>346</v>
      </c>
      <c r="E433" s="11" t="s">
        <v>8908</v>
      </c>
      <c r="F433" s="427" t="s">
        <v>8909</v>
      </c>
      <c r="G433" s="31" t="s">
        <v>8910</v>
      </c>
      <c r="H433" s="31"/>
      <c r="I433" s="31"/>
      <c r="J433" s="31"/>
      <c r="K433" s="428"/>
      <c r="L433" s="321"/>
      <c r="M433" s="322"/>
      <c r="N433" s="323"/>
      <c r="O433" s="429"/>
      <c r="P433" s="322"/>
      <c r="Q433" s="323"/>
      <c r="R433" s="429"/>
      <c r="S433" s="322"/>
      <c r="T433" s="323"/>
      <c r="U433" s="324"/>
      <c r="V433" s="322"/>
      <c r="W433" s="323"/>
      <c r="X433" s="324" t="s">
        <v>22</v>
      </c>
      <c r="Y433" s="173" t="s">
        <v>8912</v>
      </c>
      <c r="Z433" s="322" t="s">
        <v>22</v>
      </c>
      <c r="AA433" s="104"/>
      <c r="AB433" s="319">
        <f>AA430</f>
        <v>0</v>
      </c>
      <c r="AC433" s="430"/>
      <c r="AD433" s="326" t="s">
        <v>22</v>
      </c>
      <c r="AE433" s="331"/>
      <c r="AF433" s="431"/>
      <c r="AG433" s="432"/>
      <c r="AH433" s="326"/>
      <c r="AI433" s="2"/>
      <c r="AJ433" s="59" t="str">
        <f t="shared" si="1"/>
        <v>нет з/ч</v>
      </c>
      <c r="AK433" s="61" t="str">
        <f t="shared" si="2"/>
        <v>нет з/ч</v>
      </c>
      <c r="AL433" s="61" t="str">
        <f t="shared" si="3"/>
        <v>нет з/ч</v>
      </c>
      <c r="AM433" s="304" t="str">
        <f t="shared" si="5"/>
        <v>нет з/ч</v>
      </c>
      <c r="AN433" s="2"/>
      <c r="AO433" s="289"/>
      <c r="AP433" s="296"/>
      <c r="AQ433" s="296"/>
      <c r="AR433" s="139"/>
      <c r="AS433" s="2"/>
      <c r="AT433" s="2"/>
      <c r="AU433" s="2"/>
      <c r="AV433" s="2"/>
      <c r="AW433" s="2"/>
      <c r="AX433" s="3" t="s">
        <v>9604</v>
      </c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>
      <c r="A434" s="315" t="s">
        <v>9605</v>
      </c>
      <c r="B434" s="93"/>
      <c r="C434" s="65"/>
      <c r="D434" s="31" t="s">
        <v>346</v>
      </c>
      <c r="E434" s="11" t="s">
        <v>8908</v>
      </c>
      <c r="F434" s="427" t="s">
        <v>8909</v>
      </c>
      <c r="G434" s="31" t="s">
        <v>8910</v>
      </c>
      <c r="H434" s="31"/>
      <c r="I434" s="31"/>
      <c r="J434" s="31"/>
      <c r="K434" s="428"/>
      <c r="L434" s="321"/>
      <c r="M434" s="322"/>
      <c r="N434" s="323"/>
      <c r="O434" s="429"/>
      <c r="P434" s="322"/>
      <c r="Q434" s="323"/>
      <c r="R434" s="429"/>
      <c r="S434" s="322"/>
      <c r="T434" s="323"/>
      <c r="U434" s="324"/>
      <c r="V434" s="322"/>
      <c r="W434" s="323"/>
      <c r="X434" s="324" t="s">
        <v>22</v>
      </c>
      <c r="Y434" s="173" t="s">
        <v>8912</v>
      </c>
      <c r="Z434" s="322" t="s">
        <v>22</v>
      </c>
      <c r="AA434" s="104"/>
      <c r="AB434" s="319">
        <f>AA430</f>
        <v>0</v>
      </c>
      <c r="AC434" s="430"/>
      <c r="AD434" s="326" t="s">
        <v>22</v>
      </c>
      <c r="AE434" s="331"/>
      <c r="AF434" s="431"/>
      <c r="AG434" s="432"/>
      <c r="AH434" s="326"/>
      <c r="AI434" s="2"/>
      <c r="AJ434" s="59" t="str">
        <f t="shared" si="1"/>
        <v>нет з/ч</v>
      </c>
      <c r="AK434" s="61" t="str">
        <f t="shared" si="2"/>
        <v>нет з/ч</v>
      </c>
      <c r="AL434" s="61" t="str">
        <f t="shared" si="3"/>
        <v>нет з/ч</v>
      </c>
      <c r="AM434" s="304" t="str">
        <f t="shared" si="5"/>
        <v>нет з/ч</v>
      </c>
      <c r="AN434" s="2"/>
      <c r="AO434" s="289"/>
      <c r="AP434" s="296"/>
      <c r="AQ434" s="296"/>
      <c r="AR434" s="139"/>
      <c r="AS434" s="2"/>
      <c r="AT434" s="2"/>
      <c r="AU434" s="2"/>
      <c r="AV434" s="2"/>
      <c r="AW434" s="2"/>
      <c r="AX434" s="3" t="s">
        <v>9605</v>
      </c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</row>
    <row r="435">
      <c r="A435" s="315" t="s">
        <v>9606</v>
      </c>
      <c r="B435" s="93"/>
      <c r="C435" s="65"/>
      <c r="D435" s="31" t="s">
        <v>346</v>
      </c>
      <c r="E435" s="11" t="s">
        <v>8908</v>
      </c>
      <c r="F435" s="427" t="s">
        <v>8909</v>
      </c>
      <c r="G435" s="31" t="s">
        <v>8910</v>
      </c>
      <c r="H435" s="31"/>
      <c r="I435" s="31"/>
      <c r="J435" s="31"/>
      <c r="K435" s="428"/>
      <c r="L435" s="321"/>
      <c r="M435" s="322"/>
      <c r="N435" s="323"/>
      <c r="O435" s="429"/>
      <c r="P435" s="322"/>
      <c r="Q435" s="323"/>
      <c r="R435" s="429"/>
      <c r="S435" s="322"/>
      <c r="T435" s="323"/>
      <c r="U435" s="324"/>
      <c r="V435" s="322"/>
      <c r="W435" s="323"/>
      <c r="X435" s="324" t="s">
        <v>22</v>
      </c>
      <c r="Y435" s="173" t="s">
        <v>8912</v>
      </c>
      <c r="Z435" s="322" t="s">
        <v>22</v>
      </c>
      <c r="AA435" s="104"/>
      <c r="AB435" s="319">
        <f>AA430</f>
        <v>0</v>
      </c>
      <c r="AC435" s="430"/>
      <c r="AD435" s="326" t="s">
        <v>22</v>
      </c>
      <c r="AE435" s="331"/>
      <c r="AF435" s="431"/>
      <c r="AG435" s="432"/>
      <c r="AH435" s="326"/>
      <c r="AI435" s="2"/>
      <c r="AJ435" s="59" t="str">
        <f t="shared" si="1"/>
        <v>нет з/ч</v>
      </c>
      <c r="AK435" s="61" t="str">
        <f t="shared" si="2"/>
        <v>нет з/ч</v>
      </c>
      <c r="AL435" s="61" t="str">
        <f t="shared" si="3"/>
        <v>нет з/ч</v>
      </c>
      <c r="AM435" s="304" t="str">
        <f t="shared" si="5"/>
        <v>нет з/ч</v>
      </c>
      <c r="AN435" s="2"/>
      <c r="AO435" s="289"/>
      <c r="AP435" s="296"/>
      <c r="AQ435" s="296"/>
      <c r="AR435" s="139"/>
      <c r="AS435" s="2"/>
      <c r="AT435" s="2"/>
      <c r="AU435" s="2"/>
      <c r="AV435" s="2"/>
      <c r="AW435" s="2"/>
      <c r="AX435" s="3" t="s">
        <v>9606</v>
      </c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>
      <c r="A436" s="315" t="s">
        <v>9607</v>
      </c>
      <c r="B436" s="93"/>
      <c r="C436" s="65"/>
      <c r="D436" s="31" t="s">
        <v>346</v>
      </c>
      <c r="E436" s="11" t="s">
        <v>8908</v>
      </c>
      <c r="F436" s="427" t="s">
        <v>8909</v>
      </c>
      <c r="G436" s="31" t="s">
        <v>8910</v>
      </c>
      <c r="H436" s="31"/>
      <c r="I436" s="31"/>
      <c r="J436" s="31"/>
      <c r="K436" s="428"/>
      <c r="L436" s="321"/>
      <c r="M436" s="322"/>
      <c r="N436" s="323"/>
      <c r="O436" s="429"/>
      <c r="P436" s="322"/>
      <c r="Q436" s="323"/>
      <c r="R436" s="429"/>
      <c r="S436" s="322"/>
      <c r="T436" s="323"/>
      <c r="U436" s="324"/>
      <c r="V436" s="322"/>
      <c r="W436" s="323"/>
      <c r="X436" s="324" t="s">
        <v>22</v>
      </c>
      <c r="Y436" s="173" t="s">
        <v>8912</v>
      </c>
      <c r="Z436" s="322" t="s">
        <v>22</v>
      </c>
      <c r="AA436" s="104"/>
      <c r="AB436" s="319">
        <f>AA430</f>
        <v>0</v>
      </c>
      <c r="AC436" s="430"/>
      <c r="AD436" s="326" t="s">
        <v>22</v>
      </c>
      <c r="AE436" s="331"/>
      <c r="AF436" s="431"/>
      <c r="AG436" s="432"/>
      <c r="AH436" s="326"/>
      <c r="AI436" s="2"/>
      <c r="AJ436" s="59" t="str">
        <f t="shared" si="1"/>
        <v>нет з/ч</v>
      </c>
      <c r="AK436" s="61" t="str">
        <f t="shared" si="2"/>
        <v>нет з/ч</v>
      </c>
      <c r="AL436" s="61" t="str">
        <f t="shared" si="3"/>
        <v>нет з/ч</v>
      </c>
      <c r="AM436" s="304" t="str">
        <f t="shared" si="5"/>
        <v>нет з/ч</v>
      </c>
      <c r="AN436" s="2"/>
      <c r="AO436" s="289"/>
      <c r="AP436" s="296"/>
      <c r="AQ436" s="296"/>
      <c r="AR436" s="139"/>
      <c r="AS436" s="2"/>
      <c r="AT436" s="2"/>
      <c r="AU436" s="2"/>
      <c r="AV436" s="2"/>
      <c r="AW436" s="2"/>
      <c r="AX436" s="3" t="s">
        <v>9607</v>
      </c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</row>
    <row r="437">
      <c r="A437" s="315" t="s">
        <v>9608</v>
      </c>
      <c r="B437" s="93"/>
      <c r="C437" s="65"/>
      <c r="D437" s="31" t="s">
        <v>346</v>
      </c>
      <c r="E437" s="11" t="s">
        <v>8908</v>
      </c>
      <c r="F437" s="427" t="s">
        <v>8909</v>
      </c>
      <c r="G437" s="31" t="s">
        <v>8910</v>
      </c>
      <c r="H437" s="31"/>
      <c r="I437" s="31"/>
      <c r="J437" s="31"/>
      <c r="K437" s="428"/>
      <c r="L437" s="321"/>
      <c r="M437" s="322"/>
      <c r="N437" s="323"/>
      <c r="O437" s="429"/>
      <c r="P437" s="322"/>
      <c r="Q437" s="323"/>
      <c r="R437" s="429"/>
      <c r="S437" s="322"/>
      <c r="T437" s="323"/>
      <c r="U437" s="324"/>
      <c r="V437" s="322"/>
      <c r="W437" s="323"/>
      <c r="X437" s="324" t="s">
        <v>22</v>
      </c>
      <c r="Y437" s="173" t="s">
        <v>8912</v>
      </c>
      <c r="Z437" s="322" t="s">
        <v>22</v>
      </c>
      <c r="AA437" s="67"/>
      <c r="AB437" s="319">
        <f>AA430</f>
        <v>0</v>
      </c>
      <c r="AC437" s="430"/>
      <c r="AD437" s="326" t="s">
        <v>22</v>
      </c>
      <c r="AE437" s="331"/>
      <c r="AF437" s="431"/>
      <c r="AG437" s="432"/>
      <c r="AH437" s="326"/>
      <c r="AI437" s="2"/>
      <c r="AJ437" s="59" t="str">
        <f t="shared" si="1"/>
        <v>нет з/ч</v>
      </c>
      <c r="AK437" s="61" t="str">
        <f t="shared" si="2"/>
        <v>нет з/ч</v>
      </c>
      <c r="AL437" s="61" t="str">
        <f t="shared" si="3"/>
        <v>нет з/ч</v>
      </c>
      <c r="AM437" s="304" t="str">
        <f t="shared" si="5"/>
        <v>нет з/ч</v>
      </c>
      <c r="AN437" s="2"/>
      <c r="AO437" s="289"/>
      <c r="AP437" s="296"/>
      <c r="AQ437" s="296"/>
      <c r="AR437" s="139"/>
      <c r="AS437" s="2"/>
      <c r="AT437" s="2"/>
      <c r="AU437" s="2"/>
      <c r="AV437" s="2"/>
      <c r="AW437" s="2"/>
      <c r="AX437" s="3" t="s">
        <v>9608</v>
      </c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>
      <c r="A438" s="315" t="s">
        <v>9609</v>
      </c>
      <c r="B438" s="93"/>
      <c r="C438" s="65"/>
      <c r="D438" s="31" t="s">
        <v>353</v>
      </c>
      <c r="E438" s="11" t="s">
        <v>8908</v>
      </c>
      <c r="F438" s="427" t="s">
        <v>8909</v>
      </c>
      <c r="G438" s="31" t="s">
        <v>8910</v>
      </c>
      <c r="H438" s="31"/>
      <c r="I438" s="31"/>
      <c r="J438" s="31"/>
      <c r="K438" s="428"/>
      <c r="L438" s="321"/>
      <c r="M438" s="322"/>
      <c r="N438" s="323"/>
      <c r="O438" s="429"/>
      <c r="P438" s="322"/>
      <c r="Q438" s="323"/>
      <c r="R438" s="429"/>
      <c r="S438" s="322"/>
      <c r="T438" s="323"/>
      <c r="U438" s="324"/>
      <c r="V438" s="322"/>
      <c r="W438" s="323"/>
      <c r="X438" s="324" t="s">
        <v>22</v>
      </c>
      <c r="Y438" s="173" t="s">
        <v>8912</v>
      </c>
      <c r="Z438" s="322" t="s">
        <v>22</v>
      </c>
      <c r="AA438" s="313">
        <f>MAX(Z438:Z447)</f>
        <v>0</v>
      </c>
      <c r="AB438" s="319">
        <f>AA438</f>
        <v>0</v>
      </c>
      <c r="AC438" s="430"/>
      <c r="AD438" s="326" t="s">
        <v>22</v>
      </c>
      <c r="AE438" s="331"/>
      <c r="AF438" s="431"/>
      <c r="AG438" s="432"/>
      <c r="AH438" s="326"/>
      <c r="AI438" s="2"/>
      <c r="AJ438" s="59" t="str">
        <f t="shared" si="1"/>
        <v>нет з/ч</v>
      </c>
      <c r="AK438" s="61" t="str">
        <f t="shared" si="2"/>
        <v>нет з/ч</v>
      </c>
      <c r="AL438" s="61" t="str">
        <f t="shared" si="3"/>
        <v>нет з/ч</v>
      </c>
      <c r="AM438" s="304" t="str">
        <f t="shared" si="5"/>
        <v>нет з/ч</v>
      </c>
      <c r="AN438" s="2"/>
      <c r="AO438" s="289"/>
      <c r="AP438" s="296"/>
      <c r="AQ438" s="296"/>
      <c r="AR438" s="139"/>
      <c r="AS438" s="2"/>
      <c r="AT438" s="2"/>
      <c r="AU438" s="2"/>
      <c r="AV438" s="2"/>
      <c r="AW438" s="2"/>
      <c r="AX438" s="3" t="s">
        <v>9609</v>
      </c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>
      <c r="A439" s="315" t="s">
        <v>9610</v>
      </c>
      <c r="B439" s="93"/>
      <c r="C439" s="65"/>
      <c r="D439" s="31" t="s">
        <v>353</v>
      </c>
      <c r="E439" s="11" t="s">
        <v>8908</v>
      </c>
      <c r="F439" s="427" t="s">
        <v>8909</v>
      </c>
      <c r="G439" s="31" t="s">
        <v>8910</v>
      </c>
      <c r="H439" s="31"/>
      <c r="I439" s="31"/>
      <c r="J439" s="31"/>
      <c r="K439" s="428"/>
      <c r="L439" s="321"/>
      <c r="M439" s="322"/>
      <c r="N439" s="323"/>
      <c r="O439" s="429"/>
      <c r="P439" s="322"/>
      <c r="Q439" s="323"/>
      <c r="R439" s="429"/>
      <c r="S439" s="322"/>
      <c r="T439" s="323"/>
      <c r="U439" s="324"/>
      <c r="V439" s="322"/>
      <c r="W439" s="323"/>
      <c r="X439" s="324" t="s">
        <v>22</v>
      </c>
      <c r="Y439" s="173" t="s">
        <v>8912</v>
      </c>
      <c r="Z439" s="322" t="s">
        <v>22</v>
      </c>
      <c r="AA439" s="104"/>
      <c r="AB439" s="319">
        <f>AA438</f>
        <v>0</v>
      </c>
      <c r="AC439" s="430"/>
      <c r="AD439" s="326" t="s">
        <v>22</v>
      </c>
      <c r="AE439" s="331"/>
      <c r="AF439" s="431"/>
      <c r="AG439" s="432"/>
      <c r="AH439" s="326"/>
      <c r="AI439" s="2"/>
      <c r="AJ439" s="59" t="str">
        <f t="shared" si="1"/>
        <v>нет з/ч</v>
      </c>
      <c r="AK439" s="61" t="str">
        <f t="shared" si="2"/>
        <v>нет з/ч</v>
      </c>
      <c r="AL439" s="61" t="str">
        <f t="shared" si="3"/>
        <v>нет з/ч</v>
      </c>
      <c r="AM439" s="304" t="str">
        <f t="shared" si="5"/>
        <v>нет з/ч</v>
      </c>
      <c r="AN439" s="2"/>
      <c r="AO439" s="289"/>
      <c r="AP439" s="296"/>
      <c r="AQ439" s="296"/>
      <c r="AR439" s="139"/>
      <c r="AS439" s="2"/>
      <c r="AT439" s="2"/>
      <c r="AU439" s="2"/>
      <c r="AV439" s="2"/>
      <c r="AW439" s="2"/>
      <c r="AX439" s="3" t="s">
        <v>9610</v>
      </c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>
      <c r="A440" s="315" t="s">
        <v>9611</v>
      </c>
      <c r="B440" s="93"/>
      <c r="C440" s="65"/>
      <c r="D440" s="31" t="s">
        <v>353</v>
      </c>
      <c r="E440" s="11" t="s">
        <v>8908</v>
      </c>
      <c r="F440" s="427" t="s">
        <v>8909</v>
      </c>
      <c r="G440" s="31" t="s">
        <v>8910</v>
      </c>
      <c r="H440" s="31"/>
      <c r="I440" s="31"/>
      <c r="J440" s="31"/>
      <c r="K440" s="428"/>
      <c r="L440" s="321"/>
      <c r="M440" s="322"/>
      <c r="N440" s="323"/>
      <c r="O440" s="429"/>
      <c r="P440" s="322"/>
      <c r="Q440" s="323"/>
      <c r="R440" s="429"/>
      <c r="S440" s="322"/>
      <c r="T440" s="323"/>
      <c r="U440" s="324"/>
      <c r="V440" s="322"/>
      <c r="W440" s="323"/>
      <c r="X440" s="324" t="s">
        <v>22</v>
      </c>
      <c r="Y440" s="173" t="s">
        <v>8912</v>
      </c>
      <c r="Z440" s="322" t="s">
        <v>22</v>
      </c>
      <c r="AA440" s="104"/>
      <c r="AB440" s="319">
        <f>AA438</f>
        <v>0</v>
      </c>
      <c r="AC440" s="430"/>
      <c r="AD440" s="326" t="s">
        <v>22</v>
      </c>
      <c r="AE440" s="331"/>
      <c r="AF440" s="431"/>
      <c r="AG440" s="432"/>
      <c r="AH440" s="326"/>
      <c r="AI440" s="2"/>
      <c r="AJ440" s="59" t="str">
        <f t="shared" si="1"/>
        <v>нет з/ч</v>
      </c>
      <c r="AK440" s="61" t="str">
        <f t="shared" si="2"/>
        <v>нет з/ч</v>
      </c>
      <c r="AL440" s="61" t="str">
        <f t="shared" si="3"/>
        <v>нет з/ч</v>
      </c>
      <c r="AM440" s="304" t="str">
        <f t="shared" si="5"/>
        <v>нет з/ч</v>
      </c>
      <c r="AN440" s="2"/>
      <c r="AO440" s="289"/>
      <c r="AP440" s="296"/>
      <c r="AQ440" s="296"/>
      <c r="AR440" s="139"/>
      <c r="AS440" s="2"/>
      <c r="AT440" s="2"/>
      <c r="AU440" s="2"/>
      <c r="AV440" s="2"/>
      <c r="AW440" s="2"/>
      <c r="AX440" s="3" t="s">
        <v>9611</v>
      </c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>
      <c r="A441" s="315" t="s">
        <v>9612</v>
      </c>
      <c r="B441" s="93"/>
      <c r="C441" s="65"/>
      <c r="D441" s="31" t="s">
        <v>353</v>
      </c>
      <c r="E441" s="11" t="s">
        <v>8908</v>
      </c>
      <c r="F441" s="427" t="s">
        <v>8909</v>
      </c>
      <c r="G441" s="31" t="s">
        <v>8910</v>
      </c>
      <c r="H441" s="31"/>
      <c r="I441" s="31"/>
      <c r="J441" s="31"/>
      <c r="K441" s="428"/>
      <c r="L441" s="321"/>
      <c r="M441" s="322"/>
      <c r="N441" s="323"/>
      <c r="O441" s="429"/>
      <c r="P441" s="322"/>
      <c r="Q441" s="323"/>
      <c r="R441" s="429"/>
      <c r="S441" s="322"/>
      <c r="T441" s="323"/>
      <c r="U441" s="324"/>
      <c r="V441" s="322"/>
      <c r="W441" s="323"/>
      <c r="X441" s="324" t="s">
        <v>22</v>
      </c>
      <c r="Y441" s="173" t="s">
        <v>8912</v>
      </c>
      <c r="Z441" s="322" t="s">
        <v>22</v>
      </c>
      <c r="AA441" s="104"/>
      <c r="AB441" s="319">
        <f>AA438</f>
        <v>0</v>
      </c>
      <c r="AC441" s="430"/>
      <c r="AD441" s="326" t="s">
        <v>22</v>
      </c>
      <c r="AE441" s="331"/>
      <c r="AF441" s="431"/>
      <c r="AG441" s="432"/>
      <c r="AH441" s="326"/>
      <c r="AI441" s="2"/>
      <c r="AJ441" s="59" t="str">
        <f t="shared" si="1"/>
        <v>нет з/ч</v>
      </c>
      <c r="AK441" s="61" t="str">
        <f t="shared" si="2"/>
        <v>нет з/ч</v>
      </c>
      <c r="AL441" s="61" t="str">
        <f t="shared" si="3"/>
        <v>нет з/ч</v>
      </c>
      <c r="AM441" s="304" t="str">
        <f t="shared" si="5"/>
        <v>нет з/ч</v>
      </c>
      <c r="AN441" s="2"/>
      <c r="AO441" s="289"/>
      <c r="AP441" s="296"/>
      <c r="AQ441" s="296"/>
      <c r="AR441" s="139"/>
      <c r="AS441" s="2"/>
      <c r="AT441" s="2"/>
      <c r="AU441" s="2"/>
      <c r="AV441" s="2"/>
      <c r="AW441" s="2"/>
      <c r="AX441" s="3" t="s">
        <v>9612</v>
      </c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</row>
    <row r="442">
      <c r="A442" s="315" t="s">
        <v>9613</v>
      </c>
      <c r="B442" s="93"/>
      <c r="C442" s="65"/>
      <c r="D442" s="31" t="s">
        <v>353</v>
      </c>
      <c r="E442" s="11" t="s">
        <v>8908</v>
      </c>
      <c r="F442" s="427" t="s">
        <v>8909</v>
      </c>
      <c r="G442" s="31" t="s">
        <v>8910</v>
      </c>
      <c r="H442" s="31"/>
      <c r="I442" s="31"/>
      <c r="J442" s="31"/>
      <c r="K442" s="428"/>
      <c r="L442" s="321"/>
      <c r="M442" s="322"/>
      <c r="N442" s="323"/>
      <c r="O442" s="429"/>
      <c r="P442" s="322"/>
      <c r="Q442" s="323"/>
      <c r="R442" s="429"/>
      <c r="S442" s="322"/>
      <c r="T442" s="323"/>
      <c r="U442" s="324"/>
      <c r="V442" s="322"/>
      <c r="W442" s="323"/>
      <c r="X442" s="324" t="s">
        <v>22</v>
      </c>
      <c r="Y442" s="173" t="s">
        <v>8912</v>
      </c>
      <c r="Z442" s="322" t="s">
        <v>22</v>
      </c>
      <c r="AA442" s="104"/>
      <c r="AB442" s="319">
        <f>AA438</f>
        <v>0</v>
      </c>
      <c r="AC442" s="430"/>
      <c r="AD442" s="326" t="s">
        <v>22</v>
      </c>
      <c r="AE442" s="331"/>
      <c r="AF442" s="431"/>
      <c r="AG442" s="432"/>
      <c r="AH442" s="326"/>
      <c r="AI442" s="2"/>
      <c r="AJ442" s="59" t="str">
        <f t="shared" si="1"/>
        <v>нет з/ч</v>
      </c>
      <c r="AK442" s="61" t="str">
        <f t="shared" si="2"/>
        <v>нет з/ч</v>
      </c>
      <c r="AL442" s="61" t="str">
        <f t="shared" si="3"/>
        <v>нет з/ч</v>
      </c>
      <c r="AM442" s="304" t="str">
        <f t="shared" si="5"/>
        <v>нет з/ч</v>
      </c>
      <c r="AN442" s="2"/>
      <c r="AO442" s="289"/>
      <c r="AP442" s="296"/>
      <c r="AQ442" s="296"/>
      <c r="AR442" s="139"/>
      <c r="AS442" s="2"/>
      <c r="AT442" s="2"/>
      <c r="AU442" s="2"/>
      <c r="AV442" s="2"/>
      <c r="AW442" s="2"/>
      <c r="AX442" s="3" t="s">
        <v>9613</v>
      </c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>
      <c r="A443" s="315" t="s">
        <v>9614</v>
      </c>
      <c r="B443" s="93"/>
      <c r="C443" s="65"/>
      <c r="D443" s="31" t="s">
        <v>353</v>
      </c>
      <c r="E443" s="11" t="s">
        <v>8908</v>
      </c>
      <c r="F443" s="427" t="s">
        <v>8909</v>
      </c>
      <c r="G443" s="31" t="s">
        <v>8910</v>
      </c>
      <c r="H443" s="31"/>
      <c r="I443" s="31"/>
      <c r="J443" s="31"/>
      <c r="K443" s="428"/>
      <c r="L443" s="321"/>
      <c r="M443" s="322"/>
      <c r="N443" s="323"/>
      <c r="O443" s="429"/>
      <c r="P443" s="322"/>
      <c r="Q443" s="323"/>
      <c r="R443" s="429"/>
      <c r="S443" s="322"/>
      <c r="T443" s="323"/>
      <c r="U443" s="324"/>
      <c r="V443" s="322"/>
      <c r="W443" s="323"/>
      <c r="X443" s="324" t="s">
        <v>22</v>
      </c>
      <c r="Y443" s="173" t="s">
        <v>8912</v>
      </c>
      <c r="Z443" s="322" t="s">
        <v>22</v>
      </c>
      <c r="AA443" s="104"/>
      <c r="AB443" s="319">
        <f>AA438</f>
        <v>0</v>
      </c>
      <c r="AC443" s="430"/>
      <c r="AD443" s="326" t="s">
        <v>22</v>
      </c>
      <c r="AE443" s="331"/>
      <c r="AF443" s="431"/>
      <c r="AG443" s="432"/>
      <c r="AH443" s="326"/>
      <c r="AI443" s="2"/>
      <c r="AJ443" s="59" t="str">
        <f t="shared" si="1"/>
        <v>нет з/ч</v>
      </c>
      <c r="AK443" s="61" t="str">
        <f t="shared" si="2"/>
        <v>нет з/ч</v>
      </c>
      <c r="AL443" s="61" t="str">
        <f t="shared" si="3"/>
        <v>нет з/ч</v>
      </c>
      <c r="AM443" s="304" t="str">
        <f t="shared" si="5"/>
        <v>нет з/ч</v>
      </c>
      <c r="AN443" s="2"/>
      <c r="AO443" s="289"/>
      <c r="AP443" s="296"/>
      <c r="AQ443" s="296"/>
      <c r="AR443" s="139"/>
      <c r="AS443" s="2"/>
      <c r="AT443" s="2"/>
      <c r="AU443" s="2"/>
      <c r="AV443" s="2"/>
      <c r="AW443" s="2"/>
      <c r="AX443" s="3" t="s">
        <v>9614</v>
      </c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>
      <c r="A444" s="315" t="s">
        <v>9615</v>
      </c>
      <c r="B444" s="93"/>
      <c r="C444" s="65"/>
      <c r="D444" s="31" t="s">
        <v>353</v>
      </c>
      <c r="E444" s="11" t="s">
        <v>8908</v>
      </c>
      <c r="F444" s="427" t="s">
        <v>8909</v>
      </c>
      <c r="G444" s="31" t="s">
        <v>8910</v>
      </c>
      <c r="H444" s="31"/>
      <c r="I444" s="31"/>
      <c r="J444" s="31"/>
      <c r="K444" s="428"/>
      <c r="L444" s="321"/>
      <c r="M444" s="322"/>
      <c r="N444" s="323"/>
      <c r="O444" s="429"/>
      <c r="P444" s="322"/>
      <c r="Q444" s="323"/>
      <c r="R444" s="429"/>
      <c r="S444" s="322"/>
      <c r="T444" s="323"/>
      <c r="U444" s="324"/>
      <c r="V444" s="322"/>
      <c r="W444" s="323"/>
      <c r="X444" s="324" t="s">
        <v>22</v>
      </c>
      <c r="Y444" s="173" t="s">
        <v>8912</v>
      </c>
      <c r="Z444" s="322" t="s">
        <v>22</v>
      </c>
      <c r="AA444" s="104"/>
      <c r="AB444" s="319">
        <f>AA438</f>
        <v>0</v>
      </c>
      <c r="AC444" s="430"/>
      <c r="AD444" s="326" t="s">
        <v>22</v>
      </c>
      <c r="AE444" s="331"/>
      <c r="AF444" s="431"/>
      <c r="AG444" s="432"/>
      <c r="AH444" s="326"/>
      <c r="AI444" s="2"/>
      <c r="AJ444" s="59" t="str">
        <f t="shared" si="1"/>
        <v>нет з/ч</v>
      </c>
      <c r="AK444" s="61" t="str">
        <f t="shared" si="2"/>
        <v>нет з/ч</v>
      </c>
      <c r="AL444" s="61" t="str">
        <f t="shared" si="3"/>
        <v>нет з/ч</v>
      </c>
      <c r="AM444" s="304" t="str">
        <f t="shared" si="5"/>
        <v>нет з/ч</v>
      </c>
      <c r="AN444" s="2"/>
      <c r="AO444" s="289"/>
      <c r="AP444" s="296"/>
      <c r="AQ444" s="296"/>
      <c r="AR444" s="139"/>
      <c r="AS444" s="2"/>
      <c r="AT444" s="2"/>
      <c r="AU444" s="2"/>
      <c r="AV444" s="2"/>
      <c r="AW444" s="2"/>
      <c r="AX444" s="3" t="s">
        <v>9615</v>
      </c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>
      <c r="A445" s="315" t="s">
        <v>9616</v>
      </c>
      <c r="B445" s="93"/>
      <c r="C445" s="65"/>
      <c r="D445" s="31" t="s">
        <v>353</v>
      </c>
      <c r="E445" s="11" t="s">
        <v>8908</v>
      </c>
      <c r="F445" s="427" t="s">
        <v>8909</v>
      </c>
      <c r="G445" s="31" t="s">
        <v>8910</v>
      </c>
      <c r="H445" s="31"/>
      <c r="I445" s="31"/>
      <c r="J445" s="31"/>
      <c r="K445" s="428"/>
      <c r="L445" s="321"/>
      <c r="M445" s="322"/>
      <c r="N445" s="323"/>
      <c r="O445" s="429"/>
      <c r="P445" s="322"/>
      <c r="Q445" s="323"/>
      <c r="R445" s="429"/>
      <c r="S445" s="322"/>
      <c r="T445" s="323"/>
      <c r="U445" s="324"/>
      <c r="V445" s="322"/>
      <c r="W445" s="323"/>
      <c r="X445" s="324" t="s">
        <v>22</v>
      </c>
      <c r="Y445" s="173" t="s">
        <v>8912</v>
      </c>
      <c r="Z445" s="322" t="s">
        <v>22</v>
      </c>
      <c r="AA445" s="104"/>
      <c r="AB445" s="319">
        <f>AA438</f>
        <v>0</v>
      </c>
      <c r="AC445" s="430"/>
      <c r="AD445" s="326" t="s">
        <v>22</v>
      </c>
      <c r="AE445" s="331"/>
      <c r="AF445" s="431"/>
      <c r="AG445" s="432"/>
      <c r="AH445" s="326"/>
      <c r="AI445" s="2"/>
      <c r="AJ445" s="59" t="str">
        <f t="shared" si="1"/>
        <v>нет з/ч</v>
      </c>
      <c r="AK445" s="61" t="str">
        <f t="shared" si="2"/>
        <v>нет з/ч</v>
      </c>
      <c r="AL445" s="61" t="str">
        <f t="shared" si="3"/>
        <v>нет з/ч</v>
      </c>
      <c r="AM445" s="304" t="str">
        <f t="shared" si="5"/>
        <v>нет з/ч</v>
      </c>
      <c r="AN445" s="2"/>
      <c r="AO445" s="289"/>
      <c r="AP445" s="296"/>
      <c r="AQ445" s="296"/>
      <c r="AR445" s="139"/>
      <c r="AS445" s="2"/>
      <c r="AT445" s="2"/>
      <c r="AU445" s="2"/>
      <c r="AV445" s="2"/>
      <c r="AW445" s="2"/>
      <c r="AX445" s="3" t="s">
        <v>9616</v>
      </c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>
      <c r="A446" s="315" t="s">
        <v>9617</v>
      </c>
      <c r="B446" s="93"/>
      <c r="C446" s="65"/>
      <c r="D446" s="31" t="s">
        <v>353</v>
      </c>
      <c r="E446" s="11" t="s">
        <v>8908</v>
      </c>
      <c r="F446" s="427" t="s">
        <v>8909</v>
      </c>
      <c r="G446" s="31" t="s">
        <v>8910</v>
      </c>
      <c r="H446" s="31"/>
      <c r="I446" s="31"/>
      <c r="J446" s="31"/>
      <c r="K446" s="428"/>
      <c r="L446" s="321"/>
      <c r="M446" s="322"/>
      <c r="N446" s="323"/>
      <c r="O446" s="429"/>
      <c r="P446" s="322"/>
      <c r="Q446" s="323"/>
      <c r="R446" s="429"/>
      <c r="S446" s="322"/>
      <c r="T446" s="323"/>
      <c r="U446" s="324"/>
      <c r="V446" s="322"/>
      <c r="W446" s="323"/>
      <c r="X446" s="324" t="s">
        <v>22</v>
      </c>
      <c r="Y446" s="173" t="s">
        <v>8912</v>
      </c>
      <c r="Z446" s="322" t="s">
        <v>22</v>
      </c>
      <c r="AA446" s="104"/>
      <c r="AB446" s="319">
        <f>AA438</f>
        <v>0</v>
      </c>
      <c r="AC446" s="430"/>
      <c r="AD446" s="326" t="s">
        <v>22</v>
      </c>
      <c r="AE446" s="331"/>
      <c r="AF446" s="431"/>
      <c r="AG446" s="432"/>
      <c r="AH446" s="326"/>
      <c r="AI446" s="2"/>
      <c r="AJ446" s="59" t="str">
        <f t="shared" si="1"/>
        <v>нет з/ч</v>
      </c>
      <c r="AK446" s="61" t="str">
        <f t="shared" si="2"/>
        <v>нет з/ч</v>
      </c>
      <c r="AL446" s="61" t="str">
        <f t="shared" si="3"/>
        <v>нет з/ч</v>
      </c>
      <c r="AM446" s="304" t="str">
        <f t="shared" si="5"/>
        <v>нет з/ч</v>
      </c>
      <c r="AN446" s="2"/>
      <c r="AO446" s="289"/>
      <c r="AP446" s="296"/>
      <c r="AQ446" s="296"/>
      <c r="AR446" s="139"/>
      <c r="AS446" s="2"/>
      <c r="AT446" s="2"/>
      <c r="AU446" s="2"/>
      <c r="AV446" s="2"/>
      <c r="AW446" s="2"/>
      <c r="AX446" s="3" t="s">
        <v>9617</v>
      </c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>
      <c r="A447" s="315" t="s">
        <v>9618</v>
      </c>
      <c r="B447" s="93"/>
      <c r="C447" s="65"/>
      <c r="D447" s="31" t="s">
        <v>353</v>
      </c>
      <c r="E447" s="11" t="s">
        <v>8908</v>
      </c>
      <c r="F447" s="427" t="s">
        <v>8909</v>
      </c>
      <c r="G447" s="31" t="s">
        <v>8910</v>
      </c>
      <c r="H447" s="31"/>
      <c r="I447" s="31"/>
      <c r="J447" s="31"/>
      <c r="K447" s="428"/>
      <c r="L447" s="321"/>
      <c r="M447" s="322"/>
      <c r="N447" s="323"/>
      <c r="O447" s="429"/>
      <c r="P447" s="322"/>
      <c r="Q447" s="323"/>
      <c r="R447" s="429"/>
      <c r="S447" s="322"/>
      <c r="T447" s="323"/>
      <c r="U447" s="324"/>
      <c r="V447" s="322"/>
      <c r="W447" s="323"/>
      <c r="X447" s="324" t="s">
        <v>22</v>
      </c>
      <c r="Y447" s="173" t="s">
        <v>8912</v>
      </c>
      <c r="Z447" s="322" t="s">
        <v>22</v>
      </c>
      <c r="AA447" s="67"/>
      <c r="AB447" s="319">
        <f>AA438</f>
        <v>0</v>
      </c>
      <c r="AC447" s="430"/>
      <c r="AD447" s="326" t="s">
        <v>22</v>
      </c>
      <c r="AE447" s="331"/>
      <c r="AF447" s="431"/>
      <c r="AG447" s="432"/>
      <c r="AH447" s="326"/>
      <c r="AI447" s="2"/>
      <c r="AJ447" s="59" t="str">
        <f t="shared" si="1"/>
        <v>нет з/ч</v>
      </c>
      <c r="AK447" s="61" t="str">
        <f t="shared" si="2"/>
        <v>нет з/ч</v>
      </c>
      <c r="AL447" s="61" t="str">
        <f t="shared" si="3"/>
        <v>нет з/ч</v>
      </c>
      <c r="AM447" s="304" t="str">
        <f t="shared" si="5"/>
        <v>нет з/ч</v>
      </c>
      <c r="AN447" s="2"/>
      <c r="AO447" s="289"/>
      <c r="AP447" s="296"/>
      <c r="AQ447" s="296"/>
      <c r="AR447" s="139"/>
      <c r="AS447" s="2"/>
      <c r="AT447" s="2"/>
      <c r="AU447" s="2"/>
      <c r="AV447" s="2"/>
      <c r="AW447" s="2"/>
      <c r="AX447" s="3" t="s">
        <v>9618</v>
      </c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>
      <c r="A448" s="315" t="s">
        <v>9619</v>
      </c>
      <c r="B448" s="93"/>
      <c r="C448" s="65"/>
      <c r="D448" s="31" t="s">
        <v>360</v>
      </c>
      <c r="E448" s="11" t="s">
        <v>8908</v>
      </c>
      <c r="F448" s="427" t="s">
        <v>8909</v>
      </c>
      <c r="G448" s="31" t="s">
        <v>8910</v>
      </c>
      <c r="H448" s="31"/>
      <c r="I448" s="31"/>
      <c r="J448" s="31"/>
      <c r="K448" s="428"/>
      <c r="L448" s="321"/>
      <c r="M448" s="322"/>
      <c r="N448" s="323"/>
      <c r="O448" s="429"/>
      <c r="P448" s="322"/>
      <c r="Q448" s="323"/>
      <c r="R448" s="429"/>
      <c r="S448" s="322"/>
      <c r="T448" s="323"/>
      <c r="U448" s="324"/>
      <c r="V448" s="322"/>
      <c r="W448" s="323"/>
      <c r="X448" s="324" t="s">
        <v>22</v>
      </c>
      <c r="Y448" s="173" t="s">
        <v>8912</v>
      </c>
      <c r="Z448" s="322" t="s">
        <v>22</v>
      </c>
      <c r="AA448" s="313">
        <f>MAX(Z448:Z455)</f>
        <v>0</v>
      </c>
      <c r="AB448" s="319">
        <f>AA448</f>
        <v>0</v>
      </c>
      <c r="AC448" s="430"/>
      <c r="AD448" s="326" t="s">
        <v>22</v>
      </c>
      <c r="AE448" s="331"/>
      <c r="AF448" s="431"/>
      <c r="AG448" s="432"/>
      <c r="AH448" s="326"/>
      <c r="AI448" s="2"/>
      <c r="AJ448" s="59" t="str">
        <f t="shared" si="1"/>
        <v>нет з/ч</v>
      </c>
      <c r="AK448" s="61" t="str">
        <f t="shared" si="2"/>
        <v>нет з/ч</v>
      </c>
      <c r="AL448" s="61" t="str">
        <f t="shared" si="3"/>
        <v>нет з/ч</v>
      </c>
      <c r="AM448" s="304" t="str">
        <f t="shared" si="5"/>
        <v>нет з/ч</v>
      </c>
      <c r="AN448" s="2"/>
      <c r="AO448" s="289"/>
      <c r="AP448" s="296"/>
      <c r="AQ448" s="296"/>
      <c r="AR448" s="139"/>
      <c r="AS448" s="2"/>
      <c r="AT448" s="2"/>
      <c r="AU448" s="2"/>
      <c r="AV448" s="2"/>
      <c r="AW448" s="2"/>
      <c r="AX448" s="3" t="s">
        <v>9619</v>
      </c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>
      <c r="A449" s="315" t="s">
        <v>9620</v>
      </c>
      <c r="B449" s="93"/>
      <c r="C449" s="65"/>
      <c r="D449" s="31" t="s">
        <v>360</v>
      </c>
      <c r="E449" s="11" t="s">
        <v>8908</v>
      </c>
      <c r="F449" s="427" t="s">
        <v>8909</v>
      </c>
      <c r="G449" s="31" t="s">
        <v>8910</v>
      </c>
      <c r="H449" s="31"/>
      <c r="I449" s="31"/>
      <c r="J449" s="31"/>
      <c r="K449" s="428"/>
      <c r="L449" s="321"/>
      <c r="M449" s="322"/>
      <c r="N449" s="323"/>
      <c r="O449" s="429"/>
      <c r="P449" s="322"/>
      <c r="Q449" s="323"/>
      <c r="R449" s="429"/>
      <c r="S449" s="322"/>
      <c r="T449" s="323"/>
      <c r="U449" s="324"/>
      <c r="V449" s="322"/>
      <c r="W449" s="323"/>
      <c r="X449" s="324" t="s">
        <v>22</v>
      </c>
      <c r="Y449" s="173" t="s">
        <v>8912</v>
      </c>
      <c r="Z449" s="322" t="s">
        <v>22</v>
      </c>
      <c r="AA449" s="104"/>
      <c r="AB449" s="319">
        <f>AA448</f>
        <v>0</v>
      </c>
      <c r="AC449" s="430"/>
      <c r="AD449" s="326" t="s">
        <v>22</v>
      </c>
      <c r="AE449" s="331"/>
      <c r="AF449" s="431"/>
      <c r="AG449" s="432"/>
      <c r="AH449" s="326"/>
      <c r="AI449" s="2"/>
      <c r="AJ449" s="59" t="str">
        <f t="shared" si="1"/>
        <v>нет з/ч</v>
      </c>
      <c r="AK449" s="61" t="str">
        <f t="shared" si="2"/>
        <v>нет з/ч</v>
      </c>
      <c r="AL449" s="61" t="str">
        <f t="shared" si="3"/>
        <v>нет з/ч</v>
      </c>
      <c r="AM449" s="304" t="str">
        <f t="shared" si="5"/>
        <v>нет з/ч</v>
      </c>
      <c r="AN449" s="2"/>
      <c r="AO449" s="289"/>
      <c r="AP449" s="296"/>
      <c r="AQ449" s="296"/>
      <c r="AR449" s="139"/>
      <c r="AS449" s="2"/>
      <c r="AT449" s="2"/>
      <c r="AU449" s="2"/>
      <c r="AV449" s="2"/>
      <c r="AW449" s="2"/>
      <c r="AX449" s="3" t="s">
        <v>9620</v>
      </c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>
      <c r="A450" s="315" t="s">
        <v>9621</v>
      </c>
      <c r="B450" s="93"/>
      <c r="C450" s="65"/>
      <c r="D450" s="31" t="s">
        <v>360</v>
      </c>
      <c r="E450" s="11" t="s">
        <v>8908</v>
      </c>
      <c r="F450" s="427" t="s">
        <v>8909</v>
      </c>
      <c r="G450" s="31" t="s">
        <v>8910</v>
      </c>
      <c r="H450" s="31"/>
      <c r="I450" s="31"/>
      <c r="J450" s="31"/>
      <c r="K450" s="428"/>
      <c r="L450" s="321"/>
      <c r="M450" s="322"/>
      <c r="N450" s="323"/>
      <c r="O450" s="429"/>
      <c r="P450" s="322"/>
      <c r="Q450" s="323"/>
      <c r="R450" s="429"/>
      <c r="S450" s="322"/>
      <c r="T450" s="323"/>
      <c r="U450" s="324"/>
      <c r="V450" s="322"/>
      <c r="W450" s="323"/>
      <c r="X450" s="324" t="s">
        <v>22</v>
      </c>
      <c r="Y450" s="173" t="s">
        <v>8912</v>
      </c>
      <c r="Z450" s="322" t="s">
        <v>22</v>
      </c>
      <c r="AA450" s="104"/>
      <c r="AB450" s="319">
        <f>AA448</f>
        <v>0</v>
      </c>
      <c r="AC450" s="430"/>
      <c r="AD450" s="326" t="s">
        <v>22</v>
      </c>
      <c r="AE450" s="331"/>
      <c r="AF450" s="431"/>
      <c r="AG450" s="432"/>
      <c r="AH450" s="326"/>
      <c r="AI450" s="2"/>
      <c r="AJ450" s="59" t="str">
        <f t="shared" si="1"/>
        <v>нет з/ч</v>
      </c>
      <c r="AK450" s="61" t="str">
        <f t="shared" si="2"/>
        <v>нет з/ч</v>
      </c>
      <c r="AL450" s="61" t="str">
        <f t="shared" si="3"/>
        <v>нет з/ч</v>
      </c>
      <c r="AM450" s="304" t="str">
        <f t="shared" si="5"/>
        <v>нет з/ч</v>
      </c>
      <c r="AN450" s="2"/>
      <c r="AO450" s="289"/>
      <c r="AP450" s="296"/>
      <c r="AQ450" s="296"/>
      <c r="AR450" s="139"/>
      <c r="AS450" s="2"/>
      <c r="AT450" s="2"/>
      <c r="AU450" s="2"/>
      <c r="AV450" s="2"/>
      <c r="AW450" s="2"/>
      <c r="AX450" s="3" t="s">
        <v>9621</v>
      </c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>
      <c r="A451" s="315" t="s">
        <v>9622</v>
      </c>
      <c r="B451" s="93"/>
      <c r="C451" s="65"/>
      <c r="D451" s="31" t="s">
        <v>360</v>
      </c>
      <c r="E451" s="11" t="s">
        <v>8908</v>
      </c>
      <c r="F451" s="427" t="s">
        <v>8909</v>
      </c>
      <c r="G451" s="31" t="s">
        <v>8910</v>
      </c>
      <c r="H451" s="31"/>
      <c r="I451" s="31"/>
      <c r="J451" s="31"/>
      <c r="K451" s="428"/>
      <c r="L451" s="321"/>
      <c r="M451" s="322"/>
      <c r="N451" s="323"/>
      <c r="O451" s="429"/>
      <c r="P451" s="322"/>
      <c r="Q451" s="323"/>
      <c r="R451" s="429"/>
      <c r="S451" s="322"/>
      <c r="T451" s="323"/>
      <c r="U451" s="324"/>
      <c r="V451" s="322"/>
      <c r="W451" s="323"/>
      <c r="X451" s="324" t="s">
        <v>22</v>
      </c>
      <c r="Y451" s="173" t="s">
        <v>8912</v>
      </c>
      <c r="Z451" s="322" t="s">
        <v>22</v>
      </c>
      <c r="AA451" s="104"/>
      <c r="AB451" s="319">
        <f>AA448</f>
        <v>0</v>
      </c>
      <c r="AC451" s="430"/>
      <c r="AD451" s="326" t="s">
        <v>22</v>
      </c>
      <c r="AE451" s="331"/>
      <c r="AF451" s="431"/>
      <c r="AG451" s="432"/>
      <c r="AH451" s="326"/>
      <c r="AI451" s="2"/>
      <c r="AJ451" s="59" t="str">
        <f t="shared" si="1"/>
        <v>нет з/ч</v>
      </c>
      <c r="AK451" s="61" t="str">
        <f t="shared" si="2"/>
        <v>нет з/ч</v>
      </c>
      <c r="AL451" s="61" t="str">
        <f t="shared" si="3"/>
        <v>нет з/ч</v>
      </c>
      <c r="AM451" s="304" t="str">
        <f t="shared" si="5"/>
        <v>нет з/ч</v>
      </c>
      <c r="AN451" s="2"/>
      <c r="AO451" s="289"/>
      <c r="AP451" s="296"/>
      <c r="AQ451" s="296"/>
      <c r="AR451" s="139"/>
      <c r="AS451" s="2"/>
      <c r="AT451" s="2"/>
      <c r="AU451" s="2"/>
      <c r="AV451" s="2"/>
      <c r="AW451" s="2"/>
      <c r="AX451" s="3" t="s">
        <v>9622</v>
      </c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>
      <c r="A452" s="315" t="s">
        <v>9623</v>
      </c>
      <c r="B452" s="93"/>
      <c r="C452" s="65"/>
      <c r="D452" s="31" t="s">
        <v>360</v>
      </c>
      <c r="E452" s="11" t="s">
        <v>8908</v>
      </c>
      <c r="F452" s="427" t="s">
        <v>8909</v>
      </c>
      <c r="G452" s="31" t="s">
        <v>8910</v>
      </c>
      <c r="H452" s="31"/>
      <c r="I452" s="31"/>
      <c r="J452" s="31"/>
      <c r="K452" s="428"/>
      <c r="L452" s="321"/>
      <c r="M452" s="322"/>
      <c r="N452" s="323"/>
      <c r="O452" s="429"/>
      <c r="P452" s="322"/>
      <c r="Q452" s="323"/>
      <c r="R452" s="429"/>
      <c r="S452" s="322"/>
      <c r="T452" s="323"/>
      <c r="U452" s="324"/>
      <c r="V452" s="322"/>
      <c r="W452" s="323"/>
      <c r="X452" s="324" t="s">
        <v>22</v>
      </c>
      <c r="Y452" s="173" t="s">
        <v>8912</v>
      </c>
      <c r="Z452" s="322" t="s">
        <v>22</v>
      </c>
      <c r="AA452" s="104"/>
      <c r="AB452" s="319">
        <f>AA448</f>
        <v>0</v>
      </c>
      <c r="AC452" s="430"/>
      <c r="AD452" s="326" t="s">
        <v>22</v>
      </c>
      <c r="AE452" s="331"/>
      <c r="AF452" s="431"/>
      <c r="AG452" s="432"/>
      <c r="AH452" s="326"/>
      <c r="AI452" s="2"/>
      <c r="AJ452" s="59" t="str">
        <f t="shared" si="1"/>
        <v>нет з/ч</v>
      </c>
      <c r="AK452" s="61" t="str">
        <f t="shared" si="2"/>
        <v>нет з/ч</v>
      </c>
      <c r="AL452" s="61" t="str">
        <f t="shared" si="3"/>
        <v>нет з/ч</v>
      </c>
      <c r="AM452" s="304" t="str">
        <f t="shared" si="5"/>
        <v>нет з/ч</v>
      </c>
      <c r="AN452" s="2"/>
      <c r="AO452" s="289"/>
      <c r="AP452" s="296"/>
      <c r="AQ452" s="296"/>
      <c r="AR452" s="139"/>
      <c r="AS452" s="2"/>
      <c r="AT452" s="2"/>
      <c r="AU452" s="2"/>
      <c r="AV452" s="2"/>
      <c r="AW452" s="2"/>
      <c r="AX452" s="3" t="s">
        <v>9623</v>
      </c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>
      <c r="A453" s="315" t="s">
        <v>9624</v>
      </c>
      <c r="B453" s="93"/>
      <c r="C453" s="65"/>
      <c r="D453" s="31" t="s">
        <v>360</v>
      </c>
      <c r="E453" s="11" t="s">
        <v>8908</v>
      </c>
      <c r="F453" s="427" t="s">
        <v>8909</v>
      </c>
      <c r="G453" s="31" t="s">
        <v>8910</v>
      </c>
      <c r="H453" s="31"/>
      <c r="I453" s="31"/>
      <c r="J453" s="31"/>
      <c r="K453" s="428"/>
      <c r="L453" s="321"/>
      <c r="M453" s="322"/>
      <c r="N453" s="323"/>
      <c r="O453" s="429"/>
      <c r="P453" s="322"/>
      <c r="Q453" s="323"/>
      <c r="R453" s="429"/>
      <c r="S453" s="322"/>
      <c r="T453" s="323"/>
      <c r="U453" s="324"/>
      <c r="V453" s="322"/>
      <c r="W453" s="323"/>
      <c r="X453" s="324" t="s">
        <v>22</v>
      </c>
      <c r="Y453" s="173" t="s">
        <v>8912</v>
      </c>
      <c r="Z453" s="322" t="s">
        <v>22</v>
      </c>
      <c r="AA453" s="104"/>
      <c r="AB453" s="319">
        <f>AA448</f>
        <v>0</v>
      </c>
      <c r="AC453" s="430"/>
      <c r="AD453" s="326" t="s">
        <v>22</v>
      </c>
      <c r="AE453" s="331"/>
      <c r="AF453" s="431"/>
      <c r="AG453" s="432"/>
      <c r="AH453" s="326"/>
      <c r="AI453" s="2"/>
      <c r="AJ453" s="59" t="str">
        <f t="shared" si="1"/>
        <v>нет з/ч</v>
      </c>
      <c r="AK453" s="61" t="str">
        <f t="shared" si="2"/>
        <v>нет з/ч</v>
      </c>
      <c r="AL453" s="61" t="str">
        <f t="shared" si="3"/>
        <v>нет з/ч</v>
      </c>
      <c r="AM453" s="304" t="str">
        <f t="shared" si="5"/>
        <v>нет з/ч</v>
      </c>
      <c r="AN453" s="2"/>
      <c r="AO453" s="289"/>
      <c r="AP453" s="296"/>
      <c r="AQ453" s="296"/>
      <c r="AR453" s="139"/>
      <c r="AS453" s="2"/>
      <c r="AT453" s="2"/>
      <c r="AU453" s="2"/>
      <c r="AV453" s="2"/>
      <c r="AW453" s="2"/>
      <c r="AX453" s="3" t="s">
        <v>9624</v>
      </c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>
      <c r="A454" s="315" t="s">
        <v>9625</v>
      </c>
      <c r="B454" s="93"/>
      <c r="C454" s="65"/>
      <c r="D454" s="31" t="s">
        <v>360</v>
      </c>
      <c r="E454" s="11" t="s">
        <v>8908</v>
      </c>
      <c r="F454" s="427" t="s">
        <v>8909</v>
      </c>
      <c r="G454" s="31" t="s">
        <v>8910</v>
      </c>
      <c r="H454" s="31"/>
      <c r="I454" s="31"/>
      <c r="J454" s="31"/>
      <c r="K454" s="428"/>
      <c r="L454" s="321"/>
      <c r="M454" s="322"/>
      <c r="N454" s="323"/>
      <c r="O454" s="429"/>
      <c r="P454" s="322"/>
      <c r="Q454" s="323"/>
      <c r="R454" s="429"/>
      <c r="S454" s="322"/>
      <c r="T454" s="323"/>
      <c r="U454" s="324"/>
      <c r="V454" s="322"/>
      <c r="W454" s="323"/>
      <c r="X454" s="324" t="s">
        <v>22</v>
      </c>
      <c r="Y454" s="173" t="s">
        <v>8912</v>
      </c>
      <c r="Z454" s="322" t="s">
        <v>22</v>
      </c>
      <c r="AA454" s="104"/>
      <c r="AB454" s="319">
        <f>AA448</f>
        <v>0</v>
      </c>
      <c r="AC454" s="430"/>
      <c r="AD454" s="326" t="s">
        <v>22</v>
      </c>
      <c r="AE454" s="331"/>
      <c r="AF454" s="431"/>
      <c r="AG454" s="432"/>
      <c r="AH454" s="326"/>
      <c r="AI454" s="2"/>
      <c r="AJ454" s="59" t="str">
        <f t="shared" si="1"/>
        <v>нет з/ч</v>
      </c>
      <c r="AK454" s="61" t="str">
        <f t="shared" si="2"/>
        <v>нет з/ч</v>
      </c>
      <c r="AL454" s="61" t="str">
        <f t="shared" si="3"/>
        <v>нет з/ч</v>
      </c>
      <c r="AM454" s="304" t="str">
        <f t="shared" si="5"/>
        <v>нет з/ч</v>
      </c>
      <c r="AN454" s="2"/>
      <c r="AO454" s="289"/>
      <c r="AP454" s="296"/>
      <c r="AQ454" s="296"/>
      <c r="AR454" s="139"/>
      <c r="AS454" s="2"/>
      <c r="AT454" s="2"/>
      <c r="AU454" s="2"/>
      <c r="AV454" s="2"/>
      <c r="AW454" s="2"/>
      <c r="AX454" s="3" t="s">
        <v>9625</v>
      </c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>
      <c r="A455" s="315" t="s">
        <v>9626</v>
      </c>
      <c r="B455" s="93"/>
      <c r="C455" s="65"/>
      <c r="D455" s="31" t="s">
        <v>360</v>
      </c>
      <c r="E455" s="11" t="s">
        <v>8908</v>
      </c>
      <c r="F455" s="427" t="s">
        <v>8909</v>
      </c>
      <c r="G455" s="31" t="s">
        <v>8910</v>
      </c>
      <c r="H455" s="31"/>
      <c r="I455" s="31"/>
      <c r="J455" s="31"/>
      <c r="K455" s="428"/>
      <c r="L455" s="321"/>
      <c r="M455" s="322"/>
      <c r="N455" s="323"/>
      <c r="O455" s="429"/>
      <c r="P455" s="322"/>
      <c r="Q455" s="323"/>
      <c r="R455" s="429"/>
      <c r="S455" s="322"/>
      <c r="T455" s="323"/>
      <c r="U455" s="324"/>
      <c r="V455" s="322"/>
      <c r="W455" s="323"/>
      <c r="X455" s="324" t="s">
        <v>22</v>
      </c>
      <c r="Y455" s="173" t="s">
        <v>8912</v>
      </c>
      <c r="Z455" s="322" t="s">
        <v>22</v>
      </c>
      <c r="AA455" s="67"/>
      <c r="AB455" s="319">
        <f>AA448</f>
        <v>0</v>
      </c>
      <c r="AC455" s="430"/>
      <c r="AD455" s="326" t="s">
        <v>22</v>
      </c>
      <c r="AE455" s="331"/>
      <c r="AF455" s="431"/>
      <c r="AG455" s="432"/>
      <c r="AH455" s="326"/>
      <c r="AI455" s="2"/>
      <c r="AJ455" s="59" t="str">
        <f t="shared" si="1"/>
        <v>нет з/ч</v>
      </c>
      <c r="AK455" s="61" t="str">
        <f t="shared" si="2"/>
        <v>нет з/ч</v>
      </c>
      <c r="AL455" s="61" t="str">
        <f t="shared" si="3"/>
        <v>нет з/ч</v>
      </c>
      <c r="AM455" s="304" t="str">
        <f t="shared" si="5"/>
        <v>нет з/ч</v>
      </c>
      <c r="AN455" s="2"/>
      <c r="AO455" s="289"/>
      <c r="AP455" s="296"/>
      <c r="AQ455" s="296"/>
      <c r="AR455" s="139"/>
      <c r="AS455" s="2"/>
      <c r="AT455" s="2"/>
      <c r="AU455" s="2"/>
      <c r="AV455" s="2"/>
      <c r="AW455" s="2"/>
      <c r="AX455" s="3" t="s">
        <v>9626</v>
      </c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>
      <c r="A456" s="315" t="s">
        <v>9627</v>
      </c>
      <c r="B456" s="93"/>
      <c r="C456" s="65"/>
      <c r="D456" s="31" t="s">
        <v>367</v>
      </c>
      <c r="E456" s="11" t="s">
        <v>8908</v>
      </c>
      <c r="F456" s="427" t="s">
        <v>8909</v>
      </c>
      <c r="G456" s="31" t="s">
        <v>8910</v>
      </c>
      <c r="H456" s="31"/>
      <c r="I456" s="31"/>
      <c r="J456" s="31"/>
      <c r="K456" s="428"/>
      <c r="L456" s="321"/>
      <c r="M456" s="322"/>
      <c r="N456" s="323"/>
      <c r="O456" s="429"/>
      <c r="P456" s="322"/>
      <c r="Q456" s="323"/>
      <c r="R456" s="429"/>
      <c r="S456" s="322"/>
      <c r="T456" s="323"/>
      <c r="U456" s="324"/>
      <c r="V456" s="322"/>
      <c r="W456" s="323"/>
      <c r="X456" s="324" t="s">
        <v>22</v>
      </c>
      <c r="Y456" s="173" t="s">
        <v>8912</v>
      </c>
      <c r="Z456" s="322" t="s">
        <v>22</v>
      </c>
      <c r="AA456" s="313">
        <f>MAX(Z456:Z461)</f>
        <v>0</v>
      </c>
      <c r="AB456" s="319">
        <f>AA456</f>
        <v>0</v>
      </c>
      <c r="AC456" s="430"/>
      <c r="AD456" s="326" t="s">
        <v>22</v>
      </c>
      <c r="AE456" s="331"/>
      <c r="AF456" s="431"/>
      <c r="AG456" s="432"/>
      <c r="AH456" s="326"/>
      <c r="AI456" s="2"/>
      <c r="AJ456" s="59" t="str">
        <f t="shared" si="1"/>
        <v>нет з/ч</v>
      </c>
      <c r="AK456" s="61" t="str">
        <f t="shared" si="2"/>
        <v>нет з/ч</v>
      </c>
      <c r="AL456" s="61" t="str">
        <f t="shared" si="3"/>
        <v>нет з/ч</v>
      </c>
      <c r="AM456" s="304" t="str">
        <f t="shared" si="5"/>
        <v>нет з/ч</v>
      </c>
      <c r="AN456" s="2"/>
      <c r="AO456" s="289"/>
      <c r="AP456" s="296"/>
      <c r="AQ456" s="296"/>
      <c r="AR456" s="139"/>
      <c r="AS456" s="2"/>
      <c r="AT456" s="2"/>
      <c r="AU456" s="2"/>
      <c r="AV456" s="2"/>
      <c r="AW456" s="2"/>
      <c r="AX456" s="3" t="s">
        <v>9627</v>
      </c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>
      <c r="A457" s="315" t="s">
        <v>9628</v>
      </c>
      <c r="B457" s="93"/>
      <c r="C457" s="65"/>
      <c r="D457" s="31" t="s">
        <v>367</v>
      </c>
      <c r="E457" s="11" t="s">
        <v>8908</v>
      </c>
      <c r="F457" s="427" t="s">
        <v>8909</v>
      </c>
      <c r="G457" s="31" t="s">
        <v>8910</v>
      </c>
      <c r="H457" s="31"/>
      <c r="I457" s="31"/>
      <c r="J457" s="31"/>
      <c r="K457" s="428"/>
      <c r="L457" s="321"/>
      <c r="M457" s="322"/>
      <c r="N457" s="323"/>
      <c r="O457" s="429"/>
      <c r="P457" s="322"/>
      <c r="Q457" s="323"/>
      <c r="R457" s="429"/>
      <c r="S457" s="322"/>
      <c r="T457" s="323"/>
      <c r="U457" s="324"/>
      <c r="V457" s="322"/>
      <c r="W457" s="323"/>
      <c r="X457" s="324" t="s">
        <v>22</v>
      </c>
      <c r="Y457" s="173" t="s">
        <v>8912</v>
      </c>
      <c r="Z457" s="322" t="s">
        <v>22</v>
      </c>
      <c r="AA457" s="104"/>
      <c r="AB457" s="319">
        <f>AA456</f>
        <v>0</v>
      </c>
      <c r="AC457" s="430"/>
      <c r="AD457" s="326" t="s">
        <v>22</v>
      </c>
      <c r="AE457" s="331"/>
      <c r="AF457" s="431"/>
      <c r="AG457" s="432"/>
      <c r="AH457" s="326"/>
      <c r="AI457" s="2"/>
      <c r="AJ457" s="59" t="str">
        <f t="shared" si="1"/>
        <v>нет з/ч</v>
      </c>
      <c r="AK457" s="61" t="str">
        <f t="shared" si="2"/>
        <v>нет з/ч</v>
      </c>
      <c r="AL457" s="61" t="str">
        <f t="shared" si="3"/>
        <v>нет з/ч</v>
      </c>
      <c r="AM457" s="304" t="str">
        <f t="shared" si="5"/>
        <v>нет з/ч</v>
      </c>
      <c r="AN457" s="2"/>
      <c r="AO457" s="289"/>
      <c r="AP457" s="296"/>
      <c r="AQ457" s="296"/>
      <c r="AR457" s="139"/>
      <c r="AS457" s="2"/>
      <c r="AT457" s="2"/>
      <c r="AU457" s="2"/>
      <c r="AV457" s="2"/>
      <c r="AW457" s="2"/>
      <c r="AX457" s="3" t="s">
        <v>9628</v>
      </c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>
      <c r="A458" s="315" t="s">
        <v>9629</v>
      </c>
      <c r="B458" s="93"/>
      <c r="C458" s="65"/>
      <c r="D458" s="31" t="s">
        <v>367</v>
      </c>
      <c r="E458" s="11" t="s">
        <v>8908</v>
      </c>
      <c r="F458" s="427" t="s">
        <v>8909</v>
      </c>
      <c r="G458" s="31" t="s">
        <v>8910</v>
      </c>
      <c r="H458" s="31"/>
      <c r="I458" s="31"/>
      <c r="J458" s="31"/>
      <c r="K458" s="428"/>
      <c r="L458" s="321"/>
      <c r="M458" s="322"/>
      <c r="N458" s="323"/>
      <c r="O458" s="429"/>
      <c r="P458" s="322"/>
      <c r="Q458" s="323"/>
      <c r="R458" s="429"/>
      <c r="S458" s="322"/>
      <c r="T458" s="323"/>
      <c r="U458" s="324"/>
      <c r="V458" s="322"/>
      <c r="W458" s="323"/>
      <c r="X458" s="324" t="s">
        <v>22</v>
      </c>
      <c r="Y458" s="173" t="s">
        <v>8912</v>
      </c>
      <c r="Z458" s="322" t="s">
        <v>22</v>
      </c>
      <c r="AA458" s="104"/>
      <c r="AB458" s="319">
        <f>AA456</f>
        <v>0</v>
      </c>
      <c r="AC458" s="430"/>
      <c r="AD458" s="326" t="s">
        <v>22</v>
      </c>
      <c r="AE458" s="331"/>
      <c r="AF458" s="431"/>
      <c r="AG458" s="432"/>
      <c r="AH458" s="326"/>
      <c r="AI458" s="2"/>
      <c r="AJ458" s="59" t="str">
        <f t="shared" si="1"/>
        <v>нет з/ч</v>
      </c>
      <c r="AK458" s="61" t="str">
        <f t="shared" si="2"/>
        <v>нет з/ч</v>
      </c>
      <c r="AL458" s="61" t="str">
        <f t="shared" si="3"/>
        <v>нет з/ч</v>
      </c>
      <c r="AM458" s="304" t="str">
        <f t="shared" si="5"/>
        <v>нет з/ч</v>
      </c>
      <c r="AN458" s="2"/>
      <c r="AO458" s="289"/>
      <c r="AP458" s="296"/>
      <c r="AQ458" s="296"/>
      <c r="AR458" s="139"/>
      <c r="AS458" s="2"/>
      <c r="AT458" s="2"/>
      <c r="AU458" s="2"/>
      <c r="AV458" s="2"/>
      <c r="AW458" s="2"/>
      <c r="AX458" s="3" t="s">
        <v>9629</v>
      </c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>
      <c r="A459" s="315" t="s">
        <v>9630</v>
      </c>
      <c r="B459" s="93"/>
      <c r="C459" s="65"/>
      <c r="D459" s="31" t="s">
        <v>367</v>
      </c>
      <c r="E459" s="11" t="s">
        <v>8908</v>
      </c>
      <c r="F459" s="427" t="s">
        <v>8909</v>
      </c>
      <c r="G459" s="31" t="s">
        <v>8910</v>
      </c>
      <c r="H459" s="31"/>
      <c r="I459" s="31"/>
      <c r="J459" s="31"/>
      <c r="K459" s="428"/>
      <c r="L459" s="321"/>
      <c r="M459" s="322"/>
      <c r="N459" s="323"/>
      <c r="O459" s="429"/>
      <c r="P459" s="322"/>
      <c r="Q459" s="323"/>
      <c r="R459" s="429"/>
      <c r="S459" s="322"/>
      <c r="T459" s="323"/>
      <c r="U459" s="324"/>
      <c r="V459" s="322"/>
      <c r="W459" s="323"/>
      <c r="X459" s="324" t="s">
        <v>22</v>
      </c>
      <c r="Y459" s="173" t="s">
        <v>8912</v>
      </c>
      <c r="Z459" s="322" t="s">
        <v>22</v>
      </c>
      <c r="AA459" s="104"/>
      <c r="AB459" s="319">
        <f>AA456</f>
        <v>0</v>
      </c>
      <c r="AC459" s="430"/>
      <c r="AD459" s="326" t="s">
        <v>22</v>
      </c>
      <c r="AE459" s="331"/>
      <c r="AF459" s="431"/>
      <c r="AG459" s="432"/>
      <c r="AH459" s="326"/>
      <c r="AI459" s="2"/>
      <c r="AJ459" s="59" t="str">
        <f t="shared" si="1"/>
        <v>нет з/ч</v>
      </c>
      <c r="AK459" s="61" t="str">
        <f t="shared" si="2"/>
        <v>нет з/ч</v>
      </c>
      <c r="AL459" s="61" t="str">
        <f t="shared" si="3"/>
        <v>нет з/ч</v>
      </c>
      <c r="AM459" s="304" t="str">
        <f t="shared" si="5"/>
        <v>нет з/ч</v>
      </c>
      <c r="AN459" s="2"/>
      <c r="AO459" s="289"/>
      <c r="AP459" s="296"/>
      <c r="AQ459" s="296"/>
      <c r="AR459" s="139"/>
      <c r="AS459" s="2"/>
      <c r="AT459" s="2"/>
      <c r="AU459" s="2"/>
      <c r="AV459" s="2"/>
      <c r="AW459" s="2"/>
      <c r="AX459" s="3" t="s">
        <v>9630</v>
      </c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>
      <c r="A460" s="315" t="s">
        <v>9631</v>
      </c>
      <c r="B460" s="93"/>
      <c r="C460" s="65"/>
      <c r="D460" s="31" t="s">
        <v>367</v>
      </c>
      <c r="E460" s="11" t="s">
        <v>8908</v>
      </c>
      <c r="F460" s="427" t="s">
        <v>8909</v>
      </c>
      <c r="G460" s="31" t="s">
        <v>8910</v>
      </c>
      <c r="H460" s="31"/>
      <c r="I460" s="31"/>
      <c r="J460" s="31"/>
      <c r="K460" s="428"/>
      <c r="L460" s="321"/>
      <c r="M460" s="322"/>
      <c r="N460" s="323"/>
      <c r="O460" s="429"/>
      <c r="P460" s="322"/>
      <c r="Q460" s="323"/>
      <c r="R460" s="429"/>
      <c r="S460" s="322"/>
      <c r="T460" s="323"/>
      <c r="U460" s="324"/>
      <c r="V460" s="322"/>
      <c r="W460" s="323"/>
      <c r="X460" s="324" t="s">
        <v>22</v>
      </c>
      <c r="Y460" s="173" t="s">
        <v>8912</v>
      </c>
      <c r="Z460" s="322" t="s">
        <v>22</v>
      </c>
      <c r="AA460" s="104"/>
      <c r="AB460" s="319">
        <f>AA456</f>
        <v>0</v>
      </c>
      <c r="AC460" s="430"/>
      <c r="AD460" s="326" t="s">
        <v>22</v>
      </c>
      <c r="AE460" s="331"/>
      <c r="AF460" s="431"/>
      <c r="AG460" s="432"/>
      <c r="AH460" s="326"/>
      <c r="AI460" s="2"/>
      <c r="AJ460" s="59" t="str">
        <f t="shared" si="1"/>
        <v>нет з/ч</v>
      </c>
      <c r="AK460" s="61" t="str">
        <f t="shared" si="2"/>
        <v>нет з/ч</v>
      </c>
      <c r="AL460" s="61" t="str">
        <f t="shared" si="3"/>
        <v>нет з/ч</v>
      </c>
      <c r="AM460" s="304" t="str">
        <f t="shared" si="5"/>
        <v>нет з/ч</v>
      </c>
      <c r="AN460" s="2"/>
      <c r="AO460" s="289"/>
      <c r="AP460" s="296"/>
      <c r="AQ460" s="296"/>
      <c r="AR460" s="139"/>
      <c r="AS460" s="2"/>
      <c r="AT460" s="2"/>
      <c r="AU460" s="2"/>
      <c r="AV460" s="2"/>
      <c r="AW460" s="2"/>
      <c r="AX460" s="3" t="s">
        <v>9631</v>
      </c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>
      <c r="A461" s="315" t="s">
        <v>9632</v>
      </c>
      <c r="B461" s="93"/>
      <c r="C461" s="65"/>
      <c r="D461" s="31" t="s">
        <v>367</v>
      </c>
      <c r="E461" s="11" t="s">
        <v>8908</v>
      </c>
      <c r="F461" s="427" t="s">
        <v>8909</v>
      </c>
      <c r="G461" s="31" t="s">
        <v>8910</v>
      </c>
      <c r="H461" s="31"/>
      <c r="I461" s="31"/>
      <c r="J461" s="31"/>
      <c r="K461" s="428"/>
      <c r="L461" s="321"/>
      <c r="M461" s="322"/>
      <c r="N461" s="323"/>
      <c r="O461" s="429"/>
      <c r="P461" s="322"/>
      <c r="Q461" s="323"/>
      <c r="R461" s="429"/>
      <c r="S461" s="322"/>
      <c r="T461" s="323"/>
      <c r="U461" s="324"/>
      <c r="V461" s="322"/>
      <c r="W461" s="323"/>
      <c r="X461" s="324" t="s">
        <v>22</v>
      </c>
      <c r="Y461" s="173" t="s">
        <v>8912</v>
      </c>
      <c r="Z461" s="322" t="s">
        <v>22</v>
      </c>
      <c r="AA461" s="67"/>
      <c r="AB461" s="319">
        <f>AA456</f>
        <v>0</v>
      </c>
      <c r="AC461" s="430"/>
      <c r="AD461" s="326" t="s">
        <v>22</v>
      </c>
      <c r="AE461" s="331"/>
      <c r="AF461" s="431"/>
      <c r="AG461" s="432"/>
      <c r="AH461" s="326"/>
      <c r="AI461" s="2"/>
      <c r="AJ461" s="59" t="str">
        <f t="shared" si="1"/>
        <v>нет з/ч</v>
      </c>
      <c r="AK461" s="61" t="str">
        <f t="shared" si="2"/>
        <v>нет з/ч</v>
      </c>
      <c r="AL461" s="61" t="str">
        <f t="shared" si="3"/>
        <v>нет з/ч</v>
      </c>
      <c r="AM461" s="304" t="str">
        <f t="shared" si="5"/>
        <v>нет з/ч</v>
      </c>
      <c r="AN461" s="2"/>
      <c r="AO461" s="289"/>
      <c r="AP461" s="296"/>
      <c r="AQ461" s="296"/>
      <c r="AR461" s="139"/>
      <c r="AS461" s="2"/>
      <c r="AT461" s="2"/>
      <c r="AU461" s="2"/>
      <c r="AV461" s="2"/>
      <c r="AW461" s="2"/>
      <c r="AX461" s="3" t="s">
        <v>9632</v>
      </c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>
      <c r="A462" s="315" t="s">
        <v>9633</v>
      </c>
      <c r="B462" s="93"/>
      <c r="C462" s="65"/>
      <c r="D462" s="31" t="s">
        <v>374</v>
      </c>
      <c r="E462" s="11" t="s">
        <v>8908</v>
      </c>
      <c r="F462" s="427" t="s">
        <v>8909</v>
      </c>
      <c r="G462" s="31" t="s">
        <v>8910</v>
      </c>
      <c r="H462" s="31"/>
      <c r="I462" s="31"/>
      <c r="J462" s="31"/>
      <c r="K462" s="428"/>
      <c r="L462" s="321"/>
      <c r="M462" s="322"/>
      <c r="N462" s="323"/>
      <c r="O462" s="429"/>
      <c r="P462" s="322"/>
      <c r="Q462" s="323"/>
      <c r="R462" s="429"/>
      <c r="S462" s="322"/>
      <c r="T462" s="323"/>
      <c r="U462" s="324"/>
      <c r="V462" s="322"/>
      <c r="W462" s="323"/>
      <c r="X462" s="324" t="s">
        <v>22</v>
      </c>
      <c r="Y462" s="173" t="s">
        <v>8912</v>
      </c>
      <c r="Z462" s="322" t="s">
        <v>22</v>
      </c>
      <c r="AA462" s="313">
        <f>MAX(Z462:Z467)</f>
        <v>0</v>
      </c>
      <c r="AB462" s="319">
        <f>AA462</f>
        <v>0</v>
      </c>
      <c r="AC462" s="430"/>
      <c r="AD462" s="326" t="s">
        <v>22</v>
      </c>
      <c r="AE462" s="331"/>
      <c r="AF462" s="431"/>
      <c r="AG462" s="432"/>
      <c r="AH462" s="326"/>
      <c r="AI462" s="2"/>
      <c r="AJ462" s="59" t="str">
        <f t="shared" si="1"/>
        <v>нет з/ч</v>
      </c>
      <c r="AK462" s="61" t="str">
        <f t="shared" si="2"/>
        <v>нет з/ч</v>
      </c>
      <c r="AL462" s="61" t="str">
        <f t="shared" si="3"/>
        <v>нет з/ч</v>
      </c>
      <c r="AM462" s="304" t="str">
        <f t="shared" si="5"/>
        <v>нет з/ч</v>
      </c>
      <c r="AN462" s="2"/>
      <c r="AO462" s="289"/>
      <c r="AP462" s="296"/>
      <c r="AQ462" s="296"/>
      <c r="AR462" s="139"/>
      <c r="AS462" s="2"/>
      <c r="AT462" s="2"/>
      <c r="AU462" s="2"/>
      <c r="AV462" s="2"/>
      <c r="AW462" s="2"/>
      <c r="AX462" s="3" t="s">
        <v>9633</v>
      </c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>
      <c r="A463" s="315" t="s">
        <v>9634</v>
      </c>
      <c r="B463" s="93"/>
      <c r="C463" s="65"/>
      <c r="D463" s="31" t="s">
        <v>374</v>
      </c>
      <c r="E463" s="11" t="s">
        <v>8908</v>
      </c>
      <c r="F463" s="427" t="s">
        <v>8909</v>
      </c>
      <c r="G463" s="31" t="s">
        <v>8910</v>
      </c>
      <c r="H463" s="31"/>
      <c r="I463" s="31"/>
      <c r="J463" s="31"/>
      <c r="K463" s="428"/>
      <c r="L463" s="321"/>
      <c r="M463" s="322"/>
      <c r="N463" s="323"/>
      <c r="O463" s="429"/>
      <c r="P463" s="322"/>
      <c r="Q463" s="323"/>
      <c r="R463" s="429"/>
      <c r="S463" s="322"/>
      <c r="T463" s="323"/>
      <c r="U463" s="324"/>
      <c r="V463" s="322"/>
      <c r="W463" s="323"/>
      <c r="X463" s="324" t="s">
        <v>22</v>
      </c>
      <c r="Y463" s="173" t="s">
        <v>8912</v>
      </c>
      <c r="Z463" s="322" t="s">
        <v>22</v>
      </c>
      <c r="AA463" s="104"/>
      <c r="AB463" s="319">
        <f>AA462</f>
        <v>0</v>
      </c>
      <c r="AC463" s="430"/>
      <c r="AD463" s="326" t="s">
        <v>22</v>
      </c>
      <c r="AE463" s="331"/>
      <c r="AF463" s="431"/>
      <c r="AG463" s="432"/>
      <c r="AH463" s="326"/>
      <c r="AI463" s="2"/>
      <c r="AJ463" s="59" t="str">
        <f t="shared" si="1"/>
        <v>нет з/ч</v>
      </c>
      <c r="AK463" s="61" t="str">
        <f t="shared" si="2"/>
        <v>нет з/ч</v>
      </c>
      <c r="AL463" s="61" t="str">
        <f t="shared" si="3"/>
        <v>нет з/ч</v>
      </c>
      <c r="AM463" s="304" t="str">
        <f t="shared" si="5"/>
        <v>нет з/ч</v>
      </c>
      <c r="AN463" s="2"/>
      <c r="AO463" s="289"/>
      <c r="AP463" s="296"/>
      <c r="AQ463" s="296"/>
      <c r="AR463" s="139"/>
      <c r="AS463" s="2"/>
      <c r="AT463" s="2"/>
      <c r="AU463" s="2"/>
      <c r="AV463" s="2"/>
      <c r="AW463" s="2"/>
      <c r="AX463" s="3" t="s">
        <v>9634</v>
      </c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</row>
    <row r="464">
      <c r="A464" s="315" t="s">
        <v>9635</v>
      </c>
      <c r="B464" s="93"/>
      <c r="C464" s="65"/>
      <c r="D464" s="31" t="s">
        <v>374</v>
      </c>
      <c r="E464" s="11" t="s">
        <v>8908</v>
      </c>
      <c r="F464" s="427" t="s">
        <v>8909</v>
      </c>
      <c r="G464" s="31" t="s">
        <v>8910</v>
      </c>
      <c r="H464" s="31"/>
      <c r="I464" s="31"/>
      <c r="J464" s="31"/>
      <c r="K464" s="428"/>
      <c r="L464" s="321"/>
      <c r="M464" s="322"/>
      <c r="N464" s="323"/>
      <c r="O464" s="429"/>
      <c r="P464" s="322"/>
      <c r="Q464" s="323"/>
      <c r="R464" s="429"/>
      <c r="S464" s="322"/>
      <c r="T464" s="323"/>
      <c r="U464" s="324"/>
      <c r="V464" s="322"/>
      <c r="W464" s="323"/>
      <c r="X464" s="324" t="s">
        <v>22</v>
      </c>
      <c r="Y464" s="173" t="s">
        <v>8912</v>
      </c>
      <c r="Z464" s="322" t="s">
        <v>22</v>
      </c>
      <c r="AA464" s="104"/>
      <c r="AB464" s="319">
        <f>AA462</f>
        <v>0</v>
      </c>
      <c r="AC464" s="430"/>
      <c r="AD464" s="326" t="s">
        <v>22</v>
      </c>
      <c r="AE464" s="331"/>
      <c r="AF464" s="431"/>
      <c r="AG464" s="432"/>
      <c r="AH464" s="326"/>
      <c r="AI464" s="2"/>
      <c r="AJ464" s="59" t="str">
        <f t="shared" si="1"/>
        <v>нет з/ч</v>
      </c>
      <c r="AK464" s="61" t="str">
        <f t="shared" si="2"/>
        <v>нет з/ч</v>
      </c>
      <c r="AL464" s="61" t="str">
        <f t="shared" si="3"/>
        <v>нет з/ч</v>
      </c>
      <c r="AM464" s="304" t="str">
        <f t="shared" si="5"/>
        <v>нет з/ч</v>
      </c>
      <c r="AN464" s="2"/>
      <c r="AO464" s="289"/>
      <c r="AP464" s="296"/>
      <c r="AQ464" s="296"/>
      <c r="AR464" s="139"/>
      <c r="AS464" s="2"/>
      <c r="AT464" s="2"/>
      <c r="AU464" s="2"/>
      <c r="AV464" s="2"/>
      <c r="AW464" s="2"/>
      <c r="AX464" s="3" t="s">
        <v>9635</v>
      </c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</row>
    <row r="465">
      <c r="A465" s="315" t="s">
        <v>9636</v>
      </c>
      <c r="B465" s="93"/>
      <c r="C465" s="65"/>
      <c r="D465" s="31" t="s">
        <v>374</v>
      </c>
      <c r="E465" s="11" t="s">
        <v>8908</v>
      </c>
      <c r="F465" s="427" t="s">
        <v>8909</v>
      </c>
      <c r="G465" s="31" t="s">
        <v>8910</v>
      </c>
      <c r="H465" s="31"/>
      <c r="I465" s="31"/>
      <c r="J465" s="31"/>
      <c r="K465" s="428"/>
      <c r="L465" s="321"/>
      <c r="M465" s="322"/>
      <c r="N465" s="323"/>
      <c r="O465" s="429"/>
      <c r="P465" s="322"/>
      <c r="Q465" s="323"/>
      <c r="R465" s="429"/>
      <c r="S465" s="322"/>
      <c r="T465" s="323"/>
      <c r="U465" s="324"/>
      <c r="V465" s="322"/>
      <c r="W465" s="323"/>
      <c r="X465" s="324" t="s">
        <v>22</v>
      </c>
      <c r="Y465" s="173" t="s">
        <v>8912</v>
      </c>
      <c r="Z465" s="322" t="s">
        <v>22</v>
      </c>
      <c r="AA465" s="104"/>
      <c r="AB465" s="319">
        <f>AA462</f>
        <v>0</v>
      </c>
      <c r="AC465" s="430"/>
      <c r="AD465" s="326" t="s">
        <v>22</v>
      </c>
      <c r="AE465" s="331"/>
      <c r="AF465" s="431"/>
      <c r="AG465" s="432"/>
      <c r="AH465" s="326"/>
      <c r="AI465" s="2"/>
      <c r="AJ465" s="59" t="str">
        <f t="shared" si="1"/>
        <v>нет з/ч</v>
      </c>
      <c r="AK465" s="61" t="str">
        <f t="shared" si="2"/>
        <v>нет з/ч</v>
      </c>
      <c r="AL465" s="61" t="str">
        <f t="shared" si="3"/>
        <v>нет з/ч</v>
      </c>
      <c r="AM465" s="304" t="str">
        <f t="shared" si="5"/>
        <v>нет з/ч</v>
      </c>
      <c r="AN465" s="2"/>
      <c r="AO465" s="289"/>
      <c r="AP465" s="296"/>
      <c r="AQ465" s="296"/>
      <c r="AR465" s="139"/>
      <c r="AS465" s="2"/>
      <c r="AT465" s="2"/>
      <c r="AU465" s="2"/>
      <c r="AV465" s="2"/>
      <c r="AW465" s="2"/>
      <c r="AX465" s="3" t="s">
        <v>9636</v>
      </c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</row>
    <row r="466">
      <c r="A466" s="315" t="s">
        <v>9637</v>
      </c>
      <c r="B466" s="93"/>
      <c r="C466" s="65"/>
      <c r="D466" s="31" t="s">
        <v>374</v>
      </c>
      <c r="E466" s="11" t="s">
        <v>8908</v>
      </c>
      <c r="F466" s="427" t="s">
        <v>8909</v>
      </c>
      <c r="G466" s="31" t="s">
        <v>8910</v>
      </c>
      <c r="H466" s="31"/>
      <c r="I466" s="31"/>
      <c r="J466" s="31"/>
      <c r="K466" s="428"/>
      <c r="L466" s="321"/>
      <c r="M466" s="322"/>
      <c r="N466" s="323"/>
      <c r="O466" s="429"/>
      <c r="P466" s="322"/>
      <c r="Q466" s="323"/>
      <c r="R466" s="429"/>
      <c r="S466" s="322"/>
      <c r="T466" s="323"/>
      <c r="U466" s="324"/>
      <c r="V466" s="322"/>
      <c r="W466" s="323"/>
      <c r="X466" s="324" t="s">
        <v>22</v>
      </c>
      <c r="Y466" s="173" t="s">
        <v>8912</v>
      </c>
      <c r="Z466" s="322" t="s">
        <v>22</v>
      </c>
      <c r="AA466" s="104"/>
      <c r="AB466" s="319">
        <f>AA462</f>
        <v>0</v>
      </c>
      <c r="AC466" s="430"/>
      <c r="AD466" s="326" t="s">
        <v>22</v>
      </c>
      <c r="AE466" s="331"/>
      <c r="AF466" s="431"/>
      <c r="AG466" s="432"/>
      <c r="AH466" s="326"/>
      <c r="AI466" s="2"/>
      <c r="AJ466" s="59" t="str">
        <f t="shared" si="1"/>
        <v>нет з/ч</v>
      </c>
      <c r="AK466" s="61" t="str">
        <f t="shared" si="2"/>
        <v>нет з/ч</v>
      </c>
      <c r="AL466" s="61" t="str">
        <f t="shared" si="3"/>
        <v>нет з/ч</v>
      </c>
      <c r="AM466" s="304" t="str">
        <f t="shared" si="5"/>
        <v>нет з/ч</v>
      </c>
      <c r="AN466" s="2"/>
      <c r="AO466" s="289"/>
      <c r="AP466" s="296"/>
      <c r="AQ466" s="296"/>
      <c r="AR466" s="139"/>
      <c r="AS466" s="2"/>
      <c r="AT466" s="2"/>
      <c r="AU466" s="2"/>
      <c r="AV466" s="2"/>
      <c r="AW466" s="2"/>
      <c r="AX466" s="3" t="s">
        <v>9637</v>
      </c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</row>
    <row r="467">
      <c r="A467" s="315" t="s">
        <v>9638</v>
      </c>
      <c r="B467" s="93"/>
      <c r="C467" s="65"/>
      <c r="D467" s="31" t="s">
        <v>374</v>
      </c>
      <c r="E467" s="11" t="s">
        <v>8908</v>
      </c>
      <c r="F467" s="427" t="s">
        <v>8909</v>
      </c>
      <c r="G467" s="31" t="s">
        <v>8910</v>
      </c>
      <c r="H467" s="31"/>
      <c r="I467" s="31"/>
      <c r="J467" s="31"/>
      <c r="K467" s="428"/>
      <c r="L467" s="321"/>
      <c r="M467" s="322"/>
      <c r="N467" s="323"/>
      <c r="O467" s="429"/>
      <c r="P467" s="322"/>
      <c r="Q467" s="323"/>
      <c r="R467" s="429"/>
      <c r="S467" s="322"/>
      <c r="T467" s="323"/>
      <c r="U467" s="324"/>
      <c r="V467" s="322"/>
      <c r="W467" s="323"/>
      <c r="X467" s="324" t="s">
        <v>22</v>
      </c>
      <c r="Y467" s="173" t="s">
        <v>8912</v>
      </c>
      <c r="Z467" s="322" t="s">
        <v>22</v>
      </c>
      <c r="AA467" s="67"/>
      <c r="AB467" s="319">
        <f>AA462</f>
        <v>0</v>
      </c>
      <c r="AC467" s="430"/>
      <c r="AD467" s="326" t="s">
        <v>22</v>
      </c>
      <c r="AE467" s="331"/>
      <c r="AF467" s="431"/>
      <c r="AG467" s="432"/>
      <c r="AH467" s="326"/>
      <c r="AI467" s="2"/>
      <c r="AJ467" s="59" t="str">
        <f t="shared" si="1"/>
        <v>нет з/ч</v>
      </c>
      <c r="AK467" s="61" t="str">
        <f t="shared" si="2"/>
        <v>нет з/ч</v>
      </c>
      <c r="AL467" s="61" t="str">
        <f t="shared" si="3"/>
        <v>нет з/ч</v>
      </c>
      <c r="AM467" s="304" t="str">
        <f t="shared" si="5"/>
        <v>нет з/ч</v>
      </c>
      <c r="AN467" s="2"/>
      <c r="AO467" s="289"/>
      <c r="AP467" s="296"/>
      <c r="AQ467" s="296"/>
      <c r="AR467" s="139"/>
      <c r="AS467" s="2"/>
      <c r="AT467" s="2"/>
      <c r="AU467" s="2"/>
      <c r="AV467" s="2"/>
      <c r="AW467" s="2"/>
      <c r="AX467" s="3" t="s">
        <v>9638</v>
      </c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9">
      <c r="A469" s="293" t="s">
        <v>9639</v>
      </c>
    </row>
    <row r="470">
      <c r="A470" s="293" t="s">
        <v>9640</v>
      </c>
    </row>
    <row r="471">
      <c r="A471" s="293" t="s">
        <v>9641</v>
      </c>
    </row>
    <row r="472">
      <c r="A472" s="293" t="s">
        <v>9642</v>
      </c>
    </row>
    <row r="473">
      <c r="A473" s="293" t="s">
        <v>9643</v>
      </c>
    </row>
    <row r="474">
      <c r="A474" s="293" t="s">
        <v>9644</v>
      </c>
    </row>
    <row r="475">
      <c r="A475" s="293" t="s">
        <v>9645</v>
      </c>
    </row>
    <row r="476">
      <c r="A476" s="293" t="s">
        <v>9646</v>
      </c>
    </row>
    <row r="477">
      <c r="A477" s="293" t="s">
        <v>9647</v>
      </c>
    </row>
    <row r="478">
      <c r="A478" s="293" t="s">
        <v>9648</v>
      </c>
    </row>
    <row r="479">
      <c r="A479" s="293" t="s">
        <v>9649</v>
      </c>
    </row>
    <row r="480">
      <c r="A480" s="293" t="s">
        <v>9650</v>
      </c>
    </row>
    <row r="481">
      <c r="A481" s="293" t="s">
        <v>9651</v>
      </c>
    </row>
    <row r="482">
      <c r="A482" s="293" t="s">
        <v>9652</v>
      </c>
    </row>
    <row r="483">
      <c r="A483" s="293" t="s">
        <v>9653</v>
      </c>
    </row>
    <row r="484">
      <c r="A484" s="293" t="s">
        <v>9654</v>
      </c>
    </row>
    <row r="485">
      <c r="A485" s="293" t="s">
        <v>9655</v>
      </c>
    </row>
    <row r="486">
      <c r="A486" s="293" t="s">
        <v>9656</v>
      </c>
    </row>
    <row r="487">
      <c r="A487" s="293" t="s">
        <v>9657</v>
      </c>
    </row>
    <row r="488">
      <c r="A488" s="293" t="s">
        <v>9658</v>
      </c>
    </row>
    <row r="489">
      <c r="A489" s="293" t="s">
        <v>9659</v>
      </c>
    </row>
    <row r="490">
      <c r="A490" s="293" t="s">
        <v>9660</v>
      </c>
    </row>
    <row r="491">
      <c r="A491" s="293" t="s">
        <v>9661</v>
      </c>
    </row>
    <row r="492">
      <c r="A492" s="293" t="s">
        <v>9662</v>
      </c>
    </row>
    <row r="493">
      <c r="A493" s="293" t="s">
        <v>9663</v>
      </c>
    </row>
    <row r="494">
      <c r="A494" s="293" t="s">
        <v>9664</v>
      </c>
    </row>
    <row r="495">
      <c r="A495" s="293" t="s">
        <v>9665</v>
      </c>
    </row>
    <row r="496">
      <c r="A496" s="293" t="s">
        <v>9666</v>
      </c>
    </row>
    <row r="497">
      <c r="A497" s="293" t="s">
        <v>9667</v>
      </c>
    </row>
    <row r="498">
      <c r="A498" s="293" t="s">
        <v>9668</v>
      </c>
    </row>
    <row r="499">
      <c r="A499" s="293" t="s">
        <v>9669</v>
      </c>
    </row>
    <row r="500">
      <c r="A500" s="293" t="s">
        <v>9670</v>
      </c>
    </row>
    <row r="501">
      <c r="A501" s="293" t="s">
        <v>9671</v>
      </c>
    </row>
    <row r="502">
      <c r="A502" s="293" t="s">
        <v>9672</v>
      </c>
    </row>
    <row r="503">
      <c r="A503" s="293" t="s">
        <v>9673</v>
      </c>
    </row>
    <row r="504">
      <c r="A504" s="293" t="s">
        <v>9674</v>
      </c>
    </row>
  </sheetData>
  <mergeCells count="82">
    <mergeCell ref="AA228:AA233"/>
    <mergeCell ref="AA234:AA245"/>
    <mergeCell ref="AA246:AA251"/>
    <mergeCell ref="AA252:AA261"/>
    <mergeCell ref="AA262:AA266"/>
    <mergeCell ref="AA267:AA276"/>
    <mergeCell ref="AA277:AA281"/>
    <mergeCell ref="AA282:AA293"/>
    <mergeCell ref="AA294:AA299"/>
    <mergeCell ref="AA300:AA311"/>
    <mergeCell ref="AA312:AA317"/>
    <mergeCell ref="AA318:AA325"/>
    <mergeCell ref="AA326:AA329"/>
    <mergeCell ref="AA330:AA337"/>
    <mergeCell ref="AA338:AA341"/>
    <mergeCell ref="AA342:AA351"/>
    <mergeCell ref="AA352:AA356"/>
    <mergeCell ref="AA357:AA366"/>
    <mergeCell ref="AA367:AA371"/>
    <mergeCell ref="AA372:AA379"/>
    <mergeCell ref="AA380:AA383"/>
    <mergeCell ref="AA430:AA437"/>
    <mergeCell ref="AA438:AA447"/>
    <mergeCell ref="AA448:AA455"/>
    <mergeCell ref="AA456:AA461"/>
    <mergeCell ref="AA462:AA467"/>
    <mergeCell ref="AA384:AA391"/>
    <mergeCell ref="AA392:AA395"/>
    <mergeCell ref="AA396:AA405"/>
    <mergeCell ref="AA406:AA409"/>
    <mergeCell ref="AA410:AA411"/>
    <mergeCell ref="AA412:AA421"/>
    <mergeCell ref="AA422:AA429"/>
    <mergeCell ref="AA1:AA2"/>
    <mergeCell ref="AA3:AA5"/>
    <mergeCell ref="AA6:AA8"/>
    <mergeCell ref="AA9:AA11"/>
    <mergeCell ref="AA12:AA15"/>
    <mergeCell ref="AA16:AA19"/>
    <mergeCell ref="AA20:AA22"/>
    <mergeCell ref="AA23:AA25"/>
    <mergeCell ref="AA26:AA28"/>
    <mergeCell ref="AA29:AA31"/>
    <mergeCell ref="AA32:AA35"/>
    <mergeCell ref="AA36:AA39"/>
    <mergeCell ref="AA40:AA43"/>
    <mergeCell ref="AA44:AA47"/>
    <mergeCell ref="AA48:AA53"/>
    <mergeCell ref="AA54:AA59"/>
    <mergeCell ref="AA60:AA65"/>
    <mergeCell ref="AA66:AA71"/>
    <mergeCell ref="AA72:AA75"/>
    <mergeCell ref="AA76:AA79"/>
    <mergeCell ref="AA80:AA83"/>
    <mergeCell ref="AA84:AA87"/>
    <mergeCell ref="AA88:AA90"/>
    <mergeCell ref="AA91:AA93"/>
    <mergeCell ref="AA94:AA96"/>
    <mergeCell ref="AA97:AA99"/>
    <mergeCell ref="AA100:AA105"/>
    <mergeCell ref="AA106:AA111"/>
    <mergeCell ref="AA112:AA113"/>
    <mergeCell ref="AA114:AA115"/>
    <mergeCell ref="AA116:AA118"/>
    <mergeCell ref="AA119:AA121"/>
    <mergeCell ref="AA122:AA124"/>
    <mergeCell ref="AA125:AA127"/>
    <mergeCell ref="AA128:AA133"/>
    <mergeCell ref="AA134:AA139"/>
    <mergeCell ref="AA140:AA143"/>
    <mergeCell ref="AA144:AA147"/>
    <mergeCell ref="AA148:AA151"/>
    <mergeCell ref="AA152:AA155"/>
    <mergeCell ref="AA156:AA167"/>
    <mergeCell ref="AA168:AA173"/>
    <mergeCell ref="AA174:AA185"/>
    <mergeCell ref="AA186:AA191"/>
    <mergeCell ref="AA192:AA199"/>
    <mergeCell ref="AA200:AA203"/>
    <mergeCell ref="AA204:AA211"/>
    <mergeCell ref="AA212:AA215"/>
    <mergeCell ref="AA216:AA227"/>
  </mergeCells>
  <conditionalFormatting sqref="L1:L467">
    <cfRule type="containsText" dxfId="4" priority="1" operator="containsText" text="ошибка">
      <formula>NOT(ISERROR(SEARCH(("ошибка"),(L1))))</formula>
    </cfRule>
  </conditionalFormatting>
  <conditionalFormatting sqref="R1:R467">
    <cfRule type="containsText" dxfId="4" priority="2" operator="containsText" text="ошибка">
      <formula>NOT(ISERROR(SEARCH(("ошибка"),(R1))))</formula>
    </cfRule>
  </conditionalFormatting>
  <conditionalFormatting sqref="O1:O467">
    <cfRule type="containsText" dxfId="4" priority="3" operator="containsText" text="ошибка">
      <formula>NOT(ISERROR(SEARCH(("ошибка"),(O1))))</formula>
    </cfRule>
  </conditionalFormatting>
  <conditionalFormatting sqref="AJ1:AM467">
    <cfRule type="cellIs" dxfId="5" priority="4" operator="equal">
      <formula>"нет з/ч"</formula>
    </cfRule>
  </conditionalFormatting>
  <conditionalFormatting sqref="N1:N467">
    <cfRule type="cellIs" dxfId="6" priority="5" operator="lessThan">
      <formula>M1:M1468</formula>
    </cfRule>
  </conditionalFormatting>
  <conditionalFormatting sqref="N1:N467">
    <cfRule type="cellIs" dxfId="7" priority="6" operator="equal">
      <formula>M1:M1468</formula>
    </cfRule>
  </conditionalFormatting>
  <conditionalFormatting sqref="N1:N467">
    <cfRule type="cellIs" dxfId="3" priority="7" operator="greaterThan">
      <formula>M1:M1468</formula>
    </cfRule>
  </conditionalFormatting>
  <conditionalFormatting sqref="Q1:Q467">
    <cfRule type="cellIs" dxfId="6" priority="8" operator="lessThan">
      <formula>P1:P1468</formula>
    </cfRule>
  </conditionalFormatting>
  <conditionalFormatting sqref="Q1:Q467">
    <cfRule type="cellIs" dxfId="7" priority="9" operator="equal">
      <formula>P1:P1468</formula>
    </cfRule>
  </conditionalFormatting>
  <conditionalFormatting sqref="Q1:Q467">
    <cfRule type="cellIs" dxfId="3" priority="10" operator="greaterThan">
      <formula>P1:P1468</formula>
    </cfRule>
  </conditionalFormatting>
  <conditionalFormatting sqref="T1:W467">
    <cfRule type="cellIs" dxfId="6" priority="11" operator="lessThan">
      <formula>S1:S1468</formula>
    </cfRule>
  </conditionalFormatting>
  <conditionalFormatting sqref="T1:W467">
    <cfRule type="cellIs" dxfId="7" priority="12" operator="equal">
      <formula>S1:S1468</formula>
    </cfRule>
  </conditionalFormatting>
  <conditionalFormatting sqref="T1:W467">
    <cfRule type="cellIs" dxfId="3" priority="13" operator="greaterThan">
      <formula>S1:S1468</formula>
    </cfRule>
  </conditionalFormatting>
  <conditionalFormatting sqref="AO1:AR467">
    <cfRule type="expression" dxfId="8" priority="14">
      <formula>AND(AO1&lt;&gt;"", AO1&gt;0, AO1=MAX($AP1:$AS1))</formula>
    </cfRule>
  </conditionalFormatting>
  <dataValidations>
    <dataValidation type="list" allowBlank="1" showErrorMessage="1" sqref="F1:F467">
      <formula1>"Сервисный оригинал,Снятый оригинал ,Восстановленный оригинал,Аналог,Аналог (банка)"</formula1>
    </dataValidation>
    <dataValidation type="list" allowBlank="1" showErrorMessage="1" sqref="K1:K467">
      <formula1>"(без проверки подлинности),(бу),(неизвестная деталь),(подлинное)"</formula1>
    </dataValidation>
    <dataValidation type="list" allowBlank="1" showErrorMessage="1" sqref="G1:G467">
      <formula1>"JCID,ORIG,APPLE,FOG,COPY"</formula1>
    </dataValidation>
    <dataValidation type="list" allowBlank="1" showErrorMessage="1" sqref="I1:I467">
      <formula1>"SIM,eSIM,60Гц,120Гц"</formula1>
    </dataValidation>
    <dataValidation type="list" allowBlank="1" showErrorMessage="1" sqref="H1:H467">
      <formula1>"Стандарт,Усиленный,TFT,OLED,Узкое отверстие,Широкое отверстие,Модуль,Стекло корпуса"</formula1>
    </dataValidation>
    <dataValidation type="list" allowBlank="1" showErrorMessage="1" sqref="Y1:Y467">
      <formula1>"13,5%,15%,20%,25%,30%,35%,40%,45%,50%,55%,60%,65%,70%,75%,80%,85%,90%,95%,100%,110%,120%,130%,140%,150%,160%,170%,180%,190%,200%,225%,250%,275%,300%"</formula1>
    </dataValidation>
    <dataValidation type="list" allowBlank="1" showErrorMessage="1" sqref="J1:J467">
      <formula1>"белый,черный,золотой,зеленый,красный,розовый,фиолетовый,синий,голубой,лавандовый,ультрамарин,натуральный,пустынный,оранжевый,желтый,коралловый,графитовый,бирюзовый"</formula1>
    </dataValidation>
    <dataValidation type="list" allowBlank="1" showErrorMessage="1" sqref="E1:E467">
      <formula1>"Аккумулятор,Дисплей,Крышка (заднее стекло),Стекло камеры,Корпус,Шлейф зарядки,Модуль бепроводной зарядки,Основная камера,Фронтальная камера,Слуховой динамик,Полифонический динамик,Вибромотор,Стекло дисплея,Тачскрин дисплея"</formula1>
    </dataValidation>
  </dataValidations>
  <hyperlinks>
    <hyperlink r:id="rId1" ref="AE23"/>
    <hyperlink r:id="rId2" ref="AE24"/>
    <hyperlink r:id="rId3" ref="AE25"/>
    <hyperlink r:id="rId4" ref="AE36"/>
    <hyperlink r:id="rId5" ref="AE37"/>
    <hyperlink r:id="rId6" ref="AE38"/>
    <hyperlink r:id="rId7" ref="AE39"/>
    <hyperlink r:id="rId8" ref="AE44"/>
    <hyperlink r:id="rId9" ref="AE45"/>
    <hyperlink r:id="rId10" ref="AE46"/>
    <hyperlink r:id="rId11" ref="AE47"/>
    <hyperlink r:id="rId12" ref="AE54"/>
    <hyperlink r:id="rId13" ref="AE55"/>
    <hyperlink r:id="rId14" ref="AE56"/>
    <hyperlink r:id="rId15" ref="AE57"/>
    <hyperlink r:id="rId16" ref="AE58"/>
    <hyperlink r:id="rId17" ref="AE59"/>
    <hyperlink r:id="rId18" ref="AE66"/>
    <hyperlink r:id="rId19" ref="AE67"/>
    <hyperlink r:id="rId20" ref="AE68"/>
    <hyperlink r:id="rId21" ref="AE69"/>
    <hyperlink r:id="rId22" ref="AE70"/>
    <hyperlink r:id="rId23" ref="AE71"/>
    <hyperlink r:id="rId24" ref="AE76"/>
    <hyperlink r:id="rId25" ref="AE77"/>
    <hyperlink r:id="rId26" ref="AE78"/>
    <hyperlink r:id="rId27" ref="AE79"/>
    <hyperlink r:id="rId28" ref="AE84"/>
    <hyperlink r:id="rId29" ref="AE85"/>
    <hyperlink r:id="rId30" ref="AE86"/>
    <hyperlink r:id="rId31" ref="AE87"/>
    <hyperlink r:id="rId32" ref="AE91"/>
    <hyperlink r:id="rId33" ref="AE92"/>
    <hyperlink r:id="rId34" ref="AE93"/>
    <hyperlink r:id="rId35" ref="AE106"/>
    <hyperlink r:id="rId36" ref="AE107"/>
    <hyperlink r:id="rId37" ref="AE108"/>
    <hyperlink r:id="rId38" ref="AE109"/>
    <hyperlink r:id="rId39" ref="AE110"/>
    <hyperlink r:id="rId40" ref="AE111"/>
    <hyperlink r:id="rId41" ref="AE114"/>
    <hyperlink r:id="rId42" ref="AE115"/>
    <hyperlink r:id="rId43" ref="AE119"/>
    <hyperlink r:id="rId44" ref="AE120"/>
    <hyperlink r:id="rId45" ref="AE121"/>
    <hyperlink r:id="rId46" ref="AE125"/>
    <hyperlink r:id="rId47" ref="AE126"/>
    <hyperlink r:id="rId48" ref="AE127"/>
    <hyperlink r:id="rId49" ref="AE134"/>
    <hyperlink r:id="rId50" ref="AE135"/>
    <hyperlink r:id="rId51" ref="AE136"/>
    <hyperlink r:id="rId52" ref="AE137"/>
    <hyperlink r:id="rId53" ref="AE138"/>
    <hyperlink r:id="rId54" ref="AE139"/>
    <hyperlink r:id="rId55" ref="AE144"/>
    <hyperlink r:id="rId56" ref="AE145"/>
    <hyperlink r:id="rId57" ref="AE146"/>
    <hyperlink r:id="rId58" ref="AE147"/>
    <hyperlink r:id="rId59" ref="AE152"/>
    <hyperlink r:id="rId60" ref="AE153"/>
    <hyperlink r:id="rId61" ref="AE154"/>
    <hyperlink r:id="rId62" ref="AE155"/>
    <hyperlink r:id="rId63" ref="AE168"/>
    <hyperlink r:id="rId64" ref="AE169"/>
    <hyperlink r:id="rId65" ref="AE170"/>
    <hyperlink r:id="rId66" ref="AE171"/>
    <hyperlink r:id="rId67" ref="AE172"/>
    <hyperlink r:id="rId68" ref="AE173"/>
    <hyperlink r:id="rId69" ref="AE186"/>
    <hyperlink r:id="rId70" ref="AE187"/>
    <hyperlink r:id="rId71" ref="AE188"/>
    <hyperlink r:id="rId72" ref="AE189"/>
    <hyperlink r:id="rId73" ref="AE191"/>
    <hyperlink r:id="rId74" ref="AE200"/>
    <hyperlink r:id="rId75" ref="AE201"/>
    <hyperlink r:id="rId76" ref="AE202"/>
    <hyperlink r:id="rId77" ref="AE203"/>
    <hyperlink r:id="rId78" ref="AE212"/>
    <hyperlink r:id="rId79" ref="AE213"/>
    <hyperlink r:id="rId80" ref="AE214"/>
    <hyperlink r:id="rId81" ref="AE215"/>
    <hyperlink r:id="rId82" ref="AE228"/>
    <hyperlink r:id="rId83" ref="AE229"/>
    <hyperlink r:id="rId84" ref="AE230"/>
    <hyperlink r:id="rId85" ref="AE231"/>
    <hyperlink r:id="rId86" ref="AE232"/>
    <hyperlink r:id="rId87" ref="AE233"/>
    <hyperlink r:id="rId88" ref="AE262"/>
    <hyperlink r:id="rId89" ref="AE263"/>
    <hyperlink r:id="rId90" ref="AE264"/>
    <hyperlink r:id="rId91" ref="AE265"/>
    <hyperlink r:id="rId92" ref="AE266"/>
    <hyperlink r:id="rId93" ref="AE277"/>
    <hyperlink r:id="rId94" ref="AE278"/>
    <hyperlink r:id="rId95" ref="AE279"/>
    <hyperlink r:id="rId96" ref="AE280"/>
    <hyperlink r:id="rId97" ref="AE281"/>
    <hyperlink r:id="rId98" ref="AE294"/>
    <hyperlink r:id="rId99" ref="AE295"/>
    <hyperlink r:id="rId100" ref="AE296"/>
    <hyperlink r:id="rId101" ref="AE297"/>
    <hyperlink r:id="rId102" ref="AE298"/>
    <hyperlink r:id="rId103" ref="AE326"/>
    <hyperlink r:id="rId104" ref="AE327"/>
    <hyperlink r:id="rId105" ref="AE328"/>
    <hyperlink r:id="rId106" ref="AE329"/>
    <hyperlink r:id="rId107" ref="AE338"/>
    <hyperlink r:id="rId108" ref="AE339"/>
    <hyperlink r:id="rId109" ref="AE340"/>
    <hyperlink r:id="rId110" ref="AE341"/>
    <hyperlink r:id="rId111" ref="AE352"/>
    <hyperlink r:id="rId112" ref="AE353"/>
    <hyperlink r:id="rId113" ref="AE354"/>
    <hyperlink r:id="rId114" ref="AE355"/>
    <hyperlink r:id="rId115" ref="AE356"/>
    <hyperlink r:id="rId116" ref="AE380"/>
    <hyperlink r:id="rId117" ref="AE381"/>
    <hyperlink r:id="rId118" ref="AE382"/>
    <hyperlink r:id="rId119" ref="AE383"/>
    <hyperlink r:id="rId120" ref="AE392"/>
    <hyperlink r:id="rId121" ref="AE393"/>
    <hyperlink r:id="rId122" ref="AE394"/>
    <hyperlink r:id="rId123" ref="AE395"/>
  </hyperlinks>
  <drawing r:id="rId124"/>
</worksheet>
</file>